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Power Curves" sheetId="2" state="visible" r:id="rId4"/>
    <sheet name="Gas Curves" sheetId="3" state="visible" r:id="rId5"/>
    <sheet name="Calculations" sheetId="4" state="visible" r:id="rId6"/>
    <sheet name="Pricing Inputs" sheetId="5" state="visible" r:id="rId7"/>
  </sheets>
  <externalReferences>
    <externalReference r:id="rId8"/>
  </externalReferences>
  <definedNames>
    <definedName function="false" hidden="false" localSheetId="3" name="_xlnm.Print_Area" vbProcedure="false">Calculations!$CC$1:$CK$27</definedName>
    <definedName function="false" hidden="false" localSheetId="2" name="_xlnm.Print_Area" vbProcedure="false">'Gas Curves'!$B$10:$P$137</definedName>
    <definedName function="false" hidden="false" localSheetId="2" name="_xlnm.Print_Titles" vbProcedure="false">'Gas Curves'!$13:$13</definedName>
    <definedName function="false" hidden="false" localSheetId="0" name="_xlnm.Print_Area" vbProcedure="false">Inputs!$B$2:$T$37</definedName>
    <definedName function="false" hidden="false" localSheetId="4" name="_xlnm.Print_Area" vbProcedure="false">'Pricing Inputs'!$AN$1:$BA$17</definedName>
    <definedName function="false" hidden="false" name="Availability" vbProcedure="false">Inputs!$S$23</definedName>
    <definedName function="false" hidden="false" name="Basischeck" vbProcedure="false">'Pricing Inputs'!$AR$19</definedName>
    <definedName function="false" hidden="false" name="BasisIndex" vbProcedure="false">'Power Curves'!$EC$6:$EC$19</definedName>
    <definedName function="false" hidden="false" name="BasisNumber" vbProcedure="false">'Power Curves'!$EC$4</definedName>
    <definedName function="false" hidden="false" name="BMO" vbProcedure="false">'Pricing Inputs'!$AN$3</definedName>
    <definedName function="false" hidden="false" name="CorrelationTable" vbProcedure="false">'Power Curves'!$DF$10:$DG$411</definedName>
    <definedName function="false" hidden="false" name="Curveadj" vbProcedure="false">Inputs!$E$24:$G$35</definedName>
    <definedName function="false" hidden="false" name="CurveDate" vbProcedure="false">Inputs!$D$4</definedName>
    <definedName function="false" hidden="false" name="CurveRange" vbProcedure="false">'Gas Curves'!$C$11</definedName>
    <definedName function="false" hidden="false" name="CurveValues" vbProcedure="false">#NAME? [1]Curves!$B$11:$O$377</definedName>
    <definedName function="false" hidden="false" name="DateToday" vbProcedure="false">Inputs!$D$3</definedName>
    <definedName function="false" hidden="false" name="Dayrun" vbProcedure="false">'Pricing Inputs'!$AQ$3</definedName>
    <definedName function="false" hidden="false" name="DBase" vbProcedure="false">'Gas Curves'!$B$3</definedName>
    <definedName function="false" hidden="false" name="Dynamic" vbProcedure="false">'Pricing Inputs'!$AN$25</definedName>
    <definedName function="false" hidden="false" name="Gasbmo" vbProcedure="false">Inputs!$S$12</definedName>
    <definedName function="false" hidden="false" name="GasCurves" vbProcedure="false">'Gas Curves'!$B$17:$P$310</definedName>
    <definedName function="false" hidden="false" name="Gasesc" vbProcedure="false">#REF!</definedName>
    <definedName function="false" hidden="false" name="GasVolTable" vbProcedure="false">'Gas Curves'!$B$10:$H$353</definedName>
    <definedName function="false" hidden="false" name="Hrtable" vbProcedure="false">Inputs!$I$24:$J$35</definedName>
    <definedName function="false" hidden="false" name="Indexcheck" vbProcedure="false">'Pricing Inputs'!$AR$21</definedName>
    <definedName function="false" hidden="false" name="InterestRatesTable" vbProcedure="false">'Gas Curves'!$B$10:$C$377</definedName>
    <definedName function="false" hidden="false" name="IntraPowerVol" vbProcedure="false">'Power Curves'!$CW$8:$CZ$411</definedName>
    <definedName function="false" hidden="false" name="IRFirstMonth" vbProcedure="false">#REF!</definedName>
    <definedName function="false" hidden="false" name="IRTable" vbProcedure="false">#REF!</definedName>
    <definedName function="false" hidden="false" name="LastDateOfMonthlyVol" vbProcedure="false">'Power Curves'!$U$3</definedName>
    <definedName function="false" hidden="false" name="ManualTable" vbProcedure="false">Inputs!$F$6:$O$17</definedName>
    <definedName function="false" hidden="false" name="NumberofDaysTable" vbProcedure="false">'Pricing Inputs'!$AF$2:$AK$446</definedName>
    <definedName function="false" hidden="false" name="OffPeakEx" vbProcedure="false">'Pricing Inputs'!$AR$25</definedName>
    <definedName function="false" hidden="false" name="OffPeakVol" vbProcedure="false">'Power Curves'!$DJ$7:$DQ$393</definedName>
    <definedName function="false" hidden="false" name="OmicronCurveDate" vbProcedure="false">Inputs!$D$8</definedName>
    <definedName function="false" hidden="false" name="OmicronVol" vbProcedure="false">'Gas Curves'!$R$14:$U$310</definedName>
    <definedName function="false" hidden="false" name="OPPowerPrices" vbProcedure="false">'Power Curves'!$B$10:$I$265</definedName>
    <definedName function="false" hidden="false" name="Option" vbProcedure="false">'Pricing Inputs'!$AN$8</definedName>
    <definedName function="false" hidden="false" name="Password" vbProcedure="false">'Gas Curves'!$B$2</definedName>
    <definedName function="false" hidden="false" name="PeakPowerCurves" vbProcedure="false">'Power Curves'!$B$10:$E$363</definedName>
    <definedName function="false" hidden="false" name="Perstart" vbProcedure="false">Inputs!$S$21</definedName>
    <definedName function="false" hidden="false" name="PositionRegion" vbProcedure="false">'Power Curves'!$B$4</definedName>
    <definedName function="false" hidden="false" name="PowerVolTable" vbProcedure="false">'Power Curves'!$CW$10:$DD$411</definedName>
    <definedName function="false" hidden="false" name="Pricetype" vbProcedure="false">#REF!</definedName>
    <definedName function="false" hidden="false" name="PV" vbProcedure="false">'Pricing Inputs'!$AN$12</definedName>
    <definedName function="false" hidden="false" name="Pwresc" vbProcedure="false">#REF!</definedName>
    <definedName function="false" hidden="false" name="RegionIndex" vbProcedure="false">'Power Curves'!$DZ$10:$DZ$37</definedName>
    <definedName function="false" hidden="false" name="RegionNumber" vbProcedure="false">'Power Curves'!$DZ$9</definedName>
    <definedName function="false" hidden="false" name="SatSunPeakPwr" vbProcedure="false">'Power Curves'!$K$6:$R$233</definedName>
    <definedName function="false" hidden="false" name="ScalarTable" vbProcedure="false">'Pricing Inputs'!$B$5:$M$32</definedName>
    <definedName function="false" hidden="false" name="ScaledPrice" vbProcedure="false">'Pricing Inputs'!$A$39:$N$290</definedName>
    <definedName function="false" hidden="false" name="Scalers" vbProcedure="false">'Pricing Inputs'!$AN$21</definedName>
    <definedName function="false" hidden="false" name="Smile" vbProcedure="false">'Pricing Inputs'!$AR$17</definedName>
    <definedName function="false" hidden="false" name="Today" vbProcedure="false">'Gas Curves'!$A$6</definedName>
    <definedName function="false" hidden="false" name="UpperLeftOfCurveTable" vbProcedure="false">'Gas Curves'!$B$11</definedName>
    <definedName function="false" hidden="false" name="UserName" vbProcedure="false">'Gas Curves'!$B$1</definedName>
    <definedName function="false" hidden="false" name="VolBMO" vbProcedure="false">'Pricing Inputs'!$AN$16</definedName>
    <definedName function="false" hidden="false" name="Volscale" vbProcedure="false">Inputs!$E$24:$F$35</definedName>
    <definedName function="false" hidden="false" name="Volsmile" vbProcedure="false">'Power Curves'!$AQ$38:$AR$58</definedName>
    <definedName function="false" hidden="false" name="VolType" vbProcedure="false">'Pricing Inputs'!$AN$29</definedName>
    <definedName function="false" hidden="false" name="VOM" vbProcedure="false">Inputs!$S$19</definedName>
    <definedName function="false" hidden="false" name="VOMesc" vbProcedure="false">Inputs!$S$20</definedName>
    <definedName function="false" hidden="false" name="_Order1" vbProcedure="false">255</definedName>
    <definedName function="false" hidden="false" name="_Order2" vbProcedure="false">0</definedName>
    <definedName function="false" hidden="false" localSheetId="2" name="CurveCode" vbProcedure="false">OFFSET('Gas Curves'!$B$13,0,0,1,COUNT('Gas Curves'!$17:$17))</definedName>
    <definedName function="false" hidden="false" localSheetId="2" name="curvevalues2" vbProcedure="false">OFFSET('Gas Curves'!$B$11,0,0,COUNT('Gas Curves'!$B:$B)+5,COUNT('Gas Curves'!$17:$17))</definedName>
    <definedName function="true" hidden="false" name="x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<sst xmlns="http://schemas.openxmlformats.org/spreadsheetml/2006/main" count="3845" uniqueCount="1494">
  <si>
    <t xml:space="preserve">PRICING CURVES</t>
  </si>
  <si>
    <t xml:space="preserve">MODEL RUN HOURS - MANUAL OVERRIDE</t>
  </si>
  <si>
    <t xml:space="preserve">DEAL ASSUMPTIONS</t>
  </si>
  <si>
    <t xml:space="preserve">Pricing Date</t>
  </si>
  <si>
    <t xml:space="preserve">1=Run</t>
  </si>
  <si>
    <t xml:space="preserve">0=No Run</t>
  </si>
  <si>
    <t xml:space="preserve">Term of Deal</t>
  </si>
  <si>
    <t xml:space="preserve">Power Curve Date</t>
  </si>
  <si>
    <t xml:space="preserve">M-F</t>
  </si>
  <si>
    <t xml:space="preserve">Sat</t>
  </si>
  <si>
    <t xml:space="preserve">Sun</t>
  </si>
  <si>
    <t xml:space="preserve">Start Date</t>
  </si>
  <si>
    <t xml:space="preserve">Power Region</t>
  </si>
  <si>
    <t xml:space="preserve">Mo</t>
  </si>
  <si>
    <t xml:space="preserve">Hi Pk</t>
  </si>
  <si>
    <t xml:space="preserve">Lo Pk</t>
  </si>
  <si>
    <t xml:space="preserve">OP</t>
  </si>
  <si>
    <t xml:space="preserve">End Date</t>
  </si>
  <si>
    <t xml:space="preserve">Term in Years</t>
  </si>
  <si>
    <t xml:space="preserve">Omicron Curve Date</t>
  </si>
  <si>
    <t xml:space="preserve">Gas Commodity Adders</t>
  </si>
  <si>
    <t xml:space="preserve">Omicron Region</t>
  </si>
  <si>
    <t xml:space="preserve">Sum Transport</t>
  </si>
  <si>
    <t xml:space="preserve">$/mmbtu</t>
  </si>
  <si>
    <t xml:space="preserve">Win Transport</t>
  </si>
  <si>
    <t xml:space="preserve">Fuel Losses</t>
  </si>
  <si>
    <t xml:space="preserve">Gas Curve Date</t>
  </si>
  <si>
    <t xml:space="preserve">Bid/Offer Spread</t>
  </si>
  <si>
    <t xml:space="preserve">Summer Gas Basis</t>
  </si>
  <si>
    <t xml:space="preserve">Fixed Gas Costs</t>
  </si>
  <si>
    <t xml:space="preserve">Fixed Demand</t>
  </si>
  <si>
    <t xml:space="preserve">Winter Gas Basis</t>
  </si>
  <si>
    <t xml:space="preserve">Option Premium</t>
  </si>
  <si>
    <t xml:space="preserve">Electric Cost Adders</t>
  </si>
  <si>
    <t xml:space="preserve">Variable O&amp;M</t>
  </si>
  <si>
    <t xml:space="preserve">$/mwh</t>
  </si>
  <si>
    <t xml:space="preserve">VOM escalator</t>
  </si>
  <si>
    <t xml:space="preserve">per year</t>
  </si>
  <si>
    <t xml:space="preserve">Adders</t>
  </si>
  <si>
    <t xml:space="preserve">Start Costs</t>
  </si>
  <si>
    <t xml:space="preserve">per start</t>
  </si>
  <si>
    <t xml:space="preserve">MODEL ASSUMPTIONS</t>
  </si>
  <si>
    <t xml:space="preserve">SCALERS</t>
  </si>
  <si>
    <t xml:space="preserve">HEAT RATE</t>
  </si>
  <si>
    <t xml:space="preserve">on</t>
  </si>
  <si>
    <t xml:space="preserve">Plant Run Scenario</t>
  </si>
  <si>
    <t xml:space="preserve">Vols</t>
  </si>
  <si>
    <t xml:space="preserve">Curves</t>
  </si>
  <si>
    <t xml:space="preserve">HHV</t>
  </si>
  <si>
    <t xml:space="preserve">off</t>
  </si>
  <si>
    <t xml:space="preserve">Availability</t>
  </si>
  <si>
    <t xml:space="preserve">Plant Output</t>
  </si>
  <si>
    <t xml:space="preserve">Apr-Oct (Sum)</t>
  </si>
  <si>
    <t xml:space="preserve">mw</t>
  </si>
  <si>
    <t xml:space="preserve">Discount Scenario</t>
  </si>
  <si>
    <t xml:space="preserve">Nov-Mar (Win)</t>
  </si>
  <si>
    <t xml:space="preserve">Option Scenario</t>
  </si>
  <si>
    <t xml:space="preserve">MODEL OUTPUTS</t>
  </si>
  <si>
    <t xml:space="preserve">PV'd $$$</t>
  </si>
  <si>
    <t xml:space="preserve">PV'd MWs</t>
  </si>
  <si>
    <t xml:space="preserve">$/kw-mo</t>
  </si>
  <si>
    <t xml:space="preserve">Peak Intrinsic Value</t>
  </si>
  <si>
    <t xml:space="preserve">Pricing Curve</t>
  </si>
  <si>
    <t xml:space="preserve">Off Peak Intrinsic Value</t>
  </si>
  <si>
    <t xml:space="preserve">Peak Extrinsic Value</t>
  </si>
  <si>
    <t xml:space="preserve">Off Peak Extrinsic Value</t>
  </si>
  <si>
    <t xml:space="preserve">Volatility Type</t>
  </si>
  <si>
    <t xml:space="preserve">Gas Fixed Demand</t>
  </si>
  <si>
    <t xml:space="preserve">Gas Option Prem.</t>
  </si>
  <si>
    <t xml:space="preserve">Total Option Value</t>
  </si>
  <si>
    <t xml:space="preserve">Use the Scalers?</t>
  </si>
  <si>
    <t xml:space="preserve">Peak</t>
  </si>
  <si>
    <t xml:space="preserve">Off Peak</t>
  </si>
  <si>
    <t xml:space="preserve">Total</t>
  </si>
  <si>
    <t xml:space="preserve">Annual Delta Run Hours</t>
  </si>
  <si>
    <t xml:space="preserve">Volatility Curve</t>
  </si>
  <si>
    <t xml:space="preserve">Total Swap Value</t>
  </si>
  <si>
    <t xml:space="preserve">Use Dynamic Scalers?</t>
  </si>
  <si>
    <t xml:space="preserve">Model To Do Items</t>
  </si>
  <si>
    <t xml:space="preserve">Change out gas curves, add fuel oil, put in toggle for fuel oil conversion</t>
  </si>
  <si>
    <t xml:space="preserve">Add power basis curves and new power curves</t>
  </si>
  <si>
    <t xml:space="preserve">Forward Power Price Curves, Volatilities and Price Profile</t>
  </si>
  <si>
    <t xml:space="preserve">Last Date Of Pwr Curve:</t>
  </si>
  <si>
    <t xml:space="preserve">Basis Table</t>
  </si>
  <si>
    <t xml:space="preserve">REGION 4</t>
  </si>
  <si>
    <t xml:space="preserve">Into CINergy</t>
  </si>
  <si>
    <t xml:space="preserve">Monthly Volatilities</t>
  </si>
  <si>
    <t xml:space="preserve">Intra-Month Volatilties</t>
  </si>
  <si>
    <t xml:space="preserve">Peak Volatility</t>
  </si>
  <si>
    <t xml:space="preserve">Off Peak Volatility</t>
  </si>
  <si>
    <t xml:space="preserve">Region</t>
  </si>
  <si>
    <t xml:space="preserve">#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</si>
  <si>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</si>
  <si>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</si>
  <si>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</si>
  <si>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</si>
  <si>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</si>
  <si>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OffPeak</t>
  </si>
  <si>
    <t xml:space="preserve">Group</t>
  </si>
  <si>
    <t xml:space="preserve">Prudent</t>
  </si>
  <si>
    <t xml:space="preserve">Correlation</t>
  </si>
  <si>
    <t xml:space="preserve">No Basis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</si>
  <si>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</si>
  <si>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</si>
  <si>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</si>
  <si>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</si>
  <si>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</si>
  <si>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Start</t>
  </si>
  <si>
    <t xml:space="preserve">End</t>
  </si>
  <si>
    <t xml:space="preserve">Gas-Power</t>
  </si>
  <si>
    <t xml:space="preserve">This Section Needed for Bid,Mid,Offer Toggle</t>
  </si>
  <si>
    <t xml:space="preserve">This Section Needed for Curve Extension</t>
  </si>
  <si>
    <t xml:space="preserve">1  BUSBAR</t>
  </si>
  <si>
    <t xml:space="preserve">($/MWH)</t>
  </si>
  <si>
    <t xml:space="preserve">Intra-Month Volatilities</t>
  </si>
  <si>
    <t xml:space="preserve">Monthly Vols</t>
  </si>
  <si>
    <t xml:space="preserve">2  MID COLUMBIA</t>
  </si>
  <si>
    <t xml:space="preserve">Month</t>
  </si>
  <si>
    <t xml:space="preserve">Daily Price Profile</t>
  </si>
  <si>
    <t xml:space="preserve">Delivery Point</t>
  </si>
  <si>
    <t xml:space="preserve">3  MIDWAY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</si>
  <si>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</si>
  <si>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</si>
  <si>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</si>
  <si>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</si>
  <si>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</si>
  <si>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</si>
  <si>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</si>
  <si>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</si>
  <si>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</si>
  <si>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</si>
  <si>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</si>
  <si>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</si>
  <si>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Con. Edison</t>
  </si>
  <si>
    <t xml:space="preserve">1      NY East</t>
  </si>
  <si>
    <t xml:space="preserve">1</t>
  </si>
  <si>
    <t xml:space="preserve">4  MEAD</t>
  </si>
  <si>
    <t xml:space="preserve">HR</t>
  </si>
  <si>
    <t xml:space="preserve">P/OP</t>
  </si>
  <si>
    <t xml:space="preserve">PJM West</t>
  </si>
  <si>
    <t xml:space="preserve">1A  PJM</t>
  </si>
  <si>
    <t xml:space="preserve">1A</t>
  </si>
  <si>
    <t xml:space="preserve">5  PALO VERDE</t>
  </si>
  <si>
    <t xml:space="preserve">2</t>
  </si>
  <si>
    <t xml:space="preserve">Card Street</t>
  </si>
  <si>
    <t xml:space="preserve">1B   NEPOOL</t>
  </si>
  <si>
    <t xml:space="preserve">1B</t>
  </si>
  <si>
    <t xml:space="preserve">6  FOUR CORNERS</t>
  </si>
  <si>
    <t xml:space="preserve">NY West</t>
  </si>
  <si>
    <t xml:space="preserve">1C   NY West</t>
  </si>
  <si>
    <t xml:space="preserve">1C</t>
  </si>
  <si>
    <t xml:space="preserve">7  CRAIG</t>
  </si>
  <si>
    <t xml:space="preserve">1D   East Hub</t>
  </si>
  <si>
    <t xml:space="preserve">1D</t>
  </si>
  <si>
    <t xml:space="preserve">8  NW DELV</t>
  </si>
  <si>
    <t xml:space="preserve">1E    West Hub</t>
  </si>
  <si>
    <t xml:space="preserve">1E</t>
  </si>
  <si>
    <t xml:space="preserve">10  Into EEI-R4</t>
  </si>
  <si>
    <t xml:space="preserve">1F   Firm LD</t>
  </si>
  <si>
    <t xml:space="preserve">1F</t>
  </si>
  <si>
    <t xml:space="preserve">11  WISCONSIN-R4</t>
  </si>
  <si>
    <t xml:space="preserve">1J  10 min Spin</t>
  </si>
  <si>
    <t xml:space="preserve">1J</t>
  </si>
  <si>
    <t xml:space="preserve">12  MICHIGAN-R4</t>
  </si>
  <si>
    <t xml:space="preserve">1K  10 min Non Spin</t>
  </si>
  <si>
    <t xml:space="preserve">1K</t>
  </si>
  <si>
    <t xml:space="preserve">14  EAST NY-R1A</t>
  </si>
  <si>
    <t xml:space="preserve">1L  30 min Operating</t>
  </si>
  <si>
    <t xml:space="preserve">1L</t>
  </si>
  <si>
    <t xml:space="preserve">15  EASTERN ECAR-R1A</t>
  </si>
  <si>
    <t xml:space="preserve">1M  AGC</t>
  </si>
  <si>
    <t xml:space="preserve">1M</t>
  </si>
  <si>
    <t xml:space="preserve">OTHER</t>
  </si>
  <si>
    <t xml:space="preserve">Boston</t>
  </si>
  <si>
    <t xml:space="preserve">1P  Boston</t>
  </si>
  <si>
    <t xml:space="preserve">1P</t>
  </si>
  <si>
    <t xml:space="preserve">Maine</t>
  </si>
  <si>
    <t xml:space="preserve">1Q  Maine</t>
  </si>
  <si>
    <t xml:space="preserve">1Q</t>
  </si>
  <si>
    <t xml:space="preserve">First Energy</t>
  </si>
  <si>
    <t xml:space="preserve">1R First Energy</t>
  </si>
  <si>
    <t xml:space="preserve">1R</t>
  </si>
  <si>
    <t xml:space="preserve">VEPCO</t>
  </si>
  <si>
    <t xml:space="preserve">1V  VEPCO</t>
  </si>
  <si>
    <t xml:space="preserve">1V</t>
  </si>
  <si>
    <t xml:space="preserve">West Mass</t>
  </si>
  <si>
    <t xml:space="preserve">1W  West Mass</t>
  </si>
  <si>
    <t xml:space="preserve">1W</t>
  </si>
  <si>
    <t xml:space="preserve">In City NY</t>
  </si>
  <si>
    <t xml:space="preserve">1Z  IN CITY NY</t>
  </si>
  <si>
    <t xml:space="preserve">1Z</t>
  </si>
  <si>
    <t xml:space="preserve">Into AEP</t>
  </si>
  <si>
    <t xml:space="preserve">2A  AEP</t>
  </si>
  <si>
    <t xml:space="preserve">2A</t>
  </si>
  <si>
    <t xml:space="preserve">Southern Co.</t>
  </si>
  <si>
    <t xml:space="preserve">3     SERC</t>
  </si>
  <si>
    <t xml:space="preserve">3</t>
  </si>
  <si>
    <t xml:space="preserve">FP&amp;L</t>
  </si>
  <si>
    <t xml:space="preserve">3A  FL-GA Border</t>
  </si>
  <si>
    <t xml:space="preserve">3A</t>
  </si>
  <si>
    <t xml:space="preserve">TVA</t>
  </si>
  <si>
    <t xml:space="preserve">3B  TVA</t>
  </si>
  <si>
    <t xml:space="preserve">3B</t>
  </si>
  <si>
    <t xml:space="preserve">FRCC</t>
  </si>
  <si>
    <t xml:space="preserve">3C Into FRCC</t>
  </si>
  <si>
    <t xml:space="preserve">3C</t>
  </si>
  <si>
    <t xml:space="preserve">Duke</t>
  </si>
  <si>
    <t xml:space="preserve">3D Duke</t>
  </si>
  <si>
    <t xml:space="preserve">3D</t>
  </si>
  <si>
    <t xml:space="preserve">GTC</t>
  </si>
  <si>
    <t xml:space="preserve">3G GTC</t>
  </si>
  <si>
    <t xml:space="preserve">3G</t>
  </si>
  <si>
    <t xml:space="preserve">CINergy</t>
  </si>
  <si>
    <t xml:space="preserve">4     CINergy</t>
  </si>
  <si>
    <t xml:space="preserve">4</t>
  </si>
  <si>
    <t xml:space="preserve">Southern MAPP</t>
  </si>
  <si>
    <t xml:space="preserve">4B  Southern MAPP</t>
  </si>
  <si>
    <t xml:space="preserve">4B</t>
  </si>
  <si>
    <t xml:space="preserve">COMED</t>
  </si>
  <si>
    <t xml:space="preserve">4C  COMED</t>
  </si>
  <si>
    <t xml:space="preserve">4C</t>
  </si>
  <si>
    <t xml:space="preserve">Volatility Smile</t>
  </si>
  <si>
    <t xml:space="preserve">Price Sensitivies</t>
  </si>
  <si>
    <t xml:space="preserve">Manitoba</t>
  </si>
  <si>
    <t xml:space="preserve">4M Manitoba</t>
  </si>
  <si>
    <t xml:space="preserve">4M</t>
  </si>
  <si>
    <t xml:space="preserve">NSP</t>
  </si>
  <si>
    <t xml:space="preserve">4N  NSP</t>
  </si>
  <si>
    <t xml:space="preserve">4N</t>
  </si>
  <si>
    <t xml:space="preserve">ENTERGY</t>
  </si>
  <si>
    <t xml:space="preserve">5     Entergy</t>
  </si>
  <si>
    <t xml:space="preserve">5</t>
  </si>
  <si>
    <t xml:space="preserve">Associated</t>
  </si>
  <si>
    <t xml:space="preserve">5A  Associated</t>
  </si>
  <si>
    <t xml:space="preserve">5A</t>
  </si>
  <si>
    <t xml:space="preserve">HL&amp;P</t>
  </si>
  <si>
    <t xml:space="preserve">6     ERCOT Seller's Choice</t>
  </si>
  <si>
    <t xml:space="preserve">6</t>
  </si>
  <si>
    <t xml:space="preserve">North Texas</t>
  </si>
  <si>
    <t xml:space="preserve">6A  North Texas</t>
  </si>
  <si>
    <t xml:space="preserve">6A</t>
  </si>
  <si>
    <t xml:space="preserve">West Texas</t>
  </si>
  <si>
    <t xml:space="preserve">6B  West Texas</t>
  </si>
  <si>
    <t xml:space="preserve">6B</t>
  </si>
  <si>
    <t xml:space="preserve">Central Texas</t>
  </si>
  <si>
    <t xml:space="preserve">6C  Central Texas</t>
  </si>
  <si>
    <t xml:space="preserve">6C</t>
  </si>
  <si>
    <t xml:space="preserve">Valley-Texas</t>
  </si>
  <si>
    <t xml:space="preserve">6D  Valley-Texas</t>
  </si>
  <si>
    <t xml:space="preserve">6D</t>
  </si>
  <si>
    <t xml:space="preserve">Tex-Mex Border</t>
  </si>
  <si>
    <t xml:space="preserve">6E  Tex-Mex Border</t>
  </si>
  <si>
    <t xml:space="preserve">6E</t>
  </si>
  <si>
    <t xml:space="preserve">Palo Verde</t>
  </si>
  <si>
    <t xml:space="preserve">7     Palo Verde</t>
  </si>
  <si>
    <t xml:space="preserve">7</t>
  </si>
  <si>
    <t xml:space="preserve">Rockies</t>
  </si>
  <si>
    <t xml:space="preserve">7A  Rockies</t>
  </si>
  <si>
    <t xml:space="preserve">7A</t>
  </si>
  <si>
    <t xml:space="preserve">COB</t>
  </si>
  <si>
    <t xml:space="preserve">8     COB</t>
  </si>
  <si>
    <t xml:space="preserve">8</t>
  </si>
  <si>
    <t xml:space="preserve">Mid Columbia</t>
  </si>
  <si>
    <t xml:space="preserve">9     Mid Columbia</t>
  </si>
  <si>
    <t xml:space="preserve">NP-15</t>
  </si>
  <si>
    <t xml:space="preserve">10   NP-15</t>
  </si>
  <si>
    <t xml:space="preserve">SP-15</t>
  </si>
  <si>
    <t xml:space="preserve">11    SP-15</t>
  </si>
  <si>
    <t xml:space="preserve">ZP26</t>
  </si>
  <si>
    <t xml:space="preserve">12   ZP26</t>
  </si>
  <si>
    <t xml:space="preserve">Ontario</t>
  </si>
  <si>
    <t xml:space="preserve">20  Ontario</t>
  </si>
  <si>
    <t xml:space="preserve">Alberta</t>
  </si>
  <si>
    <t xml:space="preserve">21  Alberta</t>
  </si>
  <si>
    <t xml:space="preserve">22  Operating Alberta</t>
  </si>
  <si>
    <t xml:space="preserve">User ID:</t>
  </si>
  <si>
    <t xml:space="preserve">model_pc</t>
  </si>
  <si>
    <t xml:space="preserve">Please enter a valid User ID for ERMS/RUNM</t>
  </si>
  <si>
    <t xml:space="preserve">Pub code</t>
  </si>
  <si>
    <t xml:space="preserve">Book type</t>
  </si>
  <si>
    <t xml:space="preserve">Curve type</t>
  </si>
  <si>
    <t xml:space="preserve">UOM</t>
  </si>
  <si>
    <t xml:space="preserve">Password:</t>
  </si>
  <si>
    <t xml:space="preserve">Please enter the Password for the User ID</t>
  </si>
  <si>
    <t xml:space="preserve">401-TUSCORARA</t>
  </si>
  <si>
    <t xml:space="preserve">D</t>
  </si>
  <si>
    <t xml:space="preserve">PR</t>
  </si>
  <si>
    <t xml:space="preserve">MMBTU</t>
  </si>
  <si>
    <t xml:space="preserve">401-TUSCORARA D PR</t>
  </si>
  <si>
    <t xml:space="preserve">I</t>
  </si>
  <si>
    <t xml:space="preserve">401-TUSCORARA I PR</t>
  </si>
  <si>
    <t xml:space="preserve">OMICRON Code</t>
  </si>
  <si>
    <t xml:space="preserve">OMICRON Region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</si>
  <si>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</si>
  <si>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</si>
  <si>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</si>
  <si>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CGPR-AECO/BASIS</t>
  </si>
  <si>
    <t xml:space="preserve">CGPR-AECO/BASIS D PR</t>
  </si>
  <si>
    <t xml:space="preserve">ABC/C$/IDX</t>
  </si>
  <si>
    <t xml:space="preserve">ABC/C$/IDX I PR</t>
  </si>
  <si>
    <t xml:space="preserve">NG_OMICRON_1</t>
  </si>
  <si>
    <t xml:space="preserve">Louisiana - Onshore South</t>
  </si>
  <si>
    <t xml:space="preserve">CGPR-CHIPPAWA</t>
  </si>
  <si>
    <t xml:space="preserve">CGPR-CHIPPAWA D PR</t>
  </si>
  <si>
    <t xml:space="preserve">CGPR-AECO/BASIS I PR</t>
  </si>
  <si>
    <t xml:space="preserve">NG_OMICRON_2</t>
  </si>
  <si>
    <t xml:space="preserve">HSC - East Texas - Katy</t>
  </si>
  <si>
    <t xml:space="preserve">OFFSET(K4,0,0,1,COUNT(4:4))</t>
  </si>
  <si>
    <t xml:space="preserve">CGPR-CORNWALL</t>
  </si>
  <si>
    <t xml:space="preserve">CGPR-CORNWALL D PR</t>
  </si>
  <si>
    <t xml:space="preserve">CGPR-CHIPPAWA I PR</t>
  </si>
  <si>
    <t xml:space="preserve">NG_OMICRON_3</t>
  </si>
  <si>
    <t xml:space="preserve">Oklahoma - Mid Continent</t>
  </si>
  <si>
    <t xml:space="preserve">CGPR-DAWN</t>
  </si>
  <si>
    <t xml:space="preserve">CGPR-DAWN D PR</t>
  </si>
  <si>
    <t xml:space="preserve">CGPR-DAWN I PR</t>
  </si>
  <si>
    <t xml:space="preserve">NG_OMICRON_4</t>
  </si>
  <si>
    <t xml:space="preserve">Permian Basin - San Juan Basin</t>
  </si>
  <si>
    <t xml:space="preserve">Summer</t>
  </si>
  <si>
    <t xml:space="preserve">Winter</t>
  </si>
  <si>
    <t xml:space="preserve">CGPR-EMERSONUSA</t>
  </si>
  <si>
    <t xml:space="preserve">CGPR-EMERSONUSA D PR</t>
  </si>
  <si>
    <t xml:space="preserve">CGPR-EMERSON</t>
  </si>
  <si>
    <t xml:space="preserve">CGPR-EMERSON I PR</t>
  </si>
  <si>
    <t xml:space="preserve">NG_OMICRON_5</t>
  </si>
  <si>
    <t xml:space="preserve">Northern Ventura - Northern Demarc</t>
  </si>
  <si>
    <t xml:space="preserve">Interest</t>
  </si>
  <si>
    <t xml:space="preserve">Summer Omicron</t>
  </si>
  <si>
    <t xml:space="preserve">Winter Omicron</t>
  </si>
  <si>
    <t xml:space="preserve">NG Vol Bid</t>
  </si>
  <si>
    <t xml:space="preserve">NG Vol Mid</t>
  </si>
  <si>
    <t xml:space="preserve">NG Vol Ask</t>
  </si>
  <si>
    <t xml:space="preserve">Nymex Bid</t>
  </si>
  <si>
    <t xml:space="preserve">Nymex Mid</t>
  </si>
  <si>
    <t xml:space="preserve">Nymex Ask</t>
  </si>
  <si>
    <t xml:space="preserve">Gas Basis</t>
  </si>
  <si>
    <t xml:space="preserve">Index</t>
  </si>
  <si>
    <t xml:space="preserve">CGPR-EMPRESS-US</t>
  </si>
  <si>
    <t xml:space="preserve">CGPR-EMPRESS-US D PR</t>
  </si>
  <si>
    <t xml:space="preserve">CGPR-KINGSGATE</t>
  </si>
  <si>
    <t xml:space="preserve">CGPR-KINGSGATE I PR</t>
  </si>
  <si>
    <t xml:space="preserve">NG_OMICRON_6</t>
  </si>
  <si>
    <t xml:space="preserve">Market Area:  Northeast</t>
  </si>
  <si>
    <t xml:space="preserve">CGPR-KINGSGATE D PR</t>
  </si>
  <si>
    <t xml:space="preserve">CGPR-NIAGARA</t>
  </si>
  <si>
    <t xml:space="preserve">CGPR-NIAGARA I PR</t>
  </si>
  <si>
    <t xml:space="preserve">NG_OMICRON_7</t>
  </si>
  <si>
    <t xml:space="preserve">Appalachia</t>
  </si>
  <si>
    <t xml:space="preserve">CGPR-NIAGARA D PR</t>
  </si>
  <si>
    <t xml:space="preserve">CGPR-OJIBWAY</t>
  </si>
  <si>
    <t xml:space="preserve">CGPR-OJIBWAY I PR</t>
  </si>
  <si>
    <t xml:space="preserve">NG_OMICRON_8</t>
  </si>
  <si>
    <t xml:space="preserve">Effective Date</t>
  </si>
  <si>
    <t xml:space="preserve">CGPR-OJIBWAY D PR</t>
  </si>
  <si>
    <t xml:space="preserve">CGPR-PARKWAY</t>
  </si>
  <si>
    <t xml:space="preserve">CGPR-PARKWAY I PR</t>
  </si>
  <si>
    <t xml:space="preserve">NG_OMICRON_9</t>
  </si>
  <si>
    <t xml:space="preserve">Alberta - Sumas</t>
  </si>
  <si>
    <t xml:space="preserve">Prompt Month</t>
  </si>
  <si>
    <t xml:space="preserve">CGPR-PARKWAY D PR</t>
  </si>
  <si>
    <t xml:space="preserve">CGPR-ST.CLAIR</t>
  </si>
  <si>
    <t xml:space="preserve">CGPR-ST.CLAIR I PR</t>
  </si>
  <si>
    <t xml:space="preserve">NG_OMICRON_10</t>
  </si>
  <si>
    <t xml:space="preserve">Sithe Curve (ANR/LA_ONSHO)</t>
  </si>
  <si>
    <t xml:space="preserve">Curve Code</t>
  </si>
  <si>
    <t xml:space="preserve">INTNS</t>
  </si>
  <si>
    <t xml:space="preserve">NG</t>
  </si>
  <si>
    <t xml:space="preserve">CGPR-ST.CLAIR D PR</t>
  </si>
  <si>
    <t xml:space="preserve">CGPR-STN2/IDX</t>
  </si>
  <si>
    <t xml:space="preserve">CGPR-STN2/IDX I PR</t>
  </si>
  <si>
    <t xml:space="preserve">NG_OMICRON_11</t>
  </si>
  <si>
    <t xml:space="preserve">Chicago</t>
  </si>
  <si>
    <t xml:space="preserve">Curve Type</t>
  </si>
  <si>
    <t xml:space="preserve">AA</t>
  </si>
  <si>
    <t xml:space="preserve">VO</t>
  </si>
  <si>
    <t xml:space="preserve">BV</t>
  </si>
  <si>
    <t xml:space="preserve">AV</t>
  </si>
  <si>
    <t xml:space="preserve">BP</t>
  </si>
  <si>
    <t xml:space="preserve">AP</t>
  </si>
  <si>
    <t xml:space="preserve">Omicron</t>
  </si>
  <si>
    <t xml:space="preserve">Omicron </t>
  </si>
  <si>
    <t xml:space="preserve">CGPR-WADDING</t>
  </si>
  <si>
    <t xml:space="preserve">CGPR-WADDING D PR</t>
  </si>
  <si>
    <t xml:space="preserve">CGPR-WADDING I PR</t>
  </si>
  <si>
    <t xml:space="preserve">NG_OMICRON_12</t>
  </si>
  <si>
    <t xml:space="preserve">Florida Zones 1 through 3</t>
  </si>
  <si>
    <t xml:space="preserve">Book Code 1</t>
  </si>
  <si>
    <t xml:space="preserve">R</t>
  </si>
  <si>
    <t xml:space="preserve">P</t>
  </si>
  <si>
    <t xml:space="preserve">Bid Vol</t>
  </si>
  <si>
    <t xml:space="preserve">Mid Vol</t>
  </si>
  <si>
    <t xml:space="preserve">Ask Vol</t>
  </si>
  <si>
    <t xml:space="preserve">CONSUMERS_CDA</t>
  </si>
  <si>
    <t xml:space="preserve">CONSUMERS_CDA D PR</t>
  </si>
  <si>
    <t xml:space="preserve">CONSUMERS_CDA/I</t>
  </si>
  <si>
    <t xml:space="preserve">CONSUMERS_CDA/I I PR</t>
  </si>
  <si>
    <t xml:space="preserve">NG_OMICRON_13</t>
  </si>
  <si>
    <t xml:space="preserve">Transco/Z6</t>
  </si>
  <si>
    <t xml:space="preserve">Publisher</t>
  </si>
  <si>
    <t xml:space="preserve">ATEST_PC</t>
  </si>
  <si>
    <t xml:space="preserve">GHUAN</t>
  </si>
  <si>
    <t xml:space="preserve">DQUIGLE</t>
  </si>
  <si>
    <t xml:space="preserve">PRYDER</t>
  </si>
  <si>
    <t xml:space="preserve">DAWN-GDM</t>
  </si>
  <si>
    <t xml:space="preserve">DAWN-GDM D PR</t>
  </si>
  <si>
    <t xml:space="preserve">DJ/BASIN/CIG</t>
  </si>
  <si>
    <t xml:space="preserve">DJ/BASIN/CIG I PR</t>
  </si>
  <si>
    <t xml:space="preserve">NG_OMICRON_14</t>
  </si>
  <si>
    <t xml:space="preserve">MichCon</t>
  </si>
  <si>
    <t xml:space="preserve">DJ/BASIN/CIG D PR</t>
  </si>
  <si>
    <t xml:space="preserve">DJ/BASIN/WEST</t>
  </si>
  <si>
    <t xml:space="preserve">DJ/BASIN/WEST I PR</t>
  </si>
  <si>
    <t xml:space="preserve">NG_OMICRON_15</t>
  </si>
  <si>
    <t xml:space="preserve">SoCal</t>
  </si>
  <si>
    <t xml:space="preserve">DJ/BASIN/WEST D PR</t>
  </si>
  <si>
    <t xml:space="preserve">GAS DAILY</t>
  </si>
  <si>
    <t xml:space="preserve">GAS DAILY I PR</t>
  </si>
  <si>
    <t xml:space="preserve">GAS DAILY D PR</t>
  </si>
  <si>
    <t xml:space="preserve">GD-FGT/Z2</t>
  </si>
  <si>
    <t xml:space="preserve">GD-FGT/Z2 I PR</t>
  </si>
  <si>
    <t xml:space="preserve">GD-AECOUS-DAILY</t>
  </si>
  <si>
    <t xml:space="preserve">SP</t>
  </si>
  <si>
    <t xml:space="preserve">GD-AECOUS-DAILY D SP</t>
  </si>
  <si>
    <t xml:space="preserve">GD-INTRASTHUB</t>
  </si>
  <si>
    <t xml:space="preserve">GD-INTRASTHUB I PR</t>
  </si>
  <si>
    <t xml:space="preserve">GD-AGUADULCE</t>
  </si>
  <si>
    <t xml:space="preserve">GD-AGUADULCE D SP</t>
  </si>
  <si>
    <t xml:space="preserve">GD-LOW_IROQUOIS</t>
  </si>
  <si>
    <t xml:space="preserve">GD-LOW_IROQUOIS I PR</t>
  </si>
  <si>
    <t xml:space="preserve">GD-ALGONQUIN</t>
  </si>
  <si>
    <t xml:space="preserve">GD-ALGONQUIN D SP</t>
  </si>
  <si>
    <t xml:space="preserve">GD-TRANSCO/Z6</t>
  </si>
  <si>
    <t xml:space="preserve">GD-TRANSCO/Z6 I PR</t>
  </si>
  <si>
    <t xml:space="preserve">GD-ANR/LA_ONSHO</t>
  </si>
  <si>
    <t xml:space="preserve">GD-ANR/LA_ONSHO D SP</t>
  </si>
  <si>
    <t xml:space="preserve">HPL/SHPCHAN-GD</t>
  </si>
  <si>
    <t xml:space="preserve">HPL/SHPCHAN-GD I PR</t>
  </si>
  <si>
    <t xml:space="preserve">GD-ANR/OK</t>
  </si>
  <si>
    <t xml:space="preserve">GD-ANR/OK D SP</t>
  </si>
  <si>
    <t xml:space="preserve">IF-A/S E.BEAUM</t>
  </si>
  <si>
    <t xml:space="preserve">IF-A/S E.BEAUM I PR</t>
  </si>
  <si>
    <t xml:space="preserve">GD-CAL BORDER</t>
  </si>
  <si>
    <t xml:space="preserve">GD-CAL BORDER D SP</t>
  </si>
  <si>
    <t xml:space="preserve">IF-A/S EAST OFF</t>
  </si>
  <si>
    <t xml:space="preserve">IF-A/S EAST OFF I PR</t>
  </si>
  <si>
    <t xml:space="preserve">GD-CARTHAGE</t>
  </si>
  <si>
    <t xml:space="preserve">GD-CARTHAGE D SP</t>
  </si>
  <si>
    <t xml:space="preserve">IF-AGUA DULCE</t>
  </si>
  <si>
    <t xml:space="preserve">IF-AGUA DULCE I PR</t>
  </si>
  <si>
    <t xml:space="preserve">GD-CGT/APPALAC</t>
  </si>
  <si>
    <t xml:space="preserve">GD-CGT/APPALAC D SP</t>
  </si>
  <si>
    <t xml:space="preserve">IF-ANR/LA</t>
  </si>
  <si>
    <t xml:space="preserve">IF-ANR/LA I PR</t>
  </si>
  <si>
    <t xml:space="preserve">GD-CHI. GATE</t>
  </si>
  <si>
    <t xml:space="preserve">GD-CHI. GATE D SP</t>
  </si>
  <si>
    <t xml:space="preserve">IF-ANR/LA_OFFSH</t>
  </si>
  <si>
    <t xml:space="preserve">IF-ANR/LA_OFFSH I PR</t>
  </si>
  <si>
    <t xml:space="preserve">GD-CIG/RKYMTN</t>
  </si>
  <si>
    <t xml:space="preserve">GD-CIG/RKYMTN D SP</t>
  </si>
  <si>
    <t xml:space="preserve">IF-ANR/LA_ONSHO</t>
  </si>
  <si>
    <t xml:space="preserve">IF-ANR/LA_ONSHO I PR</t>
  </si>
  <si>
    <t xml:space="preserve">GD-CNG/NORTH</t>
  </si>
  <si>
    <t xml:space="preserve">GD-CNG/NORTH D SP</t>
  </si>
  <si>
    <t xml:space="preserve">IF-ANR/OK</t>
  </si>
  <si>
    <t xml:space="preserve">IF-ANR/OK I PR</t>
  </si>
  <si>
    <t xml:space="preserve">GD-CNG/SOUTH</t>
  </si>
  <si>
    <t xml:space="preserve">GD-CNG/SOUTH D SP</t>
  </si>
  <si>
    <t xml:space="preserve">IF-ARKLA/ARK-OK</t>
  </si>
  <si>
    <t xml:space="preserve">IF-ARKLA/ARK-OK I PR</t>
  </si>
  <si>
    <t xml:space="preserve">GD-COLGULF/LA</t>
  </si>
  <si>
    <t xml:space="preserve">GD-COLGULF/LA D SP</t>
  </si>
  <si>
    <t xml:space="preserve">IF-B/M OFFSHORE</t>
  </si>
  <si>
    <t xml:space="preserve">IF-B/M OFFSHORE I PR</t>
  </si>
  <si>
    <t xml:space="preserve">GD-COLGULF/RAYN</t>
  </si>
  <si>
    <t xml:space="preserve">GD-COLGULF/RAYN D SP</t>
  </si>
  <si>
    <t xml:space="preserve">IF-BONDAD(100%)</t>
  </si>
  <si>
    <t xml:space="preserve">IF-BONDAD(100%) I PR</t>
  </si>
  <si>
    <t xml:space="preserve">GD-CONSUMERS</t>
  </si>
  <si>
    <t xml:space="preserve">GD-CONSUMERS D SP</t>
  </si>
  <si>
    <t xml:space="preserve">IF-CARTHAGE</t>
  </si>
  <si>
    <t xml:space="preserve">IF-CARTHAGE I PR</t>
  </si>
  <si>
    <t xml:space="preserve">GD-CORPUS/SHPCH</t>
  </si>
  <si>
    <t xml:space="preserve">GD-CORPUS/SHPCH D SP</t>
  </si>
  <si>
    <t xml:space="preserve">IF-CGT/APPALAC</t>
  </si>
  <si>
    <t xml:space="preserve">IF-CGT/APPALAC I PR</t>
  </si>
  <si>
    <t xml:space="preserve">GD-DAWN</t>
  </si>
  <si>
    <t xml:space="preserve">GD-DAWN D SP</t>
  </si>
  <si>
    <t xml:space="preserve">IF-CGT/CITYGATE</t>
  </si>
  <si>
    <t xml:space="preserve">IF-CGT/CITYGATE I PR</t>
  </si>
  <si>
    <t xml:space="preserve">GD-DJ/BASIN</t>
  </si>
  <si>
    <t xml:space="preserve">GD-DJ/BASIN D SP</t>
  </si>
  <si>
    <t xml:space="preserve">IF-CIG/RKYMTN</t>
  </si>
  <si>
    <t xml:space="preserve">IF-CIG/RKYMTN I PR</t>
  </si>
  <si>
    <t xml:space="preserve">GD-ELPO/PERM2</t>
  </si>
  <si>
    <t xml:space="preserve">GD-ELPO/PERM2 D SP</t>
  </si>
  <si>
    <t xml:space="preserve">IF-CIG/TOMAHAWK</t>
  </si>
  <si>
    <t xml:space="preserve">IF-CIG/TOMAHAWK I PR</t>
  </si>
  <si>
    <t xml:space="preserve">GD-ELPO/SANJUAN</t>
  </si>
  <si>
    <t xml:space="preserve">GD-ELPO/SANJUAN D SP</t>
  </si>
  <si>
    <t xml:space="preserve">IF-CIG/WIC</t>
  </si>
  <si>
    <t xml:space="preserve">IF-CIG/WIC I PR</t>
  </si>
  <si>
    <t xml:space="preserve">GD-ELPO/SJBOND</t>
  </si>
  <si>
    <t xml:space="preserve">GD-ELPO/SJBOND D SP</t>
  </si>
  <si>
    <t xml:space="preserve">IF-CIG/WINDRVR</t>
  </si>
  <si>
    <t xml:space="preserve">IF-CIG/WINDRVR I PR</t>
  </si>
  <si>
    <t xml:space="preserve">GD-EMERSON</t>
  </si>
  <si>
    <t xml:space="preserve">GD-EMERSON D SP</t>
  </si>
  <si>
    <t xml:space="preserve">IF-CNG/APPALACH</t>
  </si>
  <si>
    <t xml:space="preserve">IF-CNG/APPALACH I PR</t>
  </si>
  <si>
    <t xml:space="preserve">GD-FGT/MOBILE</t>
  </si>
  <si>
    <t xml:space="preserve">GD-FGT/MOBILE D SP</t>
  </si>
  <si>
    <t xml:space="preserve">IF-CNG/NORTH</t>
  </si>
  <si>
    <t xml:space="preserve">IF-CNG/NORTH I PR</t>
  </si>
  <si>
    <t xml:space="preserve">GD-FGT/Z1</t>
  </si>
  <si>
    <t xml:space="preserve">GD-FGT/Z1 D SP</t>
  </si>
  <si>
    <t xml:space="preserve">IF-CNG/N_CITYGA</t>
  </si>
  <si>
    <t xml:space="preserve">IF-CNG/N_CITYGA I PR</t>
  </si>
  <si>
    <t xml:space="preserve">GD-FGT/Z1/CORP</t>
  </si>
  <si>
    <t xml:space="preserve">GD-FGT/Z1/CORP D SP</t>
  </si>
  <si>
    <t xml:space="preserve">IF-COLGUL/ERATH</t>
  </si>
  <si>
    <t xml:space="preserve">IF-COLGUL/ERATH I PR</t>
  </si>
  <si>
    <t xml:space="preserve">GD-FGT/Z2 D PR</t>
  </si>
  <si>
    <t xml:space="preserve">IF-COLGUL/RAYNE</t>
  </si>
  <si>
    <t xml:space="preserve">IF-COLGUL/RAYNE I PR</t>
  </si>
  <si>
    <t xml:space="preserve">GD-FGT/Z2 D SP</t>
  </si>
  <si>
    <t xml:space="preserve">IF-COLGULF/LA</t>
  </si>
  <si>
    <t xml:space="preserve">IF-COLGULF/LA I PR</t>
  </si>
  <si>
    <t xml:space="preserve">GD-FGT/Z3</t>
  </si>
  <si>
    <t xml:space="preserve">GD-FGT/Z3 D SP</t>
  </si>
  <si>
    <t xml:space="preserve">IF-COLGULF/LAOF</t>
  </si>
  <si>
    <t xml:space="preserve">IF-COLGULF/LAOF I PR</t>
  </si>
  <si>
    <t xml:space="preserve">GD-HEHUB</t>
  </si>
  <si>
    <t xml:space="preserve">GD-HEHUB D SP</t>
  </si>
  <si>
    <t xml:space="preserve">IF-CORPUS</t>
  </si>
  <si>
    <t xml:space="preserve">IF-CORPUS I PR</t>
  </si>
  <si>
    <t xml:space="preserve">GD-HPL/SHPCH</t>
  </si>
  <si>
    <t xml:space="preserve">GD-HPL/SHPCH D SP</t>
  </si>
  <si>
    <t xml:space="preserve">IF-ELPO/ANADARK</t>
  </si>
  <si>
    <t xml:space="preserve">IF-ELPO/ANADARK I PR</t>
  </si>
  <si>
    <t xml:space="preserve">GD-INTRASTHUB D PR</t>
  </si>
  <si>
    <t xml:space="preserve">IF-ELPO/PERMIAN</t>
  </si>
  <si>
    <t xml:space="preserve">IF-ELPO/PERMIAN I PR</t>
  </si>
  <si>
    <t xml:space="preserve">GD-IROQUOIS</t>
  </si>
  <si>
    <t xml:space="preserve">GD-IROQUOIS D SP</t>
  </si>
  <si>
    <t xml:space="preserve">IF-ELPO/SJ</t>
  </si>
  <si>
    <t xml:space="preserve">IF-ELPO/SJ I PR</t>
  </si>
  <si>
    <t xml:space="preserve">GD-KERN/RIVER</t>
  </si>
  <si>
    <t xml:space="preserve">GD-KERN/RIVER D SP</t>
  </si>
  <si>
    <t xml:space="preserve">IF-ELPO/SJ/KC</t>
  </si>
  <si>
    <t xml:space="preserve">IF-ELPO/SJ/KC I PR</t>
  </si>
  <si>
    <t xml:space="preserve">GD-KOCH</t>
  </si>
  <si>
    <t xml:space="preserve">GD-KOCH D SP</t>
  </si>
  <si>
    <t xml:space="preserve">IF-EPSJ(BONDAD)</t>
  </si>
  <si>
    <t xml:space="preserve">IF-EPSJ(BONDAD) I PR</t>
  </si>
  <si>
    <t xml:space="preserve">GD-KOCH/CORPUS</t>
  </si>
  <si>
    <t xml:space="preserve">GD-KOCH/CORPUS D SP</t>
  </si>
  <si>
    <t xml:space="preserve">IF-EPSJ(MILAGR)</t>
  </si>
  <si>
    <t xml:space="preserve">IF-EPSJ(MILAGR) I PR</t>
  </si>
  <si>
    <t xml:space="preserve">GD-KOCH/TX</t>
  </si>
  <si>
    <t xml:space="preserve">GD-KOCH/TX D SP</t>
  </si>
  <si>
    <t xml:space="preserve">IF-EPSJ/TWBLANC</t>
  </si>
  <si>
    <t xml:space="preserve">IF-EPSJ/TWBLANC I PR</t>
  </si>
  <si>
    <t xml:space="preserve">GD-LONESTAR</t>
  </si>
  <si>
    <t xml:space="preserve">GD-LONESTAR D SP</t>
  </si>
  <si>
    <t xml:space="preserve">IF-FGT/CTYGATE</t>
  </si>
  <si>
    <t xml:space="preserve">IF-FGT/CTYGATE I PR</t>
  </si>
  <si>
    <t xml:space="preserve">GD-LOW_IROQUOIS D PR</t>
  </si>
  <si>
    <t xml:space="preserve">IF-FGT/MKTAREA</t>
  </si>
  <si>
    <t xml:space="preserve">IF-FGT/MKTAREA I PR</t>
  </si>
  <si>
    <t xml:space="preserve">GD-MALIN-CTYGAT</t>
  </si>
  <si>
    <t xml:space="preserve">GD-MALIN-CTYGAT D SP</t>
  </si>
  <si>
    <t xml:space="preserve">IF-FGT/Z1</t>
  </si>
  <si>
    <t xml:space="preserve">IF-FGT/Z1 I PR</t>
  </si>
  <si>
    <t xml:space="preserve">GD-MICHCON</t>
  </si>
  <si>
    <t xml:space="preserve">GD-MICHCON D SP</t>
  </si>
  <si>
    <t xml:space="preserve">IF-FGT/Z2</t>
  </si>
  <si>
    <t xml:space="preserve">IF-FGT/Z2 I PR</t>
  </si>
  <si>
    <t xml:space="preserve">GD-MRT/MAINLINE</t>
  </si>
  <si>
    <t xml:space="preserve">GD-MRT/MAINLINE D SP</t>
  </si>
  <si>
    <t xml:space="preserve">IF-FGT/Z3</t>
  </si>
  <si>
    <t xml:space="preserve">IF-FGT/Z3 I PR</t>
  </si>
  <si>
    <t xml:space="preserve">GD-MRT/WEST</t>
  </si>
  <si>
    <t xml:space="preserve">GD-MRT/WEST D SP</t>
  </si>
  <si>
    <t xml:space="preserve">IF-FREEPORT</t>
  </si>
  <si>
    <t xml:space="preserve">IF-FREEPORT I PR</t>
  </si>
  <si>
    <t xml:space="preserve">GD-NGPL/(IA-IL)</t>
  </si>
  <si>
    <t xml:space="preserve">GD-NGPL/(IA-IL) D SP</t>
  </si>
  <si>
    <t xml:space="preserve">IF-HEHUB</t>
  </si>
  <si>
    <t xml:space="preserve">IF-HEHUB I PR</t>
  </si>
  <si>
    <t xml:space="preserve">GD-NGPL/AMARILO</t>
  </si>
  <si>
    <t xml:space="preserve">GD-NGPL/AMARILO D SP</t>
  </si>
  <si>
    <t xml:space="preserve">IF-HPL/SHPCHAN</t>
  </si>
  <si>
    <t xml:space="preserve">IF-HPL/SHPCHAN I PR</t>
  </si>
  <si>
    <t xml:space="preserve">GD-NGPL/CORPUS</t>
  </si>
  <si>
    <t xml:space="preserve">GD-NGPL/CORPUS D SP</t>
  </si>
  <si>
    <t xml:space="preserve">IF-IOWA_IL</t>
  </si>
  <si>
    <t xml:space="preserve">IF-IOWA_IL I PR</t>
  </si>
  <si>
    <t xml:space="preserve">GD-NGPL/LA</t>
  </si>
  <si>
    <t xml:space="preserve">GD-NGPL/LA D SP</t>
  </si>
  <si>
    <t xml:space="preserve">IF-K/COL/TN/LA</t>
  </si>
  <si>
    <t xml:space="preserve">IF-K/COL/TN/LA I PR</t>
  </si>
  <si>
    <t xml:space="preserve">GD-NGPL/OK</t>
  </si>
  <si>
    <t xml:space="preserve">GD-NGPL/OK D SP</t>
  </si>
  <si>
    <t xml:space="preserve">IF-KATY</t>
  </si>
  <si>
    <t xml:space="preserve">IF-KATY I PR</t>
  </si>
  <si>
    <t xml:space="preserve">GD-NGPL/PAN/PRM</t>
  </si>
  <si>
    <t xml:space="preserve">GD-NGPL/PAN/PRM D SP</t>
  </si>
  <si>
    <t xml:space="preserve">IF-KATY/OASIS</t>
  </si>
  <si>
    <t xml:space="preserve">IF-KATY/OASIS I PR</t>
  </si>
  <si>
    <t xml:space="preserve">GD-NGPL/TXOK-E</t>
  </si>
  <si>
    <t xml:space="preserve">GD-NGPL/TXOK-E D SP</t>
  </si>
  <si>
    <t xml:space="preserve">IF-KATY/TAIL</t>
  </si>
  <si>
    <t xml:space="preserve">IF-KATY/TAIL I PR</t>
  </si>
  <si>
    <t xml:space="preserve">GD-NGPL/TXOK-W</t>
  </si>
  <si>
    <t xml:space="preserve">GD-NGPL/TXOK-W D SP</t>
  </si>
  <si>
    <t xml:space="preserve">IF-KATY/WOFLEX</t>
  </si>
  <si>
    <t xml:space="preserve">IF-KATY/WOFLEX I PR</t>
  </si>
  <si>
    <t xml:space="preserve">GD-NIAGARA</t>
  </si>
  <si>
    <t xml:space="preserve">GD-NIAGARA D SP</t>
  </si>
  <si>
    <t xml:space="preserve">IF-KERN/QUEST</t>
  </si>
  <si>
    <t xml:space="preserve">IF-KERN/QUEST I PR</t>
  </si>
  <si>
    <t xml:space="preserve">GD-NNG/DEMARCAT</t>
  </si>
  <si>
    <t xml:space="preserve">GD-NNG/DEMARCAT D SP</t>
  </si>
  <si>
    <t xml:space="preserve">IF-KERN/RIVER</t>
  </si>
  <si>
    <t xml:space="preserve">IF-KERN/RIVER I PR</t>
  </si>
  <si>
    <t xml:space="preserve">GD-NNG/TOK</t>
  </si>
  <si>
    <t xml:space="preserve">GD-NNG/TOK D SP</t>
  </si>
  <si>
    <t xml:space="preserve">IF-KING RANCH</t>
  </si>
  <si>
    <t xml:space="preserve">IF-KING RANCH I PR</t>
  </si>
  <si>
    <t xml:space="preserve">GD-NNG/TOK(1-6)</t>
  </si>
  <si>
    <t xml:space="preserve">GD-NNG/TOK(1-6) D SP</t>
  </si>
  <si>
    <t xml:space="preserve">IF-KOCH</t>
  </si>
  <si>
    <t xml:space="preserve">IF-KOCH I PR</t>
  </si>
  <si>
    <t xml:space="preserve">GD-NNG/TOK(13)</t>
  </si>
  <si>
    <t xml:space="preserve">GD-NNG/TOK(13) D SP</t>
  </si>
  <si>
    <t xml:space="preserve">IF-KOCH/LA</t>
  </si>
  <si>
    <t xml:space="preserve">IF-KOCH/LA I PR</t>
  </si>
  <si>
    <t xml:space="preserve">GD-NNG/TOK/PAN</t>
  </si>
  <si>
    <t xml:space="preserve">GD-NNG/TOK/PAN D SP</t>
  </si>
  <si>
    <t xml:space="preserve">IF-KOCH/TX</t>
  </si>
  <si>
    <t xml:space="preserve">IF-KOCH/TX I PR</t>
  </si>
  <si>
    <t xml:space="preserve">GD-NNG/VENT</t>
  </si>
  <si>
    <t xml:space="preserve">GD-NNG/VENT D SP</t>
  </si>
  <si>
    <t xml:space="preserve">IF-LONESTAR</t>
  </si>
  <si>
    <t xml:space="preserve">IF-LONESTAR I PR</t>
  </si>
  <si>
    <t xml:space="preserve">GD-NORAM-N/S</t>
  </si>
  <si>
    <t xml:space="preserve">GD-NORAM-N/S D SP</t>
  </si>
  <si>
    <t xml:space="preserve">IF-LRC</t>
  </si>
  <si>
    <t xml:space="preserve">IF-LRC I PR</t>
  </si>
  <si>
    <t xml:space="preserve">GD-NORAM/WEST</t>
  </si>
  <si>
    <t xml:space="preserve">GD-NORAM/WEST D SP</t>
  </si>
  <si>
    <t xml:space="preserve">IF-LRC/Z1</t>
  </si>
  <si>
    <t xml:space="preserve">IF-LRC/Z1 I PR</t>
  </si>
  <si>
    <t xml:space="preserve">GD-NTHWST/CANB</t>
  </si>
  <si>
    <t xml:space="preserve">GD-NTHWST/CANB D SP</t>
  </si>
  <si>
    <t xml:space="preserve">IF-LRC/Z2</t>
  </si>
  <si>
    <t xml:space="preserve">IF-LRC/Z2 I PR</t>
  </si>
  <si>
    <t xml:space="preserve">GD-NW STANF/1ST</t>
  </si>
  <si>
    <t xml:space="preserve">GD-NW STANF/1ST D SP</t>
  </si>
  <si>
    <t xml:space="preserve">IF-LRC/Z3</t>
  </si>
  <si>
    <t xml:space="preserve">IF-LRC/Z3 I PR</t>
  </si>
  <si>
    <t xml:space="preserve">GD-NW STANFIELD</t>
  </si>
  <si>
    <t xml:space="preserve">GD-NW STANFIELD D SP</t>
  </si>
  <si>
    <t xml:space="preserve">IF-LRC/Z4</t>
  </si>
  <si>
    <t xml:space="preserve">IF-LRC/Z4 I PR</t>
  </si>
  <si>
    <t xml:space="preserve">GD-NW/IGNACIO</t>
  </si>
  <si>
    <t xml:space="preserve">GD-NW/IGNACIO D SP</t>
  </si>
  <si>
    <t xml:space="preserve">IF-LRC/Z5</t>
  </si>
  <si>
    <t xml:space="preserve">IF-LRC/Z5 I PR</t>
  </si>
  <si>
    <t xml:space="preserve">GD-NWPL_ROCKY_M</t>
  </si>
  <si>
    <t xml:space="preserve">GD-NWPL_ROCKY_M D SP</t>
  </si>
  <si>
    <t xml:space="preserve">IF-MONCHY</t>
  </si>
  <si>
    <t xml:space="preserve">IF-MONCHY I PR</t>
  </si>
  <si>
    <t xml:space="preserve">GD-PAN/TX/OK</t>
  </si>
  <si>
    <t xml:space="preserve">GD-PAN/TX/OK D SP</t>
  </si>
  <si>
    <t xml:space="preserve">IF-NGPL/HARPER</t>
  </si>
  <si>
    <t xml:space="preserve">IF-NGPL/HARPER I PR</t>
  </si>
  <si>
    <t xml:space="preserve">GD-PG&amp;E/CITIGAT</t>
  </si>
  <si>
    <t xml:space="preserve">GD-PG&amp;E/CITIGAT D SP</t>
  </si>
  <si>
    <t xml:space="preserve">IF-NGPL/LA</t>
  </si>
  <si>
    <t xml:space="preserve">IF-NGPL/LA I PR</t>
  </si>
  <si>
    <t xml:space="preserve">GD-PGT/KINGSGAT</t>
  </si>
  <si>
    <t xml:space="preserve">GD-PGT/KINGSGAT D SP</t>
  </si>
  <si>
    <t xml:space="preserve">IF-NGPL/LA-STNG</t>
  </si>
  <si>
    <t xml:space="preserve">IF-NGPL/LA-STNG I PR</t>
  </si>
  <si>
    <t xml:space="preserve">GD-QUESTAR</t>
  </si>
  <si>
    <t xml:space="preserve">GD-QUESTAR D SP</t>
  </si>
  <si>
    <t xml:space="preserve">IF-NGPL/MIDCON</t>
  </si>
  <si>
    <t xml:space="preserve">IF-NGPL/MIDCON I PR</t>
  </si>
  <si>
    <t xml:space="preserve">GD-SONAT/LA</t>
  </si>
  <si>
    <t xml:space="preserve">GD-SONAT/LA D SP</t>
  </si>
  <si>
    <t xml:space="preserve">IF-NGPL/OK-NW</t>
  </si>
  <si>
    <t xml:space="preserve">IF-NGPL/OK-NW I PR</t>
  </si>
  <si>
    <t xml:space="preserve">GD-TENN/100</t>
  </si>
  <si>
    <t xml:space="preserve">GD-TENN/100 D SP</t>
  </si>
  <si>
    <t xml:space="preserve">IF-NGPL/STX</t>
  </si>
  <si>
    <t xml:space="preserve">IF-NGPL/STX I PR</t>
  </si>
  <si>
    <t xml:space="preserve">GD-TENN/500</t>
  </si>
  <si>
    <t xml:space="preserve">GD-TENN/500 D SP</t>
  </si>
  <si>
    <t xml:space="preserve">IF-NGPL/TX</t>
  </si>
  <si>
    <t xml:space="preserve">IF-NGPL/TX I PR</t>
  </si>
  <si>
    <t xml:space="preserve">GD-TENN/800</t>
  </si>
  <si>
    <t xml:space="preserve">GD-TENN/800 D SP</t>
  </si>
  <si>
    <t xml:space="preserve">IF-NGPLTXOK</t>
  </si>
  <si>
    <t xml:space="preserve">IF-NGPLTXOK I PR</t>
  </si>
  <si>
    <t xml:space="preserve">GD-TENN/CORPUS</t>
  </si>
  <si>
    <t xml:space="preserve">GD-TENN/CORPUS D SP</t>
  </si>
  <si>
    <t xml:space="preserve">IF-NNG/DEMARCAT</t>
  </si>
  <si>
    <t xml:space="preserve">IF-NNG/DEMARCAT I PR</t>
  </si>
  <si>
    <t xml:space="preserve">GD-TETCO/ELA</t>
  </si>
  <si>
    <t xml:space="preserve">GD-TETCO/ELA D SP</t>
  </si>
  <si>
    <t xml:space="preserve">IF-NNG/TOK</t>
  </si>
  <si>
    <t xml:space="preserve">IF-NNG/TOK I PR</t>
  </si>
  <si>
    <t xml:space="preserve">GD-TETCO/ETX/CR</t>
  </si>
  <si>
    <t xml:space="preserve">GD-TETCO/ETX/CR D SP</t>
  </si>
  <si>
    <t xml:space="preserve">IF-NNG/VENT</t>
  </si>
  <si>
    <t xml:space="preserve">IF-NNG/VENT I PR</t>
  </si>
  <si>
    <t xml:space="preserve">GD-TETCO/M1</t>
  </si>
  <si>
    <t xml:space="preserve">GD-TETCO/M1 D SP</t>
  </si>
  <si>
    <t xml:space="preserve">IF-NORAM/EAST</t>
  </si>
  <si>
    <t xml:space="preserve">IF-NORAM/EAST I PR</t>
  </si>
  <si>
    <t xml:space="preserve">GD-TETCO/M3</t>
  </si>
  <si>
    <t xml:space="preserve">GD-TETCO/M3 D SP</t>
  </si>
  <si>
    <t xml:space="preserve">IF-NORAM/WEST</t>
  </si>
  <si>
    <t xml:space="preserve">IF-NORAM/WEST I PR</t>
  </si>
  <si>
    <t xml:space="preserve">GD-TETCO/STX</t>
  </si>
  <si>
    <t xml:space="preserve">GD-TETCO/STX D SP</t>
  </si>
  <si>
    <t xml:space="preserve">IF-NTHWST/CANBR</t>
  </si>
  <si>
    <t xml:space="preserve">IF-NTHWST/CANBR I PR</t>
  </si>
  <si>
    <t xml:space="preserve">GD-TETCO/WLA</t>
  </si>
  <si>
    <t xml:space="preserve">GD-TETCO/WLA D SP</t>
  </si>
  <si>
    <t xml:space="preserve">IF-NWPL_ROCKY_M</t>
  </si>
  <si>
    <t xml:space="preserve">IF-NWPL_ROCKY_M I PR</t>
  </si>
  <si>
    <t xml:space="preserve">GD-TGT/Z1</t>
  </si>
  <si>
    <t xml:space="preserve">GD-TGT/Z1 D SP</t>
  </si>
  <si>
    <t xml:space="preserve">IF-ONG/OKLAHOMA</t>
  </si>
  <si>
    <t xml:space="preserve">IF-ONG/OKLAHOMA I PR</t>
  </si>
  <si>
    <t xml:space="preserve">GD-TGT/ZSL</t>
  </si>
  <si>
    <t xml:space="preserve">GD-TGT/ZSL D SP</t>
  </si>
  <si>
    <t xml:space="preserve">IF-PAN/TX/OK</t>
  </si>
  <si>
    <t xml:space="preserve">IF-PAN/TX/OK I PR</t>
  </si>
  <si>
    <t xml:space="preserve">GD-TRANSCO/Z1</t>
  </si>
  <si>
    <t xml:space="preserve">GD-TRANSCO/Z1 D SP</t>
  </si>
  <si>
    <t xml:space="preserve">IF-QUESTAR</t>
  </si>
  <si>
    <t xml:space="preserve">IF-QUESTAR I PR</t>
  </si>
  <si>
    <t xml:space="preserve">GD-TRANSCO/Z2</t>
  </si>
  <si>
    <t xml:space="preserve">GD-TRANSCO/Z2 D SP</t>
  </si>
  <si>
    <t xml:space="preserve">IF-SONAT/LA</t>
  </si>
  <si>
    <t xml:space="preserve">IF-SONAT/LA I PR</t>
  </si>
  <si>
    <t xml:space="preserve">GD-TRANSCO/Z3</t>
  </si>
  <si>
    <t xml:space="preserve">GD-TRANSCO/Z3 D SP</t>
  </si>
  <si>
    <t xml:space="preserve">IF-TENN/LA</t>
  </si>
  <si>
    <t xml:space="preserve">IF-TENN/LA I PR</t>
  </si>
  <si>
    <t xml:space="preserve">GD-TRANSCO/Z4</t>
  </si>
  <si>
    <t xml:space="preserve">GD-TRANSCO/Z4 D SP</t>
  </si>
  <si>
    <t xml:space="preserve">IF-TENN/LA_OFF</t>
  </si>
  <si>
    <t xml:space="preserve">IF-TENN/LA_OFF I PR</t>
  </si>
  <si>
    <t xml:space="preserve">GD-TRANSCO/Z6 D PR</t>
  </si>
  <si>
    <t xml:space="preserve">IF-TENN/TX</t>
  </si>
  <si>
    <t xml:space="preserve">IF-TENN/TX I PR</t>
  </si>
  <si>
    <t xml:space="preserve">GD-TRCOZ6/NONY</t>
  </si>
  <si>
    <t xml:space="preserve">GD-TRCOZ6/NONY D SP</t>
  </si>
  <si>
    <t xml:space="preserve">IF-TENN/Z5</t>
  </si>
  <si>
    <t xml:space="preserve">IF-TENN/Z5 I PR</t>
  </si>
  <si>
    <t xml:space="preserve">GD-TRCOZ6/NY</t>
  </si>
  <si>
    <t xml:space="preserve">GD-TRCOZ6/NY D SP</t>
  </si>
  <si>
    <t xml:space="preserve">IF-TENN/Z6</t>
  </si>
  <si>
    <t xml:space="preserve">IF-TENN/Z6 I PR</t>
  </si>
  <si>
    <t xml:space="preserve">GD-TRUNKL/ELA</t>
  </si>
  <si>
    <t xml:space="preserve">GD-TRUNKL/ELA D SP</t>
  </si>
  <si>
    <t xml:space="preserve">IF-TETCO/ELA</t>
  </si>
  <si>
    <t xml:space="preserve">IF-TETCO/ELA I PR</t>
  </si>
  <si>
    <t xml:space="preserve">GD-TRUNKL/NO</t>
  </si>
  <si>
    <t xml:space="preserve">GD-TRUNKL/NO D SP</t>
  </si>
  <si>
    <t xml:space="preserve">IF-TETCO/ETX</t>
  </si>
  <si>
    <t xml:space="preserve">IF-TETCO/ETX I PR</t>
  </si>
  <si>
    <t xml:space="preserve">GD-TRUNKL/SO</t>
  </si>
  <si>
    <t xml:space="preserve">GD-TRUNKL/SO D SP</t>
  </si>
  <si>
    <t xml:space="preserve">IF-TETCO/LA</t>
  </si>
  <si>
    <t xml:space="preserve">IF-TETCO/LA I PR</t>
  </si>
  <si>
    <t xml:space="preserve">GD-TRUNKL/WLA</t>
  </si>
  <si>
    <t xml:space="preserve">GD-TRUNKL/WLA D SP</t>
  </si>
  <si>
    <t xml:space="preserve">IF-TETCO/M1</t>
  </si>
  <si>
    <t xml:space="preserve">IF-TETCO/M1 I PR</t>
  </si>
  <si>
    <t xml:space="preserve">GD-TW/PERMIAN</t>
  </si>
  <si>
    <t xml:space="preserve">GD-TW/PERMIAN D SP</t>
  </si>
  <si>
    <t xml:space="preserve">IF-TETCO/M3</t>
  </si>
  <si>
    <t xml:space="preserve">IF-TETCO/M3 I PR</t>
  </si>
  <si>
    <t xml:space="preserve">GD-TW/SJ</t>
  </si>
  <si>
    <t xml:space="preserve">GD-TW/SJ D SP</t>
  </si>
  <si>
    <t xml:space="preserve">IF-TETCO/STX</t>
  </si>
  <si>
    <t xml:space="preserve">IF-TETCO/STX I PR</t>
  </si>
  <si>
    <t xml:space="preserve">GD-TXINT/KATYTX</t>
  </si>
  <si>
    <t xml:space="preserve">GD-TXINT/KATYTX D SP</t>
  </si>
  <si>
    <t xml:space="preserve">IF-TETCO/WLA</t>
  </si>
  <si>
    <t xml:space="preserve">IF-TETCO/WLA I PR</t>
  </si>
  <si>
    <t xml:space="preserve">GD-WADDINGTON</t>
  </si>
  <si>
    <t xml:space="preserve">GD-WADDINGTON D SP</t>
  </si>
  <si>
    <t xml:space="preserve">IF-TEXOMA</t>
  </si>
  <si>
    <t xml:space="preserve">IF-TEXOMA I PR</t>
  </si>
  <si>
    <t xml:space="preserve">GD-WAHA</t>
  </si>
  <si>
    <t xml:space="preserve">GD-WAHA D SP</t>
  </si>
  <si>
    <t xml:space="preserve">IF-TEXOMA OFFER</t>
  </si>
  <si>
    <t xml:space="preserve">IF-TEXOMA OFFER I PR</t>
  </si>
  <si>
    <t xml:space="preserve">GD-WNG/TOK</t>
  </si>
  <si>
    <t xml:space="preserve">GD-WNG/TOK D SP</t>
  </si>
  <si>
    <t xml:space="preserve">IF-TGT/Z1</t>
  </si>
  <si>
    <t xml:space="preserve">IF-TGT/Z1 I PR</t>
  </si>
  <si>
    <t xml:space="preserve">GDAH-HPL/SHPCH</t>
  </si>
  <si>
    <t xml:space="preserve">GDAH-HPL/SHPCH D SP</t>
  </si>
  <si>
    <t xml:space="preserve">IF-TGT/ZSL</t>
  </si>
  <si>
    <t xml:space="preserve">IF-TGT/ZSL I PR</t>
  </si>
  <si>
    <t xml:space="preserve">GDAH-TXINT/KATY</t>
  </si>
  <si>
    <t xml:space="preserve">GDAH-TXINT/KATY D SP</t>
  </si>
  <si>
    <t xml:space="preserve">IF-THOMPSONVILL</t>
  </si>
  <si>
    <t xml:space="preserve">IF-THOMPSONVILL I PR</t>
  </si>
  <si>
    <t xml:space="preserve">GDAL-HPL/SHPCH</t>
  </si>
  <si>
    <t xml:space="preserve">GDAL-HPL/SHPCH D SP</t>
  </si>
  <si>
    <t xml:space="preserve">IF-TRANSCO/Z1</t>
  </si>
  <si>
    <t xml:space="preserve">IF-TRANSCO/Z1 I PR</t>
  </si>
  <si>
    <t xml:space="preserve">GDAL-TXINT/KATY</t>
  </si>
  <si>
    <t xml:space="preserve">GDAL-TXINT/KATY D SP</t>
  </si>
  <si>
    <t xml:space="preserve">IF-TRANSCO/Z2</t>
  </si>
  <si>
    <t xml:space="preserve">IF-TRANSCO/Z2 I PR</t>
  </si>
  <si>
    <t xml:space="preserve">GDH-CIG/RKYMTN</t>
  </si>
  <si>
    <t xml:space="preserve">GDH-CIG/RKYMTN D SP</t>
  </si>
  <si>
    <t xml:space="preserve">IF-TRANSCO/Z3</t>
  </si>
  <si>
    <t xml:space="preserve">IF-TRANSCO/Z3 I PR</t>
  </si>
  <si>
    <t xml:space="preserve">GDH-DJ/BASIN</t>
  </si>
  <si>
    <t xml:space="preserve">GDH-DJ/BASIN D SP</t>
  </si>
  <si>
    <t xml:space="preserve">IF-TRANSCO/Z4</t>
  </si>
  <si>
    <t xml:space="preserve">IF-TRANSCO/Z4 I PR</t>
  </si>
  <si>
    <t xml:space="preserve">GDH-ELPO/PERM</t>
  </si>
  <si>
    <t xml:space="preserve">GDH-ELPO/PERM D SP</t>
  </si>
  <si>
    <t xml:space="preserve">IF-TRANSCO/Z5</t>
  </si>
  <si>
    <t xml:space="preserve">IF-TRANSCO/Z5 I PR</t>
  </si>
  <si>
    <t xml:space="preserve">GDH-ELPO/SJ</t>
  </si>
  <si>
    <t xml:space="preserve">GDH-ELPO/SJ D SP</t>
  </si>
  <si>
    <t xml:space="preserve">IF-TRANSCO/Z6</t>
  </si>
  <si>
    <t xml:space="preserve">IF-TRANSCO/Z6 I PR</t>
  </si>
  <si>
    <t xml:space="preserve">GDH-HEHUB</t>
  </si>
  <si>
    <t xml:space="preserve">GDH-HEHUB D SP</t>
  </si>
  <si>
    <t xml:space="preserve">IF-TRUNK/AVG</t>
  </si>
  <si>
    <t xml:space="preserve">IF-TRUNK/AVG I PR</t>
  </si>
  <si>
    <t xml:space="preserve">GDH-HPL/SHPCH</t>
  </si>
  <si>
    <t xml:space="preserve">GDH-HPL/SHPCH D SP</t>
  </si>
  <si>
    <t xml:space="preserve">IF-TRUNKL/FLDZN</t>
  </si>
  <si>
    <t xml:space="preserve">IF-TRUNKL/FLDZN I PR</t>
  </si>
  <si>
    <t xml:space="preserve">GDH-PAN/TX/OK</t>
  </si>
  <si>
    <t xml:space="preserve">GDH-PAN/TX/OK D SP</t>
  </si>
  <si>
    <t xml:space="preserve">IF-TRUNKL/LA</t>
  </si>
  <si>
    <t xml:space="preserve">IF-TRUNKL/LA I PR</t>
  </si>
  <si>
    <t xml:space="preserve">GDH-SUMAS</t>
  </si>
  <si>
    <t xml:space="preserve">GDH-SUMAS D SP</t>
  </si>
  <si>
    <t xml:space="preserve">IF-TRUNKL/TX</t>
  </si>
  <si>
    <t xml:space="preserve">IF-TRUNKL/TX I PR</t>
  </si>
  <si>
    <t xml:space="preserve">GDH-TXINT/KATY</t>
  </si>
  <si>
    <t xml:space="preserve">GDH-TXINT/KATY D SP</t>
  </si>
  <si>
    <t xml:space="preserve">IF-TW/PERMIAN</t>
  </si>
  <si>
    <t xml:space="preserve">IF-TW/PERMIAN I PR</t>
  </si>
  <si>
    <t xml:space="preserve">GDL-ELPO/PERM</t>
  </si>
  <si>
    <t xml:space="preserve">GDL-ELPO/PERM D SP</t>
  </si>
  <si>
    <t xml:space="preserve">IF-TX CITY LOOP</t>
  </si>
  <si>
    <t xml:space="preserve">IF-TX CITY LOOP I PR</t>
  </si>
  <si>
    <t xml:space="preserve">GDL-ELPO/SJ</t>
  </si>
  <si>
    <t xml:space="preserve">GDL-ELPO/SJ D SP</t>
  </si>
  <si>
    <t xml:space="preserve">IF-VALERO/TX</t>
  </si>
  <si>
    <t xml:space="preserve">IF-VALERO/TX I PR</t>
  </si>
  <si>
    <t xml:space="preserve">GDL-HEHUB</t>
  </si>
  <si>
    <t xml:space="preserve">GDL-HEHUB D SP</t>
  </si>
  <si>
    <t xml:space="preserve">IF-VALLEY</t>
  </si>
  <si>
    <t xml:space="preserve">IF-VALLEY I PR</t>
  </si>
  <si>
    <t xml:space="preserve">GDL-HPL/SHPCH</t>
  </si>
  <si>
    <t xml:space="preserve">GDL-HPL/SHPCH D SP</t>
  </si>
  <si>
    <t xml:space="preserve">IF-WAHA</t>
  </si>
  <si>
    <t xml:space="preserve">IF-WAHA I PR</t>
  </si>
  <si>
    <t xml:space="preserve">GDL-NNG/TOK/PAN</t>
  </si>
  <si>
    <t xml:space="preserve">GDL-NNG/TOK/PAN D SP</t>
  </si>
  <si>
    <t xml:space="preserve">IF-WNG/TOK</t>
  </si>
  <si>
    <t xml:space="preserve">IF-WNG/TOK I PR</t>
  </si>
  <si>
    <t xml:space="preserve">GDL-PAN/TX/OK</t>
  </si>
  <si>
    <t xml:space="preserve">GDL-PAN/TX/OK D SP</t>
  </si>
  <si>
    <t xml:space="preserve">KING/C$/IDX</t>
  </si>
  <si>
    <t xml:space="preserve">KING/C$/IDX I PR</t>
  </si>
  <si>
    <t xml:space="preserve">GDL-TXINT/KATY</t>
  </si>
  <si>
    <t xml:space="preserve">GDL-TXINT/KATY D SP</t>
  </si>
  <si>
    <t xml:space="preserve">MICH-ST.CLAIR/I</t>
  </si>
  <si>
    <t xml:space="preserve">MICH-ST.CLAIR/I I PR</t>
  </si>
  <si>
    <t xml:space="preserve">GDP-AGUADULCE</t>
  </si>
  <si>
    <t xml:space="preserve">GDP-AGUADULCE D SP</t>
  </si>
  <si>
    <t xml:space="preserve">MICH/CONS</t>
  </si>
  <si>
    <t xml:space="preserve">MICH/CONS I PR</t>
  </si>
  <si>
    <t xml:space="preserve">GDP-ALGONQUIN</t>
  </si>
  <si>
    <t xml:space="preserve">GDP-ALGONQUIN D SP</t>
  </si>
  <si>
    <t xml:space="preserve">MICH_CG-GD</t>
  </si>
  <si>
    <t xml:space="preserve">MICH_CG-GD I PR</t>
  </si>
  <si>
    <t xml:space="preserve">GDP-ANR/LA_ONSH</t>
  </si>
  <si>
    <t xml:space="preserve">GDP-ANR/LA_ONSH D SP</t>
  </si>
  <si>
    <t xml:space="preserve">ML7/CG</t>
  </si>
  <si>
    <t xml:space="preserve">ML7/CG I PR</t>
  </si>
  <si>
    <t xml:space="preserve">GDP-ANR/OK</t>
  </si>
  <si>
    <t xml:space="preserve">GDP-ANR/OK D SP</t>
  </si>
  <si>
    <t xml:space="preserve">NAT/FUEL/LEIDY</t>
  </si>
  <si>
    <t xml:space="preserve">NAT/FUEL/LEIDY I PR</t>
  </si>
  <si>
    <t xml:space="preserve">GDP-CAL BORDER</t>
  </si>
  <si>
    <t xml:space="preserve">GDP-CAL BORDER D SP</t>
  </si>
  <si>
    <t xml:space="preserve">NGI-HPL/ETX</t>
  </si>
  <si>
    <t xml:space="preserve">NGI-HPL/ETX I PR</t>
  </si>
  <si>
    <t xml:space="preserve">GDP-CARTHAGE</t>
  </si>
  <si>
    <t xml:space="preserve">GDP-CARTHAGE D SP</t>
  </si>
  <si>
    <t xml:space="preserve">NGI-HPL/STEX</t>
  </si>
  <si>
    <t xml:space="preserve">NGI-HPL/STEX I PR</t>
  </si>
  <si>
    <t xml:space="preserve">GDP-CGT/APPALAC</t>
  </si>
  <si>
    <t xml:space="preserve">GDP-CGT/APPALAC D SP</t>
  </si>
  <si>
    <t xml:space="preserve">NGI-LIG/NO.LA</t>
  </si>
  <si>
    <t xml:space="preserve">NGI-LIG/NO.LA I PR</t>
  </si>
  <si>
    <t xml:space="preserve">GDP-CHI. GATE</t>
  </si>
  <si>
    <t xml:space="preserve">GDP-CHI. GATE D SP</t>
  </si>
  <si>
    <t xml:space="preserve">NGI-MALIN</t>
  </si>
  <si>
    <t xml:space="preserve">NGI-MALIN I PR</t>
  </si>
  <si>
    <t xml:space="preserve">GDP-CIG/RKYMTN</t>
  </si>
  <si>
    <t xml:space="preserve">GDP-CIG/RKYMTN D SP</t>
  </si>
  <si>
    <t xml:space="preserve">NGI-MICH_CG</t>
  </si>
  <si>
    <t xml:space="preserve">NGI-MICH_CG I PR</t>
  </si>
  <si>
    <t xml:space="preserve">GDP-CNG/NORTH</t>
  </si>
  <si>
    <t xml:space="preserve">GDP-CNG/NORTH D SP</t>
  </si>
  <si>
    <t xml:space="preserve">NGI-NGPL/ETXG7</t>
  </si>
  <si>
    <t xml:space="preserve">NGI-NGPL/ETXG7 I PR</t>
  </si>
  <si>
    <t xml:space="preserve">GDP-CNG/SOUTH</t>
  </si>
  <si>
    <t xml:space="preserve">GDP-CNG/SOUTH D SP</t>
  </si>
  <si>
    <t xml:space="preserve">NGI-NGPL/TX_G2</t>
  </si>
  <si>
    <t xml:space="preserve">NGI-NGPL/TX_G2 I PR</t>
  </si>
  <si>
    <t xml:space="preserve">GDP-COLGULF/LA</t>
  </si>
  <si>
    <t xml:space="preserve">GDP-COLGULF/LA D SP</t>
  </si>
  <si>
    <t xml:space="preserve">NGI-NOCAL</t>
  </si>
  <si>
    <t xml:space="preserve">NGI-NOCAL I PR</t>
  </si>
  <si>
    <t xml:space="preserve">GDP-COLGULF/RAY</t>
  </si>
  <si>
    <t xml:space="preserve">GDP-COLGULF/RAY D SP</t>
  </si>
  <si>
    <t xml:space="preserve">NGI-PGE/CG</t>
  </si>
  <si>
    <t xml:space="preserve">NGI-PGE/CG I PR</t>
  </si>
  <si>
    <t xml:space="preserve">GDP-CONSUMERS</t>
  </si>
  <si>
    <t xml:space="preserve">GDP-CONSUMERS D SP</t>
  </si>
  <si>
    <t xml:space="preserve">NGI-SOC/MAL(34/</t>
  </si>
  <si>
    <t xml:space="preserve">NGI-SOC/MAL(34/ I PR</t>
  </si>
  <si>
    <t xml:space="preserve">GDP-CORPUS/SHPC</t>
  </si>
  <si>
    <t xml:space="preserve">GDP-CORPUS/SHPC D SP</t>
  </si>
  <si>
    <t xml:space="preserve">NGI-SOCAL</t>
  </si>
  <si>
    <t xml:space="preserve">NGI-SOCAL I PR</t>
  </si>
  <si>
    <t xml:space="preserve">GDP-DAWN</t>
  </si>
  <si>
    <t xml:space="preserve">GDP-DAWN D SP</t>
  </si>
  <si>
    <t xml:space="preserve">NGI-SOCAL(KRS)</t>
  </si>
  <si>
    <t xml:space="preserve">NGI-SOCAL(KRS) I PR</t>
  </si>
  <si>
    <t xml:space="preserve">GDP-DJ/BASIN</t>
  </si>
  <si>
    <t xml:space="preserve">GDP-DJ/BASIN D SP</t>
  </si>
  <si>
    <t xml:space="preserve">NGI-TENN/NO_LA</t>
  </si>
  <si>
    <t xml:space="preserve">NGI-TENN/NO_LA I PR</t>
  </si>
  <si>
    <t xml:space="preserve">GDP-ELPO/PERM2</t>
  </si>
  <si>
    <t xml:space="preserve">GDP-ELPO/PERM2 D SP</t>
  </si>
  <si>
    <t xml:space="preserve">NGI-TGT/NO.LA</t>
  </si>
  <si>
    <t xml:space="preserve">NGI-TGT/NO.LA I PR</t>
  </si>
  <si>
    <t xml:space="preserve">GDP-ELPO/SANJUA</t>
  </si>
  <si>
    <t xml:space="preserve">GDP-ELPO/SANJUA D SP</t>
  </si>
  <si>
    <t xml:space="preserve">NGI-WHEELER</t>
  </si>
  <si>
    <t xml:space="preserve">NGI-WHEELER I PR</t>
  </si>
  <si>
    <t xml:space="preserve">GDP-ELPO/SJBOND</t>
  </si>
  <si>
    <t xml:space="preserve">GDP-ELPO/SJBOND D SP</t>
  </si>
  <si>
    <t xml:space="preserve">NGI/CHI. GATE</t>
  </si>
  <si>
    <t xml:space="preserve">NGI/CHI. GATE I PR</t>
  </si>
  <si>
    <t xml:space="preserve">GDP-FGT/MOBILE</t>
  </si>
  <si>
    <t xml:space="preserve">GDP-FGT/MOBILE D SP</t>
  </si>
  <si>
    <t xml:space="preserve">NGINDEX</t>
  </si>
  <si>
    <t xml:space="preserve">NGINDEX I PR</t>
  </si>
  <si>
    <t xml:space="preserve">GDP-FGT/Z1</t>
  </si>
  <si>
    <t xml:space="preserve">GDP-FGT/Z1 D SP</t>
  </si>
  <si>
    <t xml:space="preserve">NGMR-AECO/IDX</t>
  </si>
  <si>
    <t xml:space="preserve">NGMR-AECO/IDX I PR</t>
  </si>
  <si>
    <t xml:space="preserve">GDP-FGT/Z1/CORP</t>
  </si>
  <si>
    <t xml:space="preserve">GDP-FGT/Z1/CORP D SP</t>
  </si>
  <si>
    <t xml:space="preserve">NGMR-ALBDR/IDX</t>
  </si>
  <si>
    <t xml:space="preserve">NGMR-ALBDR/IDX I PR</t>
  </si>
  <si>
    <t xml:space="preserve">GDP-FGT/Z2</t>
  </si>
  <si>
    <t xml:space="preserve">GDP-FGT/Z2 D SP</t>
  </si>
  <si>
    <t xml:space="preserve">NGPL/AMARILO-GD</t>
  </si>
  <si>
    <t xml:space="preserve">NGPL/AMARILO-GD I PR</t>
  </si>
  <si>
    <t xml:space="preserve">GDP-FGT/Z3</t>
  </si>
  <si>
    <t xml:space="preserve">GDP-FGT/Z3 D SP</t>
  </si>
  <si>
    <t xml:space="preserve">NGPL/IA-IL-GDM</t>
  </si>
  <si>
    <t xml:space="preserve">NGPL/IA-IL-GDM I PR</t>
  </si>
  <si>
    <t xml:space="preserve">GDP-HEHUB</t>
  </si>
  <si>
    <t xml:space="preserve">GDP-HEHUB D SP</t>
  </si>
  <si>
    <t xml:space="preserve">NGPL/PER/1ST-GD</t>
  </si>
  <si>
    <t xml:space="preserve">NGPL/PER/1ST-GD I PR</t>
  </si>
  <si>
    <t xml:space="preserve">GDP-HPL+1AFTA</t>
  </si>
  <si>
    <t xml:space="preserve">GDP-HPL+1AFTA D SP</t>
  </si>
  <si>
    <t xml:space="preserve">NGW-ALGO/CITY</t>
  </si>
  <si>
    <t xml:space="preserve">NGW-ALGO/CITY I PR</t>
  </si>
  <si>
    <t xml:space="preserve">GDP-HPL+1AFTH</t>
  </si>
  <si>
    <t xml:space="preserve">GDP-HPL+1AFTH D SP</t>
  </si>
  <si>
    <t xml:space="preserve">NGW-ALGONQUIN</t>
  </si>
  <si>
    <t xml:space="preserve">NGW-ALGONQUIN I PR</t>
  </si>
  <si>
    <t xml:space="preserve">GDP-HPL+2AFTA</t>
  </si>
  <si>
    <t xml:space="preserve">GDP-HPL+2AFTA D SP</t>
  </si>
  <si>
    <t xml:space="preserve">NGW-CGE</t>
  </si>
  <si>
    <t xml:space="preserve">NGW-CGE I PR</t>
  </si>
  <si>
    <t xml:space="preserve">GDP-HPL+2AFTH</t>
  </si>
  <si>
    <t xml:space="preserve">GDP-HPL+2AFTH D SP</t>
  </si>
  <si>
    <t xml:space="preserve">NGW-CGKY</t>
  </si>
  <si>
    <t xml:space="preserve">NGW-CGKY I PR</t>
  </si>
  <si>
    <t xml:space="preserve">GDP-HPL/SHPCH</t>
  </si>
  <si>
    <t xml:space="preserve">GDP-HPL/SHPCH D SP</t>
  </si>
  <si>
    <t xml:space="preserve">NGW-CHIPPEWA</t>
  </si>
  <si>
    <t xml:space="preserve">NGW-CHIPPEWA I PR</t>
  </si>
  <si>
    <t xml:space="preserve">GDP-HPLABS+1AH</t>
  </si>
  <si>
    <t xml:space="preserve">GDP-HPLABS+1AH D SP</t>
  </si>
  <si>
    <t xml:space="preserve">NGW-FGT/Z1</t>
  </si>
  <si>
    <t xml:space="preserve">NGW-FGT/Z1 I PR</t>
  </si>
  <si>
    <t xml:space="preserve">GDP-HPLABSHIGH</t>
  </si>
  <si>
    <t xml:space="preserve">GDP-HPLABSHIGH D SP</t>
  </si>
  <si>
    <t xml:space="preserve">NGW-FGT/Z2</t>
  </si>
  <si>
    <t xml:space="preserve">NGW-FGT/Z2 I PR</t>
  </si>
  <si>
    <t xml:space="preserve">GDP-HPLRAFTA</t>
  </si>
  <si>
    <t xml:space="preserve">GDP-HPLRAFTA D SP</t>
  </si>
  <si>
    <t xml:space="preserve">NGW-FGT/Z3</t>
  </si>
  <si>
    <t xml:space="preserve">NGW-FGT/Z3 I PR</t>
  </si>
  <si>
    <t xml:space="preserve">GDP-HPLU2AFTH</t>
  </si>
  <si>
    <t xml:space="preserve">GDP-HPLU2AFTH D SP</t>
  </si>
  <si>
    <t xml:space="preserve">NGW-GB23</t>
  </si>
  <si>
    <t xml:space="preserve">NGW-GB23 I PR</t>
  </si>
  <si>
    <t xml:space="preserve">GDP-HPLV2AFTH</t>
  </si>
  <si>
    <t xml:space="preserve">GDP-HPLV2AFTH D SP</t>
  </si>
  <si>
    <t xml:space="preserve">NGW-HEHUB</t>
  </si>
  <si>
    <t xml:space="preserve">NGW-HEHUB I PR</t>
  </si>
  <si>
    <t xml:space="preserve">GDP-IROQUOIS</t>
  </si>
  <si>
    <t xml:space="preserve">GDP-IROQUOIS D SP</t>
  </si>
  <si>
    <t xml:space="preserve">NGW-IROQ/WADD</t>
  </si>
  <si>
    <t xml:space="preserve">NGW-IROQ/WADD I PR</t>
  </si>
  <si>
    <t xml:space="preserve">GDP-KERN/RIVER</t>
  </si>
  <si>
    <t xml:space="preserve">GDP-KERN/RIVER D SP</t>
  </si>
  <si>
    <t xml:space="preserve">NGW-IROQ/Z1</t>
  </si>
  <si>
    <t xml:space="preserve">NGW-IROQ/Z1 I PR</t>
  </si>
  <si>
    <t xml:space="preserve">GDP-KOCH</t>
  </si>
  <si>
    <t xml:space="preserve">GDP-KOCH D SP</t>
  </si>
  <si>
    <t xml:space="preserve">NGW-IROQ/Z2</t>
  </si>
  <si>
    <t xml:space="preserve">NGW-IROQ/Z2 I PR</t>
  </si>
  <si>
    <t xml:space="preserve">GDP-KOCH/CORPUS</t>
  </si>
  <si>
    <t xml:space="preserve">GDP-KOCH/CORPUS D SP</t>
  </si>
  <si>
    <t xml:space="preserve">NGW-ONS/TXDTP</t>
  </si>
  <si>
    <t xml:space="preserve">NGW-ONS/TXDTP I PR</t>
  </si>
  <si>
    <t xml:space="preserve">GDP-KOCH/TX</t>
  </si>
  <si>
    <t xml:space="preserve">GDP-KOCH/TX D SP</t>
  </si>
  <si>
    <t xml:space="preserve">NGW-ONS/TXDTPTW</t>
  </si>
  <si>
    <t xml:space="preserve">NGW-ONS/TXDTPTW I PR</t>
  </si>
  <si>
    <t xml:space="preserve">GDP-LONESTAR</t>
  </si>
  <si>
    <t xml:space="preserve">GDP-LONESTAR D SP</t>
  </si>
  <si>
    <t xml:space="preserve">NGW-ONSLA</t>
  </si>
  <si>
    <t xml:space="preserve">NGW-ONSLA I PR</t>
  </si>
  <si>
    <t xml:space="preserve">GDP-MALIN-CTYGA</t>
  </si>
  <si>
    <t xml:space="preserve">GDP-MALIN-CTYGA D SP</t>
  </si>
  <si>
    <t xml:space="preserve">NGW-ONSLA1</t>
  </si>
  <si>
    <t xml:space="preserve">NGW-ONSLA1 I PR</t>
  </si>
  <si>
    <t xml:space="preserve">GDP-MICHCON</t>
  </si>
  <si>
    <t xml:space="preserve">GDP-MICHCON D SP</t>
  </si>
  <si>
    <t xml:space="preserve">NGW/HH/BIDWEEK</t>
  </si>
  <si>
    <t xml:space="preserve">NGW/HH/BIDWEEK I PR</t>
  </si>
  <si>
    <t xml:space="preserve">GDP-ML7/CG</t>
  </si>
  <si>
    <t xml:space="preserve">GDP-ML7/CG D SP</t>
  </si>
  <si>
    <t xml:space="preserve">NW STANF/1ST-GD</t>
  </si>
  <si>
    <t xml:space="preserve">NW STANF/1ST-GD I PR</t>
  </si>
  <si>
    <t xml:space="preserve">GDP-MRT/MAINLIN</t>
  </si>
  <si>
    <t xml:space="preserve">GDP-MRT/MAINLIN D SP</t>
  </si>
  <si>
    <t xml:space="preserve">NX3D</t>
  </si>
  <si>
    <t xml:space="preserve">NX3D I PR</t>
  </si>
  <si>
    <t xml:space="preserve">GDP-MRT/WEST</t>
  </si>
  <si>
    <t xml:space="preserve">GDP-MRT/WEST D SP</t>
  </si>
  <si>
    <t xml:space="preserve">WAHA KCBT</t>
  </si>
  <si>
    <t xml:space="preserve">WAHA KCBT D PR</t>
  </si>
  <si>
    <t xml:space="preserve">GDP-NGPL/(IA-IL</t>
  </si>
  <si>
    <t xml:space="preserve">GDP-NGPL/(IA-IL D SP</t>
  </si>
  <si>
    <t xml:space="preserve">T/STX-VAL-AVG</t>
  </si>
  <si>
    <t xml:space="preserve">T/STX-VAL-AVG I PR</t>
  </si>
  <si>
    <t xml:space="preserve">GDP-NGPL/AMARIL</t>
  </si>
  <si>
    <t xml:space="preserve">GDP-NGPL/AMARIL D SP</t>
  </si>
  <si>
    <t xml:space="preserve">TRUNKL/WLA-GD</t>
  </si>
  <si>
    <t xml:space="preserve">TRUNKL/WLA-GD I PR</t>
  </si>
  <si>
    <t xml:space="preserve">GDP-NGPL/CORPUS</t>
  </si>
  <si>
    <t xml:space="preserve">GDP-NGPL/CORPUS D SP</t>
  </si>
  <si>
    <t xml:space="preserve">WAHA KCBT I PR</t>
  </si>
  <si>
    <t xml:space="preserve">GDP-NGPL/LA</t>
  </si>
  <si>
    <t xml:space="preserve">GDP-NGPL/LA D SP</t>
  </si>
  <si>
    <t xml:space="preserve">GDP-NGPL/OK</t>
  </si>
  <si>
    <t xml:space="preserve">GDP-NGPL/OK D SP</t>
  </si>
  <si>
    <t xml:space="preserve">GDP-NGPL/PAN/PR</t>
  </si>
  <si>
    <t xml:space="preserve">GDP-NGPL/PAN/PR D SP</t>
  </si>
  <si>
    <t xml:space="preserve">GDP-NGPL/TXOK-E</t>
  </si>
  <si>
    <t xml:space="preserve">GDP-NGPL/TXOK-E D SP</t>
  </si>
  <si>
    <t xml:space="preserve">GDP-NGPL/TXOK-W</t>
  </si>
  <si>
    <t xml:space="preserve">GDP-NGPL/TXOK-W D SP</t>
  </si>
  <si>
    <t xml:space="preserve">GDP-NIAGARA</t>
  </si>
  <si>
    <t xml:space="preserve">GDP-NIAGARA D SP</t>
  </si>
  <si>
    <t xml:space="preserve">GDP-NNG/DEMARCA</t>
  </si>
  <si>
    <t xml:space="preserve">GDP-NNG/DEMARCA D SP</t>
  </si>
  <si>
    <t xml:space="preserve">GDP-NNG/TOK</t>
  </si>
  <si>
    <t xml:space="preserve">GDP-NNG/TOK D SP</t>
  </si>
  <si>
    <t xml:space="preserve">GDP-NNG/TOK(1-6</t>
  </si>
  <si>
    <t xml:space="preserve">GDP-NNG/TOK(1-6 D SP</t>
  </si>
  <si>
    <t xml:space="preserve">GDP-NNG/TOK(13)</t>
  </si>
  <si>
    <t xml:space="preserve">GDP-NNG/TOK(13) D SP</t>
  </si>
  <si>
    <t xml:space="preserve">GDP-NNG/TOK/PAN</t>
  </si>
  <si>
    <t xml:space="preserve">GDP-NNG/TOK/PAN D SP</t>
  </si>
  <si>
    <t xml:space="preserve">GDP-NNG/VENT</t>
  </si>
  <si>
    <t xml:space="preserve">GDP-NNG/VENT D SP</t>
  </si>
  <si>
    <t xml:space="preserve">GDP-NORAM-N/S</t>
  </si>
  <si>
    <t xml:space="preserve">GDP-NORAM-N/S D SP</t>
  </si>
  <si>
    <t xml:space="preserve">GDP-NORAM/WEST</t>
  </si>
  <si>
    <t xml:space="preserve">GDP-NORAM/WEST D SP</t>
  </si>
  <si>
    <t xml:space="preserve">GDP-NTHWST/CANB</t>
  </si>
  <si>
    <t xml:space="preserve">GDP-NTHWST/CANB D SP</t>
  </si>
  <si>
    <t xml:space="preserve">GDP-NW STANFIEL</t>
  </si>
  <si>
    <t xml:space="preserve">GDP-NW STANFIEL D SP</t>
  </si>
  <si>
    <t xml:space="preserve">GDP-NWPL_ROCKYM</t>
  </si>
  <si>
    <t xml:space="preserve">GDP-NWPL_ROCKYM D SP</t>
  </si>
  <si>
    <t xml:space="preserve">GDP-PAN/TX/OK</t>
  </si>
  <si>
    <t xml:space="preserve">GDP-PAN/TX/OK D SP</t>
  </si>
  <si>
    <t xml:space="preserve">GDP-PG&amp;E/CITIGA</t>
  </si>
  <si>
    <t xml:space="preserve">GDP-PG&amp;E/CITIGA D SP</t>
  </si>
  <si>
    <t xml:space="preserve">GDP-PG&amp;E/LG-PKG</t>
  </si>
  <si>
    <t xml:space="preserve">GDP-PG&amp;E/LG-PKG D SP</t>
  </si>
  <si>
    <t xml:space="preserve">GDP-PGT/KINGSGA</t>
  </si>
  <si>
    <t xml:space="preserve">GDP-PGT/KINGSGA D SP</t>
  </si>
  <si>
    <t xml:space="preserve">GDP-QUESTAR</t>
  </si>
  <si>
    <t xml:space="preserve">GDP-QUESTAR D SP</t>
  </si>
  <si>
    <t xml:space="preserve">GDP-SONAT/LA</t>
  </si>
  <si>
    <t xml:space="preserve">GDP-SONAT/LA D SP</t>
  </si>
  <si>
    <t xml:space="preserve">GDP-TENN/100</t>
  </si>
  <si>
    <t xml:space="preserve">GDP-TENN/100 D SP</t>
  </si>
  <si>
    <t xml:space="preserve">GDP-TENN/500</t>
  </si>
  <si>
    <t xml:space="preserve">GDP-TENN/500 D SP</t>
  </si>
  <si>
    <t xml:space="preserve">GDP-TENN/800</t>
  </si>
  <si>
    <t xml:space="preserve">GDP-TENN/800 D SP</t>
  </si>
  <si>
    <t xml:space="preserve">GDP-TENN/CORPUS</t>
  </si>
  <si>
    <t xml:space="preserve">GDP-TENN/CORPUS D SP</t>
  </si>
  <si>
    <t xml:space="preserve">GDP-TETCO/ELA</t>
  </si>
  <si>
    <t xml:space="preserve">GDP-TETCO/ELA D SP</t>
  </si>
  <si>
    <t xml:space="preserve">GDP-TETCO/ETX/C</t>
  </si>
  <si>
    <t xml:space="preserve">GDP-TETCO/ETX/C D SP</t>
  </si>
  <si>
    <t xml:space="preserve">GDP-TETCO/M1</t>
  </si>
  <si>
    <t xml:space="preserve">GDP-TETCO/M1 D SP</t>
  </si>
  <si>
    <t xml:space="preserve">GDP-TETCO/M3</t>
  </si>
  <si>
    <t xml:space="preserve">GDP-TETCO/M3 D SP</t>
  </si>
  <si>
    <t xml:space="preserve">GDP-TETCO/STX</t>
  </si>
  <si>
    <t xml:space="preserve">GDP-TETCO/STX D SP</t>
  </si>
  <si>
    <t xml:space="preserve">GDP-TETCO/WLA</t>
  </si>
  <si>
    <t xml:space="preserve">GDP-TETCO/WLA D SP</t>
  </si>
  <si>
    <t xml:space="preserve">GDP-TGT/Z1</t>
  </si>
  <si>
    <t xml:space="preserve">GDP-TGT/Z1 D SP</t>
  </si>
  <si>
    <t xml:space="preserve">GDP-TGT/ZSL</t>
  </si>
  <si>
    <t xml:space="preserve">GDP-TGT/ZSL D SP</t>
  </si>
  <si>
    <t xml:space="preserve">GDP-TRANSCO/Z1</t>
  </si>
  <si>
    <t xml:space="preserve">GDP-TRANSCO/Z1 D SP</t>
  </si>
  <si>
    <t xml:space="preserve">GDP-TRANSCO/Z2</t>
  </si>
  <si>
    <t xml:space="preserve">GDP-TRANSCO/Z2 D SP</t>
  </si>
  <si>
    <t xml:space="preserve">GDP-TRANSCO/Z3</t>
  </si>
  <si>
    <t xml:space="preserve">GDP-TRANSCO/Z3 D SP</t>
  </si>
  <si>
    <t xml:space="preserve">GDP-TRANSCO/Z4</t>
  </si>
  <si>
    <t xml:space="preserve">GDP-TRANSCO/Z4 D SP</t>
  </si>
  <si>
    <t xml:space="preserve">GDP-TRCOZ6/NONY</t>
  </si>
  <si>
    <t xml:space="preserve">GDP-TRCOZ6/NONY D SP</t>
  </si>
  <si>
    <t xml:space="preserve">GDP-TRCOZ6/NY</t>
  </si>
  <si>
    <t xml:space="preserve">GDP-TRCOZ6/NY D SP</t>
  </si>
  <si>
    <t xml:space="preserve">GDP-TRUNKL/ELA</t>
  </si>
  <si>
    <t xml:space="preserve">GDP-TRUNKL/ELA D SP</t>
  </si>
  <si>
    <t xml:space="preserve">GDP-TRUNKL/NO</t>
  </si>
  <si>
    <t xml:space="preserve">GDP-TRUNKL/NO D SP</t>
  </si>
  <si>
    <t xml:space="preserve">GDP-TRUNKL/SO</t>
  </si>
  <si>
    <t xml:space="preserve">GDP-TRUNKL/SO D SP</t>
  </si>
  <si>
    <t xml:space="preserve">GDP-TRUNKL/WLA</t>
  </si>
  <si>
    <t xml:space="preserve">GDP-TRUNKL/WLA D SP</t>
  </si>
  <si>
    <t xml:space="preserve">GDP-TW/PERMIAN</t>
  </si>
  <si>
    <t xml:space="preserve">GDP-TW/PERMIAN D SP</t>
  </si>
  <si>
    <t xml:space="preserve">GDP-TW/SJ</t>
  </si>
  <si>
    <t xml:space="preserve">GDP-TW/SJ D SP</t>
  </si>
  <si>
    <t xml:space="preserve">GDP-TXINT+1AFTA</t>
  </si>
  <si>
    <t xml:space="preserve">GDP-TXINT+1AFTA D SP</t>
  </si>
  <si>
    <t xml:space="preserve">GDP-TXINT+2AFTA</t>
  </si>
  <si>
    <t xml:space="preserve">GDP-TXINT+2AFTA D SP</t>
  </si>
  <si>
    <t xml:space="preserve">GDP-TXINT+2AFTH</t>
  </si>
  <si>
    <t xml:space="preserve">GDP-TXINT+2AFTH D SP</t>
  </si>
  <si>
    <t xml:space="preserve">GDP-TXINT+2AFTL</t>
  </si>
  <si>
    <t xml:space="preserve">GDP-TXINT+2AFTL D SP</t>
  </si>
  <si>
    <t xml:space="preserve">GDP-TXINT/KATYH</t>
  </si>
  <si>
    <t xml:space="preserve">GDP-TXINT/KATYH D SP</t>
  </si>
  <si>
    <t xml:space="preserve">GDP-TXINT/KATYL</t>
  </si>
  <si>
    <t xml:space="preserve">GDP-TXINT/KATYL D SP</t>
  </si>
  <si>
    <t xml:space="preserve">GDP-TXINT/KATYT</t>
  </si>
  <si>
    <t xml:space="preserve">GDP-TXINT/KATYT D SP</t>
  </si>
  <si>
    <t xml:space="preserve">GDP-TXINTFRWKA</t>
  </si>
  <si>
    <t xml:space="preserve">GDP-TXINTFRWKA D SP</t>
  </si>
  <si>
    <t xml:space="preserve">GDP-TXINTH+2FTH</t>
  </si>
  <si>
    <t xml:space="preserve">GDP-TXINTH+2FTH D SP</t>
  </si>
  <si>
    <t xml:space="preserve">GDP-TXINTL+2FTH</t>
  </si>
  <si>
    <t xml:space="preserve">GDP-TXINTL+2FTH D SP</t>
  </si>
  <si>
    <t xml:space="preserve">GDP-WAHA</t>
  </si>
  <si>
    <t xml:space="preserve">GDP-WAHA D SP</t>
  </si>
  <si>
    <t xml:space="preserve">GDP-WNG/TOK</t>
  </si>
  <si>
    <t xml:space="preserve">GDP-WNG/TOK D SP</t>
  </si>
  <si>
    <t xml:space="preserve">HPL/SHPCHAN-GD D PR</t>
  </si>
  <si>
    <t xml:space="preserve">IF-A/S E.BEAUM D PR</t>
  </si>
  <si>
    <t xml:space="preserve">IF-A/S EAST OFF D PR</t>
  </si>
  <si>
    <t xml:space="preserve">IF-AGUA DULCE D PR</t>
  </si>
  <si>
    <t xml:space="preserve">IF-ANR/LA D PR</t>
  </si>
  <si>
    <t xml:space="preserve">IF-ANR/LA_OFFSH D PR</t>
  </si>
  <si>
    <t xml:space="preserve">IF-ANR/LA_ONSHO D PR</t>
  </si>
  <si>
    <t xml:space="preserve">IF-ANR/OK D PR</t>
  </si>
  <si>
    <t xml:space="preserve">IF-ARKLA/ARK-OK D PR</t>
  </si>
  <si>
    <t xml:space="preserve">IF-B/M OFFSHORE D PR</t>
  </si>
  <si>
    <t xml:space="preserve">IF-BONDAD(100%) D PR</t>
  </si>
  <si>
    <t xml:space="preserve">IF-CARTHAGE D PR</t>
  </si>
  <si>
    <t xml:space="preserve">IF-CGT/APPALAC D PR</t>
  </si>
  <si>
    <t xml:space="preserve">IF-CGT/CITYGATE D PR</t>
  </si>
  <si>
    <t xml:space="preserve">IF-CIG/RKYMTN D PR</t>
  </si>
  <si>
    <t xml:space="preserve">IF-CIG/TOMAHAWK D PR</t>
  </si>
  <si>
    <t xml:space="preserve">IF-CIG/WIC D PR</t>
  </si>
  <si>
    <t xml:space="preserve">IF-CIG/WINDRVR D PR</t>
  </si>
  <si>
    <t xml:space="preserve">IF-CNG/APPALACH D PR</t>
  </si>
  <si>
    <t xml:space="preserve">IF-CNG/NORTH D PR</t>
  </si>
  <si>
    <t xml:space="preserve">IF-CNG/N_CITYGA D PR</t>
  </si>
  <si>
    <t xml:space="preserve">IF-COLGUL/ERATH D PR</t>
  </si>
  <si>
    <t xml:space="preserve">IF-COLGUL/RAYNE D PR</t>
  </si>
  <si>
    <t xml:space="preserve">IF-COLGULF/LA D PR</t>
  </si>
  <si>
    <t xml:space="preserve">IF-COLGULF/LAOF D PR</t>
  </si>
  <si>
    <t xml:space="preserve">IF-CORPUS D PR</t>
  </si>
  <si>
    <t xml:space="preserve">IF-ELPO/ANADARK D PR</t>
  </si>
  <si>
    <t xml:space="preserve">IF-ELPO/PERMIAN D PR</t>
  </si>
  <si>
    <t xml:space="preserve">IF-ELPO/SJ D PR</t>
  </si>
  <si>
    <t xml:space="preserve">IF-ELPO/SJ/KC D PR</t>
  </si>
  <si>
    <t xml:space="preserve">IF-EPSJ(BONDAD) D PR</t>
  </si>
  <si>
    <t xml:space="preserve">IF-EPSJ(MILAGR) D PR</t>
  </si>
  <si>
    <t xml:space="preserve">IF-EPSJ/TWBLANC D PR</t>
  </si>
  <si>
    <t xml:space="preserve">IF-FGT/CTYGATE D PR</t>
  </si>
  <si>
    <t xml:space="preserve">IF-FGT/MKTAREA D PR</t>
  </si>
  <si>
    <t xml:space="preserve">IF-FGT/Z1 D PR</t>
  </si>
  <si>
    <t xml:space="preserve">IF-FGT/Z2 D PR</t>
  </si>
  <si>
    <t xml:space="preserve">IF-FGT/Z3 D PR</t>
  </si>
  <si>
    <t xml:space="preserve">IF-FREEPORT D PR</t>
  </si>
  <si>
    <t xml:space="preserve">IF-HEHUB D PR</t>
  </si>
  <si>
    <t xml:space="preserve">IF-HPL/SHPCHAN D PR</t>
  </si>
  <si>
    <t xml:space="preserve">IF-IOWA_IL D PR</t>
  </si>
  <si>
    <t xml:space="preserve">IF-K/COL/TN/LA D PR</t>
  </si>
  <si>
    <t xml:space="preserve">IF-KATY D PR</t>
  </si>
  <si>
    <t xml:space="preserve">IF-KATY/OASIS D PR</t>
  </si>
  <si>
    <t xml:space="preserve">IF-KATY/TAIL D PR</t>
  </si>
  <si>
    <t xml:space="preserve">IF-KATY/WOFLEX D PR</t>
  </si>
  <si>
    <t xml:space="preserve">IF-KERN/QUEST D PR</t>
  </si>
  <si>
    <t xml:space="preserve">IF-KERN/RIVER D PR</t>
  </si>
  <si>
    <t xml:space="preserve">IF-KING RANCH D PR</t>
  </si>
  <si>
    <t xml:space="preserve">IF-KOCH D PR</t>
  </si>
  <si>
    <t xml:space="preserve">IF-KOCH/LA D PR</t>
  </si>
  <si>
    <t xml:space="preserve">IF-KOCH/TX D PR</t>
  </si>
  <si>
    <t xml:space="preserve">IF-LONESTAR D PR</t>
  </si>
  <si>
    <t xml:space="preserve">IF-LRC D PR</t>
  </si>
  <si>
    <t xml:space="preserve">IF-LRC/Z1 D PR</t>
  </si>
  <si>
    <t xml:space="preserve">IF-LRC/Z2 D PR</t>
  </si>
  <si>
    <t xml:space="preserve">IF-LRC/Z3 D PR</t>
  </si>
  <si>
    <t xml:space="preserve">IF-LRC/Z4 D PR</t>
  </si>
  <si>
    <t xml:space="preserve">IF-LRC/Z5 D PR</t>
  </si>
  <si>
    <t xml:space="preserve">IF-MONCHY D PR</t>
  </si>
  <si>
    <t xml:space="preserve">IF-NGPL/HARPER D PR</t>
  </si>
  <si>
    <t xml:space="preserve">IF-NGPL/LA D PR</t>
  </si>
  <si>
    <t xml:space="preserve">IF-NGPL/LA-STNG D PR</t>
  </si>
  <si>
    <t xml:space="preserve">IF-NGPL/MIDCON D PR</t>
  </si>
  <si>
    <t xml:space="preserve">IF-NGPL/OK-NW D PR</t>
  </si>
  <si>
    <t xml:space="preserve">IF-NGPL/STX D PR</t>
  </si>
  <si>
    <t xml:space="preserve">IF-NGPL/TX D PR</t>
  </si>
  <si>
    <t xml:space="preserve">IF-NGPLTXOK D PR</t>
  </si>
  <si>
    <t xml:space="preserve">IF-NNG/DEMARCAT D PR</t>
  </si>
  <si>
    <t xml:space="preserve">IF-NNG/TOK D PR</t>
  </si>
  <si>
    <t xml:space="preserve">IF-NNG/VENT D PR</t>
  </si>
  <si>
    <t xml:space="preserve">IF-NORAM/EAST D PR</t>
  </si>
  <si>
    <t xml:space="preserve">IF-NORAM/WEST D PR</t>
  </si>
  <si>
    <t xml:space="preserve">IF-NTHWST/CANBR D PR</t>
  </si>
  <si>
    <t xml:space="preserve">IF-NWPL_ROCKY_M D PR</t>
  </si>
  <si>
    <t xml:space="preserve">IF-ONG/OKLAHOMA D PR</t>
  </si>
  <si>
    <t xml:space="preserve">IF-PAN/TX/OK D PR</t>
  </si>
  <si>
    <t xml:space="preserve">IF-QUESTAR D PR</t>
  </si>
  <si>
    <t xml:space="preserve">IF-SONAT/LA D PR</t>
  </si>
  <si>
    <t xml:space="preserve">IF-TENN/LA D PR</t>
  </si>
  <si>
    <t xml:space="preserve">IF-TENN/LA_OFF D PR</t>
  </si>
  <si>
    <t xml:space="preserve">IF-TENN/TX D PR</t>
  </si>
  <si>
    <t xml:space="preserve">IF-TENN/Z5 D PR</t>
  </si>
  <si>
    <t xml:space="preserve">IF-TENN/Z6 D PR</t>
  </si>
  <si>
    <t xml:space="preserve">IF-TETCO/ELA D PR</t>
  </si>
  <si>
    <t xml:space="preserve">IF-TETCO/ETX D PR</t>
  </si>
  <si>
    <t xml:space="preserve">IF-TETCO/LA D PR</t>
  </si>
  <si>
    <t xml:space="preserve">IF-TETCO/M1 D PR</t>
  </si>
  <si>
    <t xml:space="preserve">IF-TETCO/M3 D PR</t>
  </si>
  <si>
    <t xml:space="preserve">IF-TETCO/STX D PR</t>
  </si>
  <si>
    <t xml:space="preserve">IF-TETCO/WLA D PR</t>
  </si>
  <si>
    <t xml:space="preserve">IF-TEXOMA D PR</t>
  </si>
  <si>
    <t xml:space="preserve">IF-TEXOMA OFFER D PR</t>
  </si>
  <si>
    <t xml:space="preserve">IF-TGT/Z1 D PR</t>
  </si>
  <si>
    <t xml:space="preserve">IF-TGT/ZSL D PR</t>
  </si>
  <si>
    <t xml:space="preserve">IF-THOMPSONVILL D PR</t>
  </si>
  <si>
    <t xml:space="preserve">IF-TRANSCO/Z1 D PR</t>
  </si>
  <si>
    <t xml:space="preserve">IF-TRANSCO/Z2 D PR</t>
  </si>
  <si>
    <t xml:space="preserve">IF-TRANSCO/Z3 D PR</t>
  </si>
  <si>
    <t xml:space="preserve">IF-TRANSCO/Z4 D PR</t>
  </si>
  <si>
    <t xml:space="preserve">IF-TRANSCO/Z5 D PR</t>
  </si>
  <si>
    <t xml:space="preserve">IF-TRANSCO/Z6 D PR</t>
  </si>
  <si>
    <t xml:space="preserve">IF-TRUNK/AVG D PR</t>
  </si>
  <si>
    <t xml:space="preserve">IF-TRUNKL/FLDZN D PR</t>
  </si>
  <si>
    <t xml:space="preserve">IF-TRUNKL/LA D PR</t>
  </si>
  <si>
    <t xml:space="preserve">IF-TRUNKL/TX D PR</t>
  </si>
  <si>
    <t xml:space="preserve">IF-TW/PERMIAN D PR</t>
  </si>
  <si>
    <t xml:space="preserve">IF-TX CITY LOOP D PR</t>
  </si>
  <si>
    <t xml:space="preserve">IF-VALERO/TX D PR</t>
  </si>
  <si>
    <t xml:space="preserve">IF-VALLEY D PR</t>
  </si>
  <si>
    <t xml:space="preserve">IF-WAHA D PR</t>
  </si>
  <si>
    <t xml:space="preserve">IF-WNG/TOK D PR</t>
  </si>
  <si>
    <t xml:space="preserve">MICH-ST.CLAIR</t>
  </si>
  <si>
    <t xml:space="preserve">MICH-ST.CLAIR D PR</t>
  </si>
  <si>
    <t xml:space="preserve">MICH/CONS D PR</t>
  </si>
  <si>
    <t xml:space="preserve">MICH_CG-GD D PR</t>
  </si>
  <si>
    <t xml:space="preserve">ML7/CG D PR</t>
  </si>
  <si>
    <t xml:space="preserve">NAT/FUEL/LEIDY D PR</t>
  </si>
  <si>
    <t xml:space="preserve">NGI-HPL/ETX D PR</t>
  </si>
  <si>
    <t xml:space="preserve">NGI-HPL/STEX D PR</t>
  </si>
  <si>
    <t xml:space="preserve">NGI-LIG/NO.LA D PR</t>
  </si>
  <si>
    <t xml:space="preserve">NGI-MALIN D PR</t>
  </si>
  <si>
    <t xml:space="preserve">NGI-MICH_CG D PR</t>
  </si>
  <si>
    <t xml:space="preserve">NGI-NGPL/ETXG7 D PR</t>
  </si>
  <si>
    <t xml:space="preserve">NGI-NGPL/TX_G2 D PR</t>
  </si>
  <si>
    <t xml:space="preserve">NGI-NOCAL D PR</t>
  </si>
  <si>
    <t xml:space="preserve">NGI-PGE/CG D PR</t>
  </si>
  <si>
    <t xml:space="preserve">NGI-SOC/MAL(34/ D PR</t>
  </si>
  <si>
    <t xml:space="preserve">NGI-SOCAL D PR</t>
  </si>
  <si>
    <t xml:space="preserve">NGI-SOCAL(KRS) D PR</t>
  </si>
  <si>
    <t xml:space="preserve">NGI-TENN/NO_LA D PR</t>
  </si>
  <si>
    <t xml:space="preserve">NGI-TGT/NO.LA D PR</t>
  </si>
  <si>
    <t xml:space="preserve">NGI-WHEELER D PR</t>
  </si>
  <si>
    <t xml:space="preserve">NGI/CHI. GATE D PR</t>
  </si>
  <si>
    <t xml:space="preserve">NGPL/AMARILO-GD D PR</t>
  </si>
  <si>
    <t xml:space="preserve">NGPL/IA-IL-GDM D PR</t>
  </si>
  <si>
    <t xml:space="preserve">NGPL/PER/1ST-GD D PR</t>
  </si>
  <si>
    <t xml:space="preserve">NGW-ALGO/CITY D PR</t>
  </si>
  <si>
    <t xml:space="preserve">NGW-ALGONQUIN D PR</t>
  </si>
  <si>
    <t xml:space="preserve">NGW-CGE D PR</t>
  </si>
  <si>
    <t xml:space="preserve">NGW-CGKY D PR</t>
  </si>
  <si>
    <t xml:space="preserve">NGW-CHIPPEWA D PR</t>
  </si>
  <si>
    <t xml:space="preserve">NGW-FGT/Z1 D PR</t>
  </si>
  <si>
    <t xml:space="preserve">NGW-FGT/Z2 D PR</t>
  </si>
  <si>
    <t xml:space="preserve">NGW-FGT/Z3 D PR</t>
  </si>
  <si>
    <t xml:space="preserve">NGW-GB23 D PR</t>
  </si>
  <si>
    <t xml:space="preserve">NGW-HEHUB D PR</t>
  </si>
  <si>
    <t xml:space="preserve">NGW-IROQ/WADD D PR</t>
  </si>
  <si>
    <t xml:space="preserve">NGW-IROQ/Z1 D PR</t>
  </si>
  <si>
    <t xml:space="preserve">NGW-IROQ/Z2 D PR</t>
  </si>
  <si>
    <t xml:space="preserve">NGW-ONS/TXDTP D PR</t>
  </si>
  <si>
    <t xml:space="preserve">NGW-ONS/TXDTPTW D PR</t>
  </si>
  <si>
    <t xml:space="preserve">NGW-ONSLA D PR</t>
  </si>
  <si>
    <t xml:space="preserve">NGW-ONSLA1 D PR</t>
  </si>
  <si>
    <t xml:space="preserve">NGW/HH/BIDWEEK D PR</t>
  </si>
  <si>
    <t xml:space="preserve">NIAGARA-GDM</t>
  </si>
  <si>
    <t xml:space="preserve">NIAGARA-GDM D PR</t>
  </si>
  <si>
    <t xml:space="preserve">NW STANF/1ST-GD D PR</t>
  </si>
  <si>
    <t xml:space="preserve">NX3D D PR</t>
  </si>
  <si>
    <t xml:space="preserve">STORAGE/B</t>
  </si>
  <si>
    <t xml:space="preserve">STORAGE/B D PR</t>
  </si>
  <si>
    <t xml:space="preserve">T/STX-VAL-AVG D PR</t>
  </si>
  <si>
    <t xml:space="preserve">TRANSCO/Z6NONNY</t>
  </si>
  <si>
    <t xml:space="preserve">TRUNKL/WLA-GD D PR</t>
  </si>
  <si>
    <t xml:space="preserve">WADD-GDM</t>
  </si>
  <si>
    <t xml:space="preserve">WADD-GDM D PR</t>
  </si>
  <si>
    <t xml:space="preserve">Generation Components</t>
  </si>
  <si>
    <t xml:space="preserve">Scaled Power Prices - $/mwh</t>
  </si>
  <si>
    <t xml:space="preserve">Intrinsic Premium Section - $/mwh</t>
  </si>
  <si>
    <t xml:space="preserve">Extrinsic Premium Section - $/mwh</t>
  </si>
  <si>
    <t xml:space="preserve">Swap Premium Section - $/mwh</t>
  </si>
  <si>
    <t xml:space="preserve">Swap Run MW Hours</t>
  </si>
  <si>
    <t xml:space="preserve">Delta Run Hours</t>
  </si>
  <si>
    <t xml:space="preserve">Intrinsic Value - PV'd Dollars</t>
  </si>
  <si>
    <t xml:space="preserve">Extrinsic Value - PV'd Dollars</t>
  </si>
  <si>
    <t xml:space="preserve">Swap Value - PV'd Dollars</t>
  </si>
  <si>
    <t xml:space="preserve">Main Inputs for Extrinsic Value Calculation</t>
  </si>
  <si>
    <t xml:space="preserve">Deal</t>
  </si>
  <si>
    <t xml:space="preserve">Plant Evaluation - PV'd $</t>
  </si>
  <si>
    <t xml:space="preserve">Holidays</t>
  </si>
  <si>
    <t xml:space="preserve">Plant Evaluation - PV'd MWhs</t>
  </si>
  <si>
    <t xml:space="preserve">Gas</t>
  </si>
  <si>
    <t xml:space="preserve">X HR</t>
  </si>
  <si>
    <t xml:space="preserve">O&amp;M</t>
  </si>
  <si>
    <t xml:space="preserve">Starts</t>
  </si>
  <si>
    <t xml:space="preserve">Dispatch</t>
  </si>
  <si>
    <t xml:space="preserve">Sat </t>
  </si>
  <si>
    <t xml:space="preserve">Gas-Pwr</t>
  </si>
  <si>
    <t xml:space="preserve">Strike</t>
  </si>
  <si>
    <t xml:space="preserve">Int.</t>
  </si>
  <si>
    <t xml:space="preserve">Dis Fctr</t>
  </si>
  <si>
    <t xml:space="preserve">EOM+20</t>
  </si>
  <si>
    <t xml:space="preserve">Swap</t>
  </si>
  <si>
    <t xml:space="preserve">Week</t>
  </si>
  <si>
    <t xml:space="preserve">Demand</t>
  </si>
  <si>
    <t xml:space="preserve">Option</t>
  </si>
  <si>
    <t xml:space="preserve">Pk Swap</t>
  </si>
  <si>
    <t xml:space="preserve">OP Swap</t>
  </si>
  <si>
    <t xml:space="preserve">Pk Delta</t>
  </si>
  <si>
    <t xml:space="preserve">OP Delta</t>
  </si>
  <si>
    <t xml:space="preserve">Date</t>
  </si>
  <si>
    <t xml:space="preserve">Year</t>
  </si>
  <si>
    <t xml:space="preserve">#/mmbtu</t>
  </si>
  <si>
    <t xml:space="preserve">Dly</t>
  </si>
  <si>
    <t xml:space="preserve">Vol</t>
  </si>
  <si>
    <t xml:space="preserve">Blend</t>
  </si>
  <si>
    <t xml:space="preserve">Corr</t>
  </si>
  <si>
    <t xml:space="preserve">Price</t>
  </si>
  <si>
    <t xml:space="preserve">Rate</t>
  </si>
  <si>
    <t xml:space="preserve">E0M+20</t>
  </si>
  <si>
    <t xml:space="preserve">MW</t>
  </si>
  <si>
    <t xml:space="preserve">Intrinsic</t>
  </si>
  <si>
    <t xml:space="preserve">Extrinsic</t>
  </si>
  <si>
    <t xml:space="preserve">Value</t>
  </si>
  <si>
    <t xml:space="preserve">-Hol</t>
  </si>
  <si>
    <t xml:space="preserve">+Hol</t>
  </si>
  <si>
    <t xml:space="preserve">Cost</t>
  </si>
  <si>
    <t xml:space="preserve">mwh</t>
  </si>
  <si>
    <t xml:space="preserve">run hours</t>
  </si>
  <si>
    <t xml:space="preserve">Regular Scalars</t>
  </si>
  <si>
    <t xml:space="preserve">Checks</t>
  </si>
  <si>
    <t xml:space="preserve">Must = 1</t>
  </si>
  <si>
    <t xml:space="preserve">Holidays have been added to Sundays</t>
  </si>
  <si>
    <t xml:space="preserve">16Hr</t>
  </si>
  <si>
    <t xml:space="preserve">Hol</t>
  </si>
  <si>
    <t xml:space="preserve">24Hr</t>
  </si>
  <si>
    <t xml:space="preserve">Control #</t>
  </si>
  <si>
    <t xml:space="preserve">control #</t>
  </si>
  <si>
    <t xml:space="preserve">Scalar Matrix</t>
  </si>
  <si>
    <t xml:space="preserve">8 Hr Super Peak Sorter</t>
  </si>
  <si>
    <t xml:space="preserve">Bid Curve</t>
  </si>
  <si>
    <t xml:space="preserve">Off Pk (M-F 5x8 &amp; 2x24)</t>
  </si>
  <si>
    <t xml:space="preserve">Mid Curve</t>
  </si>
  <si>
    <t xml:space="preserve">Off Pk (Mon-Sun 7x8)</t>
  </si>
  <si>
    <t xml:space="preserve">Copy/Paste Special Here, Make sure Checks = 1</t>
  </si>
  <si>
    <t xml:space="preserve">Offer Curve</t>
  </si>
  <si>
    <t xml:space="preserve">On Pk (Mon-Fri 5x8)</t>
  </si>
  <si>
    <t xml:space="preserve">On Pk (Mon-Sat 6x8)</t>
  </si>
  <si>
    <t xml:space="preserve">On Pk (Mon-Sun 7x8)</t>
  </si>
  <si>
    <t xml:space="preserve">Call Option</t>
  </si>
  <si>
    <t xml:space="preserve">On Pk (Mon-Fri 5x16)</t>
  </si>
  <si>
    <t xml:space="preserve">Put Option</t>
  </si>
  <si>
    <t xml:space="preserve">On Pk (Mon-Sat 6x16)</t>
  </si>
  <si>
    <t xml:space="preserve">On Pk (Mon-Sun 7x16)</t>
  </si>
  <si>
    <t xml:space="preserve">RTC (Mon-Fri 5x24)</t>
  </si>
  <si>
    <t xml:space="preserve">Notional</t>
  </si>
  <si>
    <t xml:space="preserve">RTC (Mon-Sat 6x24)</t>
  </si>
  <si>
    <t xml:space="preserve">Present Value (Libor AA)</t>
  </si>
  <si>
    <t xml:space="preserve">RTC (Mon-Sun 7x24)</t>
  </si>
  <si>
    <t xml:space="preserve">Bid Volatility</t>
  </si>
  <si>
    <t xml:space="preserve">Control for Vol Smile</t>
  </si>
  <si>
    <t xml:space="preserve">Mid Volatility</t>
  </si>
  <si>
    <t xml:space="preserve">Offer Volatility</t>
  </si>
  <si>
    <t xml:space="preserve">Gas Basis Check Box</t>
  </si>
  <si>
    <t xml:space="preserve">Gas Index Check Box</t>
  </si>
  <si>
    <t xml:space="preserve">Use Hourly Scalers</t>
  </si>
  <si>
    <t xml:space="preserve">Do Not Use Scalers</t>
  </si>
  <si>
    <t xml:space="preserve">Correlation Override Check Box</t>
  </si>
  <si>
    <t xml:space="preserve">Off Peak Extrinsic Check Box</t>
  </si>
  <si>
    <t xml:space="preserve">Use Dynamic Scalers</t>
  </si>
  <si>
    <t xml:space="preserve">Do Not Use Dynamic Scalers</t>
  </si>
  <si>
    <t xml:space="preserve">Daily Volatility</t>
  </si>
  <si>
    <t xml:space="preserve">Monthly Volatility</t>
  </si>
  <si>
    <t xml:space="preserve">Super Peak</t>
  </si>
  <si>
    <t xml:space="preserve">As of 2/2000 Dynamic Scalars are in effect for REGIONS:  2,2A,2B,3,3A,3B,3C,4,4B,4C,5,5A  </t>
  </si>
  <si>
    <t xml:space="preserve">Region for Dynamic Scalars</t>
  </si>
  <si>
    <t xml:space="preserve">Super Peak Scalars</t>
  </si>
  <si>
    <t xml:space="preserve">Pricing Inputs Point</t>
  </si>
  <si>
    <t xml:space="preserve">16Hr WD</t>
  </si>
  <si>
    <t xml:space="preserve">16Hr Sat</t>
  </si>
  <si>
    <t xml:space="preserve">16Hr Sun</t>
  </si>
  <si>
    <t xml:space="preserve">M-F Pk</t>
  </si>
  <si>
    <t xml:space="preserve">Sat Pk</t>
  </si>
  <si>
    <t xml:space="preserve">Sun Pk</t>
  </si>
  <si>
    <t xml:space="preserve">Mon-Sun</t>
  </si>
  <si>
    <t xml:space="preserve">All-in-Gas</t>
  </si>
  <si>
    <t xml:space="preserve">5X16 Pwr</t>
  </si>
  <si>
    <t xml:space="preserve">Sat Peak</t>
  </si>
  <si>
    <t xml:space="preserve">Sun Peak</t>
  </si>
  <si>
    <t xml:space="preserve">M-F,Sat,Sun</t>
  </si>
  <si>
    <t xml:space="preserve">Nymex</t>
  </si>
  <si>
    <t xml:space="preserve">Fuel Loss</t>
  </si>
  <si>
    <t xml:space="preserve">Transport</t>
  </si>
  <si>
    <t xml:space="preserve">Libor AA</t>
  </si>
  <si>
    <t xml:space="preserve">Scalar</t>
  </si>
  <si>
    <t xml:space="preserve">OP Price</t>
  </si>
  <si>
    <t xml:space="preserve">Prices</t>
  </si>
  <si>
    <t xml:space="preserve">Adder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</si>
</sst>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[$-409]#,##0_);\(#,##0\)"/>
    <numFmt numFmtId="166" formatCode="#,##0"/>
    <numFmt numFmtId="167" formatCode="0_);[RED]\-0_)"/>
    <numFmt numFmtId="168" formatCode="mm/dd/yy"/>
    <numFmt numFmtId="169" formatCode="[$-409]mmm\-yy"/>
    <numFmt numFmtId="170" formatCode="#,##0.0_);\(#,##0.0\)"/>
    <numFmt numFmtId="171" formatCode="_(\$* #,##0.00_);_(\$* \(#,##0.00\);_(\$* \-??_);_(@_)"/>
    <numFmt numFmtId="172" formatCode="_(\$* #,##0.000_);_(\$* \(#,##0.000\);_(\$* \-??_);_(@_)"/>
    <numFmt numFmtId="173" formatCode="0%"/>
    <numFmt numFmtId="174" formatCode="0.00%"/>
    <numFmt numFmtId="175" formatCode="_(\$* #,##0.00_);_(\$* \(#,##0.00\);_(\$* \-?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mmm"/>
    <numFmt numFmtId="180" formatCode="[$-409]#,##0.00_);\(#,##0.00\)"/>
    <numFmt numFmtId="181" formatCode="mmm\-yy_)"/>
    <numFmt numFmtId="182" formatCode="[$-409]m/d/yyyy"/>
    <numFmt numFmtId="183" formatCode="mm/dd/yy_)"/>
    <numFmt numFmtId="184" formatCode="\$#,##0.00_);[RED]&quot;($&quot;#,##0.00\)"/>
    <numFmt numFmtId="185" formatCode="dd\-mmm\-yy_)"/>
    <numFmt numFmtId="186" formatCode="[$-409]h:mm"/>
    <numFmt numFmtId="187" formatCode="dd\-mmm\-yy_);[RED]dd\-mmm\-yy_)"/>
    <numFmt numFmtId="188" formatCode="0.00"/>
    <numFmt numFmtId="189" formatCode="#,##0.0000_);\(#,##0.0000\)"/>
    <numFmt numFmtId="190" formatCode="\$#,##0.00_);&quot;($&quot;#,##0.00\)"/>
    <numFmt numFmtId="191" formatCode="0.000"/>
    <numFmt numFmtId="192" formatCode="_(\$* #,##0.0000_);_(\$* \(#,##0.0000\);_(\$* \-??_);_(@_)"/>
    <numFmt numFmtId="193" formatCode="0"/>
    <numFmt numFmtId="194" formatCode="[$-409]d\-mmm\-yy"/>
    <numFmt numFmtId="195" formatCode="#,##0.000_);\(#,##0.000\)"/>
    <numFmt numFmtId="196" formatCode="0.0000"/>
    <numFmt numFmtId="197" formatCode="0.0%"/>
    <numFmt numFmtId="198" formatCode="0.000%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i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8"/>
      <color rgb="FF0000FF"/>
      <name val="Arial"/>
      <family val="0"/>
    </font>
    <font>
      <sz val="10"/>
      <color rgb="FF0000FF"/>
      <name val="Courier New"/>
      <family val="0"/>
    </font>
    <font>
      <b val="true"/>
      <sz val="10"/>
      <color rgb="FF000000"/>
      <name val="Courier New"/>
      <family val="0"/>
    </font>
    <font>
      <b val="true"/>
      <sz val="10"/>
      <name val="Arial"/>
      <family val="0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Courier New"/>
      <family val="3"/>
    </font>
    <font>
      <b val="true"/>
      <sz val="8"/>
      <name val="Arial"/>
      <family val="2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sz val="9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color rgb="FFFFFF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69FFFF"/>
        <bgColor rgb="FFA6CAF0"/>
      </patternFill>
    </fill>
    <fill>
      <patternFill patternType="solid">
        <fgColor rgb="FFC0C0C0"/>
        <bgColor rgb="FFA6CAF0"/>
      </patternFill>
    </fill>
    <fill>
      <patternFill patternType="solid">
        <fgColor rgb="FF00FF00"/>
        <bgColor rgb="FF00FFFF"/>
      </patternFill>
    </fill>
    <fill>
      <patternFill patternType="solid">
        <fgColor rgb="FF00FFFF"/>
        <bgColor rgb="FF00FFFF"/>
      </patternFill>
    </fill>
    <fill>
      <patternFill patternType="solid">
        <fgColor rgb="FFA6CAF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4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4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5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1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7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7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3" fontId="13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7" fillId="1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1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7" fillId="1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1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7" fillId="11" borderId="3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1" borderId="3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3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3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3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3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4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11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11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10" borderId="3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0" borderId="3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3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3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4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3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2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1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7" fillId="2" borderId="3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7" fillId="1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" fillId="1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1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7" fillId="10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1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7" fillId="11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1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1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10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4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4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4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10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0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0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11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4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3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7" fillId="2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2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1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33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14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1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1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  <cellStyle name="Unprot" xfId="21"/>
    <cellStyle name="Unprot$" xfId="22"/>
    <cellStyle name="Unprotect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CCC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Pricing Inputs!$AR$19" lockText="1" noThreeD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autoLine="false" print="true" fmlaLink="Pricing Inputs!$AR$17" lockText="1" noThreeD="1"/>
</file>

<file path=xl/ctrlProps/ctrlProps6.xml><?xml version="1.0" encoding="utf-8"?>
<formControlPr xmlns="http://schemas.microsoft.com/office/spreadsheetml/2009/9/main" objectType="CheckBox" checked="Checked" autoLine="false" print="true" fmlaLink="Pricing Inputs!$AR$21" lockText="1" noThreeD="1"/>
</file>

<file path=xl/ctrlProps/ctrlProps7.xml><?xml version="1.0" encoding="utf-8"?>
<formControlPr xmlns="http://schemas.microsoft.com/office/spreadsheetml/2009/9/main" objectType="CheckBox" autoLine="false" print="true" fmlaLink="Pricing Inputs!$AR$23" lockText="1" noThreeD="1"/>
</file>

<file path=xl/ctrlProps/ctrlProps8.xml><?xml version="1.0" encoding="utf-8"?>
<formControlPr xmlns="http://schemas.microsoft.com/office/spreadsheetml/2009/9/main" objectType="CheckBox" checked="Checked" autoLine="false" print="true" fmlaLink="Pricing Inputs!$AR$25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3</xdr:row>
          <xdr:rowOff>66600</xdr:rowOff>
        </xdr:from>
        <xdr:to>
          <xdr:col>3</xdr:col>
          <xdr:colOff>81360</xdr:colOff>
          <xdr:row>4</xdr:row>
          <xdr:rowOff>104760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9</xdr:row>
          <xdr:rowOff>56880</xdr:rowOff>
        </xdr:from>
        <xdr:to>
          <xdr:col>2</xdr:col>
          <xdr:colOff>503280</xdr:colOff>
          <xdr:row>10</xdr:row>
          <xdr:rowOff>104760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13</xdr:row>
          <xdr:rowOff>56880</xdr:rowOff>
        </xdr:from>
        <xdr:to>
          <xdr:col>2</xdr:col>
          <xdr:colOff>503280</xdr:colOff>
          <xdr:row>14</xdr:row>
          <xdr:rowOff>95040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16</xdr:row>
          <xdr:rowOff>47520</xdr:rowOff>
        </xdr:from>
        <xdr:to>
          <xdr:col>2</xdr:col>
          <xdr:colOff>543600</xdr:colOff>
          <xdr:row>17</xdr:row>
          <xdr:rowOff>95040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241200</xdr:colOff>
          <xdr:row>23</xdr:row>
          <xdr:rowOff>143280</xdr:rowOff>
        </xdr:from>
        <xdr:to>
          <xdr:col>2</xdr:col>
          <xdr:colOff>563760</xdr:colOff>
          <xdr:row>25</xdr:row>
          <xdr:rowOff>19080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311040</xdr:colOff>
          <xdr:row>18</xdr:row>
          <xdr:rowOff>28800</xdr:rowOff>
        </xdr:from>
        <xdr:to>
          <xdr:col>1</xdr:col>
          <xdr:colOff>614880</xdr:colOff>
          <xdr:row>19</xdr:row>
          <xdr:rowOff>76320</xdr:rowOff>
        </xdr:to>
        <xdr:sp>
          <xdr:nvSpPr>
            <xdr:cNvPr id="1001" name="Check Box 9" descr="Use Gas 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28</xdr:row>
          <xdr:rowOff>75960</xdr:rowOff>
        </xdr:from>
        <xdr:to>
          <xdr:col>2</xdr:col>
          <xdr:colOff>513720</xdr:colOff>
          <xdr:row>29</xdr:row>
          <xdr:rowOff>142920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34</xdr:row>
          <xdr:rowOff>142560</xdr:rowOff>
        </xdr:from>
        <xdr:to>
          <xdr:col>2</xdr:col>
          <xdr:colOff>574200</xdr:colOff>
          <xdr:row>36</xdr:row>
          <xdr:rowOff>9360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552960</xdr:colOff>
          <xdr:row>5</xdr:row>
          <xdr:rowOff>9360</xdr:rowOff>
        </xdr:from>
        <xdr:to>
          <xdr:col>3</xdr:col>
          <xdr:colOff>755280</xdr:colOff>
          <xdr:row>6</xdr:row>
          <xdr:rowOff>47160</xdr:rowOff>
        </xdr:to>
        <xdr:sp>
          <xdr:nvSpPr>
            <xdr:cNvPr id="1002" name="Button 19" descr="Refres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543240</xdr:colOff>
          <xdr:row>14</xdr:row>
          <xdr:rowOff>37800</xdr:rowOff>
        </xdr:from>
        <xdr:to>
          <xdr:col>3</xdr:col>
          <xdr:colOff>725400</xdr:colOff>
          <xdr:row>15</xdr:row>
          <xdr:rowOff>56880</xdr:rowOff>
        </xdr:to>
        <xdr:sp>
          <xdr:nvSpPr>
            <xdr:cNvPr id="1003" name="Button 20" descr="Refresh Curve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432000</xdr:colOff>
          <xdr:row>37</xdr:row>
          <xdr:rowOff>9720</xdr:rowOff>
        </xdr:from>
        <xdr:to>
          <xdr:col>6</xdr:col>
          <xdr:colOff>209880</xdr:colOff>
          <xdr:row>38</xdr:row>
          <xdr:rowOff>47520</xdr:rowOff>
        </xdr:to>
        <xdr:sp>
          <xdr:nvSpPr>
            <xdr:cNvPr id="1004" name="Check Box 22" descr="Use Vol Sm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Vol Smile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31</xdr:row>
          <xdr:rowOff>104400</xdr:rowOff>
        </xdr:from>
        <xdr:to>
          <xdr:col>2</xdr:col>
          <xdr:colOff>523440</xdr:colOff>
          <xdr:row>32</xdr:row>
          <xdr:rowOff>142920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241200</xdr:colOff>
          <xdr:row>43</xdr:row>
          <xdr:rowOff>142560</xdr:rowOff>
        </xdr:from>
        <xdr:to>
          <xdr:col>2</xdr:col>
          <xdr:colOff>563760</xdr:colOff>
          <xdr:row>45</xdr:row>
          <xdr:rowOff>9000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160560</xdr:colOff>
          <xdr:row>18</xdr:row>
          <xdr:rowOff>28800</xdr:rowOff>
        </xdr:from>
        <xdr:to>
          <xdr:col>3</xdr:col>
          <xdr:colOff>563760</xdr:colOff>
          <xdr:row>19</xdr:row>
          <xdr:rowOff>76320</xdr:rowOff>
        </xdr:to>
        <xdr:sp>
          <xdr:nvSpPr>
            <xdr:cNvPr id="1005" name="Check Box 25" descr="Use Gas Inde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Index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21</xdr:row>
          <xdr:rowOff>95400</xdr:rowOff>
        </xdr:from>
        <xdr:to>
          <xdr:col>14</xdr:col>
          <xdr:colOff>377280</xdr:colOff>
          <xdr:row>23</xdr:row>
          <xdr:rowOff>9360</xdr:rowOff>
        </xdr:to>
        <xdr:sp>
          <xdr:nvSpPr>
            <xdr:cNvPr id="1006" name="Check Box 27" descr="Correlation Overr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Correlation Override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40</xdr:row>
          <xdr:rowOff>132840</xdr:rowOff>
        </xdr:from>
        <xdr:to>
          <xdr:col>2</xdr:col>
          <xdr:colOff>563760</xdr:colOff>
          <xdr:row>42</xdr:row>
          <xdr:rowOff>38520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46</xdr:row>
          <xdr:rowOff>133200</xdr:rowOff>
        </xdr:from>
        <xdr:to>
          <xdr:col>2</xdr:col>
          <xdr:colOff>563760</xdr:colOff>
          <xdr:row>48</xdr:row>
          <xdr:rowOff>19440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37</xdr:row>
          <xdr:rowOff>143280</xdr:rowOff>
        </xdr:from>
        <xdr:to>
          <xdr:col>2</xdr:col>
          <xdr:colOff>574200</xdr:colOff>
          <xdr:row>39</xdr:row>
          <xdr:rowOff>19080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231120</xdr:colOff>
          <xdr:row>25</xdr:row>
          <xdr:rowOff>85320</xdr:rowOff>
        </xdr:from>
        <xdr:to>
          <xdr:col>2</xdr:col>
          <xdr:colOff>322920</xdr:colOff>
          <xdr:row>26</xdr:row>
          <xdr:rowOff>152280</xdr:rowOff>
        </xdr:to>
        <xdr:sp>
          <xdr:nvSpPr>
            <xdr:cNvPr id="1007" name="Check Box 31" descr="Use Off Peak Extrinsi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Off Peak Extrinsic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280800</xdr:colOff>
      <xdr:row>33</xdr:row>
      <xdr:rowOff>152640</xdr:rowOff>
    </xdr:from>
    <xdr:to>
      <xdr:col>14</xdr:col>
      <xdr:colOff>594360</xdr:colOff>
      <xdr:row>35</xdr:row>
      <xdr:rowOff>114480</xdr:rowOff>
    </xdr:to>
    <xdr:cxnSp>
      <xdr:nvCxnSpPr>
        <xdr:cNvPr id="0" name="AutoShape 0"/>
        <xdr:cNvCxnSpPr/>
      </xdr:nvCxnSpPr>
      <xdr:spPr>
        <a:xfrm rot="5400000">
          <a:off x="9846720" y="5487120"/>
          <a:ext cx="295560" cy="313920"/>
        </a:xfrm>
        <a:prstGeom prst="bentConnector3">
          <a:avLst>
            <a:gd name="adj1" fmla="val 48414"/>
          </a:avLst>
        </a:prstGeom>
        <a:ln w="9360">
          <a:solidFill>
            <a:srgbClr val="000000"/>
          </a:solidFill>
          <a:miter/>
          <a:tailEnd len="med" type="triangle" w="med"/>
        </a:ln>
      </xdr:spPr>
    </xdr:cxnSp>
    <xdr:clientData/>
  </xdr:twoCellAnchor>
  <xdr:twoCellAnchor editAs="oneCell">
    <xdr:from>
      <xdr:col>3</xdr:col>
      <xdr:colOff>311760</xdr:colOff>
      <xdr:row>33</xdr:row>
      <xdr:rowOff>0</xdr:rowOff>
    </xdr:from>
    <xdr:to>
      <xdr:col>4</xdr:col>
      <xdr:colOff>252360</xdr:colOff>
      <xdr:row>35</xdr:row>
      <xdr:rowOff>152640</xdr:rowOff>
    </xdr:to>
    <xdr:sp>
      <xdr:nvSpPr>
        <xdr:cNvPr id="1" name="Line 266"/>
        <xdr:cNvSpPr/>
      </xdr:nvSpPr>
      <xdr:spPr>
        <a:xfrm>
          <a:off x="2394000" y="5343480"/>
          <a:ext cx="584280" cy="486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18.41"/>
    <col collapsed="false" customWidth="true" hidden="false" outlineLevel="0" max="3" min="3" style="1" width="10.85"/>
    <col collapsed="false" customWidth="true" hidden="false" outlineLevel="0" max="4" min="4" style="1" width="11.42"/>
    <col collapsed="false" customWidth="true" hidden="false" outlineLevel="0" max="5" min="5" style="1" width="5.71"/>
    <col collapsed="false" customWidth="true" hidden="false" outlineLevel="0" max="6" min="6" style="1" width="6.41"/>
    <col collapsed="false" customWidth="true" hidden="false" outlineLevel="0" max="7" min="7" style="1" width="8.41"/>
    <col collapsed="false" customWidth="true" hidden="false" outlineLevel="0" max="8" min="8" style="1" width="5.56"/>
    <col collapsed="false" customWidth="true" hidden="false" outlineLevel="0" max="9" min="9" style="1" width="6.7"/>
    <col collapsed="false" customWidth="true" hidden="false" outlineLevel="0" max="10" min="10" style="1" width="8.56"/>
    <col collapsed="false" customWidth="true" hidden="false" outlineLevel="0" max="11" min="11" style="1" width="5.85"/>
    <col collapsed="false" customWidth="true" hidden="false" outlineLevel="0" max="12" min="12" style="1" width="5.56"/>
    <col collapsed="false" customWidth="true" hidden="false" outlineLevel="0" max="13" min="13" style="1" width="5.41"/>
    <col collapsed="false" customWidth="true" hidden="false" outlineLevel="0" max="14" min="14" style="1" width="6.99"/>
    <col collapsed="false" customWidth="true" hidden="false" outlineLevel="0" max="15" min="15" style="1" width="6.7"/>
    <col collapsed="false" customWidth="true" hidden="false" outlineLevel="0" max="16" min="16" style="1" width="5.71"/>
    <col collapsed="false" customWidth="true" hidden="false" outlineLevel="0" max="17" min="17" style="1" width="12.7"/>
    <col collapsed="false" customWidth="true" hidden="false" outlineLevel="0" max="18" min="18" style="1" width="12.28"/>
    <col collapsed="false" customWidth="true" hidden="false" outlineLevel="0" max="19" min="19" style="1" width="10.99"/>
    <col collapsed="false" customWidth="true" hidden="false" outlineLevel="0" max="20" min="20" style="1" width="9.85"/>
    <col collapsed="false" customWidth="true" hidden="false" outlineLevel="0" max="21" min="21" style="1" width="8.7"/>
    <col collapsed="false" customWidth="true" hidden="false" outlineLevel="0" max="22" min="22" style="1" width="5.71"/>
    <col collapsed="false" customWidth="true" hidden="false" outlineLevel="0" max="23" min="23" style="1" width="4.14"/>
    <col collapsed="false" customWidth="true" hidden="false" outlineLevel="0" max="24" min="24" style="1" width="12.14"/>
    <col collapsed="false" customWidth="true" hidden="false" outlineLevel="0" max="25" min="25" style="1" width="6.7"/>
    <col collapsed="false" customWidth="true" hidden="false" outlineLevel="0" max="26" min="26" style="1" width="9.85"/>
    <col collapsed="false" customWidth="true" hidden="false" outlineLevel="0" max="27" min="27" style="1" width="12.14"/>
    <col collapsed="false" customWidth="true" hidden="false" outlineLevel="0" max="28" min="28" style="1" width="3.7"/>
    <col collapsed="false" customWidth="true" hidden="false" outlineLevel="0" max="29" min="29" style="1" width="9.85"/>
    <col collapsed="false" customWidth="true" hidden="false" outlineLevel="0" max="30" min="30" style="1" width="12.14"/>
    <col collapsed="false" customWidth="true" hidden="false" outlineLevel="0" max="31" min="31" style="1" width="4.14"/>
    <col collapsed="false" customWidth="false" hidden="false" outlineLevel="0" max="257" min="32" style="1" width="9.14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2" t="s">
        <v>0</v>
      </c>
      <c r="C2" s="2"/>
      <c r="D2" s="2"/>
      <c r="E2" s="3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Q2" s="2" t="s">
        <v>2</v>
      </c>
      <c r="R2" s="2"/>
      <c r="S2" s="2"/>
      <c r="T2" s="2"/>
    </row>
    <row r="3" customFormat="false" ht="12.75" hidden="false" customHeight="false" outlineLevel="0" collapsed="false">
      <c r="B3" s="4" t="s">
        <v>3</v>
      </c>
      <c r="C3" s="5"/>
      <c r="D3" s="6" t="n">
        <f aca="true">TODAY()</f>
        <v>45926</v>
      </c>
      <c r="E3" s="7"/>
      <c r="F3" s="8"/>
      <c r="G3" s="9"/>
      <c r="H3" s="9"/>
      <c r="I3" s="10" t="s">
        <v>4</v>
      </c>
      <c r="J3" s="5"/>
      <c r="K3" s="10" t="s">
        <v>5</v>
      </c>
      <c r="L3" s="9"/>
      <c r="M3" s="9"/>
      <c r="N3" s="9"/>
      <c r="O3" s="11"/>
      <c r="Q3" s="12" t="s">
        <v>6</v>
      </c>
      <c r="R3" s="13"/>
      <c r="S3" s="14"/>
      <c r="T3" s="15"/>
    </row>
    <row r="4" customFormat="false" ht="12.75" hidden="false" customHeight="false" outlineLevel="0" collapsed="false">
      <c r="B4" s="16" t="s">
        <v>7</v>
      </c>
      <c r="C4" s="17"/>
      <c r="D4" s="18" t="n">
        <f aca="true">TODAY()</f>
        <v>45926</v>
      </c>
      <c r="E4" s="7"/>
      <c r="F4" s="19"/>
      <c r="G4" s="20" t="s">
        <v>8</v>
      </c>
      <c r="H4" s="20" t="s">
        <v>8</v>
      </c>
      <c r="I4" s="20" t="s">
        <v>8</v>
      </c>
      <c r="J4" s="20" t="s">
        <v>9</v>
      </c>
      <c r="K4" s="20" t="s">
        <v>9</v>
      </c>
      <c r="L4" s="20" t="s">
        <v>9</v>
      </c>
      <c r="M4" s="20" t="s">
        <v>10</v>
      </c>
      <c r="N4" s="20" t="s">
        <v>10</v>
      </c>
      <c r="O4" s="21" t="s">
        <v>10</v>
      </c>
      <c r="Q4" s="22" t="s">
        <v>11</v>
      </c>
      <c r="R4" s="23"/>
      <c r="S4" s="24" t="n">
        <v>37135</v>
      </c>
      <c r="T4" s="25"/>
    </row>
    <row r="5" customFormat="false" ht="12.75" hidden="false" customHeight="false" outlineLevel="0" collapsed="false">
      <c r="B5" s="26" t="s">
        <v>12</v>
      </c>
      <c r="C5" s="27"/>
      <c r="D5" s="28"/>
      <c r="E5" s="29"/>
      <c r="F5" s="30" t="s">
        <v>13</v>
      </c>
      <c r="G5" s="31" t="s">
        <v>14</v>
      </c>
      <c r="H5" s="31" t="s">
        <v>15</v>
      </c>
      <c r="I5" s="31" t="s">
        <v>16</v>
      </c>
      <c r="J5" s="31" t="s">
        <v>14</v>
      </c>
      <c r="K5" s="31" t="s">
        <v>15</v>
      </c>
      <c r="L5" s="31" t="s">
        <v>16</v>
      </c>
      <c r="M5" s="31" t="s">
        <v>14</v>
      </c>
      <c r="N5" s="31" t="s">
        <v>15</v>
      </c>
      <c r="O5" s="32" t="s">
        <v>16</v>
      </c>
      <c r="Q5" s="22" t="s">
        <v>17</v>
      </c>
      <c r="R5" s="23"/>
      <c r="S5" s="24" t="n">
        <v>37986</v>
      </c>
      <c r="T5" s="25"/>
    </row>
    <row r="6" customFormat="false" ht="12.75" hidden="false" customHeight="false" outlineLevel="0" collapsed="false">
      <c r="B6" s="33"/>
      <c r="C6" s="17"/>
      <c r="D6" s="34"/>
      <c r="E6" s="29"/>
      <c r="F6" s="30" t="n">
        <v>1</v>
      </c>
      <c r="G6" s="35" t="n">
        <v>1</v>
      </c>
      <c r="H6" s="35" t="n">
        <v>1</v>
      </c>
      <c r="I6" s="35" t="n">
        <v>1</v>
      </c>
      <c r="J6" s="35" t="n">
        <v>1</v>
      </c>
      <c r="K6" s="35" t="n">
        <v>1</v>
      </c>
      <c r="L6" s="35" t="n">
        <v>1</v>
      </c>
      <c r="M6" s="35" t="n">
        <v>1</v>
      </c>
      <c r="N6" s="35" t="n">
        <v>1</v>
      </c>
      <c r="O6" s="36" t="n">
        <v>1</v>
      </c>
      <c r="Q6" s="22" t="s">
        <v>18</v>
      </c>
      <c r="R6" s="23"/>
      <c r="S6" s="37" t="n">
        <f aca="false">(S5-S4)/365</f>
        <v>2.33150684931507</v>
      </c>
      <c r="T6" s="25"/>
    </row>
    <row r="7" customFormat="false" ht="12.75" hidden="false" customHeight="false" outlineLevel="0" collapsed="false">
      <c r="B7" s="33"/>
      <c r="C7" s="17"/>
      <c r="D7" s="34"/>
      <c r="E7" s="29"/>
      <c r="F7" s="30" t="n">
        <v>2</v>
      </c>
      <c r="G7" s="35" t="n">
        <v>1</v>
      </c>
      <c r="H7" s="35" t="n">
        <v>1</v>
      </c>
      <c r="I7" s="35" t="n">
        <v>1</v>
      </c>
      <c r="J7" s="35" t="n">
        <v>1</v>
      </c>
      <c r="K7" s="35" t="n">
        <v>1</v>
      </c>
      <c r="L7" s="35" t="n">
        <v>1</v>
      </c>
      <c r="M7" s="35" t="n">
        <v>1</v>
      </c>
      <c r="N7" s="35" t="n">
        <v>1</v>
      </c>
      <c r="O7" s="36" t="n">
        <v>1</v>
      </c>
      <c r="Q7" s="22"/>
      <c r="R7" s="23"/>
      <c r="S7" s="17"/>
      <c r="T7" s="25"/>
    </row>
    <row r="8" customFormat="false" ht="12.75" hidden="false" customHeight="false" outlineLevel="0" collapsed="false">
      <c r="B8" s="38" t="s">
        <v>19</v>
      </c>
      <c r="C8" s="39"/>
      <c r="D8" s="18" t="n">
        <f aca="false">CurveDate</f>
        <v>45926</v>
      </c>
      <c r="E8" s="40"/>
      <c r="F8" s="30" t="n">
        <v>3</v>
      </c>
      <c r="G8" s="35" t="n">
        <v>1</v>
      </c>
      <c r="H8" s="35" t="n">
        <v>1</v>
      </c>
      <c r="I8" s="35" t="n">
        <v>1</v>
      </c>
      <c r="J8" s="35" t="n">
        <v>1</v>
      </c>
      <c r="K8" s="35" t="n">
        <v>1</v>
      </c>
      <c r="L8" s="35" t="n">
        <v>1</v>
      </c>
      <c r="M8" s="35" t="n">
        <v>1</v>
      </c>
      <c r="N8" s="35" t="n">
        <v>1</v>
      </c>
      <c r="O8" s="36" t="n">
        <v>1</v>
      </c>
      <c r="Q8" s="41" t="s">
        <v>20</v>
      </c>
      <c r="R8" s="42"/>
      <c r="S8" s="43"/>
      <c r="T8" s="25"/>
    </row>
    <row r="9" customFormat="false" ht="12.75" hidden="false" customHeight="false" outlineLevel="0" collapsed="false">
      <c r="B9" s="16" t="s">
        <v>21</v>
      </c>
      <c r="C9" s="39"/>
      <c r="D9" s="44"/>
      <c r="E9" s="7"/>
      <c r="F9" s="30" t="n">
        <v>4</v>
      </c>
      <c r="G9" s="35" t="n">
        <v>1</v>
      </c>
      <c r="H9" s="35" t="n">
        <v>1</v>
      </c>
      <c r="I9" s="35" t="n">
        <v>1</v>
      </c>
      <c r="J9" s="35" t="n">
        <v>1</v>
      </c>
      <c r="K9" s="35" t="n">
        <v>1</v>
      </c>
      <c r="L9" s="35" t="n">
        <v>1</v>
      </c>
      <c r="M9" s="35" t="n">
        <v>1</v>
      </c>
      <c r="N9" s="35" t="n">
        <v>1</v>
      </c>
      <c r="O9" s="36" t="n">
        <v>1</v>
      </c>
      <c r="Q9" s="45" t="s">
        <v>22</v>
      </c>
      <c r="R9" s="46"/>
      <c r="S9" s="47" t="n">
        <v>0</v>
      </c>
      <c r="T9" s="25" t="s">
        <v>23</v>
      </c>
    </row>
    <row r="10" customFormat="false" ht="12.75" hidden="false" customHeight="false" outlineLevel="0" collapsed="false">
      <c r="B10" s="48"/>
      <c r="C10" s="49"/>
      <c r="D10" s="50"/>
      <c r="E10" s="40"/>
      <c r="F10" s="30" t="n">
        <v>5</v>
      </c>
      <c r="G10" s="35" t="n">
        <v>1</v>
      </c>
      <c r="H10" s="35" t="n">
        <v>1</v>
      </c>
      <c r="I10" s="35" t="n">
        <v>1</v>
      </c>
      <c r="J10" s="35" t="n">
        <v>1</v>
      </c>
      <c r="K10" s="35" t="n">
        <v>1</v>
      </c>
      <c r="L10" s="35" t="n">
        <v>1</v>
      </c>
      <c r="M10" s="35" t="n">
        <v>1</v>
      </c>
      <c r="N10" s="35" t="n">
        <v>1</v>
      </c>
      <c r="O10" s="36" t="n">
        <v>1</v>
      </c>
      <c r="Q10" s="45" t="s">
        <v>24</v>
      </c>
      <c r="R10" s="46"/>
      <c r="S10" s="47" t="n">
        <v>0</v>
      </c>
      <c r="T10" s="25" t="s">
        <v>23</v>
      </c>
    </row>
    <row r="11" customFormat="false" ht="12.75" hidden="false" customHeight="false" outlineLevel="0" collapsed="false">
      <c r="B11" s="33"/>
      <c r="C11" s="17"/>
      <c r="D11" s="25"/>
      <c r="E11" s="40"/>
      <c r="F11" s="30" t="n">
        <v>6</v>
      </c>
      <c r="G11" s="35" t="n">
        <v>1</v>
      </c>
      <c r="H11" s="35" t="n">
        <v>1</v>
      </c>
      <c r="I11" s="35" t="n">
        <v>1</v>
      </c>
      <c r="J11" s="35" t="n">
        <v>1</v>
      </c>
      <c r="K11" s="35" t="n">
        <v>1</v>
      </c>
      <c r="L11" s="35" t="n">
        <v>1</v>
      </c>
      <c r="M11" s="35" t="n">
        <v>1</v>
      </c>
      <c r="N11" s="35" t="n">
        <v>1</v>
      </c>
      <c r="O11" s="36" t="n">
        <v>1</v>
      </c>
      <c r="Q11" s="22" t="s">
        <v>25</v>
      </c>
      <c r="R11" s="23"/>
      <c r="S11" s="51" t="n">
        <v>0</v>
      </c>
      <c r="T11" s="25"/>
    </row>
    <row r="12" customFormat="false" ht="12.75" hidden="false" customHeight="false" outlineLevel="0" collapsed="false">
      <c r="B12" s="38" t="s">
        <v>26</v>
      </c>
      <c r="C12" s="49"/>
      <c r="D12" s="18" t="n">
        <f aca="false">CurveDate</f>
        <v>45926</v>
      </c>
      <c r="E12" s="7"/>
      <c r="F12" s="30" t="n">
        <v>7</v>
      </c>
      <c r="G12" s="35" t="n">
        <v>1</v>
      </c>
      <c r="H12" s="35" t="n">
        <v>1</v>
      </c>
      <c r="I12" s="35" t="n">
        <v>1</v>
      </c>
      <c r="J12" s="35" t="n">
        <v>1</v>
      </c>
      <c r="K12" s="35" t="n">
        <v>1</v>
      </c>
      <c r="L12" s="35" t="n">
        <v>1</v>
      </c>
      <c r="M12" s="35" t="n">
        <v>1</v>
      </c>
      <c r="N12" s="35" t="n">
        <v>1</v>
      </c>
      <c r="O12" s="36" t="n">
        <v>1</v>
      </c>
      <c r="Q12" s="22" t="s">
        <v>27</v>
      </c>
      <c r="R12" s="23"/>
      <c r="S12" s="52" t="n">
        <v>0.01</v>
      </c>
      <c r="T12" s="25" t="s">
        <v>23</v>
      </c>
    </row>
    <row r="13" customFormat="false" ht="12.75" hidden="false" customHeight="false" outlineLevel="0" collapsed="false">
      <c r="B13" s="16" t="s">
        <v>28</v>
      </c>
      <c r="C13" s="49"/>
      <c r="D13" s="44"/>
      <c r="E13" s="7"/>
      <c r="F13" s="30" t="n">
        <v>8</v>
      </c>
      <c r="G13" s="35" t="n">
        <v>1</v>
      </c>
      <c r="H13" s="35" t="n">
        <v>1</v>
      </c>
      <c r="I13" s="35" t="n">
        <v>1</v>
      </c>
      <c r="J13" s="35" t="n">
        <v>1</v>
      </c>
      <c r="K13" s="35" t="n">
        <v>1</v>
      </c>
      <c r="L13" s="35" t="n">
        <v>1</v>
      </c>
      <c r="M13" s="35" t="n">
        <v>1</v>
      </c>
      <c r="N13" s="35" t="n">
        <v>1</v>
      </c>
      <c r="O13" s="36" t="n">
        <v>1</v>
      </c>
      <c r="Q13" s="22"/>
      <c r="R13" s="23"/>
      <c r="S13" s="53"/>
      <c r="T13" s="25"/>
    </row>
    <row r="14" customFormat="false" ht="12.75" hidden="false" customHeight="false" outlineLevel="0" collapsed="false">
      <c r="B14" s="33"/>
      <c r="C14" s="49"/>
      <c r="D14" s="50"/>
      <c r="E14" s="7"/>
      <c r="F14" s="30" t="n">
        <v>9</v>
      </c>
      <c r="G14" s="35" t="n">
        <v>1</v>
      </c>
      <c r="H14" s="35" t="n">
        <v>1</v>
      </c>
      <c r="I14" s="35" t="n">
        <v>1</v>
      </c>
      <c r="J14" s="35" t="n">
        <v>1</v>
      </c>
      <c r="K14" s="35" t="n">
        <v>1</v>
      </c>
      <c r="L14" s="35" t="n">
        <v>1</v>
      </c>
      <c r="M14" s="35" t="n">
        <v>1</v>
      </c>
      <c r="N14" s="35" t="n">
        <v>1</v>
      </c>
      <c r="O14" s="36" t="n">
        <v>1</v>
      </c>
      <c r="Q14" s="41" t="s">
        <v>29</v>
      </c>
      <c r="R14" s="42"/>
      <c r="S14" s="17"/>
      <c r="T14" s="25"/>
    </row>
    <row r="15" customFormat="false" ht="12.75" hidden="false" customHeight="false" outlineLevel="0" collapsed="false">
      <c r="B15" s="33"/>
      <c r="C15" s="49"/>
      <c r="D15" s="50"/>
      <c r="E15" s="7"/>
      <c r="F15" s="30" t="n">
        <v>10</v>
      </c>
      <c r="G15" s="35" t="n">
        <v>1</v>
      </c>
      <c r="H15" s="35" t="n">
        <v>1</v>
      </c>
      <c r="I15" s="35" t="n">
        <v>1</v>
      </c>
      <c r="J15" s="35" t="n">
        <v>1</v>
      </c>
      <c r="K15" s="35" t="n">
        <v>1</v>
      </c>
      <c r="L15" s="35" t="n">
        <v>1</v>
      </c>
      <c r="M15" s="35" t="n">
        <v>1</v>
      </c>
      <c r="N15" s="35" t="n">
        <v>1</v>
      </c>
      <c r="O15" s="36" t="n">
        <v>1</v>
      </c>
      <c r="Q15" s="22" t="s">
        <v>30</v>
      </c>
      <c r="R15" s="23"/>
      <c r="S15" s="47" t="n">
        <v>0</v>
      </c>
      <c r="T15" s="25" t="s">
        <v>23</v>
      </c>
    </row>
    <row r="16" customFormat="false" ht="12.75" hidden="false" customHeight="false" outlineLevel="0" collapsed="false">
      <c r="B16" s="16" t="s">
        <v>31</v>
      </c>
      <c r="C16" s="17"/>
      <c r="D16" s="25"/>
      <c r="E16" s="40"/>
      <c r="F16" s="30" t="n">
        <v>11</v>
      </c>
      <c r="G16" s="35" t="n">
        <v>1</v>
      </c>
      <c r="H16" s="35" t="n">
        <v>1</v>
      </c>
      <c r="I16" s="35" t="n">
        <v>1</v>
      </c>
      <c r="J16" s="35" t="n">
        <v>1</v>
      </c>
      <c r="K16" s="35" t="n">
        <v>1</v>
      </c>
      <c r="L16" s="35" t="n">
        <v>1</v>
      </c>
      <c r="M16" s="35" t="n">
        <v>1</v>
      </c>
      <c r="N16" s="35" t="n">
        <v>1</v>
      </c>
      <c r="O16" s="36" t="n">
        <v>1</v>
      </c>
      <c r="Q16" s="22" t="s">
        <v>32</v>
      </c>
      <c r="R16" s="23"/>
      <c r="S16" s="47" t="n">
        <v>0</v>
      </c>
      <c r="T16" s="25" t="s">
        <v>23</v>
      </c>
    </row>
    <row r="17" customFormat="false" ht="13.5" hidden="false" customHeight="false" outlineLevel="0" collapsed="false">
      <c r="B17" s="33"/>
      <c r="C17" s="17"/>
      <c r="D17" s="25"/>
      <c r="E17" s="40"/>
      <c r="F17" s="54" t="n">
        <v>12</v>
      </c>
      <c r="G17" s="55" t="n">
        <v>1</v>
      </c>
      <c r="H17" s="55" t="n">
        <v>1</v>
      </c>
      <c r="I17" s="55" t="n">
        <v>1</v>
      </c>
      <c r="J17" s="55" t="n">
        <v>1</v>
      </c>
      <c r="K17" s="55" t="n">
        <v>1</v>
      </c>
      <c r="L17" s="55" t="n">
        <v>1</v>
      </c>
      <c r="M17" s="55" t="n">
        <v>1</v>
      </c>
      <c r="N17" s="55" t="n">
        <v>1</v>
      </c>
      <c r="O17" s="56" t="n">
        <v>1</v>
      </c>
      <c r="Q17" s="22"/>
      <c r="R17" s="23"/>
      <c r="S17" s="17"/>
      <c r="T17" s="25"/>
    </row>
    <row r="18" customFormat="false" ht="12.75" hidden="false" customHeight="false" outlineLevel="0" collapsed="false">
      <c r="B18" s="33"/>
      <c r="C18" s="17"/>
      <c r="D18" s="25"/>
      <c r="E18" s="40"/>
      <c r="F18" s="40"/>
      <c r="G18" s="40"/>
      <c r="Q18" s="41" t="s">
        <v>33</v>
      </c>
      <c r="R18" s="42"/>
      <c r="S18" s="43"/>
      <c r="T18" s="25"/>
    </row>
    <row r="19" customFormat="false" ht="13.5" hidden="false" customHeight="false" outlineLevel="0" collapsed="false">
      <c r="B19" s="57"/>
      <c r="C19" s="58"/>
      <c r="D19" s="59"/>
      <c r="E19" s="7"/>
      <c r="F19" s="60"/>
      <c r="G19" s="60"/>
      <c r="Q19" s="61" t="s">
        <v>34</v>
      </c>
      <c r="R19" s="62"/>
      <c r="S19" s="63" t="n">
        <v>0</v>
      </c>
      <c r="T19" s="25" t="s">
        <v>35</v>
      </c>
    </row>
    <row r="20" customFormat="false" ht="12.75" hidden="false" customHeight="false" outlineLevel="0" collapsed="false">
      <c r="Q20" s="22" t="s">
        <v>36</v>
      </c>
      <c r="R20" s="23"/>
      <c r="S20" s="51" t="n">
        <v>0</v>
      </c>
      <c r="T20" s="25" t="s">
        <v>37</v>
      </c>
    </row>
    <row r="21" customFormat="false" ht="13.5" hidden="false" customHeight="false" outlineLevel="0" collapsed="false">
      <c r="M21" s="64" t="s">
        <v>38</v>
      </c>
      <c r="N21" s="65"/>
      <c r="Q21" s="22" t="s">
        <v>39</v>
      </c>
      <c r="R21" s="23"/>
      <c r="S21" s="66" t="n">
        <v>0</v>
      </c>
      <c r="T21" s="25" t="s">
        <v>40</v>
      </c>
    </row>
    <row r="22" customFormat="false" ht="16.5" hidden="false" customHeight="false" outlineLevel="0" collapsed="false">
      <c r="B22" s="2" t="s">
        <v>41</v>
      </c>
      <c r="C22" s="2"/>
      <c r="D22" s="3"/>
      <c r="E22" s="2" t="s">
        <v>42</v>
      </c>
      <c r="F22" s="2"/>
      <c r="G22" s="2"/>
      <c r="I22" s="67" t="s">
        <v>43</v>
      </c>
      <c r="J22" s="67"/>
      <c r="M22" s="68" t="s">
        <v>44</v>
      </c>
      <c r="N22" s="69" t="n">
        <v>6.5</v>
      </c>
      <c r="Q22" s="33"/>
      <c r="R22" s="17"/>
      <c r="S22" s="51" t="n">
        <v>0.5</v>
      </c>
      <c r="T22" s="25"/>
    </row>
    <row r="23" customFormat="false" ht="12.75" hidden="false" customHeight="false" outlineLevel="0" collapsed="false">
      <c r="B23" s="12" t="s">
        <v>45</v>
      </c>
      <c r="C23" s="15"/>
      <c r="D23" s="40"/>
      <c r="E23" s="70" t="s">
        <v>13</v>
      </c>
      <c r="F23" s="14" t="s">
        <v>46</v>
      </c>
      <c r="G23" s="71" t="s">
        <v>47</v>
      </c>
      <c r="I23" s="70" t="s">
        <v>13</v>
      </c>
      <c r="J23" s="71" t="s">
        <v>48</v>
      </c>
      <c r="M23" s="68" t="s">
        <v>49</v>
      </c>
      <c r="N23" s="69" t="n">
        <v>1</v>
      </c>
      <c r="Q23" s="22" t="s">
        <v>50</v>
      </c>
      <c r="R23" s="23"/>
      <c r="S23" s="51" t="n">
        <v>0.9</v>
      </c>
      <c r="T23" s="25"/>
    </row>
    <row r="24" customFormat="false" ht="16.5" hidden="false" customHeight="true" outlineLevel="0" collapsed="false">
      <c r="B24" s="33"/>
      <c r="C24" s="72"/>
      <c r="D24" s="40"/>
      <c r="E24" s="73" t="n">
        <v>1</v>
      </c>
      <c r="F24" s="74" t="n">
        <v>1</v>
      </c>
      <c r="G24" s="75" t="n">
        <v>1</v>
      </c>
      <c r="I24" s="73" t="n">
        <v>1</v>
      </c>
      <c r="J24" s="76" t="n">
        <v>9500</v>
      </c>
      <c r="Q24" s="22"/>
      <c r="R24" s="23"/>
      <c r="S24" s="17"/>
      <c r="T24" s="25"/>
    </row>
    <row r="25" customFormat="false" ht="12.75" hidden="false" customHeight="true" outlineLevel="0" collapsed="false">
      <c r="B25" s="33"/>
      <c r="C25" s="72"/>
      <c r="D25" s="40"/>
      <c r="E25" s="73" t="n">
        <v>2</v>
      </c>
      <c r="F25" s="77" t="n">
        <f aca="false">F24</f>
        <v>1</v>
      </c>
      <c r="G25" s="78" t="n">
        <f aca="false">G24</f>
        <v>1</v>
      </c>
      <c r="I25" s="73" t="n">
        <v>2</v>
      </c>
      <c r="J25" s="79" t="n">
        <f aca="false">J24</f>
        <v>9500</v>
      </c>
      <c r="Q25" s="41" t="s">
        <v>51</v>
      </c>
      <c r="R25" s="42"/>
      <c r="S25" s="80"/>
      <c r="T25" s="25"/>
    </row>
    <row r="26" customFormat="false" ht="12.75" hidden="false" customHeight="true" outlineLevel="0" collapsed="false">
      <c r="B26" s="81"/>
      <c r="C26" s="25"/>
      <c r="D26" s="40"/>
      <c r="E26" s="73" t="n">
        <v>3</v>
      </c>
      <c r="F26" s="77" t="n">
        <f aca="false">F25</f>
        <v>1</v>
      </c>
      <c r="G26" s="78" t="n">
        <f aca="false">G25</f>
        <v>1</v>
      </c>
      <c r="I26" s="73" t="n">
        <v>3</v>
      </c>
      <c r="J26" s="79" t="n">
        <f aca="false">J25</f>
        <v>9500</v>
      </c>
      <c r="Q26" s="22" t="s">
        <v>52</v>
      </c>
      <c r="R26" s="23"/>
      <c r="S26" s="82" t="n">
        <v>123</v>
      </c>
      <c r="T26" s="25" t="s">
        <v>53</v>
      </c>
    </row>
    <row r="27" customFormat="false" ht="13.5" hidden="false" customHeight="false" outlineLevel="0" collapsed="false">
      <c r="B27" s="81" t="s">
        <v>54</v>
      </c>
      <c r="C27" s="25"/>
      <c r="D27" s="40"/>
      <c r="E27" s="73" t="n">
        <v>4</v>
      </c>
      <c r="F27" s="77" t="n">
        <f aca="false">F26</f>
        <v>1</v>
      </c>
      <c r="G27" s="78" t="n">
        <f aca="false">G26</f>
        <v>1</v>
      </c>
      <c r="I27" s="73" t="n">
        <v>4</v>
      </c>
      <c r="J27" s="79" t="n">
        <f aca="false">J26</f>
        <v>9500</v>
      </c>
      <c r="Q27" s="83" t="s">
        <v>55</v>
      </c>
      <c r="R27" s="84"/>
      <c r="S27" s="85" t="n">
        <v>123</v>
      </c>
      <c r="T27" s="86" t="s">
        <v>53</v>
      </c>
    </row>
    <row r="28" customFormat="false" ht="12.75" hidden="false" customHeight="false" outlineLevel="0" collapsed="false">
      <c r="B28" s="33"/>
      <c r="C28" s="25"/>
      <c r="D28" s="40"/>
      <c r="E28" s="73" t="n">
        <v>5</v>
      </c>
      <c r="F28" s="77" t="n">
        <f aca="false">F27</f>
        <v>1</v>
      </c>
      <c r="G28" s="78" t="n">
        <f aca="false">G27</f>
        <v>1</v>
      </c>
      <c r="I28" s="73" t="n">
        <v>5</v>
      </c>
      <c r="J28" s="79" t="n">
        <f aca="false">J27</f>
        <v>9500</v>
      </c>
    </row>
    <row r="29" customFormat="false" ht="13.5" hidden="false" customHeight="false" outlineLevel="0" collapsed="false">
      <c r="B29" s="81"/>
      <c r="C29" s="25"/>
      <c r="D29" s="40"/>
      <c r="E29" s="73" t="n">
        <v>6</v>
      </c>
      <c r="F29" s="77" t="n">
        <f aca="false">F28</f>
        <v>1</v>
      </c>
      <c r="G29" s="78" t="n">
        <f aca="false">G28</f>
        <v>1</v>
      </c>
      <c r="I29" s="73" t="n">
        <v>6</v>
      </c>
      <c r="J29" s="79" t="n">
        <f aca="false">J28</f>
        <v>9500</v>
      </c>
    </row>
    <row r="30" customFormat="false" ht="16.5" hidden="false" customHeight="false" outlineLevel="0" collapsed="false">
      <c r="B30" s="81" t="s">
        <v>56</v>
      </c>
      <c r="C30" s="25"/>
      <c r="D30" s="40"/>
      <c r="E30" s="73" t="n">
        <v>7</v>
      </c>
      <c r="F30" s="77" t="n">
        <f aca="false">F29</f>
        <v>1</v>
      </c>
      <c r="G30" s="78" t="n">
        <f aca="false">G29</f>
        <v>1</v>
      </c>
      <c r="I30" s="73" t="n">
        <v>7</v>
      </c>
      <c r="J30" s="79" t="n">
        <f aca="false">J29</f>
        <v>9500</v>
      </c>
      <c r="O30" s="87" t="s">
        <v>57</v>
      </c>
      <c r="P30" s="87"/>
      <c r="Q30" s="87"/>
      <c r="R30" s="87"/>
      <c r="S30" s="87"/>
      <c r="T30" s="87"/>
    </row>
    <row r="31" customFormat="false" ht="12.75" hidden="false" customHeight="false" outlineLevel="0" collapsed="false">
      <c r="B31" s="33"/>
      <c r="C31" s="25"/>
      <c r="D31" s="40"/>
      <c r="E31" s="73" t="n">
        <v>8</v>
      </c>
      <c r="F31" s="77" t="n">
        <f aca="false">F30</f>
        <v>1</v>
      </c>
      <c r="G31" s="78" t="n">
        <f aca="false">G30</f>
        <v>1</v>
      </c>
      <c r="I31" s="73" t="n">
        <v>8</v>
      </c>
      <c r="J31" s="79" t="n">
        <f aca="false">J30</f>
        <v>9500</v>
      </c>
      <c r="O31" s="88"/>
      <c r="P31" s="89"/>
      <c r="Q31" s="89"/>
      <c r="R31" s="90" t="s">
        <v>58</v>
      </c>
      <c r="S31" s="90" t="s">
        <v>59</v>
      </c>
      <c r="T31" s="91" t="s">
        <v>60</v>
      </c>
    </row>
    <row r="32" customFormat="false" ht="12.75" hidden="false" customHeight="false" outlineLevel="0" collapsed="false">
      <c r="B32" s="41"/>
      <c r="C32" s="25"/>
      <c r="D32" s="40"/>
      <c r="E32" s="73" t="n">
        <v>9</v>
      </c>
      <c r="F32" s="77" t="n">
        <f aca="false">F31</f>
        <v>1</v>
      </c>
      <c r="G32" s="78" t="n">
        <f aca="false">G31</f>
        <v>1</v>
      </c>
      <c r="I32" s="73" t="n">
        <v>9</v>
      </c>
      <c r="J32" s="79" t="n">
        <f aca="false">J31</f>
        <v>9500</v>
      </c>
      <c r="O32" s="92" t="s">
        <v>61</v>
      </c>
      <c r="P32" s="93"/>
      <c r="Q32" s="93"/>
      <c r="R32" s="94" t="e">
        <f aca="false">SUM(Calculations!CZ4:CZ255)</f>
        <v>#N/A</v>
      </c>
      <c r="S32" s="94"/>
      <c r="T32" s="95" t="e">
        <f aca="false">R32/$S$38/1000</f>
        <v>#N/A</v>
      </c>
    </row>
    <row r="33" customFormat="false" ht="12.75" hidden="false" customHeight="false" outlineLevel="0" collapsed="false">
      <c r="B33" s="41" t="s">
        <v>62</v>
      </c>
      <c r="C33" s="96"/>
      <c r="D33" s="40"/>
      <c r="E33" s="73" t="n">
        <v>10</v>
      </c>
      <c r="F33" s="77" t="n">
        <f aca="false">F32</f>
        <v>1</v>
      </c>
      <c r="G33" s="78" t="n">
        <f aca="false">G32</f>
        <v>1</v>
      </c>
      <c r="I33" s="73" t="n">
        <v>10</v>
      </c>
      <c r="J33" s="79" t="n">
        <f aca="false">J32</f>
        <v>9500</v>
      </c>
      <c r="O33" s="92" t="s">
        <v>63</v>
      </c>
      <c r="P33" s="93"/>
      <c r="Q33" s="93"/>
      <c r="R33" s="94" t="e">
        <f aca="false">SUM(Calculations!DA4:DA255)</f>
        <v>#N/A</v>
      </c>
      <c r="S33" s="94"/>
      <c r="T33" s="95" t="e">
        <f aca="false">R33/$S$38/1000</f>
        <v>#N/A</v>
      </c>
    </row>
    <row r="34" customFormat="false" ht="12.75" hidden="false" customHeight="false" outlineLevel="0" collapsed="false">
      <c r="B34" s="33"/>
      <c r="C34" s="25"/>
      <c r="D34" s="40"/>
      <c r="E34" s="73" t="n">
        <v>11</v>
      </c>
      <c r="F34" s="77" t="n">
        <f aca="false">F33</f>
        <v>1</v>
      </c>
      <c r="G34" s="78" t="n">
        <f aca="false">G33</f>
        <v>1</v>
      </c>
      <c r="I34" s="73" t="n">
        <v>11</v>
      </c>
      <c r="J34" s="79" t="n">
        <f aca="false">J33</f>
        <v>9500</v>
      </c>
      <c r="O34" s="92" t="s">
        <v>64</v>
      </c>
      <c r="P34" s="93"/>
      <c r="Q34" s="93"/>
      <c r="R34" s="94" t="e">
        <f aca="false">SUM(Calculations!DB4:DB255)</f>
        <v>#N/A</v>
      </c>
      <c r="S34" s="94"/>
      <c r="T34" s="95" t="e">
        <f aca="false">R34/$S$38/1000</f>
        <v>#N/A</v>
      </c>
    </row>
    <row r="35" customFormat="false" ht="13.5" hidden="false" customHeight="false" outlineLevel="0" collapsed="false">
      <c r="B35" s="41"/>
      <c r="C35" s="25"/>
      <c r="D35" s="40"/>
      <c r="E35" s="73" t="n">
        <v>12</v>
      </c>
      <c r="F35" s="77" t="n">
        <f aca="false">F34</f>
        <v>1</v>
      </c>
      <c r="G35" s="78" t="n">
        <f aca="false">G34</f>
        <v>1</v>
      </c>
      <c r="I35" s="97" t="n">
        <v>12</v>
      </c>
      <c r="J35" s="98" t="n">
        <f aca="false">J34</f>
        <v>9500</v>
      </c>
      <c r="O35" s="92" t="s">
        <v>65</v>
      </c>
      <c r="P35" s="93"/>
      <c r="Q35" s="93"/>
      <c r="R35" s="94" t="e">
        <f aca="false">SUM(Calculations!DC4:DC255)</f>
        <v>#N/A</v>
      </c>
      <c r="S35" s="94"/>
      <c r="T35" s="95" t="e">
        <f aca="false">R35/$S$38/1000</f>
        <v>#N/A</v>
      </c>
    </row>
    <row r="36" customFormat="false" ht="12.75" hidden="false" customHeight="false" outlineLevel="0" collapsed="false">
      <c r="B36" s="41" t="s">
        <v>66</v>
      </c>
      <c r="C36" s="25"/>
      <c r="D36" s="40"/>
      <c r="E36" s="33"/>
      <c r="F36" s="17"/>
      <c r="G36" s="25"/>
      <c r="J36" s="40"/>
      <c r="O36" s="92" t="s">
        <v>67</v>
      </c>
      <c r="P36" s="93"/>
      <c r="Q36" s="93"/>
      <c r="R36" s="94" t="n">
        <f aca="false">SUM(Calculations!DH4:DH255)*-1</f>
        <v>-0</v>
      </c>
      <c r="S36" s="94"/>
      <c r="T36" s="95" t="n">
        <f aca="false">R36/$S$38/1000</f>
        <v>-0</v>
      </c>
    </row>
    <row r="37" customFormat="false" ht="13.5" hidden="false" customHeight="false" outlineLevel="0" collapsed="false">
      <c r="B37" s="33"/>
      <c r="C37" s="25"/>
      <c r="D37" s="40"/>
      <c r="E37" s="99"/>
      <c r="F37" s="100"/>
      <c r="G37" s="86"/>
      <c r="J37" s="40"/>
      <c r="O37" s="92" t="s">
        <v>68</v>
      </c>
      <c r="P37" s="93"/>
      <c r="Q37" s="93"/>
      <c r="R37" s="101" t="n">
        <f aca="false">SUM(Calculations!DI4:DI255)*-1</f>
        <v>-0</v>
      </c>
      <c r="S37" s="101"/>
      <c r="T37" s="102" t="n">
        <f aca="false">R37/$S$38/1000</f>
        <v>-0</v>
      </c>
    </row>
    <row r="38" customFormat="false" ht="12.75" hidden="false" customHeight="false" outlineLevel="0" collapsed="false">
      <c r="B38" s="41"/>
      <c r="C38" s="25"/>
      <c r="D38" s="40"/>
      <c r="E38" s="40"/>
      <c r="J38" s="40"/>
      <c r="O38" s="103" t="s">
        <v>69</v>
      </c>
      <c r="P38" s="104"/>
      <c r="Q38" s="104"/>
      <c r="R38" s="101" t="e">
        <f aca="false">SUM(R32:R37)</f>
        <v>#N/A</v>
      </c>
      <c r="S38" s="101" t="n">
        <f aca="false">SUM(Calculations!$CY$4:$CY$255)</f>
        <v>2.78380923887778E+017</v>
      </c>
      <c r="T38" s="102" t="e">
        <f aca="false">R38/S38/1000</f>
        <v>#N/A</v>
      </c>
    </row>
    <row r="39" customFormat="false" ht="12.75" hidden="false" customHeight="false" outlineLevel="0" collapsed="false">
      <c r="B39" s="41" t="s">
        <v>70</v>
      </c>
      <c r="C39" s="25"/>
      <c r="F39" s="40"/>
      <c r="G39" s="40"/>
      <c r="H39" s="40"/>
      <c r="J39" s="40"/>
      <c r="O39" s="105"/>
      <c r="P39" s="93"/>
      <c r="Q39" s="93"/>
      <c r="R39" s="94"/>
      <c r="S39" s="93"/>
      <c r="T39" s="106"/>
    </row>
    <row r="40" customFormat="false" ht="12.75" hidden="false" customHeight="false" outlineLevel="0" collapsed="false">
      <c r="B40" s="33"/>
      <c r="C40" s="25"/>
      <c r="M40" s="107"/>
      <c r="O40" s="105"/>
      <c r="P40" s="93"/>
      <c r="Q40" s="93"/>
      <c r="R40" s="108" t="s">
        <v>71</v>
      </c>
      <c r="S40" s="108" t="s">
        <v>72</v>
      </c>
      <c r="T40" s="109" t="s">
        <v>73</v>
      </c>
    </row>
    <row r="41" customFormat="false" ht="12.75" hidden="false" customHeight="false" outlineLevel="0" collapsed="false">
      <c r="B41" s="41"/>
      <c r="C41" s="25"/>
      <c r="M41" s="107"/>
      <c r="O41" s="103" t="s">
        <v>74</v>
      </c>
      <c r="P41" s="104"/>
      <c r="Q41" s="104"/>
      <c r="R41" s="101" t="e">
        <f aca="false">SUM(Calculations!DL4:DL255)/S6</f>
        <v>#N/A</v>
      </c>
      <c r="S41" s="101" t="e">
        <f aca="false">SUM(Calculations!DM4:DM255)/S6</f>
        <v>#N/A</v>
      </c>
      <c r="T41" s="110" t="e">
        <f aca="false">SUM(R41:S41)</f>
        <v>#N/A</v>
      </c>
    </row>
    <row r="42" customFormat="false" ht="12.75" hidden="false" customHeight="false" outlineLevel="0" collapsed="false">
      <c r="B42" s="41" t="s">
        <v>75</v>
      </c>
      <c r="C42" s="96"/>
      <c r="O42" s="105"/>
      <c r="P42" s="93"/>
      <c r="Q42" s="93"/>
      <c r="R42" s="93"/>
      <c r="S42" s="93"/>
      <c r="T42" s="111"/>
    </row>
    <row r="43" customFormat="false" ht="13.5" hidden="false" customHeight="false" outlineLevel="0" collapsed="false">
      <c r="B43" s="112"/>
      <c r="C43" s="96"/>
      <c r="O43" s="113" t="s">
        <v>76</v>
      </c>
      <c r="P43" s="114"/>
      <c r="Q43" s="114"/>
      <c r="R43" s="115" t="e">
        <f aca="false">SUM(Calculations!DD4:DD255)</f>
        <v>#N/A</v>
      </c>
      <c r="S43" s="115" t="n">
        <f aca="false">SUM(Calculations!$CY$4:$CY$255)</f>
        <v>2.78380923887778E+017</v>
      </c>
      <c r="T43" s="116" t="e">
        <f aca="false">R43/S43/1000</f>
        <v>#N/A</v>
      </c>
    </row>
    <row r="44" customFormat="false" ht="12.75" hidden="false" customHeight="false" outlineLevel="0" collapsed="false">
      <c r="B44" s="41"/>
      <c r="C44" s="96"/>
    </row>
    <row r="45" customFormat="false" ht="12.75" hidden="false" customHeight="false" outlineLevel="0" collapsed="false">
      <c r="B45" s="41" t="s">
        <v>77</v>
      </c>
      <c r="C45" s="96"/>
    </row>
    <row r="46" customFormat="false" ht="21.75" hidden="false" customHeight="true" outlineLevel="0" collapsed="false">
      <c r="B46" s="99"/>
      <c r="C46" s="86"/>
      <c r="Q46" s="117"/>
      <c r="R46" s="117"/>
    </row>
    <row r="47" customFormat="false" ht="12.75" hidden="false" customHeight="false" outlineLevel="0" collapsed="false">
      <c r="B47" s="40"/>
      <c r="C47" s="40"/>
    </row>
    <row r="48" customFormat="false" ht="13.5" hidden="false" customHeight="false" outlineLevel="0" collapsed="false"/>
    <row r="49" customFormat="false" ht="16.5" hidden="false" customHeight="false" outlineLevel="0" collapsed="false">
      <c r="B49" s="2" t="s">
        <v>78</v>
      </c>
      <c r="C49" s="2"/>
    </row>
    <row r="50" customFormat="false" ht="12.75" hidden="false" customHeight="false" outlineLevel="0" collapsed="false">
      <c r="B50" s="1" t="s">
        <v>79</v>
      </c>
    </row>
    <row r="51" customFormat="false" ht="12.75" hidden="false" customHeight="false" outlineLevel="0" collapsed="false">
      <c r="B51" s="1" t="s">
        <v>80</v>
      </c>
    </row>
  </sheetData>
  <mergeCells count="8">
    <mergeCell ref="B2:D2"/>
    <mergeCell ref="F2:O2"/>
    <mergeCell ref="Q2:T2"/>
    <mergeCell ref="B22:C22"/>
    <mergeCell ref="E22:G22"/>
    <mergeCell ref="I22:J22"/>
    <mergeCell ref="O30:T30"/>
    <mergeCell ref="B49:C49"/>
  </mergeCells>
  <printOptions headings="false" gridLines="false" gridLinesSet="true" horizontalCentered="true" verticalCentered="false"/>
  <pageMargins left="0.5" right="0.5" top="1.25" bottom="1" header="0.75" footer="1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&amp;C&amp;"Arial,Bold"&amp;16PRICING RESULTS SHEET</oddHeader>
    <oddFooter>&amp;R&amp;D &amp;T
&amp;F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Use Gas Basis">
              <controlPr defaultSize="0" locked="1" autoFill="0" autoLine="0" autoPict="0" print="true" altText="Check Box 9">
                <anchor moveWithCells="true" sizeWithCells="false">
                  <from>
                    <xdr:col>0</xdr:col>
                    <xdr:colOff>311040</xdr:colOff>
                    <xdr:row>18</xdr:row>
                    <xdr:rowOff>28800</xdr:rowOff>
                  </from>
                  <to>
                    <xdr:col>1</xdr:col>
                    <xdr:colOff>614880</xdr:colOff>
                    <xdr:row>19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9">
              <controlPr defaultSize="0" print="false" autoFill="0" autoPict="0" macro="Module1.Curverefresh">
                <anchor moveWithCells="true" sizeWithCells="false">
                  <from>
                    <xdr:col>2</xdr:col>
                    <xdr:colOff>552960</xdr:colOff>
                    <xdr:row>5</xdr:row>
                    <xdr:rowOff>9360</xdr:rowOff>
                  </from>
                  <to>
                    <xdr:col>3</xdr:col>
                    <xdr:colOff>755280</xdr:colOff>
                    <xdr:row>6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0">
              <controlPr defaultSize="0" print="false" autoFill="0" autoPict="0" macro="Module1.LoadInTheCurves">
                <anchor moveWithCells="true" sizeWithCells="false">
                  <from>
                    <xdr:col>2</xdr:col>
                    <xdr:colOff>543240</xdr:colOff>
                    <xdr:row>14</xdr:row>
                    <xdr:rowOff>37800</xdr:rowOff>
                  </from>
                  <to>
                    <xdr:col>3</xdr:col>
                    <xdr:colOff>725400</xdr:colOff>
                    <xdr:row>15</xdr:row>
                    <xdr:rowOff>56880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Use Vol Smile">
              <controlPr defaultSize="0" locked="1" autoFill="0" autoLine="0" autoPict="0" print="true" altText="Check Box 22">
                <anchor moveWithCells="true" sizeWithCells="false">
                  <from>
                    <xdr:col>4</xdr:col>
                    <xdr:colOff>432000</xdr:colOff>
                    <xdr:row>37</xdr:row>
                    <xdr:rowOff>9720</xdr:rowOff>
                  </from>
                  <to>
                    <xdr:col>6</xdr:col>
                    <xdr:colOff>209880</xdr:colOff>
                    <xdr:row>38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Use Gas Index">
              <controlPr defaultSize="0" locked="1" autoFill="0" autoLine="0" autoPict="0" print="true" altText="Check Box 25">
                <anchor moveWithCells="true" sizeWithCells="false">
                  <from>
                    <xdr:col>2</xdr:col>
                    <xdr:colOff>160560</xdr:colOff>
                    <xdr:row>18</xdr:row>
                    <xdr:rowOff>28800</xdr:rowOff>
                  </from>
                  <to>
                    <xdr:col>3</xdr:col>
                    <xdr:colOff>563760</xdr:colOff>
                    <xdr:row>19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Correlation Override">
              <controlPr defaultSize="0" locked="1" autoFill="0" autoLine="0" autoPict="0" print="true" altText="Check Box 27">
                <anchor moveWithCells="true" sizeWithCells="false">
                  <from>
                    <xdr:col>12</xdr:col>
                    <xdr:colOff>457200</xdr:colOff>
                    <xdr:row>21</xdr:row>
                    <xdr:rowOff>95400</xdr:rowOff>
                  </from>
                  <to>
                    <xdr:col>14</xdr:col>
                    <xdr:colOff>377280</xdr:colOff>
                    <xdr:row>23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Use Off Peak Extrinsic">
              <controlPr defaultSize="0" locked="1" autoFill="0" autoLine="0" autoPict="0" print="true" altText="Check Box 31">
                <anchor moveWithCells="true" sizeWithCells="false">
                  <from>
                    <xdr:col>0</xdr:col>
                    <xdr:colOff>231120</xdr:colOff>
                    <xdr:row>25</xdr:row>
                    <xdr:rowOff>85320</xdr:rowOff>
                  </from>
                  <to>
                    <xdr:col>2</xdr:col>
                    <xdr:colOff>322920</xdr:colOff>
                    <xdr:row>26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K50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4" activeCellId="0" sqref="B4:CE4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8" width="6.7"/>
    <col collapsed="false" customWidth="true" hidden="false" outlineLevel="0" max="2" min="2" style="118" width="10.99"/>
    <col collapsed="false" customWidth="true" hidden="false" outlineLevel="0" max="3" min="3" style="119" width="8.56"/>
    <col collapsed="false" customWidth="true" hidden="false" outlineLevel="0" max="4" min="4" style="119" width="8.41"/>
    <col collapsed="false" customWidth="true" hidden="false" outlineLevel="0" max="5" min="5" style="119" width="9.14"/>
    <col collapsed="false" customWidth="true" hidden="false" outlineLevel="0" max="7" min="6" style="119" width="7.85"/>
    <col collapsed="false" customWidth="true" hidden="false" outlineLevel="0" max="8" min="8" style="119" width="9.56"/>
    <col collapsed="false" customWidth="true" hidden="false" outlineLevel="0" max="10" min="9" style="119" width="7.85"/>
    <col collapsed="false" customWidth="true" hidden="false" outlineLevel="0" max="11" min="11" style="119" width="9.14"/>
    <col collapsed="false" customWidth="true" hidden="false" outlineLevel="0" max="20" min="12" style="119" width="7.85"/>
    <col collapsed="false" customWidth="true" hidden="false" outlineLevel="0" max="21" min="21" style="119" width="9.14"/>
    <col collapsed="false" customWidth="true" hidden="false" outlineLevel="0" max="57" min="22" style="119" width="7.85"/>
    <col collapsed="false" customWidth="true" hidden="false" outlineLevel="0" max="58" min="58" style="119" width="9.14"/>
    <col collapsed="false" customWidth="true" hidden="false" outlineLevel="0" max="75" min="59" style="119" width="7.85"/>
    <col collapsed="false" customWidth="true" hidden="false" outlineLevel="0" max="84" min="76" style="119" width="9.14"/>
    <col collapsed="false" customWidth="true" hidden="false" outlineLevel="0" max="85" min="85" style="119" width="14.99"/>
    <col collapsed="false" customWidth="true" hidden="false" outlineLevel="0" max="87" min="86" style="119" width="11.42"/>
    <col collapsed="false" customWidth="true" hidden="false" outlineLevel="0" max="88" min="88" style="120" width="9.14"/>
    <col collapsed="false" customWidth="true" hidden="false" outlineLevel="0" max="89" min="89" style="0" width="10.71"/>
    <col collapsed="false" customWidth="true" hidden="false" outlineLevel="0" max="91" min="91" style="120" width="9.14"/>
    <col collapsed="false" customWidth="true" hidden="false" outlineLevel="0" max="92" min="92" style="118" width="9.14"/>
    <col collapsed="false" customWidth="true" hidden="false" outlineLevel="0" max="93" min="93" style="118" width="18.99"/>
    <col collapsed="false" customWidth="true" hidden="false" outlineLevel="0" max="97" min="94" style="118" width="9.14"/>
    <col collapsed="false" customWidth="true" hidden="false" outlineLevel="0" max="98" min="98" style="0" width="13.56"/>
    <col collapsed="false" customWidth="true" hidden="false" outlineLevel="0" max="107" min="99" style="0" width="10.28"/>
    <col collapsed="false" customWidth="true" hidden="false" outlineLevel="0" max="108" min="108" style="0" width="10.85"/>
    <col collapsed="false" customWidth="true" hidden="false" outlineLevel="0" max="109" min="109" style="0" width="11.85"/>
    <col collapsed="false" customWidth="true" hidden="false" outlineLevel="0" max="111" min="110" style="0" width="11.7"/>
    <col collapsed="false" customWidth="true" hidden="false" outlineLevel="0" max="131" min="112" style="0" width="10.99"/>
    <col collapsed="false" customWidth="true" hidden="false" outlineLevel="0" max="132" min="132" style="0" width="16.42"/>
    <col collapsed="false" customWidth="true" hidden="false" outlineLevel="0" max="136" min="133" style="0" width="10.99"/>
    <col collapsed="false" customWidth="true" hidden="false" outlineLevel="0" max="141" min="137" style="0" width="10.28"/>
  </cols>
  <sheetData>
    <row r="2" customFormat="false" ht="24" hidden="false" customHeight="false" outlineLevel="0" collapsed="false">
      <c r="A2" s="120"/>
      <c r="B2" s="121" t="s">
        <v>81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N2" s="121"/>
    </row>
    <row r="3" customFormat="false" ht="27" hidden="false" customHeight="true" outlineLevel="0" collapsed="false">
      <c r="A3" s="124"/>
      <c r="B3" s="125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2"/>
      <c r="N3" s="123"/>
      <c r="O3" s="123"/>
      <c r="P3" s="123"/>
      <c r="Q3" s="126" t="s">
        <v>82</v>
      </c>
      <c r="R3" s="127"/>
      <c r="S3" s="127"/>
      <c r="T3" s="128"/>
      <c r="U3" s="129" t="n">
        <f aca="false">MAX(B10:B262)</f>
        <v>43862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0"/>
      <c r="AV3" s="0"/>
      <c r="AW3" s="123"/>
      <c r="AX3" s="123"/>
      <c r="AY3" s="123"/>
      <c r="AZ3" s="123"/>
      <c r="BA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0"/>
      <c r="BX3" s="123"/>
      <c r="BY3" s="123"/>
      <c r="BZ3" s="123"/>
      <c r="CA3" s="123"/>
      <c r="CB3" s="123"/>
      <c r="CC3" s="123"/>
      <c r="CD3" s="123"/>
      <c r="CE3" s="123"/>
      <c r="CF3" s="130"/>
      <c r="CG3" s="120"/>
      <c r="CH3" s="130"/>
      <c r="CI3" s="130"/>
      <c r="CK3" s="131"/>
      <c r="CL3" s="131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EB3" s="132" t="s">
        <v>83</v>
      </c>
      <c r="EC3" s="132"/>
    </row>
    <row r="4" customFormat="false" ht="13.5" hidden="false" customHeight="false" outlineLevel="0" collapsed="false">
      <c r="A4" s="133"/>
      <c r="B4" s="134" t="s">
        <v>84</v>
      </c>
      <c r="C4" s="135" t="s">
        <v>85</v>
      </c>
      <c r="D4" s="136"/>
      <c r="E4" s="137" t="n">
        <v>37104</v>
      </c>
      <c r="F4" s="138"/>
      <c r="G4" s="139"/>
      <c r="H4" s="139"/>
      <c r="I4" s="139"/>
      <c r="J4" s="140"/>
      <c r="K4" s="141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41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18"/>
      <c r="CG4" s="120"/>
      <c r="CH4" s="120"/>
      <c r="CI4" s="120"/>
      <c r="CK4" s="131"/>
      <c r="CL4" s="131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EB4" s="142" t="str">
        <f aca="false">INDEX(EB6:EB19,EC4)</f>
        <v>1  BUSBAR</v>
      </c>
      <c r="EC4" s="143" t="n">
        <v>2</v>
      </c>
      <c r="EG4" s="120"/>
      <c r="EH4" s="120"/>
      <c r="EI4" s="120"/>
      <c r="EJ4" s="120"/>
    </row>
    <row r="5" customFormat="false" ht="12.75" hidden="false" customHeight="false" outlineLevel="0" collapsed="false">
      <c r="A5" s="133"/>
      <c r="B5" s="144"/>
      <c r="C5" s="136"/>
      <c r="D5" s="136"/>
      <c r="E5" s="136"/>
      <c r="F5" s="140"/>
      <c r="G5" s="139"/>
      <c r="H5" s="139"/>
      <c r="I5" s="139"/>
      <c r="J5" s="140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 t="s">
        <v>86</v>
      </c>
      <c r="Y5" s="139"/>
      <c r="Z5" s="139"/>
      <c r="AA5" s="139"/>
      <c r="AB5" s="139"/>
      <c r="AC5" s="139"/>
      <c r="AD5" s="139"/>
      <c r="AE5" s="139"/>
      <c r="AF5" s="139" t="s">
        <v>87</v>
      </c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41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18"/>
      <c r="CG5" s="145"/>
      <c r="CH5" s="146"/>
      <c r="CI5" s="146"/>
      <c r="CK5" s="146"/>
      <c r="CL5" s="146"/>
      <c r="CM5" s="147"/>
      <c r="CN5" s="0"/>
      <c r="CO5" s="0"/>
      <c r="CP5" s="0"/>
      <c r="CQ5" s="0"/>
      <c r="CR5" s="0"/>
      <c r="CY5" s="148" t="s">
        <v>88</v>
      </c>
      <c r="DC5" s="148" t="s">
        <v>88</v>
      </c>
      <c r="DH5" s="130"/>
      <c r="DI5" s="130"/>
      <c r="DJ5" s="130"/>
      <c r="DL5" s="148" t="s">
        <v>89</v>
      </c>
      <c r="DM5" s="130"/>
      <c r="DN5" s="130"/>
      <c r="DO5" s="130"/>
      <c r="DP5" s="148" t="s">
        <v>89</v>
      </c>
      <c r="DQ5" s="130"/>
      <c r="DR5" s="130"/>
      <c r="EB5" s="149" t="s">
        <v>90</v>
      </c>
      <c r="EC5" s="150" t="s">
        <v>91</v>
      </c>
      <c r="EG5" s="120"/>
      <c r="EH5" s="120"/>
      <c r="EI5" s="120"/>
      <c r="EJ5" s="120"/>
    </row>
    <row r="6" customFormat="false" ht="12.75" hidden="false" customHeight="false" outlineLevel="0" collapsed="false">
      <c r="A6" s="133"/>
      <c r="B6" s="140"/>
      <c r="C6" s="140"/>
      <c r="D6" s="140" t="s">
        <v>92</v>
      </c>
      <c r="E6" s="140"/>
      <c r="F6" s="140"/>
      <c r="G6" s="140"/>
      <c r="H6" s="140" t="s">
        <v>93</v>
      </c>
      <c r="I6" s="140"/>
      <c r="J6" s="140"/>
      <c r="K6" s="141"/>
      <c r="L6" s="140"/>
      <c r="M6" s="140" t="s">
        <v>94</v>
      </c>
      <c r="N6" s="140"/>
      <c r="O6" s="140"/>
      <c r="P6" s="140"/>
      <c r="Q6" s="140" t="s">
        <v>95</v>
      </c>
      <c r="R6" s="140"/>
      <c r="S6" s="140"/>
      <c r="T6" s="140"/>
      <c r="U6" s="140" t="s">
        <v>96</v>
      </c>
      <c r="V6" s="140"/>
      <c r="W6" s="139"/>
      <c r="X6" s="140"/>
      <c r="Y6" s="140" t="s">
        <v>71</v>
      </c>
      <c r="Z6" s="140"/>
      <c r="AA6" s="139"/>
      <c r="AB6" s="140"/>
      <c r="AC6" s="140" t="s">
        <v>97</v>
      </c>
      <c r="AD6" s="140"/>
      <c r="AE6" s="139"/>
      <c r="AF6" s="140"/>
      <c r="AG6" s="140" t="s">
        <v>71</v>
      </c>
      <c r="AH6" s="140"/>
      <c r="AI6" s="139"/>
      <c r="AJ6" s="140"/>
      <c r="AK6" s="140" t="s">
        <v>97</v>
      </c>
      <c r="AL6" s="140"/>
      <c r="AM6" s="139"/>
      <c r="AN6" s="140" t="s">
        <v>98</v>
      </c>
      <c r="AO6" s="140" t="s">
        <v>99</v>
      </c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1"/>
      <c r="BG6" s="140" t="s">
        <v>100</v>
      </c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18"/>
      <c r="CG6" s="151"/>
      <c r="CH6" s="151"/>
      <c r="CI6" s="151"/>
      <c r="CK6" s="152"/>
      <c r="CL6" s="153"/>
      <c r="CM6" s="118"/>
      <c r="CN6" s="0"/>
      <c r="CO6" s="0"/>
      <c r="CP6" s="0"/>
      <c r="CQ6" s="0"/>
      <c r="CR6" s="0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EB6" s="154" t="s">
        <v>101</v>
      </c>
      <c r="EC6" s="155"/>
      <c r="EF6" s="156"/>
      <c r="EG6" s="125"/>
      <c r="EH6" s="125"/>
      <c r="EI6" s="125"/>
      <c r="EJ6" s="125"/>
      <c r="EK6" s="125"/>
    </row>
    <row r="7" customFormat="false" ht="12.75" hidden="false" customHeight="false" outlineLevel="0" collapsed="false">
      <c r="A7" s="133"/>
      <c r="B7" s="157"/>
      <c r="C7" s="158" t="s">
        <v>102</v>
      </c>
      <c r="D7" s="158" t="s">
        <v>103</v>
      </c>
      <c r="E7" s="159" t="s">
        <v>104</v>
      </c>
      <c r="F7" s="160"/>
      <c r="G7" s="136" t="s">
        <v>102</v>
      </c>
      <c r="H7" s="136" t="s">
        <v>103</v>
      </c>
      <c r="I7" s="136" t="s">
        <v>104</v>
      </c>
      <c r="J7" s="140"/>
      <c r="K7" s="141"/>
      <c r="L7" s="158" t="s">
        <v>102</v>
      </c>
      <c r="M7" s="158" t="s">
        <v>103</v>
      </c>
      <c r="N7" s="159" t="s">
        <v>104</v>
      </c>
      <c r="O7" s="159"/>
      <c r="P7" s="158" t="s">
        <v>102</v>
      </c>
      <c r="Q7" s="158" t="s">
        <v>103</v>
      </c>
      <c r="R7" s="159" t="s">
        <v>104</v>
      </c>
      <c r="S7" s="159"/>
      <c r="T7" s="158" t="s">
        <v>102</v>
      </c>
      <c r="U7" s="158" t="s">
        <v>103</v>
      </c>
      <c r="V7" s="159" t="s">
        <v>104</v>
      </c>
      <c r="W7" s="139"/>
      <c r="X7" s="158" t="s">
        <v>102</v>
      </c>
      <c r="Y7" s="158" t="s">
        <v>103</v>
      </c>
      <c r="Z7" s="159" t="s">
        <v>104</v>
      </c>
      <c r="AA7" s="139"/>
      <c r="AB7" s="158" t="s">
        <v>102</v>
      </c>
      <c r="AC7" s="158" t="s">
        <v>103</v>
      </c>
      <c r="AD7" s="159" t="s">
        <v>104</v>
      </c>
      <c r="AE7" s="139"/>
      <c r="AF7" s="158" t="s">
        <v>102</v>
      </c>
      <c r="AG7" s="158" t="s">
        <v>103</v>
      </c>
      <c r="AH7" s="159" t="s">
        <v>104</v>
      </c>
      <c r="AI7" s="139"/>
      <c r="AJ7" s="158" t="s">
        <v>102</v>
      </c>
      <c r="AK7" s="158" t="s">
        <v>103</v>
      </c>
      <c r="AL7" s="159" t="s">
        <v>104</v>
      </c>
      <c r="AM7" s="139"/>
      <c r="AN7" s="140" t="s">
        <v>105</v>
      </c>
      <c r="AO7" s="140" t="s">
        <v>106</v>
      </c>
      <c r="AP7" s="139"/>
      <c r="AQ7" s="140"/>
      <c r="AR7" s="136" t="s">
        <v>107</v>
      </c>
      <c r="AS7" s="136" t="s">
        <v>108</v>
      </c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39"/>
      <c r="BF7" s="141"/>
      <c r="BG7" s="140" t="s">
        <v>109</v>
      </c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18"/>
      <c r="CG7" s="151"/>
      <c r="CH7" s="151"/>
      <c r="CI7" s="151"/>
      <c r="CK7" s="152"/>
      <c r="CL7" s="153"/>
      <c r="CM7" s="118"/>
      <c r="CN7" s="0"/>
      <c r="CO7" s="0"/>
      <c r="CP7" s="0"/>
      <c r="CQ7" s="0"/>
      <c r="CR7" s="0"/>
      <c r="CY7" s="161" t="s">
        <v>110</v>
      </c>
      <c r="DB7" s="0" t="s">
        <v>111</v>
      </c>
      <c r="DG7" s="161" t="s">
        <v>111</v>
      </c>
      <c r="DH7" s="162"/>
      <c r="DI7" s="162"/>
      <c r="DL7" s="161" t="s">
        <v>110</v>
      </c>
      <c r="DO7" s="0" t="s">
        <v>111</v>
      </c>
      <c r="DR7" s="162"/>
      <c r="EB7" s="163" t="s">
        <v>112</v>
      </c>
      <c r="EC7" s="164" t="n">
        <v>1</v>
      </c>
      <c r="EF7" s="165"/>
      <c r="EG7" s="162"/>
      <c r="EH7" s="162"/>
      <c r="EI7" s="162"/>
      <c r="EJ7" s="162"/>
      <c r="EK7" s="162"/>
    </row>
    <row r="8" customFormat="false" ht="13.5" hidden="false" customHeight="false" outlineLevel="0" collapsed="false">
      <c r="A8" s="133"/>
      <c r="B8" s="140"/>
      <c r="C8" s="140" t="s">
        <v>113</v>
      </c>
      <c r="D8" s="140" t="s">
        <v>113</v>
      </c>
      <c r="E8" s="140" t="s">
        <v>113</v>
      </c>
      <c r="F8" s="160"/>
      <c r="G8" s="160" t="s">
        <v>113</v>
      </c>
      <c r="H8" s="160" t="s">
        <v>113</v>
      </c>
      <c r="I8" s="160" t="s">
        <v>113</v>
      </c>
      <c r="J8" s="140"/>
      <c r="K8" s="141"/>
      <c r="L8" s="140" t="s">
        <v>113</v>
      </c>
      <c r="M8" s="140" t="s">
        <v>113</v>
      </c>
      <c r="N8" s="140" t="s">
        <v>113</v>
      </c>
      <c r="O8" s="140"/>
      <c r="P8" s="140" t="s">
        <v>113</v>
      </c>
      <c r="Q8" s="140" t="s">
        <v>113</v>
      </c>
      <c r="R8" s="140" t="s">
        <v>113</v>
      </c>
      <c r="S8" s="140"/>
      <c r="T8" s="140" t="s">
        <v>113</v>
      </c>
      <c r="U8" s="140" t="s">
        <v>113</v>
      </c>
      <c r="V8" s="140" t="s">
        <v>113</v>
      </c>
      <c r="W8" s="139"/>
      <c r="X8" s="140"/>
      <c r="Y8" s="140"/>
      <c r="Z8" s="140"/>
      <c r="AA8" s="139"/>
      <c r="AB8" s="140"/>
      <c r="AC8" s="140"/>
      <c r="AD8" s="140"/>
      <c r="AE8" s="139"/>
      <c r="AF8" s="140"/>
      <c r="AG8" s="140"/>
      <c r="AH8" s="140"/>
      <c r="AI8" s="139"/>
      <c r="AJ8" s="140"/>
      <c r="AK8" s="140"/>
      <c r="AL8" s="140"/>
      <c r="AM8" s="139"/>
      <c r="AN8" s="139"/>
      <c r="AO8" s="139"/>
      <c r="AP8" s="139"/>
      <c r="AQ8" s="159" t="s">
        <v>71</v>
      </c>
      <c r="AR8" s="166" t="n">
        <v>700</v>
      </c>
      <c r="AS8" s="166" t="n">
        <v>2200</v>
      </c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41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18"/>
      <c r="CG8" s="167"/>
      <c r="CH8" s="167"/>
      <c r="CI8" s="167"/>
      <c r="CK8" s="152"/>
      <c r="CL8" s="153"/>
      <c r="CM8" s="168"/>
      <c r="CN8" s="0"/>
      <c r="CO8" s="0"/>
      <c r="CP8" s="0"/>
      <c r="CQ8" s="0"/>
      <c r="CR8" s="0"/>
      <c r="CX8" s="169" t="s">
        <v>114</v>
      </c>
      <c r="CY8" s="169"/>
      <c r="CZ8" s="169"/>
      <c r="DC8" s="0" t="s">
        <v>115</v>
      </c>
      <c r="DG8" s="161" t="s">
        <v>100</v>
      </c>
      <c r="DH8" s="118"/>
      <c r="DI8" s="118"/>
      <c r="DK8" s="169" t="s">
        <v>114</v>
      </c>
      <c r="DL8" s="169"/>
      <c r="DM8" s="169"/>
      <c r="DP8" s="0" t="s">
        <v>115</v>
      </c>
      <c r="DR8" s="118"/>
      <c r="EB8" s="163" t="s">
        <v>116</v>
      </c>
      <c r="EC8" s="164" t="n">
        <v>2</v>
      </c>
      <c r="EF8" s="165"/>
      <c r="EG8" s="118"/>
      <c r="EH8" s="118"/>
      <c r="EI8" s="118"/>
      <c r="EJ8" s="118"/>
      <c r="EK8" s="118"/>
    </row>
    <row r="9" customFormat="false" ht="13.5" hidden="false" customHeight="false" outlineLevel="0" collapsed="false">
      <c r="A9" s="133"/>
      <c r="B9" s="136" t="s">
        <v>117</v>
      </c>
      <c r="C9" s="136"/>
      <c r="D9" s="136"/>
      <c r="E9" s="136"/>
      <c r="F9" s="159"/>
      <c r="G9" s="136"/>
      <c r="H9" s="159"/>
      <c r="I9" s="159"/>
      <c r="J9" s="140"/>
      <c r="K9" s="141" t="s">
        <v>117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70" t="s">
        <v>118</v>
      </c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39"/>
      <c r="BF9" s="141" t="s">
        <v>117</v>
      </c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18"/>
      <c r="CG9" s="167"/>
      <c r="CH9" s="167"/>
      <c r="CI9" s="167"/>
      <c r="CK9" s="152"/>
      <c r="CL9" s="153"/>
      <c r="CM9" s="168"/>
      <c r="CN9" s="0"/>
      <c r="CO9" s="0"/>
      <c r="CP9" s="0"/>
      <c r="CQ9" s="0"/>
      <c r="CR9" s="0"/>
      <c r="CX9" s="161" t="s">
        <v>102</v>
      </c>
      <c r="CY9" s="161" t="s">
        <v>103</v>
      </c>
      <c r="CZ9" s="161" t="s">
        <v>104</v>
      </c>
      <c r="DB9" s="161" t="s">
        <v>102</v>
      </c>
      <c r="DC9" s="161" t="s">
        <v>103</v>
      </c>
      <c r="DD9" s="161" t="s">
        <v>104</v>
      </c>
      <c r="DH9" s="118"/>
      <c r="DI9" s="118"/>
      <c r="DK9" s="161" t="s">
        <v>102</v>
      </c>
      <c r="DL9" s="161" t="s">
        <v>103</v>
      </c>
      <c r="DM9" s="161" t="s">
        <v>104</v>
      </c>
      <c r="DO9" s="161" t="s">
        <v>102</v>
      </c>
      <c r="DP9" s="161" t="s">
        <v>103</v>
      </c>
      <c r="DQ9" s="161" t="s">
        <v>104</v>
      </c>
      <c r="DR9" s="118"/>
      <c r="DX9" s="171" t="s">
        <v>119</v>
      </c>
      <c r="DY9" s="172" t="s">
        <v>90</v>
      </c>
      <c r="DZ9" s="173" t="n">
        <v>25</v>
      </c>
      <c r="EA9" s="139"/>
      <c r="EB9" s="163" t="s">
        <v>120</v>
      </c>
      <c r="EC9" s="164" t="n">
        <v>3</v>
      </c>
      <c r="EF9" s="165"/>
      <c r="EG9" s="118"/>
      <c r="EH9" s="118"/>
      <c r="EI9" s="118"/>
      <c r="EJ9" s="118"/>
      <c r="EK9" s="118"/>
    </row>
    <row r="10" customFormat="false" ht="12.75" hidden="false" customHeight="false" outlineLevel="0" collapsed="false">
      <c r="A10" s="133"/>
      <c r="B10" s="174" t="n">
        <v>37105</v>
      </c>
      <c r="C10" s="175" t="n">
        <v>59.25</v>
      </c>
      <c r="D10" s="175" t="n">
        <v>63.25</v>
      </c>
      <c r="E10" s="175" t="n">
        <v>67.25</v>
      </c>
      <c r="F10" s="159"/>
      <c r="G10" s="175" t="n">
        <v>18</v>
      </c>
      <c r="H10" s="175" t="n">
        <v>18</v>
      </c>
      <c r="I10" s="175" t="n">
        <v>18</v>
      </c>
      <c r="J10" s="140"/>
      <c r="K10" s="141" t="n">
        <v>37073</v>
      </c>
      <c r="L10" s="176" t="n">
        <v>0</v>
      </c>
      <c r="M10" s="176" t="n">
        <v>0</v>
      </c>
      <c r="N10" s="176" t="n">
        <v>0</v>
      </c>
      <c r="O10" s="139"/>
      <c r="P10" s="176" t="n">
        <v>0</v>
      </c>
      <c r="Q10" s="176" t="n">
        <v>0</v>
      </c>
      <c r="R10" s="176" t="n">
        <v>0</v>
      </c>
      <c r="S10" s="139"/>
      <c r="T10" s="176" t="n">
        <v>0</v>
      </c>
      <c r="U10" s="176" t="n">
        <v>0</v>
      </c>
      <c r="V10" s="176" t="n">
        <v>0</v>
      </c>
      <c r="W10" s="139"/>
      <c r="X10" s="176" t="n">
        <v>0.52</v>
      </c>
      <c r="Y10" s="176" t="n">
        <v>0.65</v>
      </c>
      <c r="Z10" s="176" t="n">
        <v>0.78</v>
      </c>
      <c r="AA10" s="139"/>
      <c r="AB10" s="176" t="n">
        <v>0.26</v>
      </c>
      <c r="AC10" s="176" t="n">
        <v>0.325</v>
      </c>
      <c r="AD10" s="176" t="n">
        <v>0.39</v>
      </c>
      <c r="AE10" s="139"/>
      <c r="AF10" s="176" t="n">
        <v>1.52</v>
      </c>
      <c r="AG10" s="176" t="n">
        <v>1.9</v>
      </c>
      <c r="AH10" s="176" t="n">
        <v>2.28</v>
      </c>
      <c r="AI10" s="139"/>
      <c r="AJ10" s="176" t="n">
        <v>0.912</v>
      </c>
      <c r="AK10" s="176" t="n">
        <v>1.14</v>
      </c>
      <c r="AL10" s="176" t="n">
        <v>1.368</v>
      </c>
      <c r="AM10" s="139"/>
      <c r="AN10" s="140" t="n">
        <v>1</v>
      </c>
      <c r="AO10" s="177" t="n">
        <v>0</v>
      </c>
      <c r="AP10" s="139"/>
      <c r="AQ10" s="178"/>
      <c r="AR10" s="178" t="s">
        <v>121</v>
      </c>
      <c r="AS10" s="178" t="s">
        <v>122</v>
      </c>
      <c r="AT10" s="178" t="s">
        <v>123</v>
      </c>
      <c r="AU10" s="178" t="s">
        <v>124</v>
      </c>
      <c r="AV10" s="178" t="s">
        <v>125</v>
      </c>
      <c r="AW10" s="178" t="s">
        <v>126</v>
      </c>
      <c r="AX10" s="178" t="s">
        <v>127</v>
      </c>
      <c r="AY10" s="178" t="s">
        <v>128</v>
      </c>
      <c r="AZ10" s="178" t="s">
        <v>129</v>
      </c>
      <c r="BA10" s="178" t="s">
        <v>130</v>
      </c>
      <c r="BB10" s="178" t="s">
        <v>131</v>
      </c>
      <c r="BC10" s="178" t="s">
        <v>132</v>
      </c>
      <c r="BD10" s="178"/>
      <c r="BE10" s="139"/>
      <c r="BF10" s="141" t="n">
        <v>37073</v>
      </c>
      <c r="BG10" s="179" t="n">
        <v>0.75</v>
      </c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18"/>
      <c r="CG10" s="167"/>
      <c r="CH10" s="167"/>
      <c r="CI10" s="167"/>
      <c r="CK10" s="152"/>
      <c r="CL10" s="153"/>
      <c r="CM10" s="180"/>
      <c r="CN10" s="0"/>
      <c r="CO10" s="0"/>
      <c r="CP10" s="0"/>
      <c r="CQ10" s="0"/>
      <c r="CR10" s="0"/>
      <c r="CW10" s="181" t="n">
        <f aca="false">K10</f>
        <v>37073</v>
      </c>
      <c r="CX10" s="182" t="n">
        <f aca="false">AG10+AF10</f>
        <v>3.42</v>
      </c>
      <c r="CY10" s="182" t="n">
        <f aca="false">AG10</f>
        <v>1.9</v>
      </c>
      <c r="CZ10" s="182" t="n">
        <f aca="false">AG10+AH10</f>
        <v>4.18</v>
      </c>
      <c r="DB10" s="182" t="n">
        <f aca="false">X10</f>
        <v>0.52</v>
      </c>
      <c r="DC10" s="182" t="n">
        <f aca="false">Y10</f>
        <v>0.65</v>
      </c>
      <c r="DD10" s="182" t="n">
        <f aca="false">Z10</f>
        <v>0.78</v>
      </c>
      <c r="DF10" s="181" t="n">
        <f aca="false">BF10</f>
        <v>37073</v>
      </c>
      <c r="DG10" s="133" t="n">
        <f aca="false">BG10</f>
        <v>0.75</v>
      </c>
      <c r="DH10" s="118"/>
      <c r="DI10" s="118"/>
      <c r="DJ10" s="181" t="n">
        <f aca="false">CW10</f>
        <v>37073</v>
      </c>
      <c r="DK10" s="182" t="n">
        <f aca="false">AJ10</f>
        <v>0.912</v>
      </c>
      <c r="DL10" s="182" t="n">
        <f aca="false">AK10</f>
        <v>1.14</v>
      </c>
      <c r="DM10" s="182" t="n">
        <f aca="false">AL10</f>
        <v>1.368</v>
      </c>
      <c r="DO10" s="182" t="n">
        <f aca="false">AB10</f>
        <v>0.26</v>
      </c>
      <c r="DP10" s="182" t="n">
        <f aca="false">AC10</f>
        <v>0.325</v>
      </c>
      <c r="DQ10" s="182" t="n">
        <f aca="false">AD10</f>
        <v>0.39</v>
      </c>
      <c r="DR10" s="118"/>
      <c r="DW10" s="0" t="n">
        <v>1</v>
      </c>
      <c r="DX10" s="183" t="s">
        <v>133</v>
      </c>
      <c r="DY10" s="184" t="s">
        <v>134</v>
      </c>
      <c r="DZ10" s="185" t="s">
        <v>135</v>
      </c>
      <c r="EA10" s="186"/>
      <c r="EB10" s="163" t="s">
        <v>136</v>
      </c>
      <c r="EC10" s="164" t="n">
        <v>4</v>
      </c>
      <c r="EF10" s="165"/>
      <c r="EG10" s="118"/>
      <c r="EH10" s="118"/>
      <c r="EI10" s="118"/>
      <c r="EJ10" s="118"/>
      <c r="EK10" s="118"/>
    </row>
    <row r="11" customFormat="false" ht="12.75" hidden="false" customHeight="false" outlineLevel="0" collapsed="false">
      <c r="A11" s="133"/>
      <c r="B11" s="174" t="n">
        <v>37106</v>
      </c>
      <c r="C11" s="175" t="n">
        <v>45</v>
      </c>
      <c r="D11" s="175" t="n">
        <v>49</v>
      </c>
      <c r="E11" s="175" t="n">
        <v>53</v>
      </c>
      <c r="F11" s="159"/>
      <c r="G11" s="175" t="n">
        <v>18.25</v>
      </c>
      <c r="H11" s="175" t="n">
        <v>18.25</v>
      </c>
      <c r="I11" s="175" t="n">
        <v>18.25</v>
      </c>
      <c r="J11" s="140"/>
      <c r="K11" s="141" t="n">
        <v>37104</v>
      </c>
      <c r="L11" s="176" t="n">
        <v>0</v>
      </c>
      <c r="M11" s="176" t="n">
        <v>0</v>
      </c>
      <c r="N11" s="176" t="n">
        <v>0</v>
      </c>
      <c r="O11" s="139"/>
      <c r="P11" s="176" t="n">
        <v>0</v>
      </c>
      <c r="Q11" s="176" t="n">
        <v>0</v>
      </c>
      <c r="R11" s="176" t="n">
        <v>0</v>
      </c>
      <c r="S11" s="139"/>
      <c r="T11" s="176" t="n">
        <v>0</v>
      </c>
      <c r="U11" s="176" t="n">
        <v>0</v>
      </c>
      <c r="V11" s="176" t="n">
        <v>0</v>
      </c>
      <c r="W11" s="139"/>
      <c r="X11" s="176" t="n">
        <v>0.6</v>
      </c>
      <c r="Y11" s="176" t="n">
        <v>0.75</v>
      </c>
      <c r="Z11" s="176" t="n">
        <v>0.9</v>
      </c>
      <c r="AA11" s="139"/>
      <c r="AB11" s="176" t="n">
        <v>0.3</v>
      </c>
      <c r="AC11" s="176" t="n">
        <v>0.375</v>
      </c>
      <c r="AD11" s="176" t="n">
        <v>0.45</v>
      </c>
      <c r="AE11" s="139"/>
      <c r="AF11" s="176" t="n">
        <v>1.96</v>
      </c>
      <c r="AG11" s="176" t="n">
        <v>2.45</v>
      </c>
      <c r="AH11" s="176" t="n">
        <v>2.94</v>
      </c>
      <c r="AI11" s="139"/>
      <c r="AJ11" s="176" t="n">
        <v>1.176</v>
      </c>
      <c r="AK11" s="176" t="n">
        <v>1.47</v>
      </c>
      <c r="AL11" s="176" t="n">
        <v>1.764</v>
      </c>
      <c r="AM11" s="139"/>
      <c r="AN11" s="140" t="n">
        <v>1</v>
      </c>
      <c r="AO11" s="177" t="n">
        <v>0</v>
      </c>
      <c r="AP11" s="139"/>
      <c r="AQ11" s="159" t="s">
        <v>137</v>
      </c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 t="s">
        <v>138</v>
      </c>
      <c r="BE11" s="139"/>
      <c r="BF11" s="141" t="n">
        <v>37104</v>
      </c>
      <c r="BG11" s="179" t="n">
        <v>0.75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46"/>
      <c r="CG11" s="167"/>
      <c r="CH11" s="167"/>
      <c r="CI11" s="167"/>
      <c r="CK11" s="152"/>
      <c r="CL11" s="153"/>
      <c r="CM11" s="180"/>
      <c r="CN11" s="0"/>
      <c r="CO11" s="0"/>
      <c r="CP11" s="0"/>
      <c r="CQ11" s="0"/>
      <c r="CR11" s="0"/>
      <c r="CW11" s="181" t="n">
        <f aca="false">K11</f>
        <v>37104</v>
      </c>
      <c r="CX11" s="182" t="n">
        <f aca="false">AF11</f>
        <v>1.96</v>
      </c>
      <c r="CY11" s="182" t="n">
        <f aca="false">AG11</f>
        <v>2.45</v>
      </c>
      <c r="CZ11" s="182" t="n">
        <f aca="false">AH11</f>
        <v>2.94</v>
      </c>
      <c r="DB11" s="182" t="n">
        <f aca="false">X11</f>
        <v>0.6</v>
      </c>
      <c r="DC11" s="182" t="n">
        <f aca="false">Y11</f>
        <v>0.75</v>
      </c>
      <c r="DD11" s="182" t="n">
        <f aca="false">Z11</f>
        <v>0.9</v>
      </c>
      <c r="DF11" s="181" t="n">
        <f aca="false">BF11</f>
        <v>37104</v>
      </c>
      <c r="DG11" s="133" t="n">
        <f aca="false">BG11</f>
        <v>0.75</v>
      </c>
      <c r="DH11" s="162"/>
      <c r="DI11" s="162"/>
      <c r="DJ11" s="181" t="n">
        <f aca="false">CW11</f>
        <v>37104</v>
      </c>
      <c r="DK11" s="182" t="n">
        <f aca="false">AJ11</f>
        <v>1.176</v>
      </c>
      <c r="DL11" s="182" t="n">
        <f aca="false">AK11</f>
        <v>1.47</v>
      </c>
      <c r="DM11" s="182" t="n">
        <f aca="false">AL11</f>
        <v>1.764</v>
      </c>
      <c r="DO11" s="182" t="n">
        <f aca="false">AB11</f>
        <v>0.3</v>
      </c>
      <c r="DP11" s="182" t="n">
        <f aca="false">AC11</f>
        <v>0.375</v>
      </c>
      <c r="DQ11" s="182" t="n">
        <f aca="false">AD11</f>
        <v>0.45</v>
      </c>
      <c r="DR11" s="162"/>
      <c r="DW11" s="0" t="n">
        <v>2</v>
      </c>
      <c r="DX11" s="187" t="s">
        <v>139</v>
      </c>
      <c r="DY11" s="188" t="s">
        <v>140</v>
      </c>
      <c r="DZ11" s="189" t="s">
        <v>141</v>
      </c>
      <c r="EA11" s="190"/>
      <c r="EB11" s="163" t="s">
        <v>142</v>
      </c>
      <c r="EC11" s="164" t="n">
        <v>5</v>
      </c>
      <c r="EF11" s="165"/>
      <c r="EG11" s="162"/>
      <c r="EH11" s="162"/>
      <c r="EI11" s="162"/>
      <c r="EJ11" s="162"/>
      <c r="EK11" s="162"/>
    </row>
    <row r="12" customFormat="false" ht="12.75" hidden="false" customHeight="false" outlineLevel="0" collapsed="false">
      <c r="A12" s="133"/>
      <c r="B12" s="174" t="n">
        <v>37107</v>
      </c>
      <c r="C12" s="175" t="n">
        <v>24</v>
      </c>
      <c r="D12" s="175" t="n">
        <v>28</v>
      </c>
      <c r="E12" s="175" t="n">
        <v>32</v>
      </c>
      <c r="F12" s="159"/>
      <c r="G12" s="175" t="n">
        <v>18.25</v>
      </c>
      <c r="H12" s="175" t="n">
        <v>18.25</v>
      </c>
      <c r="I12" s="175" t="n">
        <v>18.25</v>
      </c>
      <c r="J12" s="140"/>
      <c r="K12" s="141" t="n">
        <v>37135</v>
      </c>
      <c r="L12" s="176" t="n">
        <v>22</v>
      </c>
      <c r="M12" s="176" t="n">
        <v>22</v>
      </c>
      <c r="N12" s="176" t="n">
        <v>22</v>
      </c>
      <c r="O12" s="139"/>
      <c r="P12" s="176" t="n">
        <v>22</v>
      </c>
      <c r="Q12" s="176" t="n">
        <v>22</v>
      </c>
      <c r="R12" s="176" t="n">
        <v>22</v>
      </c>
      <c r="S12" s="139"/>
      <c r="T12" s="176" t="n">
        <v>0</v>
      </c>
      <c r="U12" s="176" t="n">
        <v>0</v>
      </c>
      <c r="V12" s="176" t="n">
        <v>0</v>
      </c>
      <c r="W12" s="139"/>
      <c r="X12" s="176" t="n">
        <v>0.6</v>
      </c>
      <c r="Y12" s="176" t="n">
        <v>0.75</v>
      </c>
      <c r="Z12" s="176" t="n">
        <v>0.9</v>
      </c>
      <c r="AA12" s="139"/>
      <c r="AB12" s="176" t="n">
        <v>0.3</v>
      </c>
      <c r="AC12" s="176" t="n">
        <v>0.375</v>
      </c>
      <c r="AD12" s="176" t="n">
        <v>0.45</v>
      </c>
      <c r="AE12" s="139"/>
      <c r="AF12" s="176" t="n">
        <v>1.8</v>
      </c>
      <c r="AG12" s="176" t="n">
        <v>2.25</v>
      </c>
      <c r="AH12" s="176" t="n">
        <v>2.7</v>
      </c>
      <c r="AI12" s="139"/>
      <c r="AJ12" s="176" t="n">
        <v>1.08</v>
      </c>
      <c r="AK12" s="176" t="n">
        <v>1.35</v>
      </c>
      <c r="AL12" s="176" t="n">
        <v>1.62</v>
      </c>
      <c r="AM12" s="139"/>
      <c r="AN12" s="140" t="n">
        <v>1</v>
      </c>
      <c r="AO12" s="177" t="n">
        <v>0</v>
      </c>
      <c r="AP12" s="139"/>
      <c r="AQ12" s="140" t="n">
        <v>100</v>
      </c>
      <c r="AR12" s="191" t="n">
        <v>0.95</v>
      </c>
      <c r="AS12" s="191" t="n">
        <v>0.95</v>
      </c>
      <c r="AT12" s="191" t="n">
        <v>0.970407745105669</v>
      </c>
      <c r="AU12" s="191" t="n">
        <v>0.995812581084143</v>
      </c>
      <c r="AV12" s="191" t="n">
        <v>0.934833865798727</v>
      </c>
      <c r="AW12" s="191" t="n">
        <v>1.02</v>
      </c>
      <c r="AX12" s="191" t="n">
        <v>1.10934059893359</v>
      </c>
      <c r="AY12" s="191" t="n">
        <v>1.10934059893359</v>
      </c>
      <c r="AZ12" s="191" t="n">
        <v>1.02</v>
      </c>
      <c r="BA12" s="191" t="n">
        <v>0.995812581084143</v>
      </c>
      <c r="BB12" s="191" t="n">
        <v>0.976</v>
      </c>
      <c r="BC12" s="191" t="n">
        <v>0.976</v>
      </c>
      <c r="BD12" s="140" t="s">
        <v>143</v>
      </c>
      <c r="BE12" s="139"/>
      <c r="BF12" s="141" t="n">
        <v>37135</v>
      </c>
      <c r="BG12" s="179" t="n">
        <v>0.75</v>
      </c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67"/>
      <c r="CG12" s="167"/>
      <c r="CH12" s="167"/>
      <c r="CI12" s="167"/>
      <c r="CK12" s="152"/>
      <c r="CL12" s="153"/>
      <c r="CM12" s="180"/>
      <c r="CN12" s="0"/>
      <c r="CO12" s="0"/>
      <c r="CP12" s="0"/>
      <c r="CQ12" s="0"/>
      <c r="CR12" s="0"/>
      <c r="CW12" s="181" t="n">
        <f aca="false">K12</f>
        <v>37135</v>
      </c>
      <c r="CX12" s="182" t="n">
        <f aca="false">AF12</f>
        <v>1.8</v>
      </c>
      <c r="CY12" s="182" t="n">
        <f aca="false">AG12</f>
        <v>2.25</v>
      </c>
      <c r="CZ12" s="182" t="n">
        <f aca="false">AH12</f>
        <v>2.7</v>
      </c>
      <c r="DB12" s="182" t="n">
        <f aca="false">X12</f>
        <v>0.6</v>
      </c>
      <c r="DC12" s="182" t="n">
        <f aca="false">Y12</f>
        <v>0.75</v>
      </c>
      <c r="DD12" s="182" t="n">
        <f aca="false">Z12</f>
        <v>0.9</v>
      </c>
      <c r="DF12" s="181" t="n">
        <f aca="false">BF12</f>
        <v>37135</v>
      </c>
      <c r="DG12" s="133" t="n">
        <f aca="false">BG12</f>
        <v>0.75</v>
      </c>
      <c r="DH12" s="118"/>
      <c r="DI12" s="118"/>
      <c r="DJ12" s="181" t="n">
        <f aca="false">CW12</f>
        <v>37135</v>
      </c>
      <c r="DK12" s="182" t="n">
        <f aca="false">AJ12</f>
        <v>1.08</v>
      </c>
      <c r="DL12" s="182" t="n">
        <f aca="false">AK12</f>
        <v>1.35</v>
      </c>
      <c r="DM12" s="182" t="n">
        <f aca="false">AL12</f>
        <v>1.62</v>
      </c>
      <c r="DO12" s="182" t="n">
        <f aca="false">AB12</f>
        <v>0.3</v>
      </c>
      <c r="DP12" s="182" t="n">
        <f aca="false">AC12</f>
        <v>0.375</v>
      </c>
      <c r="DQ12" s="182" t="n">
        <f aca="false">AD12</f>
        <v>0.45</v>
      </c>
      <c r="DR12" s="118"/>
      <c r="DW12" s="0" t="n">
        <v>3</v>
      </c>
      <c r="DX12" s="187" t="s">
        <v>144</v>
      </c>
      <c r="DY12" s="188" t="s">
        <v>145</v>
      </c>
      <c r="DZ12" s="189" t="s">
        <v>146</v>
      </c>
      <c r="EA12" s="190"/>
      <c r="EB12" s="163" t="s">
        <v>147</v>
      </c>
      <c r="EC12" s="164" t="n">
        <v>6</v>
      </c>
      <c r="EF12" s="165"/>
      <c r="EG12" s="118"/>
      <c r="EH12" s="118"/>
      <c r="EI12" s="118"/>
      <c r="EJ12" s="118"/>
      <c r="EK12" s="118"/>
    </row>
    <row r="13" customFormat="false" ht="12.75" hidden="false" customHeight="false" outlineLevel="0" collapsed="false">
      <c r="A13" s="133"/>
      <c r="B13" s="174" t="n">
        <v>37108</v>
      </c>
      <c r="C13" s="175" t="n">
        <v>24</v>
      </c>
      <c r="D13" s="175" t="n">
        <v>28</v>
      </c>
      <c r="E13" s="175" t="n">
        <v>32</v>
      </c>
      <c r="F13" s="159"/>
      <c r="G13" s="175" t="n">
        <v>15.25</v>
      </c>
      <c r="H13" s="175" t="n">
        <v>15.25</v>
      </c>
      <c r="I13" s="175" t="n">
        <v>15.25</v>
      </c>
      <c r="J13" s="140"/>
      <c r="K13" s="141" t="n">
        <v>37165</v>
      </c>
      <c r="L13" s="176" t="n">
        <v>25.746000289917</v>
      </c>
      <c r="M13" s="176" t="n">
        <v>25.746000289917</v>
      </c>
      <c r="N13" s="176" t="n">
        <v>25.746000289917</v>
      </c>
      <c r="O13" s="139"/>
      <c r="P13" s="176" t="n">
        <v>25.7465000152588</v>
      </c>
      <c r="Q13" s="176" t="n">
        <v>25.7465000152588</v>
      </c>
      <c r="R13" s="176" t="n">
        <v>25.7465000152588</v>
      </c>
      <c r="S13" s="139"/>
      <c r="T13" s="176" t="n">
        <v>0</v>
      </c>
      <c r="U13" s="176" t="n">
        <v>0</v>
      </c>
      <c r="V13" s="176" t="n">
        <v>0</v>
      </c>
      <c r="W13" s="139"/>
      <c r="X13" s="176" t="n">
        <v>0.416</v>
      </c>
      <c r="Y13" s="176" t="n">
        <v>0.52</v>
      </c>
      <c r="Z13" s="176" t="n">
        <v>0.624</v>
      </c>
      <c r="AA13" s="139"/>
      <c r="AB13" s="176" t="n">
        <v>0.208</v>
      </c>
      <c r="AC13" s="176" t="n">
        <v>0.26</v>
      </c>
      <c r="AD13" s="176" t="n">
        <v>0.312</v>
      </c>
      <c r="AE13" s="139"/>
      <c r="AF13" s="176" t="n">
        <v>0.72</v>
      </c>
      <c r="AG13" s="176" t="n">
        <v>0.9</v>
      </c>
      <c r="AH13" s="176" t="n">
        <v>1.08</v>
      </c>
      <c r="AI13" s="139"/>
      <c r="AJ13" s="176" t="n">
        <v>0.432</v>
      </c>
      <c r="AK13" s="176" t="n">
        <v>0.54</v>
      </c>
      <c r="AL13" s="176" t="n">
        <v>0.648</v>
      </c>
      <c r="AM13" s="139"/>
      <c r="AN13" s="140" t="n">
        <v>2</v>
      </c>
      <c r="AO13" s="177" t="n">
        <v>0</v>
      </c>
      <c r="AP13" s="139"/>
      <c r="AQ13" s="140" t="n">
        <v>200</v>
      </c>
      <c r="AR13" s="191" t="n">
        <v>0.9</v>
      </c>
      <c r="AS13" s="191" t="n">
        <v>0.9</v>
      </c>
      <c r="AT13" s="191" t="n">
        <v>0.934329009710238</v>
      </c>
      <c r="AU13" s="191" t="n">
        <v>0.867490109934275</v>
      </c>
      <c r="AV13" s="191" t="n">
        <v>0.93</v>
      </c>
      <c r="AW13" s="191" t="n">
        <v>0.95</v>
      </c>
      <c r="AX13" s="191" t="n">
        <v>0.940393910647401</v>
      </c>
      <c r="AY13" s="191" t="n">
        <v>0.940393910647401</v>
      </c>
      <c r="AZ13" s="191" t="n">
        <v>0.95</v>
      </c>
      <c r="BA13" s="191" t="n">
        <v>0.867490109934275</v>
      </c>
      <c r="BB13" s="191" t="n">
        <v>0.9</v>
      </c>
      <c r="BC13" s="191" t="n">
        <v>0.9</v>
      </c>
      <c r="BD13" s="140" t="s">
        <v>143</v>
      </c>
      <c r="BE13" s="139"/>
      <c r="BF13" s="141" t="n">
        <v>37165</v>
      </c>
      <c r="BG13" s="179" t="n">
        <v>0.75</v>
      </c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67"/>
      <c r="CG13" s="167"/>
      <c r="CH13" s="167"/>
      <c r="CI13" s="167"/>
      <c r="CK13" s="152"/>
      <c r="CL13" s="153"/>
      <c r="CM13" s="180"/>
      <c r="CN13" s="0"/>
      <c r="CO13" s="0"/>
      <c r="CP13" s="0"/>
      <c r="CQ13" s="0"/>
      <c r="CR13" s="0"/>
      <c r="CW13" s="181" t="n">
        <f aca="false">K13</f>
        <v>37165</v>
      </c>
      <c r="CX13" s="182" t="n">
        <f aca="false">AF13</f>
        <v>0.72</v>
      </c>
      <c r="CY13" s="182" t="n">
        <f aca="false">AG13</f>
        <v>0.9</v>
      </c>
      <c r="CZ13" s="182" t="n">
        <f aca="false">AH13</f>
        <v>1.08</v>
      </c>
      <c r="DB13" s="182" t="n">
        <f aca="false">X13</f>
        <v>0.416</v>
      </c>
      <c r="DC13" s="182" t="n">
        <f aca="false">Y13</f>
        <v>0.52</v>
      </c>
      <c r="DD13" s="182" t="n">
        <f aca="false">Z13</f>
        <v>0.624</v>
      </c>
      <c r="DF13" s="181" t="n">
        <f aca="false">BF13</f>
        <v>37165</v>
      </c>
      <c r="DG13" s="133" t="n">
        <f aca="false">BG13</f>
        <v>0.75</v>
      </c>
      <c r="DH13" s="162"/>
      <c r="DI13" s="162"/>
      <c r="DJ13" s="181" t="n">
        <f aca="false">CW13</f>
        <v>37165</v>
      </c>
      <c r="DK13" s="182" t="n">
        <f aca="false">AJ13</f>
        <v>0.432</v>
      </c>
      <c r="DL13" s="182" t="n">
        <f aca="false">AK13</f>
        <v>0.54</v>
      </c>
      <c r="DM13" s="182" t="n">
        <f aca="false">AL13</f>
        <v>0.648</v>
      </c>
      <c r="DO13" s="182" t="n">
        <f aca="false">AB13</f>
        <v>0.208</v>
      </c>
      <c r="DP13" s="182" t="n">
        <f aca="false">AC13</f>
        <v>0.26</v>
      </c>
      <c r="DQ13" s="182" t="n">
        <f aca="false">AD13</f>
        <v>0.312</v>
      </c>
      <c r="DR13" s="162"/>
      <c r="DW13" s="0" t="n">
        <v>4</v>
      </c>
      <c r="DX13" s="187" t="s">
        <v>148</v>
      </c>
      <c r="DY13" s="188" t="s">
        <v>149</v>
      </c>
      <c r="DZ13" s="189" t="s">
        <v>150</v>
      </c>
      <c r="EA13" s="190"/>
      <c r="EB13" s="163" t="s">
        <v>151</v>
      </c>
      <c r="EC13" s="164" t="n">
        <v>7</v>
      </c>
      <c r="EF13" s="165"/>
      <c r="EG13" s="162"/>
      <c r="EH13" s="162"/>
      <c r="EI13" s="162"/>
      <c r="EJ13" s="162"/>
      <c r="EK13" s="162"/>
    </row>
    <row r="14" customFormat="false" ht="12.75" hidden="false" customHeight="false" outlineLevel="0" collapsed="false">
      <c r="A14" s="133"/>
      <c r="B14" s="174" t="n">
        <v>37109</v>
      </c>
      <c r="C14" s="175" t="n">
        <v>45.5</v>
      </c>
      <c r="D14" s="175" t="n">
        <v>49.5</v>
      </c>
      <c r="E14" s="175" t="n">
        <v>53.5</v>
      </c>
      <c r="F14" s="159"/>
      <c r="G14" s="175" t="n">
        <v>15.25</v>
      </c>
      <c r="H14" s="175" t="n">
        <v>15.25</v>
      </c>
      <c r="I14" s="175" t="n">
        <v>15.25</v>
      </c>
      <c r="J14" s="140"/>
      <c r="K14" s="141" t="n">
        <v>37196</v>
      </c>
      <c r="L14" s="176" t="n">
        <v>30</v>
      </c>
      <c r="M14" s="176" t="n">
        <v>30</v>
      </c>
      <c r="N14" s="176" t="n">
        <v>30</v>
      </c>
      <c r="O14" s="139"/>
      <c r="P14" s="176" t="n">
        <v>30</v>
      </c>
      <c r="Q14" s="176" t="n">
        <v>30</v>
      </c>
      <c r="R14" s="176" t="n">
        <v>30</v>
      </c>
      <c r="S14" s="139"/>
      <c r="T14" s="176" t="n">
        <v>0</v>
      </c>
      <c r="U14" s="176" t="n">
        <v>0</v>
      </c>
      <c r="V14" s="176" t="n">
        <v>0</v>
      </c>
      <c r="W14" s="139"/>
      <c r="X14" s="176" t="n">
        <v>0.344</v>
      </c>
      <c r="Y14" s="176" t="n">
        <v>0.43</v>
      </c>
      <c r="Z14" s="176" t="n">
        <v>0.516</v>
      </c>
      <c r="AA14" s="139"/>
      <c r="AB14" s="176" t="n">
        <v>0.172</v>
      </c>
      <c r="AC14" s="176" t="n">
        <v>0.215</v>
      </c>
      <c r="AD14" s="176" t="n">
        <v>0.258</v>
      </c>
      <c r="AE14" s="139"/>
      <c r="AF14" s="176" t="n">
        <v>0.576</v>
      </c>
      <c r="AG14" s="176" t="n">
        <v>0.72</v>
      </c>
      <c r="AH14" s="176" t="n">
        <v>0.864</v>
      </c>
      <c r="AI14" s="139"/>
      <c r="AJ14" s="176" t="n">
        <v>0.3456</v>
      </c>
      <c r="AK14" s="176" t="n">
        <v>0.432</v>
      </c>
      <c r="AL14" s="176" t="n">
        <v>0.5184</v>
      </c>
      <c r="AM14" s="139"/>
      <c r="AN14" s="140" t="n">
        <v>2</v>
      </c>
      <c r="AO14" s="177" t="n">
        <v>0</v>
      </c>
      <c r="AP14" s="139"/>
      <c r="AQ14" s="140" t="n">
        <v>300</v>
      </c>
      <c r="AR14" s="191" t="n">
        <v>0.9</v>
      </c>
      <c r="AS14" s="191" t="n">
        <v>0.9</v>
      </c>
      <c r="AT14" s="191" t="n">
        <v>0.931716331023903</v>
      </c>
      <c r="AU14" s="191" t="n">
        <v>0.829968217715179</v>
      </c>
      <c r="AV14" s="191" t="n">
        <v>0.93</v>
      </c>
      <c r="AW14" s="191" t="n">
        <v>0.9</v>
      </c>
      <c r="AX14" s="191" t="n">
        <v>0.833717786208317</v>
      </c>
      <c r="AY14" s="191" t="n">
        <v>0.833717786208317</v>
      </c>
      <c r="AZ14" s="191" t="n">
        <v>0.9</v>
      </c>
      <c r="BA14" s="191" t="n">
        <v>0.829968217715179</v>
      </c>
      <c r="BB14" s="191" t="n">
        <v>0.9</v>
      </c>
      <c r="BC14" s="191" t="n">
        <v>0.9</v>
      </c>
      <c r="BD14" s="140" t="s">
        <v>143</v>
      </c>
      <c r="BE14" s="139"/>
      <c r="BF14" s="141" t="n">
        <v>37196</v>
      </c>
      <c r="BG14" s="179" t="n">
        <v>0.75</v>
      </c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67"/>
      <c r="CG14" s="167"/>
      <c r="CH14" s="167"/>
      <c r="CI14" s="167"/>
      <c r="CK14" s="152"/>
      <c r="CL14" s="153"/>
      <c r="CM14" s="180"/>
      <c r="CN14" s="0"/>
      <c r="CO14" s="0"/>
      <c r="CP14" s="0"/>
      <c r="CQ14" s="0"/>
      <c r="CR14" s="0"/>
      <c r="CW14" s="181" t="n">
        <f aca="false">K14</f>
        <v>37196</v>
      </c>
      <c r="CX14" s="182" t="n">
        <f aca="false">AF14</f>
        <v>0.576</v>
      </c>
      <c r="CY14" s="182" t="n">
        <f aca="false">AG14</f>
        <v>0.72</v>
      </c>
      <c r="CZ14" s="182" t="n">
        <f aca="false">AH14</f>
        <v>0.864</v>
      </c>
      <c r="DB14" s="182" t="n">
        <f aca="false">X14</f>
        <v>0.344</v>
      </c>
      <c r="DC14" s="182" t="n">
        <f aca="false">Y14</f>
        <v>0.43</v>
      </c>
      <c r="DD14" s="182" t="n">
        <f aca="false">Z14</f>
        <v>0.516</v>
      </c>
      <c r="DF14" s="181" t="n">
        <f aca="false">BF14</f>
        <v>37196</v>
      </c>
      <c r="DG14" s="133" t="n">
        <f aca="false">BG14</f>
        <v>0.75</v>
      </c>
      <c r="DH14" s="118"/>
      <c r="DI14" s="118"/>
      <c r="DJ14" s="181" t="n">
        <f aca="false">CW14</f>
        <v>37196</v>
      </c>
      <c r="DK14" s="182" t="n">
        <f aca="false">AJ14</f>
        <v>0.3456</v>
      </c>
      <c r="DL14" s="182" t="n">
        <f aca="false">AK14</f>
        <v>0.432</v>
      </c>
      <c r="DM14" s="182" t="n">
        <f aca="false">AL14</f>
        <v>0.5184</v>
      </c>
      <c r="DO14" s="182" t="n">
        <f aca="false">AB14</f>
        <v>0.172</v>
      </c>
      <c r="DP14" s="182" t="n">
        <f aca="false">AC14</f>
        <v>0.215</v>
      </c>
      <c r="DQ14" s="182" t="n">
        <f aca="false">AD14</f>
        <v>0.258</v>
      </c>
      <c r="DR14" s="118"/>
      <c r="DW14" s="0" t="n">
        <v>5</v>
      </c>
      <c r="DX14" s="187"/>
      <c r="DY14" s="188" t="s">
        <v>152</v>
      </c>
      <c r="DZ14" s="189" t="s">
        <v>153</v>
      </c>
      <c r="EA14" s="190"/>
      <c r="EB14" s="163" t="s">
        <v>154</v>
      </c>
      <c r="EC14" s="164" t="n">
        <v>8</v>
      </c>
      <c r="EF14" s="165"/>
      <c r="EG14" s="118"/>
      <c r="EH14" s="118"/>
      <c r="EI14" s="118"/>
      <c r="EJ14" s="118"/>
      <c r="EK14" s="118"/>
    </row>
    <row r="15" customFormat="false" ht="12.75" hidden="false" customHeight="false" outlineLevel="0" collapsed="false">
      <c r="A15" s="133"/>
      <c r="B15" s="174" t="n">
        <v>37110</v>
      </c>
      <c r="C15" s="175" t="n">
        <v>45.5</v>
      </c>
      <c r="D15" s="175" t="n">
        <v>49.5</v>
      </c>
      <c r="E15" s="175" t="n">
        <v>53.5</v>
      </c>
      <c r="F15" s="159"/>
      <c r="G15" s="175" t="n">
        <v>15.25</v>
      </c>
      <c r="H15" s="175" t="n">
        <v>15.25</v>
      </c>
      <c r="I15" s="175" t="n">
        <v>15.25</v>
      </c>
      <c r="J15" s="140"/>
      <c r="K15" s="141" t="n">
        <v>37226</v>
      </c>
      <c r="L15" s="176" t="n">
        <v>26.75</v>
      </c>
      <c r="M15" s="176" t="n">
        <v>26.75</v>
      </c>
      <c r="N15" s="176" t="n">
        <v>26.75</v>
      </c>
      <c r="O15" s="139"/>
      <c r="P15" s="176" t="n">
        <v>26.75</v>
      </c>
      <c r="Q15" s="176" t="n">
        <v>26.75</v>
      </c>
      <c r="R15" s="176" t="n">
        <v>26.75</v>
      </c>
      <c r="S15" s="139"/>
      <c r="T15" s="176" t="n">
        <v>0</v>
      </c>
      <c r="U15" s="176" t="n">
        <v>0</v>
      </c>
      <c r="V15" s="176" t="n">
        <v>0</v>
      </c>
      <c r="W15" s="139"/>
      <c r="X15" s="176" t="n">
        <v>0.328</v>
      </c>
      <c r="Y15" s="176" t="n">
        <v>0.41</v>
      </c>
      <c r="Z15" s="176" t="n">
        <v>0.492</v>
      </c>
      <c r="AA15" s="139"/>
      <c r="AB15" s="176" t="n">
        <v>0.164</v>
      </c>
      <c r="AC15" s="176" t="n">
        <v>0.205</v>
      </c>
      <c r="AD15" s="176" t="n">
        <v>0.246</v>
      </c>
      <c r="AE15" s="139"/>
      <c r="AF15" s="176" t="n">
        <v>0.576</v>
      </c>
      <c r="AG15" s="176" t="n">
        <v>0.72</v>
      </c>
      <c r="AH15" s="176" t="n">
        <v>0.864</v>
      </c>
      <c r="AI15" s="139"/>
      <c r="AJ15" s="176" t="n">
        <v>0.3456</v>
      </c>
      <c r="AK15" s="176" t="n">
        <v>0.432</v>
      </c>
      <c r="AL15" s="176" t="n">
        <v>0.5184</v>
      </c>
      <c r="AM15" s="139"/>
      <c r="AN15" s="140" t="n">
        <v>2</v>
      </c>
      <c r="AO15" s="177" t="n">
        <v>0</v>
      </c>
      <c r="AP15" s="139"/>
      <c r="AQ15" s="140" t="n">
        <v>400</v>
      </c>
      <c r="AR15" s="191" t="n">
        <v>0.9</v>
      </c>
      <c r="AS15" s="191" t="n">
        <v>0.9</v>
      </c>
      <c r="AT15" s="191" t="n">
        <v>0.931716331023903</v>
      </c>
      <c r="AU15" s="191" t="n">
        <v>0.829968217715179</v>
      </c>
      <c r="AV15" s="191" t="n">
        <v>0.936</v>
      </c>
      <c r="AW15" s="191" t="n">
        <v>0.85</v>
      </c>
      <c r="AX15" s="191" t="n">
        <v>0.795557301903125</v>
      </c>
      <c r="AY15" s="191" t="n">
        <v>0.795557301903125</v>
      </c>
      <c r="AZ15" s="191" t="n">
        <v>0.85</v>
      </c>
      <c r="BA15" s="191" t="n">
        <v>0.829968217715179</v>
      </c>
      <c r="BB15" s="191" t="n">
        <v>0.9</v>
      </c>
      <c r="BC15" s="191" t="n">
        <v>0.9</v>
      </c>
      <c r="BD15" s="140" t="s">
        <v>143</v>
      </c>
      <c r="BE15" s="139"/>
      <c r="BF15" s="141" t="n">
        <v>37226</v>
      </c>
      <c r="BG15" s="179" t="n">
        <v>0.75</v>
      </c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67"/>
      <c r="CG15" s="167"/>
      <c r="CH15" s="167"/>
      <c r="CI15" s="167"/>
      <c r="CK15" s="152"/>
      <c r="CL15" s="153"/>
      <c r="CM15" s="180"/>
      <c r="CN15" s="0"/>
      <c r="CO15" s="0"/>
      <c r="CP15" s="0"/>
      <c r="CQ15" s="0"/>
      <c r="CR15" s="0"/>
      <c r="CW15" s="181" t="n">
        <f aca="false">K15</f>
        <v>37226</v>
      </c>
      <c r="CX15" s="182" t="n">
        <f aca="false">AF15</f>
        <v>0.576</v>
      </c>
      <c r="CY15" s="182" t="n">
        <f aca="false">AG15</f>
        <v>0.72</v>
      </c>
      <c r="CZ15" s="182" t="n">
        <f aca="false">AH15</f>
        <v>0.864</v>
      </c>
      <c r="DB15" s="182" t="n">
        <f aca="false">X15</f>
        <v>0.328</v>
      </c>
      <c r="DC15" s="182" t="n">
        <f aca="false">Y15</f>
        <v>0.41</v>
      </c>
      <c r="DD15" s="182" t="n">
        <f aca="false">Z15</f>
        <v>0.492</v>
      </c>
      <c r="DF15" s="181" t="n">
        <f aca="false">BF15</f>
        <v>37226</v>
      </c>
      <c r="DG15" s="133" t="n">
        <f aca="false">BG15</f>
        <v>0.75</v>
      </c>
      <c r="DH15" s="162"/>
      <c r="DI15" s="162"/>
      <c r="DJ15" s="181" t="n">
        <f aca="false">CW15</f>
        <v>37226</v>
      </c>
      <c r="DK15" s="182" t="n">
        <f aca="false">AJ15</f>
        <v>0.3456</v>
      </c>
      <c r="DL15" s="182" t="n">
        <f aca="false">AK15</f>
        <v>0.432</v>
      </c>
      <c r="DM15" s="182" t="n">
        <f aca="false">AL15</f>
        <v>0.5184</v>
      </c>
      <c r="DO15" s="182" t="n">
        <f aca="false">AB15</f>
        <v>0.164</v>
      </c>
      <c r="DP15" s="182" t="n">
        <f aca="false">AC15</f>
        <v>0.205</v>
      </c>
      <c r="DQ15" s="182" t="n">
        <f aca="false">AD15</f>
        <v>0.246</v>
      </c>
      <c r="DR15" s="162"/>
      <c r="DW15" s="0" t="n">
        <v>6</v>
      </c>
      <c r="DX15" s="187"/>
      <c r="DY15" s="188" t="s">
        <v>155</v>
      </c>
      <c r="DZ15" s="189" t="s">
        <v>156</v>
      </c>
      <c r="EB15" s="163" t="s">
        <v>157</v>
      </c>
      <c r="EC15" s="164" t="n">
        <v>10</v>
      </c>
      <c r="EF15" s="165"/>
      <c r="EG15" s="162"/>
      <c r="EH15" s="162"/>
      <c r="EI15" s="162"/>
      <c r="EJ15" s="162"/>
      <c r="EK15" s="162"/>
    </row>
    <row r="16" customFormat="false" ht="12.75" hidden="false" customHeight="false" outlineLevel="0" collapsed="false">
      <c r="A16" s="133"/>
      <c r="B16" s="174" t="n">
        <v>37111</v>
      </c>
      <c r="C16" s="175" t="n">
        <v>45.5</v>
      </c>
      <c r="D16" s="175" t="n">
        <v>49.5</v>
      </c>
      <c r="E16" s="175" t="n">
        <v>53.5</v>
      </c>
      <c r="F16" s="159"/>
      <c r="G16" s="175" t="n">
        <v>15.25</v>
      </c>
      <c r="H16" s="175" t="n">
        <v>15.25</v>
      </c>
      <c r="I16" s="175" t="n">
        <v>15.25</v>
      </c>
      <c r="J16" s="140"/>
      <c r="K16" s="141" t="n">
        <v>37257</v>
      </c>
      <c r="L16" s="176" t="n">
        <v>28.8200016021729</v>
      </c>
      <c r="M16" s="176" t="n">
        <v>28.8200016021729</v>
      </c>
      <c r="N16" s="176" t="n">
        <v>28.8200016021729</v>
      </c>
      <c r="O16" s="139"/>
      <c r="P16" s="176" t="n">
        <v>19.3200016021729</v>
      </c>
      <c r="Q16" s="176" t="n">
        <v>19.3200016021729</v>
      </c>
      <c r="R16" s="176" t="n">
        <v>19.3200016021729</v>
      </c>
      <c r="S16" s="139"/>
      <c r="T16" s="176" t="n">
        <v>0</v>
      </c>
      <c r="U16" s="176" t="n">
        <v>0</v>
      </c>
      <c r="V16" s="176" t="n">
        <v>0</v>
      </c>
      <c r="W16" s="139"/>
      <c r="X16" s="176" t="n">
        <v>0.312</v>
      </c>
      <c r="Y16" s="176" t="n">
        <v>0.39</v>
      </c>
      <c r="Z16" s="176" t="n">
        <v>0.468</v>
      </c>
      <c r="AA16" s="139"/>
      <c r="AB16" s="176" t="n">
        <v>0.156</v>
      </c>
      <c r="AC16" s="176" t="n">
        <v>0.195</v>
      </c>
      <c r="AD16" s="176" t="n">
        <v>0.234</v>
      </c>
      <c r="AE16" s="139"/>
      <c r="AF16" s="176" t="n">
        <v>0.6</v>
      </c>
      <c r="AG16" s="176" t="n">
        <v>0.75</v>
      </c>
      <c r="AH16" s="176" t="n">
        <v>0.9</v>
      </c>
      <c r="AI16" s="139"/>
      <c r="AJ16" s="176" t="n">
        <v>0.36</v>
      </c>
      <c r="AK16" s="176" t="n">
        <v>0.45</v>
      </c>
      <c r="AL16" s="176" t="n">
        <v>0.54</v>
      </c>
      <c r="AM16" s="139"/>
      <c r="AN16" s="140" t="n">
        <v>3</v>
      </c>
      <c r="AO16" s="177" t="n">
        <v>0</v>
      </c>
      <c r="AP16" s="139"/>
      <c r="AQ16" s="140" t="n">
        <v>500</v>
      </c>
      <c r="AR16" s="191" t="n">
        <v>1</v>
      </c>
      <c r="AS16" s="191" t="n">
        <v>1</v>
      </c>
      <c r="AT16" s="191" t="n">
        <v>0.961008684423147</v>
      </c>
      <c r="AU16" s="191" t="n">
        <v>0.904126416732948</v>
      </c>
      <c r="AV16" s="191" t="n">
        <v>0.96</v>
      </c>
      <c r="AW16" s="191" t="n">
        <v>0.895</v>
      </c>
      <c r="AX16" s="191" t="n">
        <v>0.813654783608707</v>
      </c>
      <c r="AY16" s="191" t="n">
        <v>0.813654783608707</v>
      </c>
      <c r="AZ16" s="191" t="n">
        <v>0.895</v>
      </c>
      <c r="BA16" s="191" t="n">
        <v>0.904126416732948</v>
      </c>
      <c r="BB16" s="191" t="n">
        <v>0.95</v>
      </c>
      <c r="BC16" s="191" t="n">
        <v>0.95</v>
      </c>
      <c r="BD16" s="140" t="s">
        <v>143</v>
      </c>
      <c r="BE16" s="139"/>
      <c r="BF16" s="141" t="n">
        <v>37257</v>
      </c>
      <c r="BG16" s="179" t="n">
        <v>0.75</v>
      </c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67"/>
      <c r="CG16" s="167"/>
      <c r="CH16" s="167"/>
      <c r="CI16" s="167"/>
      <c r="CK16" s="152"/>
      <c r="CL16" s="153"/>
      <c r="CM16" s="180"/>
      <c r="CN16" s="0"/>
      <c r="CO16" s="0"/>
      <c r="CP16" s="0"/>
      <c r="CQ16" s="0"/>
      <c r="CR16" s="0"/>
      <c r="CW16" s="181" t="n">
        <f aca="false">K16</f>
        <v>37257</v>
      </c>
      <c r="CX16" s="182" t="n">
        <f aca="false">AF16</f>
        <v>0.6</v>
      </c>
      <c r="CY16" s="182" t="n">
        <f aca="false">AG16</f>
        <v>0.75</v>
      </c>
      <c r="CZ16" s="182" t="n">
        <f aca="false">AH16</f>
        <v>0.9</v>
      </c>
      <c r="DB16" s="182" t="n">
        <f aca="false">X16</f>
        <v>0.312</v>
      </c>
      <c r="DC16" s="182" t="n">
        <f aca="false">Y16</f>
        <v>0.39</v>
      </c>
      <c r="DD16" s="182" t="n">
        <f aca="false">Z16</f>
        <v>0.468</v>
      </c>
      <c r="DF16" s="181" t="n">
        <f aca="false">BF16</f>
        <v>37257</v>
      </c>
      <c r="DG16" s="133" t="n">
        <f aca="false">BG16</f>
        <v>0.75</v>
      </c>
      <c r="DH16" s="118"/>
      <c r="DI16" s="118"/>
      <c r="DJ16" s="181" t="n">
        <f aca="false">CW16</f>
        <v>37257</v>
      </c>
      <c r="DK16" s="182" t="n">
        <f aca="false">AJ16</f>
        <v>0.36</v>
      </c>
      <c r="DL16" s="182" t="n">
        <f aca="false">AK16</f>
        <v>0.45</v>
      </c>
      <c r="DM16" s="182" t="n">
        <f aca="false">AL16</f>
        <v>0.54</v>
      </c>
      <c r="DO16" s="182" t="n">
        <f aca="false">AB16</f>
        <v>0.156</v>
      </c>
      <c r="DP16" s="182" t="n">
        <f aca="false">AC16</f>
        <v>0.195</v>
      </c>
      <c r="DQ16" s="182" t="n">
        <f aca="false">AD16</f>
        <v>0.234</v>
      </c>
      <c r="DR16" s="118"/>
      <c r="DW16" s="0" t="n">
        <v>7</v>
      </c>
      <c r="DX16" s="187"/>
      <c r="DY16" s="188" t="s">
        <v>158</v>
      </c>
      <c r="DZ16" s="189" t="s">
        <v>159</v>
      </c>
      <c r="EB16" s="163" t="s">
        <v>160</v>
      </c>
      <c r="EC16" s="164" t="n">
        <v>11</v>
      </c>
      <c r="EF16" s="165"/>
      <c r="EG16" s="118"/>
      <c r="EH16" s="118"/>
      <c r="EI16" s="118"/>
      <c r="EJ16" s="118"/>
      <c r="EK16" s="118"/>
    </row>
    <row r="17" customFormat="false" ht="12.75" hidden="false" customHeight="false" outlineLevel="0" collapsed="false">
      <c r="A17" s="133"/>
      <c r="B17" s="174" t="n">
        <v>37112</v>
      </c>
      <c r="C17" s="175" t="n">
        <v>45.5</v>
      </c>
      <c r="D17" s="175" t="n">
        <v>49.5</v>
      </c>
      <c r="E17" s="175" t="n">
        <v>53.5</v>
      </c>
      <c r="F17" s="159"/>
      <c r="G17" s="175" t="n">
        <v>15.25</v>
      </c>
      <c r="H17" s="175" t="n">
        <v>15.25</v>
      </c>
      <c r="I17" s="175" t="n">
        <v>15.25</v>
      </c>
      <c r="J17" s="140"/>
      <c r="K17" s="141" t="n">
        <v>37288</v>
      </c>
      <c r="L17" s="176" t="n">
        <v>26.4160003662109</v>
      </c>
      <c r="M17" s="176" t="n">
        <v>26.4160003662109</v>
      </c>
      <c r="N17" s="176" t="n">
        <v>26.4160003662109</v>
      </c>
      <c r="O17" s="139"/>
      <c r="P17" s="176" t="n">
        <v>17.9165000915527</v>
      </c>
      <c r="Q17" s="176" t="n">
        <v>17.9165000915527</v>
      </c>
      <c r="R17" s="176" t="n">
        <v>17.9165000915527</v>
      </c>
      <c r="S17" s="139"/>
      <c r="T17" s="176" t="n">
        <v>0</v>
      </c>
      <c r="U17" s="176" t="n">
        <v>0</v>
      </c>
      <c r="V17" s="176" t="n">
        <v>0</v>
      </c>
      <c r="W17" s="139"/>
      <c r="X17" s="176" t="n">
        <v>0.28</v>
      </c>
      <c r="Y17" s="176" t="n">
        <v>0.35</v>
      </c>
      <c r="Z17" s="176" t="n">
        <v>0.42</v>
      </c>
      <c r="AA17" s="139"/>
      <c r="AB17" s="176" t="n">
        <v>0.14</v>
      </c>
      <c r="AC17" s="176" t="n">
        <v>0.175</v>
      </c>
      <c r="AD17" s="176" t="n">
        <v>0.21</v>
      </c>
      <c r="AE17" s="139"/>
      <c r="AF17" s="176" t="n">
        <v>0.6</v>
      </c>
      <c r="AG17" s="176" t="n">
        <v>0.75</v>
      </c>
      <c r="AH17" s="176" t="n">
        <v>0.9</v>
      </c>
      <c r="AI17" s="139"/>
      <c r="AJ17" s="176" t="n">
        <v>0.36</v>
      </c>
      <c r="AK17" s="176" t="n">
        <v>0.45</v>
      </c>
      <c r="AL17" s="176" t="n">
        <v>0.54</v>
      </c>
      <c r="AM17" s="139"/>
      <c r="AN17" s="140" t="n">
        <v>3</v>
      </c>
      <c r="AO17" s="177" t="n">
        <v>0</v>
      </c>
      <c r="AP17" s="139"/>
      <c r="AQ17" s="140" t="n">
        <v>600</v>
      </c>
      <c r="AR17" s="191" t="n">
        <v>1.35</v>
      </c>
      <c r="AS17" s="191" t="n">
        <v>1.35</v>
      </c>
      <c r="AT17" s="191" t="n">
        <v>1.06600068971274</v>
      </c>
      <c r="AU17" s="191" t="n">
        <v>1.15346940651923</v>
      </c>
      <c r="AV17" s="191" t="n">
        <v>1.2</v>
      </c>
      <c r="AW17" s="191" t="n">
        <v>0.92</v>
      </c>
      <c r="AX17" s="191" t="n">
        <v>1.021367977662</v>
      </c>
      <c r="AY17" s="191" t="n">
        <v>1.021367977662</v>
      </c>
      <c r="AZ17" s="191" t="n">
        <v>0.92</v>
      </c>
      <c r="BA17" s="191" t="n">
        <v>1.15346940651923</v>
      </c>
      <c r="BB17" s="191" t="n">
        <v>1.2</v>
      </c>
      <c r="BC17" s="191" t="n">
        <v>1.15</v>
      </c>
      <c r="BD17" s="140" t="s">
        <v>143</v>
      </c>
      <c r="BE17" s="139"/>
      <c r="BF17" s="141" t="n">
        <v>37288</v>
      </c>
      <c r="BG17" s="179" t="n">
        <v>0.75</v>
      </c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67"/>
      <c r="CG17" s="167"/>
      <c r="CH17" s="167"/>
      <c r="CI17" s="167"/>
      <c r="CK17" s="192"/>
      <c r="CL17" s="153"/>
      <c r="CM17" s="180"/>
      <c r="CN17" s="0"/>
      <c r="CO17" s="0"/>
      <c r="CP17" s="0"/>
      <c r="CQ17" s="0"/>
      <c r="CR17" s="0"/>
      <c r="CW17" s="181" t="n">
        <f aca="false">K17</f>
        <v>37288</v>
      </c>
      <c r="CX17" s="182" t="n">
        <f aca="false">AF17</f>
        <v>0.6</v>
      </c>
      <c r="CY17" s="182" t="n">
        <f aca="false">AG17</f>
        <v>0.75</v>
      </c>
      <c r="CZ17" s="182" t="n">
        <f aca="false">AH17</f>
        <v>0.9</v>
      </c>
      <c r="DB17" s="182" t="n">
        <f aca="false">X17</f>
        <v>0.28</v>
      </c>
      <c r="DC17" s="182" t="n">
        <f aca="false">Y17</f>
        <v>0.35</v>
      </c>
      <c r="DD17" s="182" t="n">
        <f aca="false">Z17</f>
        <v>0.42</v>
      </c>
      <c r="DF17" s="181" t="n">
        <f aca="false">BF17</f>
        <v>37288</v>
      </c>
      <c r="DG17" s="133" t="n">
        <f aca="false">BG17</f>
        <v>0.75</v>
      </c>
      <c r="DH17" s="162"/>
      <c r="DI17" s="162"/>
      <c r="DJ17" s="181" t="n">
        <f aca="false">CW17</f>
        <v>37288</v>
      </c>
      <c r="DK17" s="182" t="n">
        <f aca="false">AJ17</f>
        <v>0.36</v>
      </c>
      <c r="DL17" s="182" t="n">
        <f aca="false">AK17</f>
        <v>0.45</v>
      </c>
      <c r="DM17" s="182" t="n">
        <f aca="false">AL17</f>
        <v>0.54</v>
      </c>
      <c r="DO17" s="182" t="n">
        <f aca="false">AB17</f>
        <v>0.14</v>
      </c>
      <c r="DP17" s="182" t="n">
        <f aca="false">AC17</f>
        <v>0.175</v>
      </c>
      <c r="DQ17" s="182" t="n">
        <f aca="false">AD17</f>
        <v>0.21</v>
      </c>
      <c r="DR17" s="162"/>
      <c r="DW17" s="0" t="n">
        <v>8</v>
      </c>
      <c r="DX17" s="187"/>
      <c r="DY17" s="188" t="s">
        <v>161</v>
      </c>
      <c r="DZ17" s="189" t="s">
        <v>162</v>
      </c>
      <c r="EA17" s="140"/>
      <c r="EB17" s="163" t="s">
        <v>163</v>
      </c>
      <c r="EC17" s="164" t="n">
        <v>12</v>
      </c>
      <c r="EF17" s="165"/>
      <c r="EG17" s="162"/>
      <c r="EH17" s="162"/>
      <c r="EI17" s="162"/>
      <c r="EJ17" s="162"/>
      <c r="EK17" s="162"/>
    </row>
    <row r="18" customFormat="false" ht="12.75" hidden="false" customHeight="false" outlineLevel="0" collapsed="false">
      <c r="A18" s="133"/>
      <c r="B18" s="174" t="n">
        <v>37113</v>
      </c>
      <c r="C18" s="175" t="n">
        <v>45.5</v>
      </c>
      <c r="D18" s="175" t="n">
        <v>49.5</v>
      </c>
      <c r="E18" s="175" t="n">
        <v>53.5</v>
      </c>
      <c r="F18" s="159"/>
      <c r="G18" s="175" t="n">
        <v>15.25</v>
      </c>
      <c r="H18" s="175" t="n">
        <v>15.25</v>
      </c>
      <c r="I18" s="175" t="n">
        <v>15.25</v>
      </c>
      <c r="J18" s="140"/>
      <c r="K18" s="141" t="n">
        <v>37316</v>
      </c>
      <c r="L18" s="176" t="n">
        <v>21.4199981689453</v>
      </c>
      <c r="M18" s="176" t="n">
        <v>21.4199981689453</v>
      </c>
      <c r="N18" s="176" t="n">
        <v>21.4199981689453</v>
      </c>
      <c r="O18" s="139"/>
      <c r="P18" s="176" t="n">
        <v>15.9200000762939</v>
      </c>
      <c r="Q18" s="176" t="n">
        <v>15.9200000762939</v>
      </c>
      <c r="R18" s="176" t="n">
        <v>15.9200000762939</v>
      </c>
      <c r="S18" s="139"/>
      <c r="T18" s="176" t="n">
        <v>0</v>
      </c>
      <c r="U18" s="176" t="n">
        <v>0</v>
      </c>
      <c r="V18" s="176" t="n">
        <v>0</v>
      </c>
      <c r="W18" s="139"/>
      <c r="X18" s="176" t="n">
        <v>0.28</v>
      </c>
      <c r="Y18" s="176" t="n">
        <v>0.35</v>
      </c>
      <c r="Z18" s="176" t="n">
        <v>0.42</v>
      </c>
      <c r="AA18" s="139"/>
      <c r="AB18" s="176" t="n">
        <v>0.14</v>
      </c>
      <c r="AC18" s="176" t="n">
        <v>0.175</v>
      </c>
      <c r="AD18" s="176" t="n">
        <v>0.21</v>
      </c>
      <c r="AE18" s="139"/>
      <c r="AF18" s="176" t="n">
        <v>0.6</v>
      </c>
      <c r="AG18" s="176" t="n">
        <v>0.75</v>
      </c>
      <c r="AH18" s="176" t="n">
        <v>0.9</v>
      </c>
      <c r="AI18" s="139"/>
      <c r="AJ18" s="176" t="n">
        <v>0.36</v>
      </c>
      <c r="AK18" s="176" t="n">
        <v>0.45</v>
      </c>
      <c r="AL18" s="176" t="n">
        <v>0.54</v>
      </c>
      <c r="AM18" s="139"/>
      <c r="AN18" s="140" t="n">
        <v>3</v>
      </c>
      <c r="AO18" s="177" t="n">
        <v>0.1</v>
      </c>
      <c r="AP18" s="139"/>
      <c r="AQ18" s="140" t="n">
        <v>700</v>
      </c>
      <c r="AR18" s="191" t="n">
        <v>1.35</v>
      </c>
      <c r="AS18" s="191" t="n">
        <v>1.35</v>
      </c>
      <c r="AT18" s="191" t="n">
        <v>1.1561</v>
      </c>
      <c r="AU18" s="191" t="n">
        <v>1.22</v>
      </c>
      <c r="AV18" s="191" t="n">
        <v>0.85</v>
      </c>
      <c r="AW18" s="191" t="n">
        <v>0.47</v>
      </c>
      <c r="AX18" s="191" t="n">
        <v>0.37</v>
      </c>
      <c r="AY18" s="191" t="n">
        <v>0.37</v>
      </c>
      <c r="AZ18" s="191" t="n">
        <v>0.45</v>
      </c>
      <c r="BA18" s="191" t="n">
        <v>1.22</v>
      </c>
      <c r="BB18" s="191" t="n">
        <v>0.8</v>
      </c>
      <c r="BC18" s="191" t="n">
        <v>1</v>
      </c>
      <c r="BD18" s="140" t="s">
        <v>135</v>
      </c>
      <c r="BE18" s="139"/>
      <c r="BF18" s="141" t="n">
        <v>37316</v>
      </c>
      <c r="BG18" s="179" t="n">
        <v>0.75</v>
      </c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67"/>
      <c r="CG18" s="167"/>
      <c r="CH18" s="167"/>
      <c r="CI18" s="167"/>
      <c r="CK18" s="192"/>
      <c r="CL18" s="153"/>
      <c r="CM18" s="180"/>
      <c r="CN18" s="0"/>
      <c r="CO18" s="0"/>
      <c r="CP18" s="0"/>
      <c r="CQ18" s="0"/>
      <c r="CR18" s="0"/>
      <c r="CW18" s="181" t="n">
        <f aca="false">K18</f>
        <v>37316</v>
      </c>
      <c r="CX18" s="182" t="n">
        <f aca="false">AF18</f>
        <v>0.6</v>
      </c>
      <c r="CY18" s="182" t="n">
        <f aca="false">AG18</f>
        <v>0.75</v>
      </c>
      <c r="CZ18" s="182" t="n">
        <f aca="false">AH18</f>
        <v>0.9</v>
      </c>
      <c r="DB18" s="182" t="n">
        <f aca="false">X18</f>
        <v>0.28</v>
      </c>
      <c r="DC18" s="182" t="n">
        <f aca="false">Y18</f>
        <v>0.35</v>
      </c>
      <c r="DD18" s="182" t="n">
        <f aca="false">Z18</f>
        <v>0.42</v>
      </c>
      <c r="DF18" s="181" t="n">
        <f aca="false">BF18</f>
        <v>37316</v>
      </c>
      <c r="DG18" s="133" t="n">
        <f aca="false">BG18</f>
        <v>0.75</v>
      </c>
      <c r="DH18" s="162"/>
      <c r="DI18" s="162"/>
      <c r="DJ18" s="181" t="n">
        <f aca="false">CW18</f>
        <v>37316</v>
      </c>
      <c r="DK18" s="182" t="n">
        <f aca="false">AJ18</f>
        <v>0.36</v>
      </c>
      <c r="DL18" s="182" t="n">
        <f aca="false">AK18</f>
        <v>0.45</v>
      </c>
      <c r="DM18" s="182" t="n">
        <f aca="false">AL18</f>
        <v>0.54</v>
      </c>
      <c r="DO18" s="182" t="n">
        <f aca="false">AB18</f>
        <v>0.14</v>
      </c>
      <c r="DP18" s="182" t="n">
        <f aca="false">AC18</f>
        <v>0.175</v>
      </c>
      <c r="DQ18" s="182" t="n">
        <f aca="false">AD18</f>
        <v>0.21</v>
      </c>
      <c r="DR18" s="162"/>
      <c r="DW18" s="0" t="n">
        <v>9</v>
      </c>
      <c r="DX18" s="187"/>
      <c r="DY18" s="188" t="s">
        <v>164</v>
      </c>
      <c r="DZ18" s="189" t="s">
        <v>165</v>
      </c>
      <c r="EA18" s="140"/>
      <c r="EB18" s="163" t="s">
        <v>166</v>
      </c>
      <c r="EC18" s="164" t="n">
        <v>14</v>
      </c>
      <c r="EF18" s="165"/>
      <c r="EG18" s="162"/>
      <c r="EH18" s="162"/>
      <c r="EI18" s="162"/>
      <c r="EJ18" s="162"/>
      <c r="EK18" s="162"/>
    </row>
    <row r="19" customFormat="false" ht="13.5" hidden="false" customHeight="false" outlineLevel="0" collapsed="false">
      <c r="A19" s="133"/>
      <c r="B19" s="174" t="n">
        <v>37114</v>
      </c>
      <c r="C19" s="175" t="n">
        <v>24</v>
      </c>
      <c r="D19" s="175" t="n">
        <v>28</v>
      </c>
      <c r="E19" s="175" t="n">
        <v>32</v>
      </c>
      <c r="F19" s="159"/>
      <c r="G19" s="175" t="n">
        <v>15.25</v>
      </c>
      <c r="H19" s="175" t="n">
        <v>15.25</v>
      </c>
      <c r="I19" s="175" t="n">
        <v>15.25</v>
      </c>
      <c r="J19" s="140"/>
      <c r="K19" s="141" t="n">
        <v>37347</v>
      </c>
      <c r="L19" s="176" t="n">
        <v>21.4199981689453</v>
      </c>
      <c r="M19" s="176" t="n">
        <v>21.4199981689453</v>
      </c>
      <c r="N19" s="176" t="n">
        <v>21.4199981689453</v>
      </c>
      <c r="O19" s="139"/>
      <c r="P19" s="176" t="n">
        <v>15.9150009155273</v>
      </c>
      <c r="Q19" s="176" t="n">
        <v>15.9150009155273</v>
      </c>
      <c r="R19" s="176" t="n">
        <v>15.9150009155273</v>
      </c>
      <c r="S19" s="139"/>
      <c r="T19" s="176" t="n">
        <v>0</v>
      </c>
      <c r="U19" s="176" t="n">
        <v>0</v>
      </c>
      <c r="V19" s="176" t="n">
        <v>0</v>
      </c>
      <c r="W19" s="139"/>
      <c r="X19" s="176" t="n">
        <v>0.28</v>
      </c>
      <c r="Y19" s="176" t="n">
        <v>0.35</v>
      </c>
      <c r="Z19" s="176" t="n">
        <v>0.42</v>
      </c>
      <c r="AA19" s="139"/>
      <c r="AB19" s="176" t="n">
        <v>0.14</v>
      </c>
      <c r="AC19" s="176" t="n">
        <v>0.175</v>
      </c>
      <c r="AD19" s="176" t="n">
        <v>0.21</v>
      </c>
      <c r="AE19" s="139"/>
      <c r="AF19" s="176" t="n">
        <v>0.56</v>
      </c>
      <c r="AG19" s="176" t="n">
        <v>0.7</v>
      </c>
      <c r="AH19" s="176" t="n">
        <v>0.84</v>
      </c>
      <c r="AI19" s="139"/>
      <c r="AJ19" s="176" t="n">
        <v>0.336</v>
      </c>
      <c r="AK19" s="176" t="n">
        <v>0.42</v>
      </c>
      <c r="AL19" s="176" t="n">
        <v>0.504</v>
      </c>
      <c r="AM19" s="139"/>
      <c r="AN19" s="140" t="n">
        <v>4</v>
      </c>
      <c r="AO19" s="177" t="n">
        <v>0.1</v>
      </c>
      <c r="AP19" s="139"/>
      <c r="AQ19" s="140" t="n">
        <v>800</v>
      </c>
      <c r="AR19" s="191" t="n">
        <v>1.3485</v>
      </c>
      <c r="AS19" s="191" t="n">
        <v>1.3485</v>
      </c>
      <c r="AT19" s="191" t="n">
        <v>1.2485549132948</v>
      </c>
      <c r="AU19" s="191" t="n">
        <v>1.22</v>
      </c>
      <c r="AV19" s="191" t="n">
        <v>0.9175</v>
      </c>
      <c r="AW19" s="191" t="n">
        <v>0.47</v>
      </c>
      <c r="AX19" s="191" t="n">
        <v>0.37</v>
      </c>
      <c r="AY19" s="191" t="n">
        <v>0.37</v>
      </c>
      <c r="AZ19" s="191" t="n">
        <v>0.531365313653137</v>
      </c>
      <c r="BA19" s="191" t="n">
        <v>1.22</v>
      </c>
      <c r="BB19" s="191" t="n">
        <v>1.15</v>
      </c>
      <c r="BC19" s="191" t="n">
        <v>1.2545</v>
      </c>
      <c r="BD19" s="140" t="s">
        <v>135</v>
      </c>
      <c r="BE19" s="139"/>
      <c r="BF19" s="141" t="n">
        <v>37347</v>
      </c>
      <c r="BG19" s="179" t="n">
        <v>0.75</v>
      </c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67"/>
      <c r="CG19" s="167"/>
      <c r="CH19" s="167"/>
      <c r="CI19" s="167"/>
      <c r="CK19" s="192"/>
      <c r="CL19" s="153"/>
      <c r="CM19" s="180"/>
      <c r="CN19" s="0"/>
      <c r="CO19" s="0"/>
      <c r="CP19" s="0"/>
      <c r="CQ19" s="0"/>
      <c r="CR19" s="0"/>
      <c r="CW19" s="181" t="n">
        <f aca="false">K19</f>
        <v>37347</v>
      </c>
      <c r="CX19" s="182" t="n">
        <f aca="false">AF19</f>
        <v>0.56</v>
      </c>
      <c r="CY19" s="182" t="n">
        <f aca="false">AG19</f>
        <v>0.7</v>
      </c>
      <c r="CZ19" s="182" t="n">
        <f aca="false">AH19</f>
        <v>0.84</v>
      </c>
      <c r="DB19" s="182" t="n">
        <f aca="false">X19</f>
        <v>0.28</v>
      </c>
      <c r="DC19" s="182" t="n">
        <f aca="false">Y19</f>
        <v>0.35</v>
      </c>
      <c r="DD19" s="182" t="n">
        <f aca="false">Z19</f>
        <v>0.42</v>
      </c>
      <c r="DF19" s="181" t="n">
        <f aca="false">BF19</f>
        <v>37347</v>
      </c>
      <c r="DG19" s="133" t="n">
        <f aca="false">BG19</f>
        <v>0.75</v>
      </c>
      <c r="DJ19" s="181" t="n">
        <f aca="false">CW19</f>
        <v>37347</v>
      </c>
      <c r="DK19" s="182" t="n">
        <f aca="false">AJ19</f>
        <v>0.336</v>
      </c>
      <c r="DL19" s="182" t="n">
        <f aca="false">AK19</f>
        <v>0.42</v>
      </c>
      <c r="DM19" s="182" t="n">
        <f aca="false">AL19</f>
        <v>0.504</v>
      </c>
      <c r="DO19" s="182" t="n">
        <f aca="false">AB19</f>
        <v>0.14</v>
      </c>
      <c r="DP19" s="182" t="n">
        <f aca="false">AC19</f>
        <v>0.175</v>
      </c>
      <c r="DQ19" s="182" t="n">
        <f aca="false">AD19</f>
        <v>0.21</v>
      </c>
      <c r="DW19" s="0" t="n">
        <v>10</v>
      </c>
      <c r="DX19" s="187"/>
      <c r="DY19" s="188" t="s">
        <v>167</v>
      </c>
      <c r="DZ19" s="189" t="s">
        <v>168</v>
      </c>
      <c r="EA19" s="140"/>
      <c r="EB19" s="193" t="s">
        <v>169</v>
      </c>
      <c r="EC19" s="194" t="n">
        <v>15</v>
      </c>
      <c r="EF19" s="165"/>
    </row>
    <row r="20" customFormat="false" ht="13.5" hidden="false" customHeight="false" outlineLevel="0" collapsed="false">
      <c r="A20" s="133"/>
      <c r="B20" s="174" t="n">
        <v>37115</v>
      </c>
      <c r="C20" s="175" t="n">
        <v>24</v>
      </c>
      <c r="D20" s="175" t="n">
        <v>28</v>
      </c>
      <c r="E20" s="175" t="n">
        <v>32</v>
      </c>
      <c r="F20" s="159"/>
      <c r="G20" s="175" t="n">
        <v>15.25</v>
      </c>
      <c r="H20" s="175" t="n">
        <v>15.25</v>
      </c>
      <c r="I20" s="175" t="n">
        <v>15.25</v>
      </c>
      <c r="J20" s="140"/>
      <c r="K20" s="141" t="n">
        <v>37377</v>
      </c>
      <c r="L20" s="176" t="n">
        <v>23.4199981689453</v>
      </c>
      <c r="M20" s="176" t="n">
        <v>23.4199981689453</v>
      </c>
      <c r="N20" s="176" t="n">
        <v>23.4199981689453</v>
      </c>
      <c r="O20" s="139"/>
      <c r="P20" s="176" t="n">
        <v>16.9249973297119</v>
      </c>
      <c r="Q20" s="176" t="n">
        <v>16.9249973297119</v>
      </c>
      <c r="R20" s="176" t="n">
        <v>16.9249973297119</v>
      </c>
      <c r="S20" s="139"/>
      <c r="T20" s="176" t="n">
        <v>0</v>
      </c>
      <c r="U20" s="176" t="n">
        <v>0</v>
      </c>
      <c r="V20" s="176" t="n">
        <v>0</v>
      </c>
      <c r="W20" s="139"/>
      <c r="X20" s="176" t="n">
        <v>0.28</v>
      </c>
      <c r="Y20" s="176" t="n">
        <v>0.35</v>
      </c>
      <c r="Z20" s="176" t="n">
        <v>0.42</v>
      </c>
      <c r="AA20" s="139"/>
      <c r="AB20" s="176" t="n">
        <v>0.14</v>
      </c>
      <c r="AC20" s="176" t="n">
        <v>0.175</v>
      </c>
      <c r="AD20" s="176" t="n">
        <v>0.21</v>
      </c>
      <c r="AE20" s="139"/>
      <c r="AF20" s="176" t="n">
        <v>0.56</v>
      </c>
      <c r="AG20" s="176" t="n">
        <v>0.7</v>
      </c>
      <c r="AH20" s="176" t="n">
        <v>0.84</v>
      </c>
      <c r="AI20" s="139"/>
      <c r="AJ20" s="176" t="n">
        <v>0.336</v>
      </c>
      <c r="AK20" s="176" t="n">
        <v>0.42</v>
      </c>
      <c r="AL20" s="176" t="n">
        <v>0.504</v>
      </c>
      <c r="AM20" s="139"/>
      <c r="AN20" s="140" t="n">
        <v>4</v>
      </c>
      <c r="AO20" s="177" t="n">
        <v>0.1</v>
      </c>
      <c r="AP20" s="139"/>
      <c r="AQ20" s="140" t="n">
        <v>900</v>
      </c>
      <c r="AR20" s="191" t="n">
        <v>1.35</v>
      </c>
      <c r="AS20" s="191" t="n">
        <v>1.35</v>
      </c>
      <c r="AT20" s="191" t="n">
        <v>1.2485549132948</v>
      </c>
      <c r="AU20" s="191" t="n">
        <v>1.15</v>
      </c>
      <c r="AV20" s="191" t="n">
        <v>0.95</v>
      </c>
      <c r="AW20" s="191" t="n">
        <v>0.47</v>
      </c>
      <c r="AX20" s="191" t="n">
        <v>0.37</v>
      </c>
      <c r="AY20" s="191" t="n">
        <v>0.37</v>
      </c>
      <c r="AZ20" s="191" t="n">
        <v>0.560885608856089</v>
      </c>
      <c r="BA20" s="191" t="n">
        <v>1.15</v>
      </c>
      <c r="BB20" s="191" t="n">
        <v>1.15</v>
      </c>
      <c r="BC20" s="191" t="n">
        <v>1.26</v>
      </c>
      <c r="BD20" s="140" t="s">
        <v>135</v>
      </c>
      <c r="BE20" s="139"/>
      <c r="BF20" s="141" t="n">
        <v>37377</v>
      </c>
      <c r="BG20" s="179" t="n">
        <v>0.75</v>
      </c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67"/>
      <c r="CG20" s="118"/>
      <c r="CH20" s="118"/>
      <c r="CI20" s="118"/>
      <c r="CK20" s="192"/>
      <c r="CL20" s="153"/>
      <c r="CM20" s="180"/>
      <c r="CN20" s="0"/>
      <c r="CO20" s="0"/>
      <c r="CP20" s="0"/>
      <c r="CQ20" s="0"/>
      <c r="CR20" s="0"/>
      <c r="CW20" s="181" t="n">
        <f aca="false">K20</f>
        <v>37377</v>
      </c>
      <c r="CX20" s="182" t="n">
        <f aca="false">AF20</f>
        <v>0.56</v>
      </c>
      <c r="CY20" s="182" t="n">
        <f aca="false">AG20</f>
        <v>0.7</v>
      </c>
      <c r="CZ20" s="182" t="n">
        <f aca="false">AH20</f>
        <v>0.84</v>
      </c>
      <c r="DB20" s="182" t="n">
        <f aca="false">X20</f>
        <v>0.28</v>
      </c>
      <c r="DC20" s="182" t="n">
        <f aca="false">Y20</f>
        <v>0.35</v>
      </c>
      <c r="DD20" s="182" t="n">
        <f aca="false">Z20</f>
        <v>0.42</v>
      </c>
      <c r="DF20" s="181" t="n">
        <f aca="false">BF20</f>
        <v>37377</v>
      </c>
      <c r="DG20" s="133" t="n">
        <f aca="false">BG20</f>
        <v>0.75</v>
      </c>
      <c r="DJ20" s="181" t="n">
        <f aca="false">CW20</f>
        <v>37377</v>
      </c>
      <c r="DK20" s="182" t="n">
        <f aca="false">AJ20</f>
        <v>0.336</v>
      </c>
      <c r="DL20" s="182" t="n">
        <f aca="false">AK20</f>
        <v>0.42</v>
      </c>
      <c r="DM20" s="182" t="n">
        <f aca="false">AL20</f>
        <v>0.504</v>
      </c>
      <c r="DO20" s="182" t="n">
        <f aca="false">AB20</f>
        <v>0.14</v>
      </c>
      <c r="DP20" s="182" t="n">
        <f aca="false">AC20</f>
        <v>0.175</v>
      </c>
      <c r="DQ20" s="182" t="n">
        <f aca="false">AD20</f>
        <v>0.21</v>
      </c>
      <c r="DW20" s="0" t="n">
        <v>11</v>
      </c>
      <c r="DX20" s="187"/>
      <c r="DY20" s="188" t="s">
        <v>170</v>
      </c>
      <c r="DZ20" s="189" t="s">
        <v>171</v>
      </c>
      <c r="EA20" s="140"/>
      <c r="EB20" s="195" t="s">
        <v>172</v>
      </c>
      <c r="EF20" s="165"/>
    </row>
    <row r="21" customFormat="false" ht="12.75" hidden="false" customHeight="false" outlineLevel="0" collapsed="false">
      <c r="A21" s="133"/>
      <c r="B21" s="174" t="n">
        <v>37116</v>
      </c>
      <c r="C21" s="175" t="n">
        <v>39.75</v>
      </c>
      <c r="D21" s="175" t="n">
        <v>43.75</v>
      </c>
      <c r="E21" s="175" t="n">
        <v>47.75</v>
      </c>
      <c r="F21" s="159"/>
      <c r="G21" s="175" t="n">
        <v>15.25</v>
      </c>
      <c r="H21" s="175" t="n">
        <v>15.25</v>
      </c>
      <c r="I21" s="175" t="n">
        <v>15.25</v>
      </c>
      <c r="J21" s="140"/>
      <c r="K21" s="141" t="n">
        <v>37408</v>
      </c>
      <c r="L21" s="176" t="n">
        <v>30.4199981689453</v>
      </c>
      <c r="M21" s="176" t="n">
        <v>30.4199981689453</v>
      </c>
      <c r="N21" s="176" t="n">
        <v>30.4199981689453</v>
      </c>
      <c r="O21" s="139"/>
      <c r="P21" s="176" t="n">
        <v>20.9199981689453</v>
      </c>
      <c r="Q21" s="176" t="n">
        <v>20.9199981689453</v>
      </c>
      <c r="R21" s="176" t="n">
        <v>20.9199981689453</v>
      </c>
      <c r="S21" s="139"/>
      <c r="T21" s="176" t="n">
        <v>0</v>
      </c>
      <c r="U21" s="176" t="n">
        <v>0</v>
      </c>
      <c r="V21" s="176" t="n">
        <v>0</v>
      </c>
      <c r="W21" s="139"/>
      <c r="X21" s="176" t="n">
        <v>0.28</v>
      </c>
      <c r="Y21" s="176" t="n">
        <v>0.35</v>
      </c>
      <c r="Z21" s="176" t="n">
        <v>0.42</v>
      </c>
      <c r="AA21" s="139"/>
      <c r="AB21" s="176" t="n">
        <v>0.14</v>
      </c>
      <c r="AC21" s="176" t="n">
        <v>0.175</v>
      </c>
      <c r="AD21" s="176" t="n">
        <v>0.21</v>
      </c>
      <c r="AE21" s="139"/>
      <c r="AF21" s="176" t="n">
        <v>0.56</v>
      </c>
      <c r="AG21" s="176" t="n">
        <v>0.7</v>
      </c>
      <c r="AH21" s="176" t="n">
        <v>0.84</v>
      </c>
      <c r="AI21" s="139"/>
      <c r="AJ21" s="176" t="n">
        <v>0.336</v>
      </c>
      <c r="AK21" s="176" t="n">
        <v>0.42</v>
      </c>
      <c r="AL21" s="176" t="n">
        <v>0.504</v>
      </c>
      <c r="AM21" s="139"/>
      <c r="AN21" s="140" t="n">
        <v>4</v>
      </c>
      <c r="AO21" s="177" t="n">
        <v>0.1</v>
      </c>
      <c r="AP21" s="139"/>
      <c r="AQ21" s="140" t="n">
        <v>1000</v>
      </c>
      <c r="AR21" s="191" t="n">
        <v>1.1</v>
      </c>
      <c r="AS21" s="191" t="n">
        <v>1.1</v>
      </c>
      <c r="AT21" s="191" t="n">
        <v>1.10982658959538</v>
      </c>
      <c r="AU21" s="191" t="n">
        <v>1</v>
      </c>
      <c r="AV21" s="191" t="n">
        <v>0.97</v>
      </c>
      <c r="AW21" s="191" t="n">
        <v>0.47</v>
      </c>
      <c r="AX21" s="191" t="n">
        <v>0.37</v>
      </c>
      <c r="AY21" s="191" t="n">
        <v>0.37</v>
      </c>
      <c r="AZ21" s="191" t="n">
        <v>0.6</v>
      </c>
      <c r="BA21" s="191" t="n">
        <v>1</v>
      </c>
      <c r="BB21" s="191" t="n">
        <v>1.15</v>
      </c>
      <c r="BC21" s="191" t="n">
        <v>1.205</v>
      </c>
      <c r="BD21" s="140" t="s">
        <v>135</v>
      </c>
      <c r="BE21" s="139"/>
      <c r="BF21" s="141" t="n">
        <v>37408</v>
      </c>
      <c r="BG21" s="179" t="n">
        <v>0.75</v>
      </c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67"/>
      <c r="CG21" s="118"/>
      <c r="CH21" s="118"/>
      <c r="CI21" s="118"/>
      <c r="CK21" s="192"/>
      <c r="CL21" s="153"/>
      <c r="CM21" s="180"/>
      <c r="CN21" s="0"/>
      <c r="CO21" s="0"/>
      <c r="CP21" s="0"/>
      <c r="CQ21" s="0"/>
      <c r="CR21" s="0"/>
      <c r="CW21" s="181" t="n">
        <f aca="false">K21</f>
        <v>37408</v>
      </c>
      <c r="CX21" s="182" t="n">
        <f aca="false">AF21</f>
        <v>0.56</v>
      </c>
      <c r="CY21" s="182" t="n">
        <f aca="false">AG21</f>
        <v>0.7</v>
      </c>
      <c r="CZ21" s="182" t="n">
        <f aca="false">AH21</f>
        <v>0.84</v>
      </c>
      <c r="DB21" s="182" t="n">
        <f aca="false">X21</f>
        <v>0.28</v>
      </c>
      <c r="DC21" s="182" t="n">
        <f aca="false">Y21</f>
        <v>0.35</v>
      </c>
      <c r="DD21" s="182" t="n">
        <f aca="false">Z21</f>
        <v>0.42</v>
      </c>
      <c r="DF21" s="181" t="n">
        <f aca="false">BF21</f>
        <v>37408</v>
      </c>
      <c r="DG21" s="133" t="n">
        <f aca="false">BG21</f>
        <v>0.75</v>
      </c>
      <c r="DJ21" s="181" t="n">
        <f aca="false">CW21</f>
        <v>37408</v>
      </c>
      <c r="DK21" s="182" t="n">
        <f aca="false">AJ21</f>
        <v>0.336</v>
      </c>
      <c r="DL21" s="182" t="n">
        <f aca="false">AK21</f>
        <v>0.42</v>
      </c>
      <c r="DM21" s="182" t="n">
        <f aca="false">AL21</f>
        <v>0.504</v>
      </c>
      <c r="DO21" s="182" t="n">
        <f aca="false">AB21</f>
        <v>0.14</v>
      </c>
      <c r="DP21" s="182" t="n">
        <f aca="false">AC21</f>
        <v>0.175</v>
      </c>
      <c r="DQ21" s="182" t="n">
        <f aca="false">AD21</f>
        <v>0.21</v>
      </c>
      <c r="DW21" s="0" t="n">
        <v>12</v>
      </c>
      <c r="DX21" s="187" t="s">
        <v>173</v>
      </c>
      <c r="DY21" s="188" t="s">
        <v>174</v>
      </c>
      <c r="DZ21" s="189" t="s">
        <v>175</v>
      </c>
      <c r="EA21" s="140"/>
      <c r="EF21" s="165"/>
    </row>
    <row r="22" customFormat="false" ht="12.75" hidden="false" customHeight="false" outlineLevel="0" collapsed="false">
      <c r="A22" s="133"/>
      <c r="B22" s="174" t="n">
        <v>37117</v>
      </c>
      <c r="C22" s="175" t="n">
        <v>39.75</v>
      </c>
      <c r="D22" s="175" t="n">
        <v>43.75</v>
      </c>
      <c r="E22" s="175" t="n">
        <v>47.75</v>
      </c>
      <c r="F22" s="159"/>
      <c r="G22" s="175" t="n">
        <v>15.25</v>
      </c>
      <c r="H22" s="175" t="n">
        <v>15.25</v>
      </c>
      <c r="I22" s="175" t="n">
        <v>15.25</v>
      </c>
      <c r="J22" s="140"/>
      <c r="K22" s="141" t="n">
        <v>37438</v>
      </c>
      <c r="L22" s="176" t="n">
        <v>36.4199981689453</v>
      </c>
      <c r="M22" s="176" t="n">
        <v>36.4199981689453</v>
      </c>
      <c r="N22" s="176" t="n">
        <v>36.4199981689453</v>
      </c>
      <c r="O22" s="139"/>
      <c r="P22" s="176" t="n">
        <v>26.9199981689453</v>
      </c>
      <c r="Q22" s="176" t="n">
        <v>26.9199981689453</v>
      </c>
      <c r="R22" s="176" t="n">
        <v>26.9199981689453</v>
      </c>
      <c r="S22" s="139"/>
      <c r="T22" s="176" t="n">
        <v>0</v>
      </c>
      <c r="U22" s="176" t="n">
        <v>0</v>
      </c>
      <c r="V22" s="176" t="n">
        <v>0</v>
      </c>
      <c r="W22" s="139"/>
      <c r="X22" s="176" t="n">
        <v>0.28</v>
      </c>
      <c r="Y22" s="176" t="n">
        <v>0.35</v>
      </c>
      <c r="Z22" s="176" t="n">
        <v>0.42</v>
      </c>
      <c r="AA22" s="139"/>
      <c r="AB22" s="176" t="n">
        <v>0.14</v>
      </c>
      <c r="AC22" s="176" t="n">
        <v>0.175</v>
      </c>
      <c r="AD22" s="176" t="n">
        <v>0.21</v>
      </c>
      <c r="AE22" s="139"/>
      <c r="AF22" s="176" t="n">
        <v>0.6</v>
      </c>
      <c r="AG22" s="176" t="n">
        <v>0.75</v>
      </c>
      <c r="AH22" s="176" t="n">
        <v>0.9</v>
      </c>
      <c r="AI22" s="139"/>
      <c r="AJ22" s="176" t="n">
        <v>0.36</v>
      </c>
      <c r="AK22" s="176" t="n">
        <v>0.45</v>
      </c>
      <c r="AL22" s="176" t="n">
        <v>0.54</v>
      </c>
      <c r="AM22" s="139"/>
      <c r="AN22" s="140" t="n">
        <v>5</v>
      </c>
      <c r="AO22" s="177" t="n">
        <v>0.1</v>
      </c>
      <c r="AP22" s="139"/>
      <c r="AQ22" s="140" t="n">
        <v>1100</v>
      </c>
      <c r="AR22" s="191" t="n">
        <v>0.886649874055416</v>
      </c>
      <c r="AS22" s="191" t="n">
        <v>0.886649874055416</v>
      </c>
      <c r="AT22" s="191" t="n">
        <v>0.878612716763006</v>
      </c>
      <c r="AU22" s="191" t="n">
        <v>0.9</v>
      </c>
      <c r="AV22" s="191" t="n">
        <v>0.975</v>
      </c>
      <c r="AW22" s="191" t="n">
        <v>0.47</v>
      </c>
      <c r="AX22" s="191" t="n">
        <v>0.37</v>
      </c>
      <c r="AY22" s="191" t="n">
        <v>0.37</v>
      </c>
      <c r="AZ22" s="191" t="n">
        <v>0.6635</v>
      </c>
      <c r="BA22" s="191" t="n">
        <v>0.9</v>
      </c>
      <c r="BB22" s="191" t="n">
        <v>0.920547945205479</v>
      </c>
      <c r="BC22" s="191" t="n">
        <v>0.920547945205479</v>
      </c>
      <c r="BD22" s="140" t="s">
        <v>135</v>
      </c>
      <c r="BE22" s="139"/>
      <c r="BF22" s="141" t="n">
        <v>37438</v>
      </c>
      <c r="BG22" s="179" t="n">
        <v>0.75</v>
      </c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67"/>
      <c r="CG22" s="118"/>
      <c r="CH22" s="118"/>
      <c r="CI22" s="118"/>
      <c r="CK22" s="192"/>
      <c r="CL22" s="153"/>
      <c r="CM22" s="180"/>
      <c r="CN22" s="0"/>
      <c r="CO22" s="0"/>
      <c r="CP22" s="0"/>
      <c r="CQ22" s="0"/>
      <c r="CR22" s="0"/>
      <c r="CW22" s="181" t="n">
        <f aca="false">K22</f>
        <v>37438</v>
      </c>
      <c r="CX22" s="182" t="n">
        <f aca="false">AF22</f>
        <v>0.6</v>
      </c>
      <c r="CY22" s="182" t="n">
        <f aca="false">AG22</f>
        <v>0.75</v>
      </c>
      <c r="CZ22" s="182" t="n">
        <f aca="false">AH22</f>
        <v>0.9</v>
      </c>
      <c r="DB22" s="182" t="n">
        <f aca="false">X22</f>
        <v>0.28</v>
      </c>
      <c r="DC22" s="182" t="n">
        <f aca="false">Y22</f>
        <v>0.35</v>
      </c>
      <c r="DD22" s="182" t="n">
        <f aca="false">Z22</f>
        <v>0.42</v>
      </c>
      <c r="DF22" s="181" t="n">
        <f aca="false">BF22</f>
        <v>37438</v>
      </c>
      <c r="DG22" s="133" t="n">
        <f aca="false">BG22</f>
        <v>0.75</v>
      </c>
      <c r="DJ22" s="181" t="n">
        <f aca="false">CW22</f>
        <v>37438</v>
      </c>
      <c r="DK22" s="182" t="n">
        <f aca="false">AJ22</f>
        <v>0.36</v>
      </c>
      <c r="DL22" s="182" t="n">
        <f aca="false">AK22</f>
        <v>0.45</v>
      </c>
      <c r="DM22" s="182" t="n">
        <f aca="false">AL22</f>
        <v>0.54</v>
      </c>
      <c r="DO22" s="182" t="n">
        <f aca="false">AB22</f>
        <v>0.14</v>
      </c>
      <c r="DP22" s="182" t="n">
        <f aca="false">AC22</f>
        <v>0.175</v>
      </c>
      <c r="DQ22" s="182" t="n">
        <f aca="false">AD22</f>
        <v>0.21</v>
      </c>
      <c r="DW22" s="0" t="n">
        <v>13</v>
      </c>
      <c r="DX22" s="187" t="s">
        <v>176</v>
      </c>
      <c r="DY22" s="188" t="s">
        <v>177</v>
      </c>
      <c r="DZ22" s="189" t="s">
        <v>178</v>
      </c>
      <c r="EA22" s="140"/>
      <c r="EB22" s="131"/>
      <c r="EC22" s="131"/>
      <c r="ED22" s="196"/>
      <c r="EE22" s="196"/>
      <c r="EF22" s="165"/>
    </row>
    <row r="23" customFormat="false" ht="12.75" hidden="false" customHeight="false" outlineLevel="0" collapsed="false">
      <c r="A23" s="133"/>
      <c r="B23" s="174" t="n">
        <v>37118</v>
      </c>
      <c r="C23" s="175" t="n">
        <v>39.75</v>
      </c>
      <c r="D23" s="175" t="n">
        <v>43.75</v>
      </c>
      <c r="E23" s="175" t="n">
        <v>47.75</v>
      </c>
      <c r="F23" s="159"/>
      <c r="G23" s="175" t="n">
        <v>15.25</v>
      </c>
      <c r="H23" s="175" t="n">
        <v>15.25</v>
      </c>
      <c r="I23" s="175" t="n">
        <v>15.25</v>
      </c>
      <c r="J23" s="140"/>
      <c r="K23" s="141" t="n">
        <v>37469</v>
      </c>
      <c r="L23" s="176" t="n">
        <v>34.4200019836426</v>
      </c>
      <c r="M23" s="176" t="n">
        <v>34.4200019836426</v>
      </c>
      <c r="N23" s="176" t="n">
        <v>34.4200019836426</v>
      </c>
      <c r="O23" s="139"/>
      <c r="P23" s="176" t="n">
        <v>26.9199981689453</v>
      </c>
      <c r="Q23" s="176" t="n">
        <v>26.9199981689453</v>
      </c>
      <c r="R23" s="176" t="n">
        <v>26.9199981689453</v>
      </c>
      <c r="S23" s="139"/>
      <c r="T23" s="176" t="n">
        <v>0</v>
      </c>
      <c r="U23" s="176" t="n">
        <v>0</v>
      </c>
      <c r="V23" s="176" t="n">
        <v>0</v>
      </c>
      <c r="W23" s="139"/>
      <c r="X23" s="176" t="n">
        <v>0.36</v>
      </c>
      <c r="Y23" s="176" t="n">
        <v>0.45</v>
      </c>
      <c r="Z23" s="176" t="n">
        <v>0.54</v>
      </c>
      <c r="AA23" s="139"/>
      <c r="AB23" s="176" t="n">
        <v>0.18</v>
      </c>
      <c r="AC23" s="176" t="n">
        <v>0.225</v>
      </c>
      <c r="AD23" s="176" t="n">
        <v>0.27</v>
      </c>
      <c r="AE23" s="139"/>
      <c r="AF23" s="176" t="n">
        <v>0.72</v>
      </c>
      <c r="AG23" s="176" t="n">
        <v>0.9</v>
      </c>
      <c r="AH23" s="176" t="n">
        <v>1.08</v>
      </c>
      <c r="AI23" s="139"/>
      <c r="AJ23" s="176" t="n">
        <v>0.432</v>
      </c>
      <c r="AK23" s="176" t="n">
        <v>0.54</v>
      </c>
      <c r="AL23" s="176" t="n">
        <v>0.648</v>
      </c>
      <c r="AM23" s="139"/>
      <c r="AN23" s="140" t="n">
        <v>5</v>
      </c>
      <c r="AO23" s="177" t="n">
        <v>0.1</v>
      </c>
      <c r="AP23" s="139"/>
      <c r="AQ23" s="140" t="n">
        <v>1200</v>
      </c>
      <c r="AR23" s="191" t="n">
        <v>0.72544080604534</v>
      </c>
      <c r="AS23" s="191" t="n">
        <v>0.72544080604534</v>
      </c>
      <c r="AT23" s="191" t="n">
        <v>0.832369942196532</v>
      </c>
      <c r="AU23" s="191" t="n">
        <v>0.85</v>
      </c>
      <c r="AV23" s="191" t="n">
        <v>0.98</v>
      </c>
      <c r="AW23" s="191" t="n">
        <v>0.47</v>
      </c>
      <c r="AX23" s="191" t="n">
        <v>0.37</v>
      </c>
      <c r="AY23" s="191" t="n">
        <v>0.37</v>
      </c>
      <c r="AZ23" s="191" t="n">
        <v>0.76</v>
      </c>
      <c r="BA23" s="191" t="n">
        <v>0.85</v>
      </c>
      <c r="BB23" s="191" t="n">
        <v>0.77</v>
      </c>
      <c r="BC23" s="191" t="n">
        <v>0.74</v>
      </c>
      <c r="BD23" s="140" t="s">
        <v>135</v>
      </c>
      <c r="BE23" s="139"/>
      <c r="BF23" s="141" t="n">
        <v>37469</v>
      </c>
      <c r="BG23" s="179" t="n">
        <v>0.75</v>
      </c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67"/>
      <c r="CG23" s="118"/>
      <c r="CH23" s="118"/>
      <c r="CI23" s="118"/>
      <c r="CK23" s="192"/>
      <c r="CL23" s="153"/>
      <c r="CM23" s="180"/>
      <c r="CN23" s="0"/>
      <c r="CO23" s="0"/>
      <c r="CP23" s="0"/>
      <c r="CQ23" s="0"/>
      <c r="CR23" s="0"/>
      <c r="CW23" s="181" t="n">
        <f aca="false">K23</f>
        <v>37469</v>
      </c>
      <c r="CX23" s="182" t="n">
        <f aca="false">AF23</f>
        <v>0.72</v>
      </c>
      <c r="CY23" s="182" t="n">
        <f aca="false">AG23</f>
        <v>0.9</v>
      </c>
      <c r="CZ23" s="182" t="n">
        <f aca="false">AH23</f>
        <v>1.08</v>
      </c>
      <c r="DB23" s="182" t="n">
        <f aca="false">X23</f>
        <v>0.36</v>
      </c>
      <c r="DC23" s="182" t="n">
        <f aca="false">Y23</f>
        <v>0.45</v>
      </c>
      <c r="DD23" s="182" t="n">
        <f aca="false">Z23</f>
        <v>0.54</v>
      </c>
      <c r="DF23" s="181" t="n">
        <f aca="false">BF23</f>
        <v>37469</v>
      </c>
      <c r="DG23" s="133" t="n">
        <f aca="false">BG23</f>
        <v>0.75</v>
      </c>
      <c r="DJ23" s="181" t="n">
        <f aca="false">CW23</f>
        <v>37469</v>
      </c>
      <c r="DK23" s="182" t="n">
        <f aca="false">AJ23</f>
        <v>0.432</v>
      </c>
      <c r="DL23" s="182" t="n">
        <f aca="false">AK23</f>
        <v>0.54</v>
      </c>
      <c r="DM23" s="182" t="n">
        <f aca="false">AL23</f>
        <v>0.648</v>
      </c>
      <c r="DO23" s="182" t="n">
        <f aca="false">AB23</f>
        <v>0.18</v>
      </c>
      <c r="DP23" s="182" t="n">
        <f aca="false">AC23</f>
        <v>0.225</v>
      </c>
      <c r="DQ23" s="182" t="n">
        <f aca="false">AD23</f>
        <v>0.27</v>
      </c>
      <c r="DW23" s="0" t="n">
        <v>14</v>
      </c>
      <c r="DX23" s="187" t="s">
        <v>179</v>
      </c>
      <c r="DY23" s="188" t="s">
        <v>180</v>
      </c>
      <c r="DZ23" s="189" t="s">
        <v>181</v>
      </c>
      <c r="EA23" s="140"/>
      <c r="EB23" s="197"/>
      <c r="EC23" s="198"/>
      <c r="ED23" s="120"/>
      <c r="EE23" s="139"/>
      <c r="EF23" s="165"/>
    </row>
    <row r="24" customFormat="false" ht="12.75" hidden="false" customHeight="false" outlineLevel="0" collapsed="false">
      <c r="A24" s="133"/>
      <c r="B24" s="174" t="n">
        <v>37119</v>
      </c>
      <c r="C24" s="175" t="n">
        <v>39.75</v>
      </c>
      <c r="D24" s="175" t="n">
        <v>43.75</v>
      </c>
      <c r="E24" s="175" t="n">
        <v>47.75</v>
      </c>
      <c r="F24" s="159"/>
      <c r="G24" s="175" t="n">
        <v>15.25</v>
      </c>
      <c r="H24" s="175" t="n">
        <v>15.25</v>
      </c>
      <c r="I24" s="175" t="n">
        <v>15.25</v>
      </c>
      <c r="J24" s="140"/>
      <c r="K24" s="141" t="n">
        <v>37500</v>
      </c>
      <c r="L24" s="176" t="n">
        <v>26.4199981689453</v>
      </c>
      <c r="M24" s="176" t="n">
        <v>26.4199981689453</v>
      </c>
      <c r="N24" s="176" t="n">
        <v>26.4199981689453</v>
      </c>
      <c r="O24" s="139"/>
      <c r="P24" s="176" t="n">
        <v>20.9199981689453</v>
      </c>
      <c r="Q24" s="176" t="n">
        <v>20.9199981689453</v>
      </c>
      <c r="R24" s="176" t="n">
        <v>20.9199981689453</v>
      </c>
      <c r="S24" s="139"/>
      <c r="T24" s="176" t="n">
        <v>0</v>
      </c>
      <c r="U24" s="176" t="n">
        <v>0</v>
      </c>
      <c r="V24" s="176" t="n">
        <v>0</v>
      </c>
      <c r="W24" s="139"/>
      <c r="X24" s="176" t="n">
        <v>0.36</v>
      </c>
      <c r="Y24" s="176" t="n">
        <v>0.45</v>
      </c>
      <c r="Z24" s="176" t="n">
        <v>0.54</v>
      </c>
      <c r="AA24" s="139"/>
      <c r="AB24" s="176" t="n">
        <v>0.18</v>
      </c>
      <c r="AC24" s="176" t="n">
        <v>0.225</v>
      </c>
      <c r="AD24" s="176" t="n">
        <v>0.27</v>
      </c>
      <c r="AE24" s="139"/>
      <c r="AF24" s="176" t="n">
        <v>0.72</v>
      </c>
      <c r="AG24" s="176" t="n">
        <v>0.9</v>
      </c>
      <c r="AH24" s="176" t="n">
        <v>1.08</v>
      </c>
      <c r="AI24" s="139"/>
      <c r="AJ24" s="176" t="n">
        <v>0.432</v>
      </c>
      <c r="AK24" s="176" t="n">
        <v>0.54</v>
      </c>
      <c r="AL24" s="176" t="n">
        <v>0.648</v>
      </c>
      <c r="AM24" s="139"/>
      <c r="AN24" s="140" t="n">
        <v>5</v>
      </c>
      <c r="AO24" s="177" t="n">
        <v>0.1</v>
      </c>
      <c r="AP24" s="139"/>
      <c r="AQ24" s="140" t="n">
        <v>1300</v>
      </c>
      <c r="AR24" s="191" t="n">
        <v>0.7</v>
      </c>
      <c r="AS24" s="191" t="n">
        <v>0.7</v>
      </c>
      <c r="AT24" s="191" t="n">
        <v>0.832369942196532</v>
      </c>
      <c r="AU24" s="191" t="n">
        <v>0.85</v>
      </c>
      <c r="AV24" s="191" t="n">
        <v>0.975</v>
      </c>
      <c r="AW24" s="191" t="n">
        <v>1.53</v>
      </c>
      <c r="AX24" s="191" t="n">
        <v>1.63</v>
      </c>
      <c r="AY24" s="191" t="n">
        <v>1.63</v>
      </c>
      <c r="AZ24" s="191" t="n">
        <v>0.935</v>
      </c>
      <c r="BA24" s="191" t="n">
        <v>0.85</v>
      </c>
      <c r="BB24" s="191" t="n">
        <v>0.7</v>
      </c>
      <c r="BC24" s="191" t="n">
        <v>0.73</v>
      </c>
      <c r="BD24" s="140" t="s">
        <v>135</v>
      </c>
      <c r="BE24" s="139"/>
      <c r="BF24" s="141" t="n">
        <v>37500</v>
      </c>
      <c r="BG24" s="179" t="n">
        <v>0.75</v>
      </c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18"/>
      <c r="CG24" s="120"/>
      <c r="CH24" s="120"/>
      <c r="CI24" s="120"/>
      <c r="CK24" s="192"/>
      <c r="CL24" s="153"/>
      <c r="CM24" s="180"/>
      <c r="CN24" s="0"/>
      <c r="CO24" s="0"/>
      <c r="CP24" s="0"/>
      <c r="CQ24" s="0"/>
      <c r="CR24" s="0"/>
      <c r="CW24" s="181" t="n">
        <f aca="false">K24</f>
        <v>37500</v>
      </c>
      <c r="CX24" s="182" t="n">
        <f aca="false">AF24</f>
        <v>0.72</v>
      </c>
      <c r="CY24" s="182" t="n">
        <f aca="false">AG24</f>
        <v>0.9</v>
      </c>
      <c r="CZ24" s="182" t="n">
        <f aca="false">AH24</f>
        <v>1.08</v>
      </c>
      <c r="DB24" s="182" t="n">
        <f aca="false">X24</f>
        <v>0.36</v>
      </c>
      <c r="DC24" s="182" t="n">
        <f aca="false">Y24</f>
        <v>0.45</v>
      </c>
      <c r="DD24" s="182" t="n">
        <f aca="false">Z24</f>
        <v>0.54</v>
      </c>
      <c r="DF24" s="181" t="n">
        <f aca="false">BF24</f>
        <v>37500</v>
      </c>
      <c r="DG24" s="133" t="n">
        <f aca="false">BG24</f>
        <v>0.75</v>
      </c>
      <c r="DJ24" s="181" t="n">
        <f aca="false">CW24</f>
        <v>37500</v>
      </c>
      <c r="DK24" s="182" t="n">
        <f aca="false">AJ24</f>
        <v>0.432</v>
      </c>
      <c r="DL24" s="182" t="n">
        <f aca="false">AK24</f>
        <v>0.54</v>
      </c>
      <c r="DM24" s="182" t="n">
        <f aca="false">AL24</f>
        <v>0.648</v>
      </c>
      <c r="DO24" s="182" t="n">
        <f aca="false">AB24</f>
        <v>0.18</v>
      </c>
      <c r="DP24" s="182" t="n">
        <f aca="false">AC24</f>
        <v>0.225</v>
      </c>
      <c r="DQ24" s="182" t="n">
        <f aca="false">AD24</f>
        <v>0.27</v>
      </c>
      <c r="DW24" s="0" t="n">
        <v>15</v>
      </c>
      <c r="DX24" s="187" t="s">
        <v>182</v>
      </c>
      <c r="DY24" s="188" t="s">
        <v>183</v>
      </c>
      <c r="DZ24" s="189" t="s">
        <v>184</v>
      </c>
      <c r="EA24" s="140"/>
      <c r="EB24" s="197"/>
      <c r="EC24" s="198"/>
      <c r="ED24" s="120"/>
      <c r="EE24" s="139"/>
      <c r="EF24" s="165"/>
    </row>
    <row r="25" customFormat="false" ht="12.75" hidden="false" customHeight="false" outlineLevel="0" collapsed="false">
      <c r="A25" s="133"/>
      <c r="B25" s="174" t="n">
        <v>37120</v>
      </c>
      <c r="C25" s="175" t="n">
        <v>39.75</v>
      </c>
      <c r="D25" s="175" t="n">
        <v>43.75</v>
      </c>
      <c r="E25" s="175" t="n">
        <v>47.75</v>
      </c>
      <c r="F25" s="159"/>
      <c r="G25" s="175" t="n">
        <v>15.25</v>
      </c>
      <c r="H25" s="175" t="n">
        <v>15.25</v>
      </c>
      <c r="I25" s="175" t="n">
        <v>15.25</v>
      </c>
      <c r="J25" s="140"/>
      <c r="K25" s="141" t="n">
        <v>37530</v>
      </c>
      <c r="L25" s="176" t="n">
        <v>21.4159984588623</v>
      </c>
      <c r="M25" s="176" t="n">
        <v>21.4159984588623</v>
      </c>
      <c r="N25" s="176" t="n">
        <v>21.4159984588623</v>
      </c>
      <c r="O25" s="139"/>
      <c r="P25" s="176" t="n">
        <v>15.9165000915527</v>
      </c>
      <c r="Q25" s="176" t="n">
        <v>15.9165000915527</v>
      </c>
      <c r="R25" s="176" t="n">
        <v>15.9165000915527</v>
      </c>
      <c r="S25" s="139"/>
      <c r="T25" s="176" t="n">
        <v>0</v>
      </c>
      <c r="U25" s="176" t="n">
        <v>0</v>
      </c>
      <c r="V25" s="176" t="n">
        <v>0</v>
      </c>
      <c r="W25" s="139"/>
      <c r="X25" s="176" t="n">
        <v>0.24</v>
      </c>
      <c r="Y25" s="176" t="n">
        <v>0.3</v>
      </c>
      <c r="Z25" s="176" t="n">
        <v>0.36</v>
      </c>
      <c r="AA25" s="139"/>
      <c r="AB25" s="176" t="n">
        <v>0.12</v>
      </c>
      <c r="AC25" s="176" t="n">
        <v>0.15</v>
      </c>
      <c r="AD25" s="176" t="n">
        <v>0.18</v>
      </c>
      <c r="AE25" s="139"/>
      <c r="AF25" s="176" t="n">
        <v>0.4</v>
      </c>
      <c r="AG25" s="176" t="n">
        <v>0.5</v>
      </c>
      <c r="AH25" s="176" t="n">
        <v>0.6</v>
      </c>
      <c r="AI25" s="139"/>
      <c r="AJ25" s="176" t="n">
        <v>0.24</v>
      </c>
      <c r="AK25" s="176" t="n">
        <v>0.3</v>
      </c>
      <c r="AL25" s="176" t="n">
        <v>0.36</v>
      </c>
      <c r="AM25" s="139"/>
      <c r="AN25" s="140" t="n">
        <v>6</v>
      </c>
      <c r="AO25" s="177" t="n">
        <v>0.1</v>
      </c>
      <c r="AP25" s="139"/>
      <c r="AQ25" s="140" t="n">
        <v>1400</v>
      </c>
      <c r="AR25" s="191" t="n">
        <v>0.7</v>
      </c>
      <c r="AS25" s="191" t="n">
        <v>0.7</v>
      </c>
      <c r="AT25" s="191" t="n">
        <v>0.832369942196532</v>
      </c>
      <c r="AU25" s="191" t="n">
        <v>0.85</v>
      </c>
      <c r="AV25" s="191" t="n">
        <v>0.99</v>
      </c>
      <c r="AW25" s="191" t="n">
        <v>1.53</v>
      </c>
      <c r="AX25" s="191" t="n">
        <v>1.63</v>
      </c>
      <c r="AY25" s="191" t="n">
        <v>1.63</v>
      </c>
      <c r="AZ25" s="191" t="n">
        <v>1.15</v>
      </c>
      <c r="BA25" s="191" t="n">
        <v>0.85</v>
      </c>
      <c r="BB25" s="191" t="n">
        <v>0.7</v>
      </c>
      <c r="BC25" s="191" t="n">
        <v>0.72</v>
      </c>
      <c r="BD25" s="140" t="s">
        <v>135</v>
      </c>
      <c r="BE25" s="139"/>
      <c r="BF25" s="141" t="n">
        <v>37530</v>
      </c>
      <c r="BG25" s="179" t="n">
        <v>0.75</v>
      </c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18"/>
      <c r="CG25" s="199"/>
      <c r="CH25" s="146"/>
      <c r="CI25" s="146"/>
      <c r="CK25" s="192"/>
      <c r="CL25" s="153"/>
      <c r="CM25" s="180"/>
      <c r="CN25" s="0"/>
      <c r="CO25" s="0"/>
      <c r="CP25" s="0"/>
      <c r="CQ25" s="0"/>
      <c r="CR25" s="0"/>
      <c r="CW25" s="181" t="n">
        <f aca="false">K25</f>
        <v>37530</v>
      </c>
      <c r="CX25" s="182" t="n">
        <f aca="false">AF25</f>
        <v>0.4</v>
      </c>
      <c r="CY25" s="182" t="n">
        <f aca="false">AG25</f>
        <v>0.5</v>
      </c>
      <c r="CZ25" s="182" t="n">
        <f aca="false">AH25</f>
        <v>0.6</v>
      </c>
      <c r="DB25" s="182" t="n">
        <f aca="false">X25</f>
        <v>0.24</v>
      </c>
      <c r="DC25" s="182" t="n">
        <f aca="false">Y25</f>
        <v>0.3</v>
      </c>
      <c r="DD25" s="182" t="n">
        <f aca="false">Z25</f>
        <v>0.36</v>
      </c>
      <c r="DF25" s="181" t="n">
        <f aca="false">BF25</f>
        <v>37530</v>
      </c>
      <c r="DG25" s="133" t="n">
        <f aca="false">BG25</f>
        <v>0.75</v>
      </c>
      <c r="DJ25" s="181" t="n">
        <f aca="false">CW25</f>
        <v>37530</v>
      </c>
      <c r="DK25" s="182" t="n">
        <f aca="false">AJ25</f>
        <v>0.24</v>
      </c>
      <c r="DL25" s="182" t="n">
        <f aca="false">AK25</f>
        <v>0.3</v>
      </c>
      <c r="DM25" s="182" t="n">
        <f aca="false">AL25</f>
        <v>0.36</v>
      </c>
      <c r="DO25" s="182" t="n">
        <f aca="false">AB25</f>
        <v>0.12</v>
      </c>
      <c r="DP25" s="182" t="n">
        <f aca="false">AC25</f>
        <v>0.15</v>
      </c>
      <c r="DQ25" s="182" t="n">
        <f aca="false">AD25</f>
        <v>0.18</v>
      </c>
      <c r="DW25" s="0" t="n">
        <v>16</v>
      </c>
      <c r="DX25" s="187" t="s">
        <v>185</v>
      </c>
      <c r="DY25" s="188" t="s">
        <v>186</v>
      </c>
      <c r="DZ25" s="189" t="s">
        <v>187</v>
      </c>
      <c r="EA25" s="140"/>
      <c r="EB25" s="197"/>
      <c r="EC25" s="198"/>
      <c r="ED25" s="120"/>
      <c r="EE25" s="139"/>
      <c r="EF25" s="165"/>
    </row>
    <row r="26" customFormat="false" ht="12.75" hidden="false" customHeight="false" outlineLevel="0" collapsed="false">
      <c r="A26" s="133"/>
      <c r="B26" s="174" t="n">
        <v>37121</v>
      </c>
      <c r="C26" s="175" t="n">
        <v>26</v>
      </c>
      <c r="D26" s="175" t="n">
        <v>30</v>
      </c>
      <c r="E26" s="175" t="n">
        <v>34</v>
      </c>
      <c r="F26" s="159"/>
      <c r="G26" s="175" t="n">
        <v>15.25</v>
      </c>
      <c r="H26" s="175" t="n">
        <v>15.25</v>
      </c>
      <c r="I26" s="175" t="n">
        <v>15.25</v>
      </c>
      <c r="J26" s="140"/>
      <c r="K26" s="141" t="n">
        <v>37561</v>
      </c>
      <c r="L26" s="176" t="n">
        <v>23.4199981689453</v>
      </c>
      <c r="M26" s="176" t="n">
        <v>23.4199981689453</v>
      </c>
      <c r="N26" s="176" t="n">
        <v>23.4199981689453</v>
      </c>
      <c r="O26" s="139"/>
      <c r="P26" s="176" t="n">
        <v>15.9200000762939</v>
      </c>
      <c r="Q26" s="176" t="n">
        <v>15.9200000762939</v>
      </c>
      <c r="R26" s="176" t="n">
        <v>15.9200000762939</v>
      </c>
      <c r="S26" s="139"/>
      <c r="T26" s="176" t="n">
        <v>0</v>
      </c>
      <c r="U26" s="176" t="n">
        <v>0</v>
      </c>
      <c r="V26" s="176" t="n">
        <v>0</v>
      </c>
      <c r="W26" s="139"/>
      <c r="X26" s="176" t="n">
        <v>0.24</v>
      </c>
      <c r="Y26" s="176" t="n">
        <v>0.3</v>
      </c>
      <c r="Z26" s="176" t="n">
        <v>0.36</v>
      </c>
      <c r="AA26" s="139"/>
      <c r="AB26" s="176" t="n">
        <v>0.12</v>
      </c>
      <c r="AC26" s="176" t="n">
        <v>0.15</v>
      </c>
      <c r="AD26" s="176" t="n">
        <v>0.18</v>
      </c>
      <c r="AE26" s="139"/>
      <c r="AF26" s="176" t="n">
        <v>0.4</v>
      </c>
      <c r="AG26" s="176" t="n">
        <v>0.5</v>
      </c>
      <c r="AH26" s="176" t="n">
        <v>0.6</v>
      </c>
      <c r="AI26" s="139"/>
      <c r="AJ26" s="176" t="n">
        <v>0.24</v>
      </c>
      <c r="AK26" s="176" t="n">
        <v>0.3</v>
      </c>
      <c r="AL26" s="176" t="n">
        <v>0.36</v>
      </c>
      <c r="AM26" s="139"/>
      <c r="AN26" s="140" t="n">
        <v>6</v>
      </c>
      <c r="AO26" s="177" t="n">
        <v>0.1</v>
      </c>
      <c r="AP26" s="139"/>
      <c r="AQ26" s="140" t="n">
        <v>1500</v>
      </c>
      <c r="AR26" s="191" t="n">
        <v>0.7</v>
      </c>
      <c r="AS26" s="191" t="n">
        <v>0.7</v>
      </c>
      <c r="AT26" s="191" t="n">
        <v>0.832369942196532</v>
      </c>
      <c r="AU26" s="191" t="n">
        <v>0.88</v>
      </c>
      <c r="AV26" s="191" t="n">
        <v>1.05</v>
      </c>
      <c r="AW26" s="191" t="n">
        <v>1.53</v>
      </c>
      <c r="AX26" s="191" t="n">
        <v>1.63</v>
      </c>
      <c r="AY26" s="191" t="n">
        <v>1.63</v>
      </c>
      <c r="AZ26" s="191" t="n">
        <v>1.38</v>
      </c>
      <c r="BA26" s="191" t="n">
        <v>0.88</v>
      </c>
      <c r="BB26" s="191" t="n">
        <v>0.7</v>
      </c>
      <c r="BC26" s="191" t="n">
        <v>0.73</v>
      </c>
      <c r="BD26" s="140" t="s">
        <v>135</v>
      </c>
      <c r="BE26" s="139"/>
      <c r="BF26" s="141" t="n">
        <v>37561</v>
      </c>
      <c r="BG26" s="179" t="n">
        <v>0.75</v>
      </c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18"/>
      <c r="CG26" s="151"/>
      <c r="CH26" s="151"/>
      <c r="CI26" s="151"/>
      <c r="CK26" s="192"/>
      <c r="CL26" s="153"/>
      <c r="CM26" s="180"/>
      <c r="CN26" s="0"/>
      <c r="CO26" s="0"/>
      <c r="CP26" s="0"/>
      <c r="CQ26" s="0"/>
      <c r="CR26" s="0"/>
      <c r="CW26" s="181" t="n">
        <f aca="false">K26</f>
        <v>37561</v>
      </c>
      <c r="CX26" s="182" t="n">
        <f aca="false">AF26</f>
        <v>0.4</v>
      </c>
      <c r="CY26" s="182" t="n">
        <f aca="false">AG26</f>
        <v>0.5</v>
      </c>
      <c r="CZ26" s="182" t="n">
        <f aca="false">AH26</f>
        <v>0.6</v>
      </c>
      <c r="DB26" s="182" t="n">
        <f aca="false">X26</f>
        <v>0.24</v>
      </c>
      <c r="DC26" s="182" t="n">
        <f aca="false">Y26</f>
        <v>0.3</v>
      </c>
      <c r="DD26" s="182" t="n">
        <f aca="false">Z26</f>
        <v>0.36</v>
      </c>
      <c r="DF26" s="181" t="n">
        <f aca="false">BF26</f>
        <v>37561</v>
      </c>
      <c r="DG26" s="133" t="n">
        <f aca="false">BG26</f>
        <v>0.75</v>
      </c>
      <c r="DJ26" s="181" t="n">
        <f aca="false">CW26</f>
        <v>37561</v>
      </c>
      <c r="DK26" s="182" t="n">
        <f aca="false">AJ26</f>
        <v>0.24</v>
      </c>
      <c r="DL26" s="182" t="n">
        <f aca="false">AK26</f>
        <v>0.3</v>
      </c>
      <c r="DM26" s="182" t="n">
        <f aca="false">AL26</f>
        <v>0.36</v>
      </c>
      <c r="DO26" s="182" t="n">
        <f aca="false">AB26</f>
        <v>0.12</v>
      </c>
      <c r="DP26" s="182" t="n">
        <f aca="false">AC26</f>
        <v>0.15</v>
      </c>
      <c r="DQ26" s="182" t="n">
        <f aca="false">AD26</f>
        <v>0.18</v>
      </c>
      <c r="DW26" s="0" t="n">
        <v>17</v>
      </c>
      <c r="DX26" s="187" t="s">
        <v>188</v>
      </c>
      <c r="DY26" s="188" t="s">
        <v>189</v>
      </c>
      <c r="DZ26" s="189" t="s">
        <v>190</v>
      </c>
      <c r="EA26" s="140"/>
      <c r="EB26" s="197"/>
      <c r="EC26" s="198"/>
      <c r="ED26" s="120"/>
      <c r="EE26" s="139"/>
      <c r="EF26" s="165"/>
    </row>
    <row r="27" customFormat="false" ht="12.75" hidden="false" customHeight="false" outlineLevel="0" collapsed="false">
      <c r="A27" s="133"/>
      <c r="B27" s="174" t="n">
        <v>37122</v>
      </c>
      <c r="C27" s="175" t="n">
        <v>26</v>
      </c>
      <c r="D27" s="175" t="n">
        <v>30</v>
      </c>
      <c r="E27" s="175" t="n">
        <v>34</v>
      </c>
      <c r="F27" s="159"/>
      <c r="G27" s="175" t="n">
        <v>15.25</v>
      </c>
      <c r="H27" s="175" t="n">
        <v>15.25</v>
      </c>
      <c r="I27" s="175" t="n">
        <v>15.25</v>
      </c>
      <c r="J27" s="140"/>
      <c r="K27" s="141" t="n">
        <v>37591</v>
      </c>
      <c r="L27" s="176" t="n">
        <v>28.4199981689453</v>
      </c>
      <c r="M27" s="176" t="n">
        <v>28.4199981689453</v>
      </c>
      <c r="N27" s="176" t="n">
        <v>28.4199981689453</v>
      </c>
      <c r="O27" s="139"/>
      <c r="P27" s="176" t="n">
        <v>22.9199981689453</v>
      </c>
      <c r="Q27" s="176" t="n">
        <v>22.9199981689453</v>
      </c>
      <c r="R27" s="176" t="n">
        <v>22.9199981689453</v>
      </c>
      <c r="S27" s="139"/>
      <c r="T27" s="176" t="n">
        <v>0</v>
      </c>
      <c r="U27" s="176" t="n">
        <v>0</v>
      </c>
      <c r="V27" s="176" t="n">
        <v>0</v>
      </c>
      <c r="W27" s="139"/>
      <c r="X27" s="176" t="n">
        <v>0.24</v>
      </c>
      <c r="Y27" s="176" t="n">
        <v>0.3</v>
      </c>
      <c r="Z27" s="176" t="n">
        <v>0.36</v>
      </c>
      <c r="AA27" s="139"/>
      <c r="AB27" s="176" t="n">
        <v>0.12</v>
      </c>
      <c r="AC27" s="176" t="n">
        <v>0.15</v>
      </c>
      <c r="AD27" s="176" t="n">
        <v>0.18</v>
      </c>
      <c r="AE27" s="139"/>
      <c r="AF27" s="176" t="n">
        <v>0.4</v>
      </c>
      <c r="AG27" s="176" t="n">
        <v>0.5</v>
      </c>
      <c r="AH27" s="176" t="n">
        <v>0.6</v>
      </c>
      <c r="AI27" s="139"/>
      <c r="AJ27" s="176" t="n">
        <v>0.24</v>
      </c>
      <c r="AK27" s="176" t="n">
        <v>0.3</v>
      </c>
      <c r="AL27" s="176" t="n">
        <v>0.36</v>
      </c>
      <c r="AM27" s="139"/>
      <c r="AN27" s="140" t="n">
        <v>6</v>
      </c>
      <c r="AO27" s="177" t="n">
        <v>0.15</v>
      </c>
      <c r="AP27" s="139"/>
      <c r="AQ27" s="140" t="n">
        <v>1600</v>
      </c>
      <c r="AR27" s="191" t="n">
        <v>0.8</v>
      </c>
      <c r="AS27" s="191" t="n">
        <v>0.8</v>
      </c>
      <c r="AT27" s="191" t="n">
        <v>0.832369942196532</v>
      </c>
      <c r="AU27" s="191" t="n">
        <v>0.88</v>
      </c>
      <c r="AV27" s="191" t="n">
        <v>1.1</v>
      </c>
      <c r="AW27" s="191" t="n">
        <v>1.53</v>
      </c>
      <c r="AX27" s="191" t="n">
        <v>1.63</v>
      </c>
      <c r="AY27" s="191" t="n">
        <v>1.63</v>
      </c>
      <c r="AZ27" s="191" t="n">
        <v>1.43</v>
      </c>
      <c r="BA27" s="191" t="n">
        <v>0.88</v>
      </c>
      <c r="BB27" s="191" t="n">
        <v>0.7</v>
      </c>
      <c r="BC27" s="191" t="n">
        <v>0.74</v>
      </c>
      <c r="BD27" s="140" t="s">
        <v>135</v>
      </c>
      <c r="BE27" s="139"/>
      <c r="BF27" s="141" t="n">
        <v>37591</v>
      </c>
      <c r="BG27" s="179" t="n">
        <v>0.75</v>
      </c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18"/>
      <c r="CG27" s="151"/>
      <c r="CH27" s="151"/>
      <c r="CI27" s="151"/>
      <c r="CK27" s="200"/>
      <c r="CL27" s="200"/>
      <c r="CM27" s="180"/>
      <c r="CN27" s="0"/>
      <c r="CO27" s="0"/>
      <c r="CP27" s="0"/>
      <c r="CQ27" s="0"/>
      <c r="CR27" s="0"/>
      <c r="CW27" s="181" t="n">
        <f aca="false">K27</f>
        <v>37591</v>
      </c>
      <c r="CX27" s="182" t="n">
        <f aca="false">AF27</f>
        <v>0.4</v>
      </c>
      <c r="CY27" s="182" t="n">
        <f aca="false">AG27</f>
        <v>0.5</v>
      </c>
      <c r="CZ27" s="182" t="n">
        <f aca="false">AH27</f>
        <v>0.6</v>
      </c>
      <c r="DB27" s="182" t="n">
        <f aca="false">X27</f>
        <v>0.24</v>
      </c>
      <c r="DC27" s="182" t="n">
        <f aca="false">Y27</f>
        <v>0.3</v>
      </c>
      <c r="DD27" s="182" t="n">
        <f aca="false">Z27</f>
        <v>0.36</v>
      </c>
      <c r="DF27" s="181" t="n">
        <f aca="false">BF27</f>
        <v>37591</v>
      </c>
      <c r="DG27" s="133" t="n">
        <f aca="false">BG27</f>
        <v>0.75</v>
      </c>
      <c r="DJ27" s="181" t="n">
        <f aca="false">CW27</f>
        <v>37591</v>
      </c>
      <c r="DK27" s="182" t="n">
        <f aca="false">AJ27</f>
        <v>0.24</v>
      </c>
      <c r="DL27" s="182" t="n">
        <f aca="false">AK27</f>
        <v>0.3</v>
      </c>
      <c r="DM27" s="182" t="n">
        <f aca="false">AL27</f>
        <v>0.36</v>
      </c>
      <c r="DO27" s="182" t="n">
        <f aca="false">AB27</f>
        <v>0.12</v>
      </c>
      <c r="DP27" s="182" t="n">
        <f aca="false">AC27</f>
        <v>0.15</v>
      </c>
      <c r="DQ27" s="182" t="n">
        <f aca="false">AD27</f>
        <v>0.18</v>
      </c>
      <c r="DW27" s="0" t="n">
        <v>18</v>
      </c>
      <c r="DX27" s="187" t="s">
        <v>191</v>
      </c>
      <c r="DY27" s="188" t="s">
        <v>192</v>
      </c>
      <c r="DZ27" s="189" t="s">
        <v>193</v>
      </c>
      <c r="EA27" s="140"/>
      <c r="EB27" s="197"/>
      <c r="EC27" s="198"/>
      <c r="ED27" s="120"/>
      <c r="EE27" s="139"/>
      <c r="EF27" s="165"/>
    </row>
    <row r="28" customFormat="false" ht="12.75" hidden="false" customHeight="false" outlineLevel="0" collapsed="false">
      <c r="A28" s="133"/>
      <c r="B28" s="174" t="n">
        <v>37123</v>
      </c>
      <c r="C28" s="175" t="n">
        <v>39</v>
      </c>
      <c r="D28" s="175" t="n">
        <v>43</v>
      </c>
      <c r="E28" s="175" t="n">
        <v>47</v>
      </c>
      <c r="F28" s="159"/>
      <c r="G28" s="175" t="n">
        <v>15.25</v>
      </c>
      <c r="H28" s="175" t="n">
        <v>15.25</v>
      </c>
      <c r="I28" s="175" t="n">
        <v>15.25</v>
      </c>
      <c r="J28" s="140"/>
      <c r="K28" s="141" t="n">
        <v>37622</v>
      </c>
      <c r="L28" s="176" t="n">
        <v>35.2699966430664</v>
      </c>
      <c r="M28" s="176" t="n">
        <v>35.2699966430664</v>
      </c>
      <c r="N28" s="176" t="n">
        <v>35.2699966430664</v>
      </c>
      <c r="O28" s="139"/>
      <c r="P28" s="176" t="n">
        <v>24.7699966430664</v>
      </c>
      <c r="Q28" s="176" t="n">
        <v>24.7699966430664</v>
      </c>
      <c r="R28" s="176" t="n">
        <v>24.7699966430664</v>
      </c>
      <c r="S28" s="139"/>
      <c r="T28" s="176" t="n">
        <v>0</v>
      </c>
      <c r="U28" s="176" t="n">
        <v>0</v>
      </c>
      <c r="V28" s="176" t="n">
        <v>0</v>
      </c>
      <c r="W28" s="139"/>
      <c r="X28" s="176" t="n">
        <v>0.24</v>
      </c>
      <c r="Y28" s="176" t="n">
        <v>0.3</v>
      </c>
      <c r="Z28" s="176" t="n">
        <v>0.36</v>
      </c>
      <c r="AA28" s="139"/>
      <c r="AB28" s="176" t="n">
        <v>0.12</v>
      </c>
      <c r="AC28" s="176" t="n">
        <v>0.15</v>
      </c>
      <c r="AD28" s="176" t="n">
        <v>0.18</v>
      </c>
      <c r="AE28" s="139"/>
      <c r="AF28" s="176" t="n">
        <v>0.4</v>
      </c>
      <c r="AG28" s="176" t="n">
        <v>0.5</v>
      </c>
      <c r="AH28" s="176" t="n">
        <v>0.6</v>
      </c>
      <c r="AI28" s="139"/>
      <c r="AJ28" s="176" t="n">
        <v>0.24</v>
      </c>
      <c r="AK28" s="176" t="n">
        <v>0.3</v>
      </c>
      <c r="AL28" s="176" t="n">
        <v>0.36</v>
      </c>
      <c r="AM28" s="139"/>
      <c r="AN28" s="140" t="n">
        <v>7</v>
      </c>
      <c r="AO28" s="177" t="n">
        <v>0.15</v>
      </c>
      <c r="AP28" s="139"/>
      <c r="AQ28" s="140" t="n">
        <v>1700</v>
      </c>
      <c r="AR28" s="191" t="n">
        <v>1</v>
      </c>
      <c r="AS28" s="191" t="n">
        <v>1</v>
      </c>
      <c r="AT28" s="191" t="n">
        <v>1.01734104046243</v>
      </c>
      <c r="AU28" s="191" t="n">
        <v>1.05</v>
      </c>
      <c r="AV28" s="191" t="n">
        <v>1.1</v>
      </c>
      <c r="AW28" s="191" t="n">
        <v>1.53</v>
      </c>
      <c r="AX28" s="191" t="n">
        <v>1.63</v>
      </c>
      <c r="AY28" s="191" t="n">
        <v>1.63</v>
      </c>
      <c r="AZ28" s="191" t="n">
        <v>1.55</v>
      </c>
      <c r="BA28" s="191" t="n">
        <v>1.05</v>
      </c>
      <c r="BB28" s="191" t="n">
        <v>1</v>
      </c>
      <c r="BC28" s="191" t="n">
        <v>1.12</v>
      </c>
      <c r="BD28" s="140" t="s">
        <v>135</v>
      </c>
      <c r="BE28" s="139"/>
      <c r="BF28" s="141" t="n">
        <v>37622</v>
      </c>
      <c r="BG28" s="179" t="n">
        <v>0.75</v>
      </c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18"/>
      <c r="CG28" s="167"/>
      <c r="CH28" s="167"/>
      <c r="CI28" s="167"/>
      <c r="CK28" s="200"/>
      <c r="CL28" s="200"/>
      <c r="CM28" s="180"/>
      <c r="CN28" s="0"/>
      <c r="CO28" s="0"/>
      <c r="CP28" s="0"/>
      <c r="CQ28" s="0"/>
      <c r="CR28" s="0"/>
      <c r="CW28" s="181" t="n">
        <f aca="false">K28</f>
        <v>37622</v>
      </c>
      <c r="CX28" s="182" t="n">
        <f aca="false">AF28</f>
        <v>0.4</v>
      </c>
      <c r="CY28" s="182" t="n">
        <f aca="false">AG28</f>
        <v>0.5</v>
      </c>
      <c r="CZ28" s="182" t="n">
        <f aca="false">AH28</f>
        <v>0.6</v>
      </c>
      <c r="DB28" s="182" t="n">
        <f aca="false">X28</f>
        <v>0.24</v>
      </c>
      <c r="DC28" s="182" t="n">
        <f aca="false">Y28</f>
        <v>0.3</v>
      </c>
      <c r="DD28" s="182" t="n">
        <f aca="false">Z28</f>
        <v>0.36</v>
      </c>
      <c r="DF28" s="181" t="n">
        <f aca="false">BF28</f>
        <v>37622</v>
      </c>
      <c r="DG28" s="133" t="n">
        <f aca="false">BG28</f>
        <v>0.75</v>
      </c>
      <c r="DJ28" s="181" t="n">
        <f aca="false">CW28</f>
        <v>37622</v>
      </c>
      <c r="DK28" s="182" t="n">
        <f aca="false">AJ28</f>
        <v>0.24</v>
      </c>
      <c r="DL28" s="182" t="n">
        <f aca="false">AK28</f>
        <v>0.3</v>
      </c>
      <c r="DM28" s="182" t="n">
        <f aca="false">AL28</f>
        <v>0.36</v>
      </c>
      <c r="DO28" s="182" t="n">
        <f aca="false">AB28</f>
        <v>0.12</v>
      </c>
      <c r="DP28" s="182" t="n">
        <f aca="false">AC28</f>
        <v>0.15</v>
      </c>
      <c r="DQ28" s="182" t="n">
        <f aca="false">AD28</f>
        <v>0.18</v>
      </c>
      <c r="DW28" s="0" t="n">
        <v>19</v>
      </c>
      <c r="DX28" s="187" t="s">
        <v>194</v>
      </c>
      <c r="DY28" s="188" t="s">
        <v>195</v>
      </c>
      <c r="DZ28" s="189" t="s">
        <v>196</v>
      </c>
      <c r="EA28" s="140"/>
      <c r="EB28" s="197"/>
      <c r="EC28" s="198"/>
      <c r="ED28" s="120"/>
      <c r="EE28" s="139"/>
      <c r="EF28" s="165"/>
    </row>
    <row r="29" customFormat="false" ht="12.75" hidden="false" customHeight="false" outlineLevel="0" collapsed="false">
      <c r="A29" s="133"/>
      <c r="B29" s="174" t="n">
        <v>37124</v>
      </c>
      <c r="C29" s="175" t="n">
        <v>39</v>
      </c>
      <c r="D29" s="175" t="n">
        <v>43</v>
      </c>
      <c r="E29" s="175" t="n">
        <v>47</v>
      </c>
      <c r="F29" s="159"/>
      <c r="G29" s="175" t="n">
        <v>15.25</v>
      </c>
      <c r="H29" s="175" t="n">
        <v>15.25</v>
      </c>
      <c r="I29" s="175" t="n">
        <v>15.25</v>
      </c>
      <c r="J29" s="140"/>
      <c r="K29" s="141" t="n">
        <v>37653</v>
      </c>
      <c r="L29" s="176" t="n">
        <v>30.765998840332</v>
      </c>
      <c r="M29" s="176" t="n">
        <v>30.765998840332</v>
      </c>
      <c r="N29" s="176" t="n">
        <v>30.765998840332</v>
      </c>
      <c r="O29" s="139"/>
      <c r="P29" s="176" t="n">
        <v>22.2664985656738</v>
      </c>
      <c r="Q29" s="176" t="n">
        <v>22.2664985656738</v>
      </c>
      <c r="R29" s="176" t="n">
        <v>22.2664985656738</v>
      </c>
      <c r="S29" s="139"/>
      <c r="T29" s="176" t="n">
        <v>0</v>
      </c>
      <c r="U29" s="176" t="n">
        <v>0</v>
      </c>
      <c r="V29" s="176" t="n">
        <v>0</v>
      </c>
      <c r="W29" s="139"/>
      <c r="X29" s="176" t="n">
        <v>0.24</v>
      </c>
      <c r="Y29" s="176" t="n">
        <v>0.3</v>
      </c>
      <c r="Z29" s="176" t="n">
        <v>0.36</v>
      </c>
      <c r="AA29" s="139"/>
      <c r="AB29" s="176" t="n">
        <v>0.12</v>
      </c>
      <c r="AC29" s="176" t="n">
        <v>0.15</v>
      </c>
      <c r="AD29" s="176" t="n">
        <v>0.18</v>
      </c>
      <c r="AE29" s="139"/>
      <c r="AF29" s="176" t="n">
        <v>0.36</v>
      </c>
      <c r="AG29" s="176" t="n">
        <v>0.45</v>
      </c>
      <c r="AH29" s="176" t="n">
        <v>0.54</v>
      </c>
      <c r="AI29" s="139"/>
      <c r="AJ29" s="176" t="n">
        <v>0.216</v>
      </c>
      <c r="AK29" s="176" t="n">
        <v>0.27</v>
      </c>
      <c r="AL29" s="176" t="n">
        <v>0.324</v>
      </c>
      <c r="AM29" s="139"/>
      <c r="AN29" s="140" t="n">
        <v>7</v>
      </c>
      <c r="AO29" s="177" t="n">
        <v>0.15</v>
      </c>
      <c r="AP29" s="139"/>
      <c r="AQ29" s="140" t="n">
        <v>1800</v>
      </c>
      <c r="AR29" s="191" t="n">
        <v>1.3</v>
      </c>
      <c r="AS29" s="191" t="n">
        <v>1.3</v>
      </c>
      <c r="AT29" s="191" t="n">
        <v>1.20231213872832</v>
      </c>
      <c r="AU29" s="191" t="n">
        <v>1.2</v>
      </c>
      <c r="AV29" s="191" t="n">
        <v>1.12</v>
      </c>
      <c r="AW29" s="191" t="n">
        <v>1.53</v>
      </c>
      <c r="AX29" s="191" t="n">
        <v>1.63</v>
      </c>
      <c r="AY29" s="191" t="n">
        <v>1.63</v>
      </c>
      <c r="AZ29" s="191" t="n">
        <v>1.5</v>
      </c>
      <c r="BA29" s="191" t="n">
        <v>1.2</v>
      </c>
      <c r="BB29" s="191" t="n">
        <v>1.255</v>
      </c>
      <c r="BC29" s="191" t="n">
        <v>1.35</v>
      </c>
      <c r="BD29" s="140" t="s">
        <v>135</v>
      </c>
      <c r="BE29" s="139"/>
      <c r="BF29" s="141" t="n">
        <v>37653</v>
      </c>
      <c r="BG29" s="179" t="n">
        <v>0.75</v>
      </c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18"/>
      <c r="CG29" s="167"/>
      <c r="CH29" s="167"/>
      <c r="CI29" s="167"/>
      <c r="CK29" s="200"/>
      <c r="CL29" s="200"/>
      <c r="CM29" s="180"/>
      <c r="CN29" s="0"/>
      <c r="CO29" s="0"/>
      <c r="CP29" s="0"/>
      <c r="CQ29" s="0"/>
      <c r="CR29" s="0"/>
      <c r="CW29" s="181" t="n">
        <f aca="false">K29</f>
        <v>37653</v>
      </c>
      <c r="CX29" s="182" t="n">
        <f aca="false">AF29</f>
        <v>0.36</v>
      </c>
      <c r="CY29" s="182" t="n">
        <f aca="false">AG29</f>
        <v>0.45</v>
      </c>
      <c r="CZ29" s="182" t="n">
        <f aca="false">AH29</f>
        <v>0.54</v>
      </c>
      <c r="DB29" s="182" t="n">
        <f aca="false">X29</f>
        <v>0.24</v>
      </c>
      <c r="DC29" s="182" t="n">
        <f aca="false">Y29</f>
        <v>0.3</v>
      </c>
      <c r="DD29" s="182" t="n">
        <f aca="false">Z29</f>
        <v>0.36</v>
      </c>
      <c r="DF29" s="181" t="n">
        <f aca="false">BF29</f>
        <v>37653</v>
      </c>
      <c r="DG29" s="133" t="n">
        <f aca="false">BG29</f>
        <v>0.75</v>
      </c>
      <c r="DJ29" s="181" t="n">
        <f aca="false">CW29</f>
        <v>37653</v>
      </c>
      <c r="DK29" s="182" t="n">
        <f aca="false">AJ29</f>
        <v>0.216</v>
      </c>
      <c r="DL29" s="182" t="n">
        <f aca="false">AK29</f>
        <v>0.27</v>
      </c>
      <c r="DM29" s="182" t="n">
        <f aca="false">AL29</f>
        <v>0.324</v>
      </c>
      <c r="DO29" s="182" t="n">
        <f aca="false">AB29</f>
        <v>0.12</v>
      </c>
      <c r="DP29" s="182" t="n">
        <f aca="false">AC29</f>
        <v>0.15</v>
      </c>
      <c r="DQ29" s="182" t="n">
        <f aca="false">AD29</f>
        <v>0.18</v>
      </c>
      <c r="DW29" s="0" t="n">
        <v>20</v>
      </c>
      <c r="DX29" s="187" t="s">
        <v>197</v>
      </c>
      <c r="DY29" s="188" t="s">
        <v>198</v>
      </c>
      <c r="DZ29" s="189" t="s">
        <v>199</v>
      </c>
      <c r="EA29" s="140"/>
      <c r="EB29" s="197"/>
      <c r="EC29" s="198"/>
      <c r="ED29" s="120"/>
      <c r="EE29" s="139"/>
      <c r="EF29" s="165"/>
    </row>
    <row r="30" customFormat="false" ht="12.75" hidden="false" customHeight="false" outlineLevel="0" collapsed="false">
      <c r="A30" s="133"/>
      <c r="B30" s="174" t="n">
        <v>37125</v>
      </c>
      <c r="C30" s="175" t="n">
        <v>39</v>
      </c>
      <c r="D30" s="175" t="n">
        <v>43</v>
      </c>
      <c r="E30" s="175" t="n">
        <v>47</v>
      </c>
      <c r="F30" s="159"/>
      <c r="G30" s="175" t="n">
        <v>15.25</v>
      </c>
      <c r="H30" s="175" t="n">
        <v>15.25</v>
      </c>
      <c r="I30" s="175" t="n">
        <v>15.25</v>
      </c>
      <c r="J30" s="140"/>
      <c r="K30" s="141" t="n">
        <v>37681</v>
      </c>
      <c r="L30" s="176" t="n">
        <v>25.0199966430664</v>
      </c>
      <c r="M30" s="176" t="n">
        <v>25.0199966430664</v>
      </c>
      <c r="N30" s="176" t="n">
        <v>25.0199966430664</v>
      </c>
      <c r="O30" s="139"/>
      <c r="P30" s="176" t="n">
        <v>19.5199966430664</v>
      </c>
      <c r="Q30" s="176" t="n">
        <v>19.5199966430664</v>
      </c>
      <c r="R30" s="176" t="n">
        <v>19.5199966430664</v>
      </c>
      <c r="S30" s="139"/>
      <c r="T30" s="176" t="n">
        <v>0</v>
      </c>
      <c r="U30" s="176" t="n">
        <v>0</v>
      </c>
      <c r="V30" s="176" t="n">
        <v>0</v>
      </c>
      <c r="W30" s="139"/>
      <c r="X30" s="176" t="n">
        <v>0.24</v>
      </c>
      <c r="Y30" s="176" t="n">
        <v>0.3</v>
      </c>
      <c r="Z30" s="176" t="n">
        <v>0.36</v>
      </c>
      <c r="AA30" s="139"/>
      <c r="AB30" s="176" t="n">
        <v>0.12</v>
      </c>
      <c r="AC30" s="176" t="n">
        <v>0.15</v>
      </c>
      <c r="AD30" s="176" t="n">
        <v>0.18</v>
      </c>
      <c r="AE30" s="139"/>
      <c r="AF30" s="176" t="n">
        <v>0.36</v>
      </c>
      <c r="AG30" s="176" t="n">
        <v>0.45</v>
      </c>
      <c r="AH30" s="176" t="n">
        <v>0.54</v>
      </c>
      <c r="AI30" s="139"/>
      <c r="AJ30" s="176" t="n">
        <v>0.216</v>
      </c>
      <c r="AK30" s="176" t="n">
        <v>0.27</v>
      </c>
      <c r="AL30" s="176" t="n">
        <v>0.324</v>
      </c>
      <c r="AM30" s="139"/>
      <c r="AN30" s="140" t="n">
        <v>7</v>
      </c>
      <c r="AO30" s="177" t="n">
        <v>0.15</v>
      </c>
      <c r="AP30" s="139"/>
      <c r="AQ30" s="140" t="n">
        <v>1900</v>
      </c>
      <c r="AR30" s="191" t="n">
        <v>1.3</v>
      </c>
      <c r="AS30" s="191" t="n">
        <v>1.3</v>
      </c>
      <c r="AT30" s="191" t="n">
        <v>1.20231213872832</v>
      </c>
      <c r="AU30" s="191" t="n">
        <v>1.15</v>
      </c>
      <c r="AV30" s="191" t="n">
        <v>1.15</v>
      </c>
      <c r="AW30" s="191" t="n">
        <v>1.53</v>
      </c>
      <c r="AX30" s="191" t="n">
        <v>1.63</v>
      </c>
      <c r="AY30" s="191" t="n">
        <v>1.63</v>
      </c>
      <c r="AZ30" s="191" t="n">
        <v>1.45</v>
      </c>
      <c r="BA30" s="191" t="n">
        <v>1.15</v>
      </c>
      <c r="BB30" s="191" t="n">
        <v>1.54</v>
      </c>
      <c r="BC30" s="191" t="n">
        <v>1.35</v>
      </c>
      <c r="BD30" s="140" t="s">
        <v>135</v>
      </c>
      <c r="BE30" s="139"/>
      <c r="BF30" s="141" t="n">
        <v>37681</v>
      </c>
      <c r="BG30" s="179" t="n">
        <v>0.75</v>
      </c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18"/>
      <c r="CG30" s="167"/>
      <c r="CH30" s="167"/>
      <c r="CI30" s="167"/>
      <c r="CK30" s="200"/>
      <c r="CL30" s="200"/>
      <c r="CM30" s="180"/>
      <c r="CN30" s="0"/>
      <c r="CO30" s="0"/>
      <c r="CP30" s="0"/>
      <c r="CQ30" s="0"/>
      <c r="CR30" s="0"/>
      <c r="CW30" s="181" t="n">
        <f aca="false">K30</f>
        <v>37681</v>
      </c>
      <c r="CX30" s="182" t="n">
        <f aca="false">AF30</f>
        <v>0.36</v>
      </c>
      <c r="CY30" s="182" t="n">
        <f aca="false">AG30</f>
        <v>0.45</v>
      </c>
      <c r="CZ30" s="182" t="n">
        <f aca="false">AH30</f>
        <v>0.54</v>
      </c>
      <c r="DB30" s="182" t="n">
        <f aca="false">X30</f>
        <v>0.24</v>
      </c>
      <c r="DC30" s="182" t="n">
        <f aca="false">Y30</f>
        <v>0.3</v>
      </c>
      <c r="DD30" s="182" t="n">
        <f aca="false">Z30</f>
        <v>0.36</v>
      </c>
      <c r="DF30" s="181" t="n">
        <f aca="false">BF30</f>
        <v>37681</v>
      </c>
      <c r="DG30" s="133" t="n">
        <f aca="false">BG30</f>
        <v>0.75</v>
      </c>
      <c r="DJ30" s="181" t="n">
        <f aca="false">CW30</f>
        <v>37681</v>
      </c>
      <c r="DK30" s="182" t="n">
        <f aca="false">AJ30</f>
        <v>0.216</v>
      </c>
      <c r="DL30" s="182" t="n">
        <f aca="false">AK30</f>
        <v>0.27</v>
      </c>
      <c r="DM30" s="182" t="n">
        <f aca="false">AL30</f>
        <v>0.324</v>
      </c>
      <c r="DO30" s="182" t="n">
        <f aca="false">AB30</f>
        <v>0.12</v>
      </c>
      <c r="DP30" s="182" t="n">
        <f aca="false">AC30</f>
        <v>0.15</v>
      </c>
      <c r="DQ30" s="182" t="n">
        <f aca="false">AD30</f>
        <v>0.18</v>
      </c>
      <c r="DW30" s="0" t="n">
        <v>21</v>
      </c>
      <c r="DX30" s="187" t="s">
        <v>200</v>
      </c>
      <c r="DY30" s="188" t="s">
        <v>201</v>
      </c>
      <c r="DZ30" s="189" t="s">
        <v>202</v>
      </c>
      <c r="EA30" s="190"/>
      <c r="EB30" s="197"/>
      <c r="EC30" s="198"/>
      <c r="ED30" s="120"/>
      <c r="EE30" s="139"/>
      <c r="EF30" s="165"/>
    </row>
    <row r="31" customFormat="false" ht="12.75" hidden="false" customHeight="false" outlineLevel="0" collapsed="false">
      <c r="A31" s="133"/>
      <c r="B31" s="174" t="n">
        <v>37126</v>
      </c>
      <c r="C31" s="175" t="n">
        <v>39</v>
      </c>
      <c r="D31" s="175" t="n">
        <v>43</v>
      </c>
      <c r="E31" s="175" t="n">
        <v>47</v>
      </c>
      <c r="F31" s="159"/>
      <c r="G31" s="175" t="n">
        <v>15.25</v>
      </c>
      <c r="H31" s="175" t="n">
        <v>15.25</v>
      </c>
      <c r="I31" s="175" t="n">
        <v>15.25</v>
      </c>
      <c r="J31" s="140"/>
      <c r="K31" s="141" t="n">
        <v>37712</v>
      </c>
      <c r="L31" s="176" t="n">
        <v>21.5199966430664</v>
      </c>
      <c r="M31" s="176" t="n">
        <v>21.5199966430664</v>
      </c>
      <c r="N31" s="176" t="n">
        <v>21.5199966430664</v>
      </c>
      <c r="O31" s="139"/>
      <c r="P31" s="176" t="n">
        <v>16.0149993896484</v>
      </c>
      <c r="Q31" s="176" t="n">
        <v>16.0149993896484</v>
      </c>
      <c r="R31" s="176" t="n">
        <v>16.0149993896484</v>
      </c>
      <c r="S31" s="139"/>
      <c r="T31" s="176" t="n">
        <v>0</v>
      </c>
      <c r="U31" s="176" t="n">
        <v>0</v>
      </c>
      <c r="V31" s="176" t="n">
        <v>0</v>
      </c>
      <c r="W31" s="139"/>
      <c r="X31" s="176" t="n">
        <v>0.24</v>
      </c>
      <c r="Y31" s="176" t="n">
        <v>0.3</v>
      </c>
      <c r="Z31" s="176" t="n">
        <v>0.36</v>
      </c>
      <c r="AA31" s="139"/>
      <c r="AB31" s="176" t="n">
        <v>0.12</v>
      </c>
      <c r="AC31" s="176" t="n">
        <v>0.15</v>
      </c>
      <c r="AD31" s="176" t="n">
        <v>0.18</v>
      </c>
      <c r="AE31" s="139"/>
      <c r="AF31" s="176" t="n">
        <v>0.36</v>
      </c>
      <c r="AG31" s="176" t="n">
        <v>0.45</v>
      </c>
      <c r="AH31" s="176" t="n">
        <v>0.54</v>
      </c>
      <c r="AI31" s="139"/>
      <c r="AJ31" s="176" t="n">
        <v>0.216</v>
      </c>
      <c r="AK31" s="176" t="n">
        <v>0.27</v>
      </c>
      <c r="AL31" s="176" t="n">
        <v>0.324</v>
      </c>
      <c r="AM31" s="139"/>
      <c r="AN31" s="140" t="n">
        <v>8</v>
      </c>
      <c r="AO31" s="177" t="n">
        <v>0.15</v>
      </c>
      <c r="AP31" s="139"/>
      <c r="AQ31" s="140" t="n">
        <v>2000</v>
      </c>
      <c r="AR31" s="191" t="n">
        <v>1.15</v>
      </c>
      <c r="AS31" s="191" t="n">
        <v>1.15</v>
      </c>
      <c r="AT31" s="191" t="n">
        <v>1.01734104046243</v>
      </c>
      <c r="AU31" s="191" t="n">
        <v>1.05</v>
      </c>
      <c r="AV31" s="191" t="n">
        <v>1.12</v>
      </c>
      <c r="AW31" s="191" t="n">
        <v>1.53</v>
      </c>
      <c r="AX31" s="191" t="n">
        <v>1.63</v>
      </c>
      <c r="AY31" s="191" t="n">
        <v>1.63</v>
      </c>
      <c r="AZ31" s="191" t="n">
        <v>1.35</v>
      </c>
      <c r="BA31" s="191" t="n">
        <v>1.05</v>
      </c>
      <c r="BB31" s="191" t="n">
        <v>1.54</v>
      </c>
      <c r="BC31" s="191" t="n">
        <v>1.21</v>
      </c>
      <c r="BD31" s="140" t="s">
        <v>135</v>
      </c>
      <c r="BE31" s="139"/>
      <c r="BF31" s="141" t="n">
        <v>37712</v>
      </c>
      <c r="BG31" s="179" t="n">
        <v>0.75</v>
      </c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18"/>
      <c r="CG31" s="167"/>
      <c r="CH31" s="167"/>
      <c r="CI31" s="167"/>
      <c r="CK31" s="200"/>
      <c r="CL31" s="200"/>
      <c r="CM31" s="180"/>
      <c r="CN31" s="0"/>
      <c r="CO31" s="0"/>
      <c r="CP31" s="0"/>
      <c r="CQ31" s="0"/>
      <c r="CR31" s="0"/>
      <c r="CW31" s="181" t="n">
        <f aca="false">K31</f>
        <v>37712</v>
      </c>
      <c r="CX31" s="182" t="n">
        <f aca="false">AF31</f>
        <v>0.36</v>
      </c>
      <c r="CY31" s="182" t="n">
        <f aca="false">AG31</f>
        <v>0.45</v>
      </c>
      <c r="CZ31" s="182" t="n">
        <f aca="false">AH31</f>
        <v>0.54</v>
      </c>
      <c r="DB31" s="182" t="n">
        <f aca="false">X31</f>
        <v>0.24</v>
      </c>
      <c r="DC31" s="182" t="n">
        <f aca="false">Y31</f>
        <v>0.3</v>
      </c>
      <c r="DD31" s="182" t="n">
        <f aca="false">Z31</f>
        <v>0.36</v>
      </c>
      <c r="DF31" s="181" t="n">
        <f aca="false">BF31</f>
        <v>37712</v>
      </c>
      <c r="DG31" s="133" t="n">
        <f aca="false">BG31</f>
        <v>0.75</v>
      </c>
      <c r="DJ31" s="181" t="n">
        <f aca="false">CW31</f>
        <v>37712</v>
      </c>
      <c r="DK31" s="182" t="n">
        <f aca="false">AJ31</f>
        <v>0.216</v>
      </c>
      <c r="DL31" s="182" t="n">
        <f aca="false">AK31</f>
        <v>0.27</v>
      </c>
      <c r="DM31" s="182" t="n">
        <f aca="false">AL31</f>
        <v>0.324</v>
      </c>
      <c r="DO31" s="182" t="n">
        <f aca="false">AB31</f>
        <v>0.12</v>
      </c>
      <c r="DP31" s="182" t="n">
        <f aca="false">AC31</f>
        <v>0.15</v>
      </c>
      <c r="DQ31" s="182" t="n">
        <f aca="false">AD31</f>
        <v>0.18</v>
      </c>
      <c r="DW31" s="0" t="n">
        <v>22</v>
      </c>
      <c r="DX31" s="187" t="s">
        <v>203</v>
      </c>
      <c r="DY31" s="188" t="s">
        <v>204</v>
      </c>
      <c r="DZ31" s="189" t="s">
        <v>205</v>
      </c>
      <c r="EA31" s="190"/>
      <c r="EB31" s="197"/>
      <c r="EC31" s="198"/>
      <c r="ED31" s="120"/>
      <c r="EE31" s="139"/>
      <c r="EF31" s="165"/>
    </row>
    <row r="32" customFormat="false" ht="12.75" hidden="false" customHeight="false" outlineLevel="0" collapsed="false">
      <c r="A32" s="133"/>
      <c r="B32" s="174" t="n">
        <v>37127</v>
      </c>
      <c r="C32" s="175" t="n">
        <v>39</v>
      </c>
      <c r="D32" s="175" t="n">
        <v>43</v>
      </c>
      <c r="E32" s="175" t="n">
        <v>47</v>
      </c>
      <c r="F32" s="159"/>
      <c r="G32" s="175" t="n">
        <v>15.25</v>
      </c>
      <c r="H32" s="175" t="n">
        <v>15.25</v>
      </c>
      <c r="I32" s="175" t="n">
        <v>15.25</v>
      </c>
      <c r="J32" s="140"/>
      <c r="K32" s="141" t="n">
        <v>37742</v>
      </c>
      <c r="L32" s="176" t="n">
        <v>21.8399982452393</v>
      </c>
      <c r="M32" s="176" t="n">
        <v>21.8399982452393</v>
      </c>
      <c r="N32" s="176" t="n">
        <v>21.8399982452393</v>
      </c>
      <c r="O32" s="139"/>
      <c r="P32" s="176" t="n">
        <v>15.3450012207031</v>
      </c>
      <c r="Q32" s="176" t="n">
        <v>15.3450012207031</v>
      </c>
      <c r="R32" s="176" t="n">
        <v>15.3450012207031</v>
      </c>
      <c r="S32" s="139"/>
      <c r="T32" s="176" t="n">
        <v>0</v>
      </c>
      <c r="U32" s="176" t="n">
        <v>0</v>
      </c>
      <c r="V32" s="176" t="n">
        <v>0</v>
      </c>
      <c r="W32" s="139"/>
      <c r="X32" s="176" t="n">
        <v>0.24</v>
      </c>
      <c r="Y32" s="176" t="n">
        <v>0.3</v>
      </c>
      <c r="Z32" s="176" t="n">
        <v>0.36</v>
      </c>
      <c r="AA32" s="139"/>
      <c r="AB32" s="176" t="n">
        <v>0.12</v>
      </c>
      <c r="AC32" s="176" t="n">
        <v>0.15</v>
      </c>
      <c r="AD32" s="176" t="n">
        <v>0.18</v>
      </c>
      <c r="AE32" s="139"/>
      <c r="AF32" s="176" t="n">
        <v>0.36</v>
      </c>
      <c r="AG32" s="176" t="n">
        <v>0.45</v>
      </c>
      <c r="AH32" s="176" t="n">
        <v>0.54</v>
      </c>
      <c r="AI32" s="139"/>
      <c r="AJ32" s="176" t="n">
        <v>0.216</v>
      </c>
      <c r="AK32" s="176" t="n">
        <v>0.27</v>
      </c>
      <c r="AL32" s="176" t="n">
        <v>0.324</v>
      </c>
      <c r="AM32" s="139"/>
      <c r="AN32" s="140" t="n">
        <v>8</v>
      </c>
      <c r="AO32" s="177" t="n">
        <v>0.15</v>
      </c>
      <c r="AP32" s="139"/>
      <c r="AQ32" s="140" t="n">
        <v>2100</v>
      </c>
      <c r="AR32" s="191" t="n">
        <v>0.8</v>
      </c>
      <c r="AS32" s="191" t="n">
        <v>0.8</v>
      </c>
      <c r="AT32" s="191" t="n">
        <v>0.92485549132948</v>
      </c>
      <c r="AU32" s="191" t="n">
        <v>0.9</v>
      </c>
      <c r="AV32" s="191" t="n">
        <v>0.90282131661442</v>
      </c>
      <c r="AW32" s="191" t="n">
        <v>0.47</v>
      </c>
      <c r="AX32" s="191" t="n">
        <v>0.37</v>
      </c>
      <c r="AY32" s="191" t="n">
        <v>0.37</v>
      </c>
      <c r="AZ32" s="191" t="n">
        <v>1</v>
      </c>
      <c r="BA32" s="191" t="n">
        <v>0.9</v>
      </c>
      <c r="BB32" s="191" t="n">
        <v>1.205</v>
      </c>
      <c r="BC32" s="191" t="n">
        <v>0.95</v>
      </c>
      <c r="BD32" s="140" t="s">
        <v>135</v>
      </c>
      <c r="BE32" s="139"/>
      <c r="BF32" s="141" t="n">
        <v>37742</v>
      </c>
      <c r="BG32" s="179" t="n">
        <v>0.75</v>
      </c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18"/>
      <c r="CG32" s="167"/>
      <c r="CH32" s="167"/>
      <c r="CI32" s="167"/>
      <c r="CK32" s="200"/>
      <c r="CL32" s="200"/>
      <c r="CM32" s="180"/>
      <c r="CN32" s="0"/>
      <c r="CO32" s="0"/>
      <c r="CP32" s="0"/>
      <c r="CQ32" s="0"/>
      <c r="CR32" s="0"/>
      <c r="CW32" s="181" t="n">
        <f aca="false">K32</f>
        <v>37742</v>
      </c>
      <c r="CX32" s="182" t="n">
        <f aca="false">AF32</f>
        <v>0.36</v>
      </c>
      <c r="CY32" s="182" t="n">
        <f aca="false">AG32</f>
        <v>0.45</v>
      </c>
      <c r="CZ32" s="182" t="n">
        <f aca="false">AH32</f>
        <v>0.54</v>
      </c>
      <c r="DB32" s="182" t="n">
        <f aca="false">X32</f>
        <v>0.24</v>
      </c>
      <c r="DC32" s="182" t="n">
        <f aca="false">Y32</f>
        <v>0.3</v>
      </c>
      <c r="DD32" s="182" t="n">
        <f aca="false">Z32</f>
        <v>0.36</v>
      </c>
      <c r="DF32" s="181" t="n">
        <f aca="false">BF32</f>
        <v>37742</v>
      </c>
      <c r="DG32" s="133" t="n">
        <f aca="false">BG32</f>
        <v>0.75</v>
      </c>
      <c r="DJ32" s="181" t="n">
        <f aca="false">CW32</f>
        <v>37742</v>
      </c>
      <c r="DK32" s="182" t="n">
        <f aca="false">AJ32</f>
        <v>0.216</v>
      </c>
      <c r="DL32" s="182" t="n">
        <f aca="false">AK32</f>
        <v>0.27</v>
      </c>
      <c r="DM32" s="182" t="n">
        <f aca="false">AL32</f>
        <v>0.324</v>
      </c>
      <c r="DO32" s="182" t="n">
        <f aca="false">AB32</f>
        <v>0.12</v>
      </c>
      <c r="DP32" s="182" t="n">
        <f aca="false">AC32</f>
        <v>0.15</v>
      </c>
      <c r="DQ32" s="182" t="n">
        <f aca="false">AD32</f>
        <v>0.18</v>
      </c>
      <c r="DW32" s="0" t="n">
        <v>23</v>
      </c>
      <c r="DX32" s="187" t="s">
        <v>206</v>
      </c>
      <c r="DY32" s="188" t="s">
        <v>207</v>
      </c>
      <c r="DZ32" s="189" t="s">
        <v>208</v>
      </c>
      <c r="EA32" s="190"/>
      <c r="EB32" s="197"/>
      <c r="EC32" s="198"/>
      <c r="ED32" s="120"/>
      <c r="EE32" s="139"/>
      <c r="EF32" s="165"/>
    </row>
    <row r="33" customFormat="false" ht="12.75" hidden="false" customHeight="false" outlineLevel="0" collapsed="false">
      <c r="A33" s="133"/>
      <c r="B33" s="174" t="n">
        <v>37128</v>
      </c>
      <c r="C33" s="175" t="n">
        <v>26</v>
      </c>
      <c r="D33" s="175" t="n">
        <v>30</v>
      </c>
      <c r="E33" s="175" t="n">
        <v>34</v>
      </c>
      <c r="F33" s="159"/>
      <c r="G33" s="175" t="n">
        <v>15.25</v>
      </c>
      <c r="H33" s="175" t="n">
        <v>15.25</v>
      </c>
      <c r="I33" s="175" t="n">
        <v>15.25</v>
      </c>
      <c r="J33" s="140"/>
      <c r="K33" s="141" t="n">
        <v>37773</v>
      </c>
      <c r="L33" s="176" t="n">
        <v>28.8399982452393</v>
      </c>
      <c r="M33" s="176" t="n">
        <v>28.8399982452393</v>
      </c>
      <c r="N33" s="176" t="n">
        <v>28.8399982452393</v>
      </c>
      <c r="O33" s="139"/>
      <c r="P33" s="176" t="n">
        <v>19.3399982452393</v>
      </c>
      <c r="Q33" s="176" t="n">
        <v>19.3399982452393</v>
      </c>
      <c r="R33" s="176" t="n">
        <v>19.3399982452393</v>
      </c>
      <c r="S33" s="139"/>
      <c r="T33" s="176" t="n">
        <v>0</v>
      </c>
      <c r="U33" s="176" t="n">
        <v>0</v>
      </c>
      <c r="V33" s="176" t="n">
        <v>0</v>
      </c>
      <c r="W33" s="139"/>
      <c r="X33" s="176" t="n">
        <v>0.28</v>
      </c>
      <c r="Y33" s="176" t="n">
        <v>0.35</v>
      </c>
      <c r="Z33" s="176" t="n">
        <v>0.42</v>
      </c>
      <c r="AA33" s="139"/>
      <c r="AB33" s="176" t="n">
        <v>0.14</v>
      </c>
      <c r="AC33" s="176" t="n">
        <v>0.175</v>
      </c>
      <c r="AD33" s="176" t="n">
        <v>0.21</v>
      </c>
      <c r="AE33" s="139"/>
      <c r="AF33" s="176" t="n">
        <v>0.36</v>
      </c>
      <c r="AG33" s="176" t="n">
        <v>0.45</v>
      </c>
      <c r="AH33" s="176" t="n">
        <v>0.54</v>
      </c>
      <c r="AI33" s="139"/>
      <c r="AJ33" s="176" t="n">
        <v>0.216</v>
      </c>
      <c r="AK33" s="176" t="n">
        <v>0.27</v>
      </c>
      <c r="AL33" s="176" t="n">
        <v>0.324</v>
      </c>
      <c r="AM33" s="139"/>
      <c r="AN33" s="140" t="n">
        <v>8</v>
      </c>
      <c r="AO33" s="177" t="n">
        <v>0.15</v>
      </c>
      <c r="AP33" s="139"/>
      <c r="AQ33" s="140" t="n">
        <v>2200</v>
      </c>
      <c r="AR33" s="191" t="n">
        <v>0.79</v>
      </c>
      <c r="AS33" s="191" t="n">
        <v>0.79</v>
      </c>
      <c r="AT33" s="191" t="n">
        <v>0.832369942196532</v>
      </c>
      <c r="AU33" s="191" t="n">
        <v>0.85</v>
      </c>
      <c r="AV33" s="191" t="n">
        <v>0.85</v>
      </c>
      <c r="AW33" s="191" t="n">
        <v>0.47</v>
      </c>
      <c r="AX33" s="191" t="n">
        <v>0.37</v>
      </c>
      <c r="AY33" s="191" t="n">
        <v>0.37</v>
      </c>
      <c r="AZ33" s="191" t="n">
        <v>0.69</v>
      </c>
      <c r="BA33" s="191" t="n">
        <v>0.85</v>
      </c>
      <c r="BB33" s="191" t="n">
        <v>0.72</v>
      </c>
      <c r="BC33" s="191" t="n">
        <v>0.72</v>
      </c>
      <c r="BD33" s="140" t="s">
        <v>135</v>
      </c>
      <c r="BE33" s="139"/>
      <c r="BF33" s="141" t="n">
        <v>37773</v>
      </c>
      <c r="BG33" s="179" t="n">
        <v>0.75</v>
      </c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46"/>
      <c r="CG33" s="167"/>
      <c r="CH33" s="167"/>
      <c r="CI33" s="167"/>
      <c r="CK33" s="200"/>
      <c r="CL33" s="200"/>
      <c r="CM33" s="180"/>
      <c r="CN33" s="0"/>
      <c r="CO33" s="0"/>
      <c r="CP33" s="0"/>
      <c r="CQ33" s="0"/>
      <c r="CR33" s="0"/>
      <c r="CW33" s="181" t="n">
        <f aca="false">K33</f>
        <v>37773</v>
      </c>
      <c r="CX33" s="182" t="n">
        <f aca="false">AF33</f>
        <v>0.36</v>
      </c>
      <c r="CY33" s="182" t="n">
        <f aca="false">AG33</f>
        <v>0.45</v>
      </c>
      <c r="CZ33" s="182" t="n">
        <f aca="false">AH33</f>
        <v>0.54</v>
      </c>
      <c r="DB33" s="182" t="n">
        <f aca="false">X33</f>
        <v>0.28</v>
      </c>
      <c r="DC33" s="182" t="n">
        <f aca="false">Y33</f>
        <v>0.35</v>
      </c>
      <c r="DD33" s="182" t="n">
        <f aca="false">Z33</f>
        <v>0.42</v>
      </c>
      <c r="DF33" s="181" t="n">
        <f aca="false">BF33</f>
        <v>37773</v>
      </c>
      <c r="DG33" s="133" t="n">
        <f aca="false">BG33</f>
        <v>0.75</v>
      </c>
      <c r="DJ33" s="181" t="n">
        <f aca="false">CW33</f>
        <v>37773</v>
      </c>
      <c r="DK33" s="182" t="n">
        <f aca="false">AJ33</f>
        <v>0.216</v>
      </c>
      <c r="DL33" s="182" t="n">
        <f aca="false">AK33</f>
        <v>0.27</v>
      </c>
      <c r="DM33" s="182" t="n">
        <f aca="false">AL33</f>
        <v>0.324</v>
      </c>
      <c r="DO33" s="182" t="n">
        <f aca="false">AB33</f>
        <v>0.14</v>
      </c>
      <c r="DP33" s="182" t="n">
        <f aca="false">AC33</f>
        <v>0.175</v>
      </c>
      <c r="DQ33" s="182" t="n">
        <f aca="false">AD33</f>
        <v>0.21</v>
      </c>
      <c r="DW33" s="0" t="n">
        <v>24</v>
      </c>
      <c r="DX33" s="187" t="s">
        <v>209</v>
      </c>
      <c r="DY33" s="188" t="s">
        <v>210</v>
      </c>
      <c r="DZ33" s="189" t="s">
        <v>211</v>
      </c>
      <c r="EA33" s="190"/>
      <c r="EC33" s="197"/>
      <c r="ED33" s="198"/>
      <c r="EE33" s="120"/>
      <c r="EF33" s="139"/>
    </row>
    <row r="34" customFormat="false" ht="12.75" hidden="false" customHeight="false" outlineLevel="0" collapsed="false">
      <c r="A34" s="133"/>
      <c r="B34" s="174" t="n">
        <v>37129</v>
      </c>
      <c r="C34" s="175" t="n">
        <v>26</v>
      </c>
      <c r="D34" s="175" t="n">
        <v>30</v>
      </c>
      <c r="E34" s="175" t="n">
        <v>34</v>
      </c>
      <c r="F34" s="159"/>
      <c r="G34" s="175" t="n">
        <v>15.25</v>
      </c>
      <c r="H34" s="175" t="n">
        <v>15.25</v>
      </c>
      <c r="I34" s="175" t="n">
        <v>15.25</v>
      </c>
      <c r="J34" s="140"/>
      <c r="K34" s="141" t="n">
        <v>37803</v>
      </c>
      <c r="L34" s="176" t="n">
        <v>34.8400039672852</v>
      </c>
      <c r="M34" s="176" t="n">
        <v>34.8400039672852</v>
      </c>
      <c r="N34" s="176" t="n">
        <v>34.8400039672852</v>
      </c>
      <c r="O34" s="139"/>
      <c r="P34" s="176" t="n">
        <v>25.3399982452393</v>
      </c>
      <c r="Q34" s="176" t="n">
        <v>25.3399982452393</v>
      </c>
      <c r="R34" s="176" t="n">
        <v>25.3399982452393</v>
      </c>
      <c r="S34" s="139"/>
      <c r="T34" s="176" t="n">
        <v>0</v>
      </c>
      <c r="U34" s="176" t="n">
        <v>0</v>
      </c>
      <c r="V34" s="176" t="n">
        <v>0</v>
      </c>
      <c r="W34" s="139"/>
      <c r="X34" s="176" t="n">
        <v>0.28</v>
      </c>
      <c r="Y34" s="176" t="n">
        <v>0.35</v>
      </c>
      <c r="Z34" s="176" t="n">
        <v>0.42</v>
      </c>
      <c r="AA34" s="139"/>
      <c r="AB34" s="176" t="n">
        <v>0.14</v>
      </c>
      <c r="AC34" s="176" t="n">
        <v>0.175</v>
      </c>
      <c r="AD34" s="176" t="n">
        <v>0.21</v>
      </c>
      <c r="AE34" s="139"/>
      <c r="AF34" s="176" t="n">
        <v>0.44</v>
      </c>
      <c r="AG34" s="176" t="n">
        <v>0.55</v>
      </c>
      <c r="AH34" s="176" t="n">
        <v>0.66</v>
      </c>
      <c r="AI34" s="139"/>
      <c r="AJ34" s="176" t="n">
        <v>0.264</v>
      </c>
      <c r="AK34" s="176" t="n">
        <v>0.33</v>
      </c>
      <c r="AL34" s="176" t="n">
        <v>0.396</v>
      </c>
      <c r="AM34" s="139"/>
      <c r="AN34" s="140" t="n">
        <v>9</v>
      </c>
      <c r="AO34" s="177" t="n">
        <v>0.15</v>
      </c>
      <c r="AP34" s="139"/>
      <c r="AQ34" s="140" t="n">
        <v>2300</v>
      </c>
      <c r="AR34" s="191" t="n">
        <v>1.05</v>
      </c>
      <c r="AS34" s="191" t="n">
        <v>1.05</v>
      </c>
      <c r="AT34" s="191" t="n">
        <v>1.13942581548393</v>
      </c>
      <c r="AU34" s="191" t="n">
        <v>1.26515386305201</v>
      </c>
      <c r="AV34" s="191" t="n">
        <v>1.15</v>
      </c>
      <c r="AW34" s="191" t="n">
        <v>1.25</v>
      </c>
      <c r="AX34" s="191" t="n">
        <v>1.29465582024753</v>
      </c>
      <c r="AY34" s="191" t="n">
        <v>1.29465582024753</v>
      </c>
      <c r="AZ34" s="191" t="n">
        <v>1.25</v>
      </c>
      <c r="BA34" s="191" t="n">
        <v>1.26515386305201</v>
      </c>
      <c r="BB34" s="191" t="n">
        <v>1.11998824052749</v>
      </c>
      <c r="BC34" s="191" t="n">
        <v>1.11998824052749</v>
      </c>
      <c r="BD34" s="140" t="s">
        <v>143</v>
      </c>
      <c r="BE34" s="139"/>
      <c r="BF34" s="141" t="n">
        <v>37803</v>
      </c>
      <c r="BG34" s="179" t="n">
        <v>0.75</v>
      </c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67"/>
      <c r="CG34" s="167"/>
      <c r="CH34" s="167"/>
      <c r="CI34" s="167"/>
      <c r="CK34" s="200"/>
      <c r="CL34" s="200"/>
      <c r="CM34" s="180"/>
      <c r="CN34" s="0"/>
      <c r="CO34" s="0"/>
      <c r="CP34" s="0"/>
      <c r="CQ34" s="0"/>
      <c r="CR34" s="0"/>
      <c r="CW34" s="181" t="n">
        <f aca="false">K34</f>
        <v>37803</v>
      </c>
      <c r="CX34" s="182" t="n">
        <f aca="false">AF34</f>
        <v>0.44</v>
      </c>
      <c r="CY34" s="182" t="n">
        <f aca="false">AG34</f>
        <v>0.55</v>
      </c>
      <c r="CZ34" s="182" t="n">
        <f aca="false">AH34</f>
        <v>0.66</v>
      </c>
      <c r="DB34" s="182" t="n">
        <f aca="false">X34</f>
        <v>0.28</v>
      </c>
      <c r="DC34" s="182" t="n">
        <f aca="false">Y34</f>
        <v>0.35</v>
      </c>
      <c r="DD34" s="182" t="n">
        <f aca="false">Z34</f>
        <v>0.42</v>
      </c>
      <c r="DF34" s="181" t="n">
        <f aca="false">BF34</f>
        <v>37803</v>
      </c>
      <c r="DG34" s="133" t="n">
        <f aca="false">BG34</f>
        <v>0.75</v>
      </c>
      <c r="DJ34" s="181" t="n">
        <f aca="false">CW34</f>
        <v>37803</v>
      </c>
      <c r="DK34" s="182" t="n">
        <f aca="false">AJ34</f>
        <v>0.264</v>
      </c>
      <c r="DL34" s="182" t="n">
        <f aca="false">AK34</f>
        <v>0.33</v>
      </c>
      <c r="DM34" s="182" t="n">
        <f aca="false">AL34</f>
        <v>0.396</v>
      </c>
      <c r="DO34" s="182" t="n">
        <f aca="false">AB34</f>
        <v>0.14</v>
      </c>
      <c r="DP34" s="182" t="n">
        <f aca="false">AC34</f>
        <v>0.175</v>
      </c>
      <c r="DQ34" s="182" t="n">
        <f aca="false">AD34</f>
        <v>0.21</v>
      </c>
      <c r="DW34" s="0" t="n">
        <v>25</v>
      </c>
      <c r="DX34" s="187" t="s">
        <v>212</v>
      </c>
      <c r="DY34" s="188" t="s">
        <v>213</v>
      </c>
      <c r="DZ34" s="189" t="s">
        <v>214</v>
      </c>
      <c r="EA34" s="190"/>
      <c r="EC34" s="197"/>
      <c r="ED34" s="198"/>
      <c r="EE34" s="120"/>
      <c r="EF34" s="139"/>
    </row>
    <row r="35" customFormat="false" ht="12.75" hidden="false" customHeight="false" outlineLevel="0" collapsed="false">
      <c r="A35" s="133"/>
      <c r="B35" s="174" t="n">
        <v>37130</v>
      </c>
      <c r="C35" s="175" t="n">
        <v>37.5</v>
      </c>
      <c r="D35" s="175" t="n">
        <v>41.5</v>
      </c>
      <c r="E35" s="175" t="n">
        <v>45.5</v>
      </c>
      <c r="F35" s="159"/>
      <c r="G35" s="175" t="n">
        <v>13.25</v>
      </c>
      <c r="H35" s="175" t="n">
        <v>13.25</v>
      </c>
      <c r="I35" s="175" t="n">
        <v>13.25</v>
      </c>
      <c r="J35" s="140"/>
      <c r="K35" s="141" t="n">
        <v>37834</v>
      </c>
      <c r="L35" s="176" t="n">
        <v>32.8400077819824</v>
      </c>
      <c r="M35" s="176" t="n">
        <v>32.8400077819824</v>
      </c>
      <c r="N35" s="176" t="n">
        <v>32.8400077819824</v>
      </c>
      <c r="O35" s="139"/>
      <c r="P35" s="176" t="n">
        <v>25.3399982452393</v>
      </c>
      <c r="Q35" s="176" t="n">
        <v>25.3399982452393</v>
      </c>
      <c r="R35" s="176" t="n">
        <v>25.3399982452393</v>
      </c>
      <c r="S35" s="139"/>
      <c r="T35" s="176" t="n">
        <v>0</v>
      </c>
      <c r="U35" s="176" t="n">
        <v>0</v>
      </c>
      <c r="V35" s="176" t="n">
        <v>0</v>
      </c>
      <c r="W35" s="139"/>
      <c r="X35" s="176" t="n">
        <v>0.312</v>
      </c>
      <c r="Y35" s="176" t="n">
        <v>0.39</v>
      </c>
      <c r="Z35" s="176" t="n">
        <v>0.468</v>
      </c>
      <c r="AA35" s="139"/>
      <c r="AB35" s="176" t="n">
        <v>0.156</v>
      </c>
      <c r="AC35" s="176" t="n">
        <v>0.195</v>
      </c>
      <c r="AD35" s="176" t="n">
        <v>0.234</v>
      </c>
      <c r="AE35" s="139"/>
      <c r="AF35" s="176" t="n">
        <v>0.56</v>
      </c>
      <c r="AG35" s="176" t="n">
        <v>0.7</v>
      </c>
      <c r="AH35" s="176" t="n">
        <v>0.84</v>
      </c>
      <c r="AI35" s="139"/>
      <c r="AJ35" s="176" t="n">
        <v>0.336</v>
      </c>
      <c r="AK35" s="176" t="n">
        <v>0.42</v>
      </c>
      <c r="AL35" s="176" t="n">
        <v>0.504</v>
      </c>
      <c r="AM35" s="139"/>
      <c r="AN35" s="140" t="n">
        <v>9</v>
      </c>
      <c r="AO35" s="177" t="n">
        <v>0.15</v>
      </c>
      <c r="AP35" s="139"/>
      <c r="AQ35" s="140" t="n">
        <v>2400</v>
      </c>
      <c r="AR35" s="191" t="n">
        <v>0.95</v>
      </c>
      <c r="AS35" s="191" t="n">
        <v>0.95</v>
      </c>
      <c r="AT35" s="191" t="n">
        <v>1.06539539351647</v>
      </c>
      <c r="AU35" s="191" t="n">
        <v>1.15401118724704</v>
      </c>
      <c r="AV35" s="191" t="n">
        <v>0.958807332906934</v>
      </c>
      <c r="AW35" s="191" t="n">
        <v>1.21505912963884</v>
      </c>
      <c r="AX35" s="191" t="n">
        <v>1.19131182078933</v>
      </c>
      <c r="AY35" s="191" t="n">
        <v>1.19131182078933</v>
      </c>
      <c r="AZ35" s="191" t="n">
        <v>1.21505912963884</v>
      </c>
      <c r="BA35" s="191" t="n">
        <v>1.15401118724704</v>
      </c>
      <c r="BB35" s="191" t="n">
        <v>1.05392489132036</v>
      </c>
      <c r="BC35" s="191" t="n">
        <v>1.10392489132036</v>
      </c>
      <c r="BD35" s="140" t="s">
        <v>143</v>
      </c>
      <c r="BE35" s="139"/>
      <c r="BF35" s="141" t="n">
        <v>37834</v>
      </c>
      <c r="BG35" s="179" t="n">
        <v>0.75</v>
      </c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67"/>
      <c r="CG35" s="167"/>
      <c r="CH35" s="167"/>
      <c r="CI35" s="167"/>
      <c r="CK35" s="200"/>
      <c r="CL35" s="200"/>
      <c r="CM35" s="180"/>
      <c r="CN35" s="0"/>
      <c r="CO35" s="0"/>
      <c r="CP35" s="0"/>
      <c r="CQ35" s="0"/>
      <c r="CR35" s="0"/>
      <c r="CW35" s="181" t="n">
        <f aca="false">K35</f>
        <v>37834</v>
      </c>
      <c r="CX35" s="182" t="n">
        <f aca="false">AF35</f>
        <v>0.56</v>
      </c>
      <c r="CY35" s="182" t="n">
        <f aca="false">AG35</f>
        <v>0.7</v>
      </c>
      <c r="CZ35" s="182" t="n">
        <f aca="false">AH35</f>
        <v>0.84</v>
      </c>
      <c r="DB35" s="182" t="n">
        <f aca="false">X35</f>
        <v>0.312</v>
      </c>
      <c r="DC35" s="182" t="n">
        <f aca="false">Y35</f>
        <v>0.39</v>
      </c>
      <c r="DD35" s="182" t="n">
        <f aca="false">Z35</f>
        <v>0.468</v>
      </c>
      <c r="DF35" s="181" t="n">
        <f aca="false">BF35</f>
        <v>37834</v>
      </c>
      <c r="DG35" s="133" t="n">
        <f aca="false">BG35</f>
        <v>0.75</v>
      </c>
      <c r="DJ35" s="181" t="n">
        <f aca="false">CW35</f>
        <v>37834</v>
      </c>
      <c r="DK35" s="182" t="n">
        <f aca="false">AJ35</f>
        <v>0.336</v>
      </c>
      <c r="DL35" s="182" t="n">
        <f aca="false">AK35</f>
        <v>0.42</v>
      </c>
      <c r="DM35" s="182" t="n">
        <f aca="false">AL35</f>
        <v>0.504</v>
      </c>
      <c r="DO35" s="182" t="n">
        <f aca="false">AB35</f>
        <v>0.156</v>
      </c>
      <c r="DP35" s="182" t="n">
        <f aca="false">AC35</f>
        <v>0.195</v>
      </c>
      <c r="DQ35" s="182" t="n">
        <f aca="false">AD35</f>
        <v>0.234</v>
      </c>
      <c r="DW35" s="0" t="n">
        <v>26</v>
      </c>
      <c r="DX35" s="187" t="s">
        <v>215</v>
      </c>
      <c r="DY35" s="188" t="s">
        <v>216</v>
      </c>
      <c r="DZ35" s="189" t="s">
        <v>217</v>
      </c>
      <c r="EA35" s="190"/>
      <c r="EC35" s="197"/>
      <c r="ED35" s="198"/>
      <c r="EE35" s="120"/>
      <c r="EF35" s="139"/>
    </row>
    <row r="36" customFormat="false" ht="12.75" hidden="false" customHeight="false" outlineLevel="0" collapsed="false">
      <c r="A36" s="133"/>
      <c r="B36" s="174" t="n">
        <v>37131</v>
      </c>
      <c r="C36" s="175" t="n">
        <v>37.5</v>
      </c>
      <c r="D36" s="175" t="n">
        <v>41.5</v>
      </c>
      <c r="E36" s="175" t="n">
        <v>45.5</v>
      </c>
      <c r="F36" s="159"/>
      <c r="G36" s="175" t="n">
        <v>13.25</v>
      </c>
      <c r="H36" s="175" t="n">
        <v>13.25</v>
      </c>
      <c r="I36" s="175" t="n">
        <v>13.25</v>
      </c>
      <c r="J36" s="140"/>
      <c r="K36" s="141" t="n">
        <v>37865</v>
      </c>
      <c r="L36" s="176" t="n">
        <v>24.8399982452393</v>
      </c>
      <c r="M36" s="176" t="n">
        <v>24.8399982452393</v>
      </c>
      <c r="N36" s="176" t="n">
        <v>24.8399982452393</v>
      </c>
      <c r="O36" s="139"/>
      <c r="P36" s="176" t="n">
        <v>19.3399982452393</v>
      </c>
      <c r="Q36" s="176" t="n">
        <v>19.3399982452393</v>
      </c>
      <c r="R36" s="176" t="n">
        <v>19.3399982452393</v>
      </c>
      <c r="S36" s="139"/>
      <c r="T36" s="176" t="n">
        <v>0</v>
      </c>
      <c r="U36" s="176" t="n">
        <v>0</v>
      </c>
      <c r="V36" s="176" t="n">
        <v>0</v>
      </c>
      <c r="W36" s="139"/>
      <c r="X36" s="176" t="n">
        <v>0.312</v>
      </c>
      <c r="Y36" s="176" t="n">
        <v>0.39</v>
      </c>
      <c r="Z36" s="176" t="n">
        <v>0.468</v>
      </c>
      <c r="AA36" s="139"/>
      <c r="AB36" s="176" t="n">
        <v>0.156</v>
      </c>
      <c r="AC36" s="176" t="n">
        <v>0.195</v>
      </c>
      <c r="AD36" s="176" t="n">
        <v>0.234</v>
      </c>
      <c r="AE36" s="139"/>
      <c r="AF36" s="176" t="n">
        <v>0.56</v>
      </c>
      <c r="AG36" s="176" t="n">
        <v>0.7</v>
      </c>
      <c r="AH36" s="176" t="n">
        <v>0.84</v>
      </c>
      <c r="AI36" s="139"/>
      <c r="AJ36" s="176" t="n">
        <v>0.336</v>
      </c>
      <c r="AK36" s="176" t="n">
        <v>0.42</v>
      </c>
      <c r="AL36" s="176" t="n">
        <v>0.504</v>
      </c>
      <c r="AM36" s="139"/>
      <c r="AN36" s="140" t="n">
        <v>9</v>
      </c>
      <c r="AO36" s="177" t="n">
        <v>0.15</v>
      </c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41" t="n">
        <v>37865</v>
      </c>
      <c r="BG36" s="179" t="n">
        <v>0.75</v>
      </c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67"/>
      <c r="CG36" s="167"/>
      <c r="CH36" s="167"/>
      <c r="CI36" s="167"/>
      <c r="CK36" s="200"/>
      <c r="CL36" s="200"/>
      <c r="CM36" s="180"/>
      <c r="CN36" s="0"/>
      <c r="CO36" s="0"/>
      <c r="CP36" s="0"/>
      <c r="CQ36" s="0"/>
      <c r="CR36" s="0"/>
      <c r="CW36" s="181" t="n">
        <f aca="false">K36</f>
        <v>37865</v>
      </c>
      <c r="CX36" s="182" t="n">
        <f aca="false">AF36</f>
        <v>0.56</v>
      </c>
      <c r="CY36" s="182" t="n">
        <f aca="false">AG36</f>
        <v>0.7</v>
      </c>
      <c r="CZ36" s="182" t="n">
        <f aca="false">AH36</f>
        <v>0.84</v>
      </c>
      <c r="DB36" s="182" t="n">
        <f aca="false">X36</f>
        <v>0.312</v>
      </c>
      <c r="DC36" s="182" t="n">
        <f aca="false">Y36</f>
        <v>0.39</v>
      </c>
      <c r="DD36" s="182" t="n">
        <f aca="false">Z36</f>
        <v>0.468</v>
      </c>
      <c r="DF36" s="181" t="n">
        <f aca="false">BF36</f>
        <v>37865</v>
      </c>
      <c r="DG36" s="133" t="n">
        <f aca="false">BG36</f>
        <v>0.75</v>
      </c>
      <c r="DJ36" s="181" t="n">
        <f aca="false">CW36</f>
        <v>37865</v>
      </c>
      <c r="DK36" s="182" t="n">
        <f aca="false">AJ36</f>
        <v>0.336</v>
      </c>
      <c r="DL36" s="182" t="n">
        <f aca="false">AK36</f>
        <v>0.42</v>
      </c>
      <c r="DM36" s="182" t="n">
        <f aca="false">AL36</f>
        <v>0.504</v>
      </c>
      <c r="DO36" s="182" t="n">
        <f aca="false">AB36</f>
        <v>0.156</v>
      </c>
      <c r="DP36" s="182" t="n">
        <f aca="false">AC36</f>
        <v>0.195</v>
      </c>
      <c r="DQ36" s="182" t="n">
        <f aca="false">AD36</f>
        <v>0.234</v>
      </c>
      <c r="DW36" s="0" t="n">
        <v>27</v>
      </c>
      <c r="DX36" s="187" t="s">
        <v>218</v>
      </c>
      <c r="DY36" s="188" t="s">
        <v>219</v>
      </c>
      <c r="DZ36" s="189" t="s">
        <v>220</v>
      </c>
      <c r="EA36" s="190"/>
      <c r="EC36" s="197"/>
      <c r="ED36" s="198"/>
      <c r="EE36" s="120"/>
      <c r="EF36" s="139"/>
    </row>
    <row r="37" customFormat="false" ht="12.75" hidden="false" customHeight="false" outlineLevel="0" collapsed="false">
      <c r="A37" s="133"/>
      <c r="B37" s="174" t="n">
        <v>37132</v>
      </c>
      <c r="C37" s="175" t="n">
        <v>37.5</v>
      </c>
      <c r="D37" s="175" t="n">
        <v>41.5</v>
      </c>
      <c r="E37" s="175" t="n">
        <v>45.5</v>
      </c>
      <c r="F37" s="159"/>
      <c r="G37" s="175" t="n">
        <v>13.25</v>
      </c>
      <c r="H37" s="175" t="n">
        <v>13.25</v>
      </c>
      <c r="I37" s="175" t="n">
        <v>13.25</v>
      </c>
      <c r="J37" s="140"/>
      <c r="K37" s="141" t="n">
        <v>37895</v>
      </c>
      <c r="L37" s="176" t="n">
        <v>19.8359985351563</v>
      </c>
      <c r="M37" s="176" t="n">
        <v>19.8359985351563</v>
      </c>
      <c r="N37" s="176" t="n">
        <v>19.8359985351563</v>
      </c>
      <c r="O37" s="139"/>
      <c r="P37" s="176" t="n">
        <v>14.3365020751953</v>
      </c>
      <c r="Q37" s="176" t="n">
        <v>14.3365020751953</v>
      </c>
      <c r="R37" s="176" t="n">
        <v>14.3365020751953</v>
      </c>
      <c r="S37" s="139"/>
      <c r="T37" s="176" t="n">
        <v>0</v>
      </c>
      <c r="U37" s="176" t="n">
        <v>0</v>
      </c>
      <c r="V37" s="176" t="n">
        <v>0</v>
      </c>
      <c r="W37" s="139"/>
      <c r="X37" s="176" t="n">
        <v>0.2</v>
      </c>
      <c r="Y37" s="176" t="n">
        <v>0.25</v>
      </c>
      <c r="Z37" s="176" t="n">
        <v>0.3</v>
      </c>
      <c r="AA37" s="139"/>
      <c r="AB37" s="176" t="n">
        <v>0.1</v>
      </c>
      <c r="AC37" s="176" t="n">
        <v>0.125</v>
      </c>
      <c r="AD37" s="176" t="n">
        <v>0.15</v>
      </c>
      <c r="AE37" s="139"/>
      <c r="AF37" s="176" t="n">
        <v>0.28</v>
      </c>
      <c r="AG37" s="176" t="n">
        <v>0.35</v>
      </c>
      <c r="AH37" s="176" t="n">
        <v>0.42</v>
      </c>
      <c r="AI37" s="139"/>
      <c r="AJ37" s="176" t="n">
        <v>0.168</v>
      </c>
      <c r="AK37" s="176" t="n">
        <v>0.21</v>
      </c>
      <c r="AL37" s="176" t="n">
        <v>0.252</v>
      </c>
      <c r="AM37" s="139"/>
      <c r="AN37" s="140" t="n">
        <v>10</v>
      </c>
      <c r="AO37" s="177" t="n">
        <v>0.15</v>
      </c>
      <c r="AP37" s="139"/>
      <c r="AQ37" s="140" t="s">
        <v>221</v>
      </c>
      <c r="AR37" s="139"/>
      <c r="AS37" s="139"/>
      <c r="AT37" s="140" t="s">
        <v>222</v>
      </c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41" t="n">
        <v>37895</v>
      </c>
      <c r="BG37" s="179" t="n">
        <v>0.75</v>
      </c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67"/>
      <c r="CG37" s="167"/>
      <c r="CH37" s="167"/>
      <c r="CI37" s="167"/>
      <c r="CK37" s="200"/>
      <c r="CL37" s="200"/>
      <c r="CM37" s="180"/>
      <c r="CN37" s="0"/>
      <c r="CO37" s="0"/>
      <c r="CP37" s="0"/>
      <c r="CQ37" s="0"/>
      <c r="CR37" s="0"/>
      <c r="CW37" s="181" t="n">
        <f aca="false">K37</f>
        <v>37895</v>
      </c>
      <c r="CX37" s="182" t="n">
        <f aca="false">AF37</f>
        <v>0.28</v>
      </c>
      <c r="CY37" s="182" t="n">
        <f aca="false">AG37</f>
        <v>0.35</v>
      </c>
      <c r="CZ37" s="182" t="n">
        <f aca="false">AH37</f>
        <v>0.42</v>
      </c>
      <c r="DB37" s="182" t="n">
        <f aca="false">X37</f>
        <v>0.2</v>
      </c>
      <c r="DC37" s="182" t="n">
        <f aca="false">Y37</f>
        <v>0.25</v>
      </c>
      <c r="DD37" s="182" t="n">
        <f aca="false">Z37</f>
        <v>0.3</v>
      </c>
      <c r="DF37" s="181" t="n">
        <f aca="false">BF37</f>
        <v>37895</v>
      </c>
      <c r="DG37" s="133" t="n">
        <f aca="false">BG37</f>
        <v>0.75</v>
      </c>
      <c r="DJ37" s="181" t="n">
        <f aca="false">CW37</f>
        <v>37895</v>
      </c>
      <c r="DK37" s="182" t="n">
        <f aca="false">AJ37</f>
        <v>0.168</v>
      </c>
      <c r="DL37" s="182" t="n">
        <f aca="false">AK37</f>
        <v>0.21</v>
      </c>
      <c r="DM37" s="182" t="n">
        <f aca="false">AL37</f>
        <v>0.252</v>
      </c>
      <c r="DO37" s="182" t="n">
        <f aca="false">AB37</f>
        <v>0.1</v>
      </c>
      <c r="DP37" s="182" t="n">
        <f aca="false">AC37</f>
        <v>0.125</v>
      </c>
      <c r="DQ37" s="182" t="n">
        <f aca="false">AD37</f>
        <v>0.15</v>
      </c>
      <c r="DW37" s="0" t="n">
        <v>28</v>
      </c>
      <c r="DX37" s="187" t="s">
        <v>223</v>
      </c>
      <c r="DY37" s="188" t="s">
        <v>224</v>
      </c>
      <c r="DZ37" s="189" t="s">
        <v>225</v>
      </c>
      <c r="EA37" s="190"/>
      <c r="EC37" s="197"/>
      <c r="ED37" s="198"/>
      <c r="EE37" s="120"/>
      <c r="EF37" s="139"/>
    </row>
    <row r="38" customFormat="false" ht="12.75" hidden="false" customHeight="false" outlineLevel="0" collapsed="false">
      <c r="A38" s="133"/>
      <c r="B38" s="174" t="n">
        <v>37133</v>
      </c>
      <c r="C38" s="175" t="n">
        <v>37.5</v>
      </c>
      <c r="D38" s="175" t="n">
        <v>41.5</v>
      </c>
      <c r="E38" s="175" t="n">
        <v>45.5</v>
      </c>
      <c r="F38" s="159"/>
      <c r="G38" s="175" t="n">
        <v>13.25</v>
      </c>
      <c r="H38" s="175" t="n">
        <v>13.25</v>
      </c>
      <c r="I38" s="175" t="n">
        <v>13.25</v>
      </c>
      <c r="J38" s="140"/>
      <c r="K38" s="141" t="n">
        <v>37926</v>
      </c>
      <c r="L38" s="176" t="n">
        <v>21.8399982452393</v>
      </c>
      <c r="M38" s="176" t="n">
        <v>21.8399982452393</v>
      </c>
      <c r="N38" s="176" t="n">
        <v>21.8399982452393</v>
      </c>
      <c r="O38" s="139"/>
      <c r="P38" s="176" t="n">
        <v>14.3400020599365</v>
      </c>
      <c r="Q38" s="176" t="n">
        <v>14.3400020599365</v>
      </c>
      <c r="R38" s="176" t="n">
        <v>14.3400020599365</v>
      </c>
      <c r="S38" s="139"/>
      <c r="T38" s="176" t="n">
        <v>0</v>
      </c>
      <c r="U38" s="176" t="n">
        <v>0</v>
      </c>
      <c r="V38" s="176" t="n">
        <v>0</v>
      </c>
      <c r="W38" s="139"/>
      <c r="X38" s="176" t="n">
        <v>0.2</v>
      </c>
      <c r="Y38" s="176" t="n">
        <v>0.25</v>
      </c>
      <c r="Z38" s="176" t="n">
        <v>0.3</v>
      </c>
      <c r="AA38" s="139"/>
      <c r="AB38" s="176" t="n">
        <v>0.1</v>
      </c>
      <c r="AC38" s="176" t="n">
        <v>0.125</v>
      </c>
      <c r="AD38" s="176" t="n">
        <v>0.15</v>
      </c>
      <c r="AE38" s="139"/>
      <c r="AF38" s="176" t="n">
        <v>0.28</v>
      </c>
      <c r="AG38" s="176" t="n">
        <v>0.35</v>
      </c>
      <c r="AH38" s="176" t="n">
        <v>0.42</v>
      </c>
      <c r="AI38" s="139"/>
      <c r="AJ38" s="176" t="n">
        <v>0.168</v>
      </c>
      <c r="AK38" s="176" t="n">
        <v>0.21</v>
      </c>
      <c r="AL38" s="176" t="n">
        <v>0.252</v>
      </c>
      <c r="AM38" s="139"/>
      <c r="AN38" s="140" t="n">
        <v>10</v>
      </c>
      <c r="AO38" s="177" t="n">
        <v>0.15</v>
      </c>
      <c r="AP38" s="139"/>
      <c r="AQ38" s="177" t="n">
        <v>-100</v>
      </c>
      <c r="AR38" s="201" t="n">
        <v>-0.4</v>
      </c>
      <c r="AS38" s="139"/>
      <c r="AT38" s="177" t="n">
        <v>1</v>
      </c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41" t="n">
        <v>37926</v>
      </c>
      <c r="BG38" s="179" t="n">
        <v>0.75</v>
      </c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67"/>
      <c r="CG38" s="167"/>
      <c r="CH38" s="167"/>
      <c r="CI38" s="167"/>
      <c r="CK38" s="200"/>
      <c r="CL38" s="200"/>
      <c r="CM38" s="180"/>
      <c r="CN38" s="0"/>
      <c r="CO38" s="0"/>
      <c r="CP38" s="0"/>
      <c r="CQ38" s="0"/>
      <c r="CR38" s="0"/>
      <c r="CW38" s="181" t="n">
        <f aca="false">K38</f>
        <v>37926</v>
      </c>
      <c r="CX38" s="182" t="n">
        <f aca="false">AF38</f>
        <v>0.28</v>
      </c>
      <c r="CY38" s="182" t="n">
        <f aca="false">AG38</f>
        <v>0.35</v>
      </c>
      <c r="CZ38" s="182" t="n">
        <f aca="false">AH38</f>
        <v>0.42</v>
      </c>
      <c r="DB38" s="182" t="n">
        <f aca="false">X38</f>
        <v>0.2</v>
      </c>
      <c r="DC38" s="182" t="n">
        <f aca="false">Y38</f>
        <v>0.25</v>
      </c>
      <c r="DD38" s="182" t="n">
        <f aca="false">Z38</f>
        <v>0.3</v>
      </c>
      <c r="DF38" s="181" t="n">
        <f aca="false">BF38</f>
        <v>37926</v>
      </c>
      <c r="DG38" s="133" t="n">
        <f aca="false">BG38</f>
        <v>0.75</v>
      </c>
      <c r="DJ38" s="181" t="n">
        <f aca="false">CW38</f>
        <v>37926</v>
      </c>
      <c r="DK38" s="182" t="n">
        <f aca="false">AJ38</f>
        <v>0.168</v>
      </c>
      <c r="DL38" s="182" t="n">
        <f aca="false">AK38</f>
        <v>0.21</v>
      </c>
      <c r="DM38" s="182" t="n">
        <f aca="false">AL38</f>
        <v>0.252</v>
      </c>
      <c r="DO38" s="182" t="n">
        <f aca="false">AB38</f>
        <v>0.1</v>
      </c>
      <c r="DP38" s="182" t="n">
        <f aca="false">AC38</f>
        <v>0.125</v>
      </c>
      <c r="DQ38" s="182" t="n">
        <f aca="false">AD38</f>
        <v>0.15</v>
      </c>
      <c r="DW38" s="0" t="n">
        <v>29</v>
      </c>
      <c r="DX38" s="187" t="s">
        <v>226</v>
      </c>
      <c r="DY38" s="188" t="s">
        <v>227</v>
      </c>
      <c r="DZ38" s="189" t="s">
        <v>228</v>
      </c>
      <c r="EA38" s="190"/>
      <c r="EC38" s="197"/>
      <c r="ED38" s="198"/>
      <c r="EE38" s="120"/>
      <c r="EF38" s="139"/>
    </row>
    <row r="39" customFormat="false" ht="12.75" hidden="false" customHeight="false" outlineLevel="0" collapsed="false">
      <c r="A39" s="133"/>
      <c r="B39" s="174" t="n">
        <v>37134</v>
      </c>
      <c r="C39" s="175" t="n">
        <v>37.5</v>
      </c>
      <c r="D39" s="175" t="n">
        <v>41.5</v>
      </c>
      <c r="E39" s="175" t="n">
        <v>45.5</v>
      </c>
      <c r="F39" s="159"/>
      <c r="G39" s="175" t="n">
        <v>13.25</v>
      </c>
      <c r="H39" s="175" t="n">
        <v>13.25</v>
      </c>
      <c r="I39" s="175" t="n">
        <v>13.25</v>
      </c>
      <c r="J39" s="140"/>
      <c r="K39" s="141" t="n">
        <v>37956</v>
      </c>
      <c r="L39" s="176" t="n">
        <v>26.8399982452393</v>
      </c>
      <c r="M39" s="176" t="n">
        <v>26.8399982452393</v>
      </c>
      <c r="N39" s="176" t="n">
        <v>26.8399982452393</v>
      </c>
      <c r="O39" s="139"/>
      <c r="P39" s="176" t="n">
        <v>21.3399982452393</v>
      </c>
      <c r="Q39" s="176" t="n">
        <v>21.3399982452393</v>
      </c>
      <c r="R39" s="176" t="n">
        <v>21.3399982452393</v>
      </c>
      <c r="S39" s="139"/>
      <c r="T39" s="176" t="n">
        <v>0</v>
      </c>
      <c r="U39" s="176" t="n">
        <v>0</v>
      </c>
      <c r="V39" s="176" t="n">
        <v>0</v>
      </c>
      <c r="W39" s="139"/>
      <c r="X39" s="176" t="n">
        <v>0.2</v>
      </c>
      <c r="Y39" s="176" t="n">
        <v>0.25</v>
      </c>
      <c r="Z39" s="176" t="n">
        <v>0.3</v>
      </c>
      <c r="AA39" s="139"/>
      <c r="AB39" s="176" t="n">
        <v>0.1</v>
      </c>
      <c r="AC39" s="176" t="n">
        <v>0.125</v>
      </c>
      <c r="AD39" s="176" t="n">
        <v>0.15</v>
      </c>
      <c r="AE39" s="139"/>
      <c r="AF39" s="176" t="n">
        <v>0.28</v>
      </c>
      <c r="AG39" s="176" t="n">
        <v>0.35</v>
      </c>
      <c r="AH39" s="176" t="n">
        <v>0.42</v>
      </c>
      <c r="AI39" s="139"/>
      <c r="AJ39" s="176" t="n">
        <v>0.168</v>
      </c>
      <c r="AK39" s="176" t="n">
        <v>0.21</v>
      </c>
      <c r="AL39" s="176" t="n">
        <v>0.252</v>
      </c>
      <c r="AM39" s="139"/>
      <c r="AN39" s="140" t="n">
        <v>10</v>
      </c>
      <c r="AO39" s="177" t="n">
        <v>0.25</v>
      </c>
      <c r="AP39" s="139"/>
      <c r="AQ39" s="177" t="n">
        <v>-90</v>
      </c>
      <c r="AR39" s="179" t="n">
        <v>-0.35</v>
      </c>
      <c r="AS39" s="139"/>
      <c r="AT39" s="177" t="n">
        <v>2</v>
      </c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41" t="n">
        <v>37956</v>
      </c>
      <c r="BG39" s="179" t="n">
        <v>0.75</v>
      </c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67"/>
      <c r="CG39" s="167"/>
      <c r="CH39" s="167"/>
      <c r="CI39" s="167"/>
      <c r="CK39" s="200"/>
      <c r="CL39" s="200"/>
      <c r="CM39" s="180"/>
      <c r="CN39" s="0"/>
      <c r="CO39" s="0"/>
      <c r="CP39" s="0"/>
      <c r="CQ39" s="0"/>
      <c r="CR39" s="0"/>
      <c r="CW39" s="181" t="n">
        <f aca="false">K39</f>
        <v>37956</v>
      </c>
      <c r="CX39" s="182" t="n">
        <f aca="false">AF39</f>
        <v>0.28</v>
      </c>
      <c r="CY39" s="182" t="n">
        <f aca="false">AG39</f>
        <v>0.35</v>
      </c>
      <c r="CZ39" s="182" t="n">
        <f aca="false">AH39</f>
        <v>0.42</v>
      </c>
      <c r="DB39" s="182" t="n">
        <f aca="false">X39</f>
        <v>0.2</v>
      </c>
      <c r="DC39" s="182" t="n">
        <f aca="false">Y39</f>
        <v>0.25</v>
      </c>
      <c r="DD39" s="182" t="n">
        <f aca="false">Z39</f>
        <v>0.3</v>
      </c>
      <c r="DF39" s="181" t="n">
        <f aca="false">BF39</f>
        <v>37956</v>
      </c>
      <c r="DG39" s="133" t="n">
        <f aca="false">BG39</f>
        <v>0.75</v>
      </c>
      <c r="DJ39" s="181" t="n">
        <f aca="false">CW39</f>
        <v>37956</v>
      </c>
      <c r="DK39" s="182" t="n">
        <f aca="false">AJ39</f>
        <v>0.168</v>
      </c>
      <c r="DL39" s="182" t="n">
        <f aca="false">AK39</f>
        <v>0.21</v>
      </c>
      <c r="DM39" s="182" t="n">
        <f aca="false">AL39</f>
        <v>0.252</v>
      </c>
      <c r="DO39" s="182" t="n">
        <f aca="false">AB39</f>
        <v>0.1</v>
      </c>
      <c r="DP39" s="182" t="n">
        <f aca="false">AC39</f>
        <v>0.125</v>
      </c>
      <c r="DQ39" s="182" t="n">
        <f aca="false">AD39</f>
        <v>0.15</v>
      </c>
      <c r="DW39" s="0" t="n">
        <v>30</v>
      </c>
      <c r="DX39" s="187" t="s">
        <v>229</v>
      </c>
      <c r="DY39" s="188" t="s">
        <v>230</v>
      </c>
      <c r="DZ39" s="189" t="s">
        <v>231</v>
      </c>
      <c r="EA39" s="190"/>
      <c r="EC39" s="197"/>
      <c r="ED39" s="198"/>
      <c r="EE39" s="120"/>
      <c r="EF39" s="139"/>
    </row>
    <row r="40" customFormat="false" ht="12.75" hidden="false" customHeight="false" outlineLevel="0" collapsed="false">
      <c r="A40" s="133"/>
      <c r="B40" s="174" t="n">
        <v>37135</v>
      </c>
      <c r="C40" s="175" t="n">
        <v>26.8250007629395</v>
      </c>
      <c r="D40" s="175" t="n">
        <v>29.3250007629395</v>
      </c>
      <c r="E40" s="175" t="n">
        <v>31.8250007629395</v>
      </c>
      <c r="F40" s="159"/>
      <c r="G40" s="175" t="n">
        <v>12</v>
      </c>
      <c r="H40" s="175" t="n">
        <v>12</v>
      </c>
      <c r="I40" s="175" t="n">
        <v>12</v>
      </c>
      <c r="J40" s="140"/>
      <c r="K40" s="141" t="n">
        <v>37987</v>
      </c>
      <c r="L40" s="176" t="n">
        <v>35.5</v>
      </c>
      <c r="M40" s="176" t="n">
        <v>35.5</v>
      </c>
      <c r="N40" s="176" t="n">
        <v>35.5</v>
      </c>
      <c r="O40" s="139"/>
      <c r="P40" s="176" t="n">
        <v>25</v>
      </c>
      <c r="Q40" s="176" t="n">
        <v>25</v>
      </c>
      <c r="R40" s="176" t="n">
        <v>25</v>
      </c>
      <c r="S40" s="139"/>
      <c r="T40" s="176" t="n">
        <v>0</v>
      </c>
      <c r="U40" s="176" t="n">
        <v>0</v>
      </c>
      <c r="V40" s="176" t="n">
        <v>0</v>
      </c>
      <c r="W40" s="139"/>
      <c r="X40" s="176" t="n">
        <v>0.2</v>
      </c>
      <c r="Y40" s="176" t="n">
        <v>0.25</v>
      </c>
      <c r="Z40" s="176" t="n">
        <v>0.3</v>
      </c>
      <c r="AA40" s="139"/>
      <c r="AB40" s="176" t="n">
        <v>0.1</v>
      </c>
      <c r="AC40" s="176" t="n">
        <v>0.125</v>
      </c>
      <c r="AD40" s="176" t="n">
        <v>0.15</v>
      </c>
      <c r="AE40" s="139"/>
      <c r="AF40" s="176" t="n">
        <v>0.28</v>
      </c>
      <c r="AG40" s="176" t="n">
        <v>0.35</v>
      </c>
      <c r="AH40" s="176" t="n">
        <v>0.42</v>
      </c>
      <c r="AI40" s="139"/>
      <c r="AJ40" s="176" t="n">
        <v>0.168</v>
      </c>
      <c r="AK40" s="176" t="n">
        <v>0.21</v>
      </c>
      <c r="AL40" s="176" t="n">
        <v>0.252</v>
      </c>
      <c r="AM40" s="139"/>
      <c r="AN40" s="140" t="n">
        <v>11</v>
      </c>
      <c r="AO40" s="177" t="n">
        <v>0.25</v>
      </c>
      <c r="AP40" s="139"/>
      <c r="AQ40" s="202" t="n">
        <v>-80</v>
      </c>
      <c r="AR40" s="201" t="n">
        <v>-0.3</v>
      </c>
      <c r="AS40" s="139"/>
      <c r="AT40" s="177" t="n">
        <v>3</v>
      </c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41" t="n">
        <v>37987</v>
      </c>
      <c r="BG40" s="179" t="n">
        <v>0.75</v>
      </c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67"/>
      <c r="CG40" s="118"/>
      <c r="CH40" s="118"/>
      <c r="CI40" s="118"/>
      <c r="CK40" s="200"/>
      <c r="CL40" s="200"/>
      <c r="CM40" s="180"/>
      <c r="CN40" s="0"/>
      <c r="CO40" s="0"/>
      <c r="CP40" s="0"/>
      <c r="CQ40" s="0"/>
      <c r="CR40" s="0"/>
      <c r="CW40" s="181" t="n">
        <f aca="false">K40</f>
        <v>37987</v>
      </c>
      <c r="CX40" s="182" t="n">
        <f aca="false">AF40</f>
        <v>0.28</v>
      </c>
      <c r="CY40" s="182" t="n">
        <f aca="false">AG40</f>
        <v>0.35</v>
      </c>
      <c r="CZ40" s="182" t="n">
        <f aca="false">AH40</f>
        <v>0.42</v>
      </c>
      <c r="DB40" s="182" t="n">
        <f aca="false">X40</f>
        <v>0.2</v>
      </c>
      <c r="DC40" s="182" t="n">
        <f aca="false">Y40</f>
        <v>0.25</v>
      </c>
      <c r="DD40" s="182" t="n">
        <f aca="false">Z40</f>
        <v>0.3</v>
      </c>
      <c r="DF40" s="181" t="n">
        <f aca="false">BF40</f>
        <v>37987</v>
      </c>
      <c r="DG40" s="133" t="n">
        <f aca="false">BG40</f>
        <v>0.75</v>
      </c>
      <c r="DJ40" s="181" t="n">
        <f aca="false">CW40</f>
        <v>37987</v>
      </c>
      <c r="DK40" s="182" t="n">
        <f aca="false">AJ40</f>
        <v>0.168</v>
      </c>
      <c r="DL40" s="182" t="n">
        <f aca="false">AK40</f>
        <v>0.21</v>
      </c>
      <c r="DM40" s="182" t="n">
        <f aca="false">AL40</f>
        <v>0.252</v>
      </c>
      <c r="DO40" s="182" t="n">
        <f aca="false">AB40</f>
        <v>0.1</v>
      </c>
      <c r="DP40" s="182" t="n">
        <f aca="false">AC40</f>
        <v>0.125</v>
      </c>
      <c r="DQ40" s="182" t="n">
        <f aca="false">AD40</f>
        <v>0.15</v>
      </c>
      <c r="DW40" s="0" t="n">
        <v>31</v>
      </c>
      <c r="DX40" s="187" t="s">
        <v>232</v>
      </c>
      <c r="DY40" s="188" t="s">
        <v>233</v>
      </c>
      <c r="DZ40" s="189" t="s">
        <v>234</v>
      </c>
      <c r="EA40" s="190"/>
    </row>
    <row r="41" customFormat="false" ht="12.75" hidden="false" customHeight="false" outlineLevel="0" collapsed="false">
      <c r="A41" s="133"/>
      <c r="B41" s="174" t="n">
        <v>37164</v>
      </c>
      <c r="C41" s="175" t="n">
        <v>25.7450007629395</v>
      </c>
      <c r="D41" s="175" t="n">
        <v>28.2450007629395</v>
      </c>
      <c r="E41" s="175" t="n">
        <v>30.7450007629395</v>
      </c>
      <c r="F41" s="159"/>
      <c r="G41" s="175" t="n">
        <v>12</v>
      </c>
      <c r="H41" s="175" t="n">
        <v>12</v>
      </c>
      <c r="I41" s="175" t="n">
        <v>12</v>
      </c>
      <c r="J41" s="140"/>
      <c r="K41" s="141" t="n">
        <v>38018</v>
      </c>
      <c r="L41" s="176" t="n">
        <v>31.2460021972656</v>
      </c>
      <c r="M41" s="176" t="n">
        <v>31.2460021972656</v>
      </c>
      <c r="N41" s="176" t="n">
        <v>31.2460021972656</v>
      </c>
      <c r="O41" s="139"/>
      <c r="P41" s="176" t="n">
        <v>22.7465019226074</v>
      </c>
      <c r="Q41" s="176" t="n">
        <v>22.7465019226074</v>
      </c>
      <c r="R41" s="176" t="n">
        <v>22.7465019226074</v>
      </c>
      <c r="S41" s="139"/>
      <c r="T41" s="176" t="n">
        <v>0</v>
      </c>
      <c r="U41" s="176" t="n">
        <v>0</v>
      </c>
      <c r="V41" s="176" t="n">
        <v>0</v>
      </c>
      <c r="W41" s="139"/>
      <c r="X41" s="176" t="n">
        <v>0.16</v>
      </c>
      <c r="Y41" s="176" t="n">
        <v>0.2</v>
      </c>
      <c r="Z41" s="176" t="n">
        <v>0.24</v>
      </c>
      <c r="AA41" s="139"/>
      <c r="AB41" s="176" t="n">
        <v>0.08</v>
      </c>
      <c r="AC41" s="176" t="n">
        <v>0.1</v>
      </c>
      <c r="AD41" s="176" t="n">
        <v>0.12</v>
      </c>
      <c r="AE41" s="139"/>
      <c r="AF41" s="176" t="n">
        <v>0.28</v>
      </c>
      <c r="AG41" s="176" t="n">
        <v>0.35</v>
      </c>
      <c r="AH41" s="176" t="n">
        <v>0.42</v>
      </c>
      <c r="AI41" s="139"/>
      <c r="AJ41" s="176" t="n">
        <v>0.168</v>
      </c>
      <c r="AK41" s="176" t="n">
        <v>0.21</v>
      </c>
      <c r="AL41" s="176" t="n">
        <v>0.252</v>
      </c>
      <c r="AM41" s="139"/>
      <c r="AN41" s="140" t="n">
        <v>11</v>
      </c>
      <c r="AO41" s="177" t="n">
        <v>0.25</v>
      </c>
      <c r="AP41" s="139"/>
      <c r="AQ41" s="177" t="n">
        <v>-70</v>
      </c>
      <c r="AR41" s="201" t="n">
        <v>-0.25</v>
      </c>
      <c r="AS41" s="139"/>
      <c r="AT41" s="177" t="n">
        <v>4</v>
      </c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41" t="n">
        <v>38018</v>
      </c>
      <c r="BG41" s="179" t="n">
        <v>0.75</v>
      </c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67"/>
      <c r="CG41" s="145"/>
      <c r="CH41" s="146"/>
      <c r="CI41" s="146"/>
      <c r="CK41" s="200"/>
      <c r="CL41" s="200"/>
      <c r="CM41" s="180"/>
      <c r="CN41" s="0"/>
      <c r="CO41" s="0"/>
      <c r="CP41" s="0"/>
      <c r="CQ41" s="0"/>
      <c r="CR41" s="0"/>
      <c r="CW41" s="181" t="n">
        <f aca="false">K41</f>
        <v>38018</v>
      </c>
      <c r="CX41" s="182" t="n">
        <f aca="false">AF41</f>
        <v>0.28</v>
      </c>
      <c r="CY41" s="182" t="n">
        <f aca="false">AG41</f>
        <v>0.35</v>
      </c>
      <c r="CZ41" s="182" t="n">
        <f aca="false">AH41</f>
        <v>0.42</v>
      </c>
      <c r="DB41" s="182" t="n">
        <f aca="false">X41</f>
        <v>0.16</v>
      </c>
      <c r="DC41" s="182" t="n">
        <f aca="false">Y41</f>
        <v>0.2</v>
      </c>
      <c r="DD41" s="182" t="n">
        <f aca="false">Z41</f>
        <v>0.24</v>
      </c>
      <c r="DF41" s="181" t="n">
        <f aca="false">BF41</f>
        <v>38018</v>
      </c>
      <c r="DG41" s="133" t="n">
        <f aca="false">BG41</f>
        <v>0.75</v>
      </c>
      <c r="DJ41" s="181" t="n">
        <f aca="false">CW41</f>
        <v>38018</v>
      </c>
      <c r="DK41" s="182" t="n">
        <f aca="false">AJ41</f>
        <v>0.168</v>
      </c>
      <c r="DL41" s="182" t="n">
        <f aca="false">AK41</f>
        <v>0.21</v>
      </c>
      <c r="DM41" s="182" t="n">
        <f aca="false">AL41</f>
        <v>0.252</v>
      </c>
      <c r="DO41" s="182" t="n">
        <f aca="false">AB41</f>
        <v>0.08</v>
      </c>
      <c r="DP41" s="182" t="n">
        <f aca="false">AC41</f>
        <v>0.1</v>
      </c>
      <c r="DQ41" s="182" t="n">
        <f aca="false">AD41</f>
        <v>0.12</v>
      </c>
      <c r="DW41" s="0" t="n">
        <v>32</v>
      </c>
      <c r="DX41" s="187" t="s">
        <v>235</v>
      </c>
      <c r="DY41" s="188" t="s">
        <v>236</v>
      </c>
      <c r="DZ41" s="189" t="s">
        <v>237</v>
      </c>
      <c r="EA41" s="190"/>
      <c r="EB41" s="190"/>
      <c r="EC41" s="190"/>
      <c r="ED41" s="190"/>
      <c r="EE41" s="190"/>
      <c r="EF41" s="190"/>
    </row>
    <row r="42" customFormat="false" ht="12.75" hidden="false" customHeight="false" outlineLevel="0" collapsed="false">
      <c r="A42" s="133"/>
      <c r="B42" s="174" t="n">
        <v>37165</v>
      </c>
      <c r="C42" s="175" t="n">
        <v>26.7450007629395</v>
      </c>
      <c r="D42" s="175" t="n">
        <v>27.4950007629395</v>
      </c>
      <c r="E42" s="175" t="n">
        <v>28.2450007629395</v>
      </c>
      <c r="F42" s="159"/>
      <c r="G42" s="175" t="n">
        <v>15.2500038146973</v>
      </c>
      <c r="H42" s="175" t="n">
        <v>15.2500038146973</v>
      </c>
      <c r="I42" s="175" t="n">
        <v>15.2500038146973</v>
      </c>
      <c r="J42" s="140"/>
      <c r="K42" s="141" t="n">
        <v>38047</v>
      </c>
      <c r="L42" s="176" t="n">
        <v>25.5</v>
      </c>
      <c r="M42" s="176" t="n">
        <v>25.5</v>
      </c>
      <c r="N42" s="176" t="n">
        <v>25.5</v>
      </c>
      <c r="O42" s="139"/>
      <c r="P42" s="176" t="n">
        <v>20</v>
      </c>
      <c r="Q42" s="176" t="n">
        <v>20</v>
      </c>
      <c r="R42" s="176" t="n">
        <v>20</v>
      </c>
      <c r="S42" s="139"/>
      <c r="T42" s="176" t="n">
        <v>0</v>
      </c>
      <c r="U42" s="176" t="n">
        <v>0</v>
      </c>
      <c r="V42" s="176" t="n">
        <v>0</v>
      </c>
      <c r="W42" s="139"/>
      <c r="X42" s="176" t="n">
        <v>0.16</v>
      </c>
      <c r="Y42" s="176" t="n">
        <v>0.2</v>
      </c>
      <c r="Z42" s="176" t="n">
        <v>0.24</v>
      </c>
      <c r="AA42" s="139"/>
      <c r="AB42" s="176" t="n">
        <v>0.08</v>
      </c>
      <c r="AC42" s="176" t="n">
        <v>0.1</v>
      </c>
      <c r="AD42" s="176" t="n">
        <v>0.12</v>
      </c>
      <c r="AE42" s="139"/>
      <c r="AF42" s="176" t="n">
        <v>0.28</v>
      </c>
      <c r="AG42" s="176" t="n">
        <v>0.35</v>
      </c>
      <c r="AH42" s="176" t="n">
        <v>0.42</v>
      </c>
      <c r="AI42" s="139"/>
      <c r="AJ42" s="176" t="n">
        <v>0.168</v>
      </c>
      <c r="AK42" s="176" t="n">
        <v>0.21</v>
      </c>
      <c r="AL42" s="176" t="n">
        <v>0.252</v>
      </c>
      <c r="AM42" s="139"/>
      <c r="AN42" s="140" t="n">
        <v>11</v>
      </c>
      <c r="AO42" s="177" t="n">
        <v>0.25</v>
      </c>
      <c r="AP42" s="139"/>
      <c r="AQ42" s="177" t="n">
        <v>-60</v>
      </c>
      <c r="AR42" s="201" t="n">
        <v>-0.25</v>
      </c>
      <c r="AS42" s="139"/>
      <c r="AT42" s="177" t="n">
        <v>10</v>
      </c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41" t="n">
        <v>38047</v>
      </c>
      <c r="BG42" s="179" t="n">
        <v>0.75</v>
      </c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67"/>
      <c r="CG42" s="151"/>
      <c r="CH42" s="151"/>
      <c r="CI42" s="151"/>
      <c r="CK42" s="200"/>
      <c r="CL42" s="200"/>
      <c r="CM42" s="180"/>
      <c r="CN42" s="0"/>
      <c r="CO42" s="0"/>
      <c r="CP42" s="0"/>
      <c r="CQ42" s="0"/>
      <c r="CR42" s="0"/>
      <c r="CW42" s="181" t="n">
        <f aca="false">K42</f>
        <v>38047</v>
      </c>
      <c r="CX42" s="182" t="n">
        <f aca="false">AF42</f>
        <v>0.28</v>
      </c>
      <c r="CY42" s="182" t="n">
        <f aca="false">AG42</f>
        <v>0.35</v>
      </c>
      <c r="CZ42" s="182" t="n">
        <f aca="false">AH42</f>
        <v>0.42</v>
      </c>
      <c r="DB42" s="182" t="n">
        <f aca="false">X42</f>
        <v>0.16</v>
      </c>
      <c r="DC42" s="182" t="n">
        <f aca="false">Y42</f>
        <v>0.2</v>
      </c>
      <c r="DD42" s="182" t="n">
        <f aca="false">Z42</f>
        <v>0.24</v>
      </c>
      <c r="DF42" s="181" t="n">
        <f aca="false">BF42</f>
        <v>38047</v>
      </c>
      <c r="DG42" s="133" t="n">
        <f aca="false">BG42</f>
        <v>0.75</v>
      </c>
      <c r="DJ42" s="181" t="n">
        <f aca="false">CW42</f>
        <v>38047</v>
      </c>
      <c r="DK42" s="182" t="n">
        <f aca="false">AJ42</f>
        <v>0.168</v>
      </c>
      <c r="DL42" s="182" t="n">
        <f aca="false">AK42</f>
        <v>0.21</v>
      </c>
      <c r="DM42" s="182" t="n">
        <f aca="false">AL42</f>
        <v>0.252</v>
      </c>
      <c r="DO42" s="182" t="n">
        <f aca="false">AB42</f>
        <v>0.08</v>
      </c>
      <c r="DP42" s="182" t="n">
        <f aca="false">AC42</f>
        <v>0.1</v>
      </c>
      <c r="DQ42" s="182" t="n">
        <f aca="false">AD42</f>
        <v>0.12</v>
      </c>
      <c r="DW42" s="0" t="n">
        <v>33</v>
      </c>
      <c r="DX42" s="187" t="s">
        <v>238</v>
      </c>
      <c r="DY42" s="188" t="s">
        <v>239</v>
      </c>
      <c r="DZ42" s="189" t="s">
        <v>240</v>
      </c>
      <c r="EA42" s="190"/>
      <c r="EB42" s="190"/>
      <c r="EC42" s="190"/>
      <c r="ED42" s="190"/>
      <c r="EE42" s="190"/>
      <c r="EF42" s="190"/>
    </row>
    <row r="43" customFormat="false" ht="12.75" hidden="false" customHeight="false" outlineLevel="0" collapsed="false">
      <c r="A43" s="133"/>
      <c r="B43" s="174" t="n">
        <v>37196</v>
      </c>
      <c r="C43" s="175" t="n">
        <v>26.5</v>
      </c>
      <c r="D43" s="175" t="n">
        <v>27.25</v>
      </c>
      <c r="E43" s="175" t="n">
        <v>28</v>
      </c>
      <c r="F43" s="159"/>
      <c r="G43" s="175" t="n">
        <v>15.5000009536743</v>
      </c>
      <c r="H43" s="175" t="n">
        <v>15.5000009536743</v>
      </c>
      <c r="I43" s="175" t="n">
        <v>15.5000009536743</v>
      </c>
      <c r="J43" s="140"/>
      <c r="K43" s="141" t="n">
        <v>38078</v>
      </c>
      <c r="L43" s="176" t="n">
        <v>22</v>
      </c>
      <c r="M43" s="176" t="n">
        <v>22</v>
      </c>
      <c r="N43" s="176" t="n">
        <v>22</v>
      </c>
      <c r="O43" s="139"/>
      <c r="P43" s="176" t="n">
        <v>16.4950008392334</v>
      </c>
      <c r="Q43" s="176" t="n">
        <v>16.4950008392334</v>
      </c>
      <c r="R43" s="176" t="n">
        <v>16.4950008392334</v>
      </c>
      <c r="S43" s="139"/>
      <c r="T43" s="176" t="n">
        <v>0</v>
      </c>
      <c r="U43" s="176" t="n">
        <v>0</v>
      </c>
      <c r="V43" s="176" t="n">
        <v>0</v>
      </c>
      <c r="W43" s="139"/>
      <c r="X43" s="176" t="n">
        <v>0.16</v>
      </c>
      <c r="Y43" s="176" t="n">
        <v>0.2</v>
      </c>
      <c r="Z43" s="176" t="n">
        <v>0.24</v>
      </c>
      <c r="AA43" s="139"/>
      <c r="AB43" s="176" t="n">
        <v>0.08</v>
      </c>
      <c r="AC43" s="176" t="n">
        <v>0.1</v>
      </c>
      <c r="AD43" s="176" t="n">
        <v>0.12</v>
      </c>
      <c r="AE43" s="139"/>
      <c r="AF43" s="176" t="n">
        <v>0.28</v>
      </c>
      <c r="AG43" s="176" t="n">
        <v>0.35</v>
      </c>
      <c r="AH43" s="176" t="n">
        <v>0.42</v>
      </c>
      <c r="AI43" s="139"/>
      <c r="AJ43" s="176" t="n">
        <v>0.168</v>
      </c>
      <c r="AK43" s="176" t="n">
        <v>0.21</v>
      </c>
      <c r="AL43" s="176" t="n">
        <v>0.252</v>
      </c>
      <c r="AM43" s="139"/>
      <c r="AN43" s="140" t="n">
        <v>12</v>
      </c>
      <c r="AO43" s="177" t="n">
        <v>0.25</v>
      </c>
      <c r="AP43" s="139"/>
      <c r="AQ43" s="177" t="n">
        <v>-50</v>
      </c>
      <c r="AR43" s="179" t="n">
        <v>-0.25</v>
      </c>
      <c r="AS43" s="139"/>
      <c r="AT43" s="177" t="n">
        <v>0</v>
      </c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41" t="n">
        <v>38078</v>
      </c>
      <c r="BG43" s="179" t="n">
        <v>0.75</v>
      </c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67"/>
      <c r="CG43" s="151"/>
      <c r="CH43" s="151"/>
      <c r="CI43" s="151"/>
      <c r="CK43" s="200"/>
      <c r="CL43" s="200"/>
      <c r="CM43" s="180"/>
      <c r="CN43" s="0"/>
      <c r="CO43" s="0"/>
      <c r="CP43" s="0"/>
      <c r="CQ43" s="0"/>
      <c r="CR43" s="0"/>
      <c r="CW43" s="181" t="n">
        <f aca="false">K43</f>
        <v>38078</v>
      </c>
      <c r="CX43" s="182" t="n">
        <f aca="false">AF43</f>
        <v>0.28</v>
      </c>
      <c r="CY43" s="182" t="n">
        <f aca="false">AG43</f>
        <v>0.35</v>
      </c>
      <c r="CZ43" s="182" t="n">
        <f aca="false">AH43</f>
        <v>0.42</v>
      </c>
      <c r="DB43" s="182" t="n">
        <f aca="false">X43</f>
        <v>0.16</v>
      </c>
      <c r="DC43" s="182" t="n">
        <f aca="false">Y43</f>
        <v>0.2</v>
      </c>
      <c r="DD43" s="182" t="n">
        <f aca="false">Z43</f>
        <v>0.24</v>
      </c>
      <c r="DF43" s="181" t="n">
        <f aca="false">BF43</f>
        <v>38078</v>
      </c>
      <c r="DG43" s="133" t="n">
        <f aca="false">BG43</f>
        <v>0.75</v>
      </c>
      <c r="DJ43" s="181" t="n">
        <f aca="false">CW43</f>
        <v>38078</v>
      </c>
      <c r="DK43" s="182" t="n">
        <f aca="false">AJ43</f>
        <v>0.168</v>
      </c>
      <c r="DL43" s="182" t="n">
        <f aca="false">AK43</f>
        <v>0.21</v>
      </c>
      <c r="DM43" s="182" t="n">
        <f aca="false">AL43</f>
        <v>0.252</v>
      </c>
      <c r="DO43" s="182" t="n">
        <f aca="false">AB43</f>
        <v>0.08</v>
      </c>
      <c r="DP43" s="182" t="n">
        <f aca="false">AC43</f>
        <v>0.1</v>
      </c>
      <c r="DQ43" s="182" t="n">
        <f aca="false">AD43</f>
        <v>0.12</v>
      </c>
      <c r="DW43" s="0" t="n">
        <v>34</v>
      </c>
      <c r="DX43" s="187" t="s">
        <v>241</v>
      </c>
      <c r="DY43" s="188" t="s">
        <v>242</v>
      </c>
      <c r="DZ43" s="189" t="s">
        <v>243</v>
      </c>
      <c r="EA43" s="190"/>
      <c r="EB43" s="190"/>
      <c r="EC43" s="190"/>
      <c r="ED43" s="190"/>
      <c r="EE43" s="190"/>
      <c r="EF43" s="190"/>
    </row>
    <row r="44" customFormat="false" ht="12.75" hidden="false" customHeight="false" outlineLevel="0" collapsed="false">
      <c r="A44" s="133"/>
      <c r="B44" s="174" t="n">
        <v>37226</v>
      </c>
      <c r="C44" s="175" t="n">
        <v>28.5</v>
      </c>
      <c r="D44" s="175" t="n">
        <v>29.25</v>
      </c>
      <c r="E44" s="175" t="n">
        <v>30</v>
      </c>
      <c r="F44" s="159"/>
      <c r="G44" s="175" t="n">
        <v>16.5</v>
      </c>
      <c r="H44" s="175" t="n">
        <v>16.5</v>
      </c>
      <c r="I44" s="175" t="n">
        <v>16.5</v>
      </c>
      <c r="J44" s="140"/>
      <c r="K44" s="141" t="n">
        <v>38108</v>
      </c>
      <c r="L44" s="176" t="n">
        <v>22.2900009155273</v>
      </c>
      <c r="M44" s="176" t="n">
        <v>22.2900009155273</v>
      </c>
      <c r="N44" s="176" t="n">
        <v>22.2900009155273</v>
      </c>
      <c r="O44" s="139"/>
      <c r="P44" s="176" t="n">
        <v>15.7950000762939</v>
      </c>
      <c r="Q44" s="176" t="n">
        <v>15.7950000762939</v>
      </c>
      <c r="R44" s="176" t="n">
        <v>15.7950000762939</v>
      </c>
      <c r="S44" s="139"/>
      <c r="T44" s="176" t="n">
        <v>0</v>
      </c>
      <c r="U44" s="176" t="n">
        <v>0</v>
      </c>
      <c r="V44" s="176" t="n">
        <v>0</v>
      </c>
      <c r="W44" s="139"/>
      <c r="X44" s="176" t="n">
        <v>0.16</v>
      </c>
      <c r="Y44" s="176" t="n">
        <v>0.2</v>
      </c>
      <c r="Z44" s="176" t="n">
        <v>0.24</v>
      </c>
      <c r="AA44" s="139"/>
      <c r="AB44" s="176" t="n">
        <v>0.08</v>
      </c>
      <c r="AC44" s="176" t="n">
        <v>0.1</v>
      </c>
      <c r="AD44" s="176" t="n">
        <v>0.12</v>
      </c>
      <c r="AE44" s="139"/>
      <c r="AF44" s="176" t="n">
        <v>0.28</v>
      </c>
      <c r="AG44" s="176" t="n">
        <v>0.35</v>
      </c>
      <c r="AH44" s="176" t="n">
        <v>0.42</v>
      </c>
      <c r="AI44" s="139"/>
      <c r="AJ44" s="176" t="n">
        <v>0.168</v>
      </c>
      <c r="AK44" s="176" t="n">
        <v>0.21</v>
      </c>
      <c r="AL44" s="176" t="n">
        <v>0.252</v>
      </c>
      <c r="AM44" s="139"/>
      <c r="AN44" s="140" t="n">
        <v>12</v>
      </c>
      <c r="AO44" s="177" t="n">
        <v>0.25</v>
      </c>
      <c r="AP44" s="139"/>
      <c r="AQ44" s="177" t="n">
        <v>-40</v>
      </c>
      <c r="AR44" s="179" t="n">
        <v>-0.1</v>
      </c>
      <c r="AS44" s="139"/>
      <c r="AT44" s="177" t="n">
        <v>0</v>
      </c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41" t="n">
        <v>38108</v>
      </c>
      <c r="BG44" s="179" t="n">
        <v>0.75</v>
      </c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67"/>
      <c r="CG44" s="167"/>
      <c r="CH44" s="167"/>
      <c r="CI44" s="167"/>
      <c r="CK44" s="200"/>
      <c r="CL44" s="200"/>
      <c r="CM44" s="180"/>
      <c r="CN44" s="0"/>
      <c r="CO44" s="0"/>
      <c r="CP44" s="0"/>
      <c r="CQ44" s="0"/>
      <c r="CR44" s="0"/>
      <c r="CW44" s="181" t="n">
        <f aca="false">K44</f>
        <v>38108</v>
      </c>
      <c r="CX44" s="182" t="n">
        <f aca="false">AF44</f>
        <v>0.28</v>
      </c>
      <c r="CY44" s="182" t="n">
        <f aca="false">AG44</f>
        <v>0.35</v>
      </c>
      <c r="CZ44" s="182" t="n">
        <f aca="false">AH44</f>
        <v>0.42</v>
      </c>
      <c r="DB44" s="182" t="n">
        <f aca="false">X44</f>
        <v>0.16</v>
      </c>
      <c r="DC44" s="182" t="n">
        <f aca="false">Y44</f>
        <v>0.2</v>
      </c>
      <c r="DD44" s="182" t="n">
        <f aca="false">Z44</f>
        <v>0.24</v>
      </c>
      <c r="DF44" s="181" t="n">
        <f aca="false">BF44</f>
        <v>38108</v>
      </c>
      <c r="DG44" s="133" t="n">
        <f aca="false">BG44</f>
        <v>0.75</v>
      </c>
      <c r="DJ44" s="181" t="n">
        <f aca="false">CW44</f>
        <v>38108</v>
      </c>
      <c r="DK44" s="182" t="n">
        <f aca="false">AJ44</f>
        <v>0.168</v>
      </c>
      <c r="DL44" s="182" t="n">
        <f aca="false">AK44</f>
        <v>0.21</v>
      </c>
      <c r="DM44" s="182" t="n">
        <f aca="false">AL44</f>
        <v>0.252</v>
      </c>
      <c r="DO44" s="182" t="n">
        <f aca="false">AB44</f>
        <v>0.08</v>
      </c>
      <c r="DP44" s="182" t="n">
        <f aca="false">AC44</f>
        <v>0.1</v>
      </c>
      <c r="DQ44" s="182" t="n">
        <f aca="false">AD44</f>
        <v>0.12</v>
      </c>
      <c r="DW44" s="0" t="n">
        <v>35</v>
      </c>
      <c r="DX44" s="187" t="s">
        <v>244</v>
      </c>
      <c r="DY44" s="188" t="s">
        <v>245</v>
      </c>
      <c r="DZ44" s="189" t="s">
        <v>246</v>
      </c>
      <c r="EA44" s="190"/>
      <c r="EB44" s="190"/>
      <c r="EC44" s="190"/>
      <c r="ED44" s="190"/>
      <c r="EE44" s="190"/>
      <c r="EF44" s="190"/>
    </row>
    <row r="45" customFormat="false" ht="12.75" hidden="false" customHeight="false" outlineLevel="0" collapsed="false">
      <c r="A45" s="133"/>
      <c r="B45" s="174" t="n">
        <v>37257</v>
      </c>
      <c r="C45" s="175" t="n">
        <v>31.6166679382324</v>
      </c>
      <c r="D45" s="175" t="n">
        <v>31.9166679382324</v>
      </c>
      <c r="E45" s="175" t="n">
        <v>32.2166679382324</v>
      </c>
      <c r="F45" s="159"/>
      <c r="G45" s="175" t="n">
        <v>18.25</v>
      </c>
      <c r="H45" s="175" t="n">
        <v>18.25</v>
      </c>
      <c r="I45" s="175" t="n">
        <v>18.25</v>
      </c>
      <c r="J45" s="140"/>
      <c r="K45" s="141" t="n">
        <v>38139</v>
      </c>
      <c r="L45" s="176" t="n">
        <v>29.2900009155273</v>
      </c>
      <c r="M45" s="176" t="n">
        <v>29.2900009155273</v>
      </c>
      <c r="N45" s="176" t="n">
        <v>29.2900009155273</v>
      </c>
      <c r="O45" s="139"/>
      <c r="P45" s="176" t="n">
        <v>19.7900009155273</v>
      </c>
      <c r="Q45" s="176" t="n">
        <v>19.7900009155273</v>
      </c>
      <c r="R45" s="176" t="n">
        <v>19.7900009155273</v>
      </c>
      <c r="S45" s="139"/>
      <c r="T45" s="176" t="n">
        <v>0</v>
      </c>
      <c r="U45" s="176" t="n">
        <v>0</v>
      </c>
      <c r="V45" s="176" t="n">
        <v>0</v>
      </c>
      <c r="W45" s="139"/>
      <c r="X45" s="176" t="n">
        <v>0.16</v>
      </c>
      <c r="Y45" s="176" t="n">
        <v>0.2</v>
      </c>
      <c r="Z45" s="176" t="n">
        <v>0.24</v>
      </c>
      <c r="AA45" s="139"/>
      <c r="AB45" s="176" t="n">
        <v>0.08</v>
      </c>
      <c r="AC45" s="176" t="n">
        <v>0.1</v>
      </c>
      <c r="AD45" s="176" t="n">
        <v>0.12</v>
      </c>
      <c r="AE45" s="139"/>
      <c r="AF45" s="176" t="n">
        <v>0.36</v>
      </c>
      <c r="AG45" s="176" t="n">
        <v>0.45</v>
      </c>
      <c r="AH45" s="176" t="n">
        <v>0.54</v>
      </c>
      <c r="AI45" s="139"/>
      <c r="AJ45" s="176" t="n">
        <v>0.216</v>
      </c>
      <c r="AK45" s="176" t="n">
        <v>0.27</v>
      </c>
      <c r="AL45" s="176" t="n">
        <v>0.324</v>
      </c>
      <c r="AM45" s="139"/>
      <c r="AN45" s="140" t="n">
        <v>12</v>
      </c>
      <c r="AO45" s="177" t="n">
        <v>0.25</v>
      </c>
      <c r="AP45" s="139"/>
      <c r="AQ45" s="177" t="n">
        <v>-30</v>
      </c>
      <c r="AR45" s="179" t="n">
        <v>-0.05</v>
      </c>
      <c r="AS45" s="139"/>
      <c r="AT45" s="177" t="n">
        <v>0</v>
      </c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41" t="n">
        <v>38139</v>
      </c>
      <c r="BG45" s="179" t="n">
        <v>0.75</v>
      </c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67"/>
      <c r="CG45" s="167"/>
      <c r="CH45" s="167"/>
      <c r="CI45" s="167"/>
      <c r="CK45" s="200"/>
      <c r="CL45" s="200"/>
      <c r="CM45" s="180"/>
      <c r="CN45" s="0"/>
      <c r="CO45" s="0"/>
      <c r="CP45" s="0"/>
      <c r="CQ45" s="0"/>
      <c r="CR45" s="0"/>
      <c r="CW45" s="181" t="n">
        <f aca="false">K45</f>
        <v>38139</v>
      </c>
      <c r="CX45" s="182" t="n">
        <f aca="false">AF45</f>
        <v>0.36</v>
      </c>
      <c r="CY45" s="182" t="n">
        <f aca="false">AG45</f>
        <v>0.45</v>
      </c>
      <c r="CZ45" s="182" t="n">
        <f aca="false">AH45</f>
        <v>0.54</v>
      </c>
      <c r="DB45" s="182" t="n">
        <f aca="false">X45</f>
        <v>0.16</v>
      </c>
      <c r="DC45" s="182" t="n">
        <f aca="false">Y45</f>
        <v>0.2</v>
      </c>
      <c r="DD45" s="182" t="n">
        <f aca="false">Z45</f>
        <v>0.24</v>
      </c>
      <c r="DF45" s="181" t="n">
        <f aca="false">BF45</f>
        <v>38139</v>
      </c>
      <c r="DG45" s="133" t="n">
        <f aca="false">BG45</f>
        <v>0.75</v>
      </c>
      <c r="DJ45" s="181" t="n">
        <f aca="false">CW45</f>
        <v>38139</v>
      </c>
      <c r="DK45" s="182" t="n">
        <f aca="false">AJ45</f>
        <v>0.216</v>
      </c>
      <c r="DL45" s="182" t="n">
        <f aca="false">AK45</f>
        <v>0.27</v>
      </c>
      <c r="DM45" s="182" t="n">
        <f aca="false">AL45</f>
        <v>0.324</v>
      </c>
      <c r="DO45" s="182" t="n">
        <f aca="false">AB45</f>
        <v>0.08</v>
      </c>
      <c r="DP45" s="182" t="n">
        <f aca="false">AC45</f>
        <v>0.1</v>
      </c>
      <c r="DQ45" s="182" t="n">
        <f aca="false">AD45</f>
        <v>0.12</v>
      </c>
      <c r="DW45" s="0" t="n">
        <v>36</v>
      </c>
      <c r="DX45" s="187" t="s">
        <v>247</v>
      </c>
      <c r="DY45" s="188" t="s">
        <v>248</v>
      </c>
      <c r="DZ45" s="189" t="s">
        <v>249</v>
      </c>
    </row>
    <row r="46" customFormat="false" ht="12.75" hidden="false" customHeight="false" outlineLevel="0" collapsed="false">
      <c r="A46" s="133"/>
      <c r="B46" s="174" t="n">
        <v>37288</v>
      </c>
      <c r="C46" s="175" t="n">
        <v>31.2666656494141</v>
      </c>
      <c r="D46" s="175" t="n">
        <v>31.5666656494141</v>
      </c>
      <c r="E46" s="175" t="n">
        <v>31.8666656494141</v>
      </c>
      <c r="F46" s="159"/>
      <c r="G46" s="175" t="n">
        <v>16.75</v>
      </c>
      <c r="H46" s="175" t="n">
        <v>16.75</v>
      </c>
      <c r="I46" s="175" t="n">
        <v>16.75</v>
      </c>
      <c r="J46" s="140"/>
      <c r="K46" s="141" t="n">
        <v>38169</v>
      </c>
      <c r="L46" s="176" t="n">
        <v>35.2900009155273</v>
      </c>
      <c r="M46" s="176" t="n">
        <v>35.2900009155273</v>
      </c>
      <c r="N46" s="176" t="n">
        <v>35.2900009155273</v>
      </c>
      <c r="O46" s="139"/>
      <c r="P46" s="176" t="n">
        <v>25.7900009155273</v>
      </c>
      <c r="Q46" s="176" t="n">
        <v>25.7900009155273</v>
      </c>
      <c r="R46" s="176" t="n">
        <v>25.7900009155273</v>
      </c>
      <c r="S46" s="139"/>
      <c r="T46" s="176" t="n">
        <v>0</v>
      </c>
      <c r="U46" s="176" t="n">
        <v>0</v>
      </c>
      <c r="V46" s="176" t="n">
        <v>0</v>
      </c>
      <c r="W46" s="139"/>
      <c r="X46" s="176" t="n">
        <v>0.16</v>
      </c>
      <c r="Y46" s="176" t="n">
        <v>0.2</v>
      </c>
      <c r="Z46" s="176" t="n">
        <v>0.24</v>
      </c>
      <c r="AA46" s="139"/>
      <c r="AB46" s="176" t="n">
        <v>0.08</v>
      </c>
      <c r="AC46" s="176" t="n">
        <v>0.1</v>
      </c>
      <c r="AD46" s="176" t="n">
        <v>0.12</v>
      </c>
      <c r="AE46" s="139"/>
      <c r="AF46" s="176" t="n">
        <v>0.36</v>
      </c>
      <c r="AG46" s="176" t="n">
        <v>0.45</v>
      </c>
      <c r="AH46" s="176" t="n">
        <v>0.54</v>
      </c>
      <c r="AI46" s="139"/>
      <c r="AJ46" s="176" t="n">
        <v>0.216</v>
      </c>
      <c r="AK46" s="176" t="n">
        <v>0.27</v>
      </c>
      <c r="AL46" s="176" t="n">
        <v>0.324</v>
      </c>
      <c r="AM46" s="139"/>
      <c r="AN46" s="140" t="n">
        <v>13</v>
      </c>
      <c r="AO46" s="177" t="n">
        <v>0.25</v>
      </c>
      <c r="AP46" s="139"/>
      <c r="AQ46" s="177" t="n">
        <v>-20</v>
      </c>
      <c r="AR46" s="179" t="n">
        <v>0</v>
      </c>
      <c r="AS46" s="139"/>
      <c r="AT46" s="177" t="n">
        <v>0</v>
      </c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41" t="n">
        <v>38169</v>
      </c>
      <c r="BG46" s="179" t="n">
        <v>0.75</v>
      </c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18"/>
      <c r="CG46" s="167"/>
      <c r="CH46" s="167"/>
      <c r="CI46" s="167"/>
      <c r="CK46" s="200"/>
      <c r="CL46" s="200"/>
      <c r="CM46" s="180"/>
      <c r="CN46" s="0"/>
      <c r="CO46" s="0"/>
      <c r="CP46" s="0"/>
      <c r="CQ46" s="0"/>
      <c r="CR46" s="0"/>
      <c r="CW46" s="181" t="n">
        <f aca="false">K46</f>
        <v>38169</v>
      </c>
      <c r="CX46" s="182" t="n">
        <f aca="false">AF46</f>
        <v>0.36</v>
      </c>
      <c r="CY46" s="182" t="n">
        <f aca="false">AG46</f>
        <v>0.45</v>
      </c>
      <c r="CZ46" s="182" t="n">
        <f aca="false">AH46</f>
        <v>0.54</v>
      </c>
      <c r="DB46" s="182" t="n">
        <f aca="false">X46</f>
        <v>0.16</v>
      </c>
      <c r="DC46" s="182" t="n">
        <f aca="false">Y46</f>
        <v>0.2</v>
      </c>
      <c r="DD46" s="182" t="n">
        <f aca="false">Z46</f>
        <v>0.24</v>
      </c>
      <c r="DF46" s="181" t="n">
        <f aca="false">BF46</f>
        <v>38169</v>
      </c>
      <c r="DG46" s="133" t="n">
        <f aca="false">BG46</f>
        <v>0.75</v>
      </c>
      <c r="DJ46" s="181" t="n">
        <f aca="false">CW46</f>
        <v>38169</v>
      </c>
      <c r="DK46" s="182" t="n">
        <f aca="false">AJ46</f>
        <v>0.216</v>
      </c>
      <c r="DL46" s="182" t="n">
        <f aca="false">AK46</f>
        <v>0.27</v>
      </c>
      <c r="DM46" s="182" t="n">
        <f aca="false">AL46</f>
        <v>0.324</v>
      </c>
      <c r="DO46" s="182" t="n">
        <f aca="false">AB46</f>
        <v>0.08</v>
      </c>
      <c r="DP46" s="182" t="n">
        <f aca="false">AC46</f>
        <v>0.1</v>
      </c>
      <c r="DQ46" s="182" t="n">
        <f aca="false">AD46</f>
        <v>0.12</v>
      </c>
      <c r="DW46" s="0" t="n">
        <v>37</v>
      </c>
      <c r="DX46" s="187" t="s">
        <v>250</v>
      </c>
      <c r="DY46" s="188" t="s">
        <v>251</v>
      </c>
      <c r="DZ46" s="189" t="s">
        <v>252</v>
      </c>
    </row>
    <row r="47" customFormat="false" ht="12.75" hidden="false" customHeight="false" outlineLevel="0" collapsed="false">
      <c r="A47" s="133"/>
      <c r="B47" s="174" t="n">
        <v>37316</v>
      </c>
      <c r="C47" s="175" t="n">
        <v>29.7697677612305</v>
      </c>
      <c r="D47" s="175" t="n">
        <v>30.2697677612305</v>
      </c>
      <c r="E47" s="175" t="n">
        <v>30.7697677612305</v>
      </c>
      <c r="F47" s="159"/>
      <c r="G47" s="175" t="n">
        <v>17.75</v>
      </c>
      <c r="H47" s="175" t="n">
        <v>17.75</v>
      </c>
      <c r="I47" s="175" t="n">
        <v>17.75</v>
      </c>
      <c r="J47" s="140"/>
      <c r="K47" s="141" t="n">
        <v>38200</v>
      </c>
      <c r="L47" s="176" t="n">
        <v>33.2900047302246</v>
      </c>
      <c r="M47" s="176" t="n">
        <v>33.2900047302246</v>
      </c>
      <c r="N47" s="176" t="n">
        <v>33.2900047302246</v>
      </c>
      <c r="O47" s="139"/>
      <c r="P47" s="176" t="n">
        <v>25.7900009155273</v>
      </c>
      <c r="Q47" s="176" t="n">
        <v>25.7900009155273</v>
      </c>
      <c r="R47" s="176" t="n">
        <v>25.7900009155273</v>
      </c>
      <c r="S47" s="139"/>
      <c r="T47" s="176" t="n">
        <v>0</v>
      </c>
      <c r="U47" s="176" t="n">
        <v>0</v>
      </c>
      <c r="V47" s="176" t="n">
        <v>0</v>
      </c>
      <c r="W47" s="139"/>
      <c r="X47" s="176" t="n">
        <v>0.24</v>
      </c>
      <c r="Y47" s="176" t="n">
        <v>0.3</v>
      </c>
      <c r="Z47" s="176" t="n">
        <v>0.36</v>
      </c>
      <c r="AA47" s="139"/>
      <c r="AB47" s="176" t="n">
        <v>0.12</v>
      </c>
      <c r="AC47" s="176" t="n">
        <v>0.15</v>
      </c>
      <c r="AD47" s="176" t="n">
        <v>0.18</v>
      </c>
      <c r="AE47" s="139"/>
      <c r="AF47" s="176" t="n">
        <v>0.48</v>
      </c>
      <c r="AG47" s="176" t="n">
        <v>0.6</v>
      </c>
      <c r="AH47" s="176" t="n">
        <v>0.72</v>
      </c>
      <c r="AI47" s="139"/>
      <c r="AJ47" s="176" t="n">
        <v>0.288</v>
      </c>
      <c r="AK47" s="176" t="n">
        <v>0.36</v>
      </c>
      <c r="AL47" s="176" t="n">
        <v>0.432</v>
      </c>
      <c r="AM47" s="139"/>
      <c r="AN47" s="140" t="n">
        <v>13</v>
      </c>
      <c r="AO47" s="177" t="n">
        <v>0.25</v>
      </c>
      <c r="AP47" s="139"/>
      <c r="AQ47" s="177" t="n">
        <v>-10</v>
      </c>
      <c r="AR47" s="179" t="n">
        <v>0</v>
      </c>
      <c r="AS47" s="139"/>
      <c r="AT47" s="177" t="n">
        <v>0</v>
      </c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41" t="n">
        <v>38200</v>
      </c>
      <c r="BG47" s="179" t="n">
        <v>0.75</v>
      </c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18"/>
      <c r="CG47" s="167"/>
      <c r="CH47" s="167"/>
      <c r="CI47" s="167"/>
      <c r="CK47" s="200"/>
      <c r="CL47" s="200"/>
      <c r="CM47" s="180"/>
      <c r="CN47" s="0"/>
      <c r="CO47" s="0"/>
      <c r="CP47" s="0"/>
      <c r="CQ47" s="0"/>
      <c r="CR47" s="0"/>
      <c r="CW47" s="181" t="n">
        <f aca="false">K47</f>
        <v>38200</v>
      </c>
      <c r="CX47" s="182" t="n">
        <f aca="false">AF47</f>
        <v>0.48</v>
      </c>
      <c r="CY47" s="182" t="n">
        <f aca="false">AG47</f>
        <v>0.6</v>
      </c>
      <c r="CZ47" s="182" t="n">
        <f aca="false">AH47</f>
        <v>0.72</v>
      </c>
      <c r="DB47" s="182" t="n">
        <f aca="false">X47</f>
        <v>0.24</v>
      </c>
      <c r="DC47" s="182" t="n">
        <f aca="false">Y47</f>
        <v>0.3</v>
      </c>
      <c r="DD47" s="182" t="n">
        <f aca="false">Z47</f>
        <v>0.36</v>
      </c>
      <c r="DF47" s="181" t="n">
        <f aca="false">BF47</f>
        <v>38200</v>
      </c>
      <c r="DG47" s="133" t="n">
        <f aca="false">BG47</f>
        <v>0.75</v>
      </c>
      <c r="DJ47" s="181" t="n">
        <f aca="false">CW47</f>
        <v>38200</v>
      </c>
      <c r="DK47" s="182" t="n">
        <f aca="false">AJ47</f>
        <v>0.288</v>
      </c>
      <c r="DL47" s="182" t="n">
        <f aca="false">AK47</f>
        <v>0.36</v>
      </c>
      <c r="DM47" s="182" t="n">
        <f aca="false">AL47</f>
        <v>0.432</v>
      </c>
      <c r="DO47" s="182" t="n">
        <f aca="false">AB47</f>
        <v>0.12</v>
      </c>
      <c r="DP47" s="182" t="n">
        <f aca="false">AC47</f>
        <v>0.15</v>
      </c>
      <c r="DQ47" s="182" t="n">
        <f aca="false">AD47</f>
        <v>0.18</v>
      </c>
      <c r="DW47" s="0" t="n">
        <v>38</v>
      </c>
      <c r="DX47" s="187" t="s">
        <v>253</v>
      </c>
      <c r="DY47" s="188" t="s">
        <v>254</v>
      </c>
      <c r="DZ47" s="189" t="s">
        <v>255</v>
      </c>
    </row>
    <row r="48" customFormat="false" ht="12.75" hidden="false" customHeight="false" outlineLevel="0" collapsed="false">
      <c r="A48" s="133"/>
      <c r="B48" s="174" t="n">
        <v>37347</v>
      </c>
      <c r="C48" s="175" t="n">
        <v>29.7197685241699</v>
      </c>
      <c r="D48" s="175" t="n">
        <v>30.7197685241699</v>
      </c>
      <c r="E48" s="175" t="n">
        <v>31.7197685241699</v>
      </c>
      <c r="F48" s="159"/>
      <c r="G48" s="175" t="n">
        <v>15.7500009536743</v>
      </c>
      <c r="H48" s="175" t="n">
        <v>15.7500009536743</v>
      </c>
      <c r="I48" s="175" t="n">
        <v>15.7500009536743</v>
      </c>
      <c r="J48" s="140"/>
      <c r="K48" s="141" t="n">
        <v>38231</v>
      </c>
      <c r="L48" s="176" t="n">
        <v>25.2900009155273</v>
      </c>
      <c r="M48" s="176" t="n">
        <v>25.2900009155273</v>
      </c>
      <c r="N48" s="176" t="n">
        <v>25.2900009155273</v>
      </c>
      <c r="O48" s="139"/>
      <c r="P48" s="176" t="n">
        <v>19.7900009155273</v>
      </c>
      <c r="Q48" s="176" t="n">
        <v>19.7900009155273</v>
      </c>
      <c r="R48" s="176" t="n">
        <v>19.7900009155273</v>
      </c>
      <c r="S48" s="139"/>
      <c r="T48" s="176" t="n">
        <v>0</v>
      </c>
      <c r="U48" s="176" t="n">
        <v>0</v>
      </c>
      <c r="V48" s="176" t="n">
        <v>0</v>
      </c>
      <c r="W48" s="139"/>
      <c r="X48" s="176" t="n">
        <v>0.24</v>
      </c>
      <c r="Y48" s="176" t="n">
        <v>0.3</v>
      </c>
      <c r="Z48" s="176" t="n">
        <v>0.36</v>
      </c>
      <c r="AA48" s="139"/>
      <c r="AB48" s="176" t="n">
        <v>0.12</v>
      </c>
      <c r="AC48" s="176" t="n">
        <v>0.15</v>
      </c>
      <c r="AD48" s="176" t="n">
        <v>0.18</v>
      </c>
      <c r="AE48" s="139"/>
      <c r="AF48" s="176" t="n">
        <v>0.48</v>
      </c>
      <c r="AG48" s="176" t="n">
        <v>0.6</v>
      </c>
      <c r="AH48" s="176" t="n">
        <v>0.72</v>
      </c>
      <c r="AI48" s="139"/>
      <c r="AJ48" s="176" t="n">
        <v>0.288</v>
      </c>
      <c r="AK48" s="176" t="n">
        <v>0.36</v>
      </c>
      <c r="AL48" s="176" t="n">
        <v>0.432</v>
      </c>
      <c r="AM48" s="139"/>
      <c r="AN48" s="140" t="n">
        <v>13</v>
      </c>
      <c r="AO48" s="177" t="n">
        <v>0.25</v>
      </c>
      <c r="AP48" s="139"/>
      <c r="AQ48" s="177" t="n">
        <v>0</v>
      </c>
      <c r="AR48" s="179" t="n">
        <v>0</v>
      </c>
      <c r="AS48" s="139"/>
      <c r="AT48" s="177" t="n">
        <v>0</v>
      </c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41" t="n">
        <v>38231</v>
      </c>
      <c r="BG48" s="179" t="n">
        <v>0.75</v>
      </c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18"/>
      <c r="CG48" s="167"/>
      <c r="CH48" s="167"/>
      <c r="CI48" s="167"/>
      <c r="CK48" s="200"/>
      <c r="CL48" s="200"/>
      <c r="CM48" s="180"/>
      <c r="CN48" s="0"/>
      <c r="CO48" s="0"/>
      <c r="CP48" s="0"/>
      <c r="CQ48" s="0"/>
      <c r="CR48" s="0"/>
      <c r="CW48" s="181" t="n">
        <f aca="false">K48</f>
        <v>38231</v>
      </c>
      <c r="CX48" s="182" t="n">
        <f aca="false">AF48</f>
        <v>0.48</v>
      </c>
      <c r="CY48" s="182" t="n">
        <f aca="false">AG48</f>
        <v>0.6</v>
      </c>
      <c r="CZ48" s="182" t="n">
        <f aca="false">AH48</f>
        <v>0.72</v>
      </c>
      <c r="DB48" s="182" t="n">
        <f aca="false">X48</f>
        <v>0.24</v>
      </c>
      <c r="DC48" s="182" t="n">
        <f aca="false">Y48</f>
        <v>0.3</v>
      </c>
      <c r="DD48" s="182" t="n">
        <f aca="false">Z48</f>
        <v>0.36</v>
      </c>
      <c r="DF48" s="181" t="n">
        <f aca="false">BF48</f>
        <v>38231</v>
      </c>
      <c r="DG48" s="133" t="n">
        <f aca="false">BG48</f>
        <v>0.75</v>
      </c>
      <c r="DJ48" s="181" t="n">
        <f aca="false">CW48</f>
        <v>38231</v>
      </c>
      <c r="DK48" s="182" t="n">
        <f aca="false">AJ48</f>
        <v>0.288</v>
      </c>
      <c r="DL48" s="182" t="n">
        <f aca="false">AK48</f>
        <v>0.36</v>
      </c>
      <c r="DM48" s="182" t="n">
        <f aca="false">AL48</f>
        <v>0.432</v>
      </c>
      <c r="DO48" s="182" t="n">
        <f aca="false">AB48</f>
        <v>0.12</v>
      </c>
      <c r="DP48" s="182" t="n">
        <f aca="false">AC48</f>
        <v>0.15</v>
      </c>
      <c r="DQ48" s="182" t="n">
        <f aca="false">AD48</f>
        <v>0.18</v>
      </c>
      <c r="DW48" s="0" t="n">
        <v>39</v>
      </c>
      <c r="DX48" s="187" t="s">
        <v>256</v>
      </c>
      <c r="DY48" s="188" t="s">
        <v>257</v>
      </c>
      <c r="DZ48" s="189" t="s">
        <v>258</v>
      </c>
    </row>
    <row r="49" customFormat="false" ht="12.75" hidden="false" customHeight="false" outlineLevel="0" collapsed="false">
      <c r="A49" s="133"/>
      <c r="B49" s="174" t="n">
        <v>37377</v>
      </c>
      <c r="C49" s="175" t="n">
        <v>32.125</v>
      </c>
      <c r="D49" s="175" t="n">
        <v>33.875</v>
      </c>
      <c r="E49" s="175" t="n">
        <v>35.625</v>
      </c>
      <c r="F49" s="159"/>
      <c r="G49" s="175" t="n">
        <v>17.75</v>
      </c>
      <c r="H49" s="175" t="n">
        <v>17.75</v>
      </c>
      <c r="I49" s="175" t="n">
        <v>17.75</v>
      </c>
      <c r="J49" s="140"/>
      <c r="K49" s="141" t="n">
        <v>38261</v>
      </c>
      <c r="L49" s="176" t="n">
        <v>20.2860012054443</v>
      </c>
      <c r="M49" s="176" t="n">
        <v>20.2860012054443</v>
      </c>
      <c r="N49" s="176" t="n">
        <v>20.2860012054443</v>
      </c>
      <c r="O49" s="139"/>
      <c r="P49" s="176" t="n">
        <v>14.7865009307861</v>
      </c>
      <c r="Q49" s="176" t="n">
        <v>14.7865009307861</v>
      </c>
      <c r="R49" s="176" t="n">
        <v>14.7865009307861</v>
      </c>
      <c r="S49" s="139"/>
      <c r="T49" s="176" t="n">
        <v>0</v>
      </c>
      <c r="U49" s="176" t="n">
        <v>0</v>
      </c>
      <c r="V49" s="176" t="n">
        <v>0</v>
      </c>
      <c r="W49" s="139"/>
      <c r="X49" s="176" t="n">
        <v>0.16</v>
      </c>
      <c r="Y49" s="176" t="n">
        <v>0.2</v>
      </c>
      <c r="Z49" s="176" t="n">
        <v>0.24</v>
      </c>
      <c r="AA49" s="139"/>
      <c r="AB49" s="176" t="n">
        <v>0.08</v>
      </c>
      <c r="AC49" s="176" t="n">
        <v>0.1</v>
      </c>
      <c r="AD49" s="176" t="n">
        <v>0.12</v>
      </c>
      <c r="AE49" s="139"/>
      <c r="AF49" s="176" t="n">
        <v>0.32</v>
      </c>
      <c r="AG49" s="176" t="n">
        <v>0.4</v>
      </c>
      <c r="AH49" s="176" t="n">
        <v>0.48</v>
      </c>
      <c r="AI49" s="139"/>
      <c r="AJ49" s="176" t="n">
        <v>0.192</v>
      </c>
      <c r="AK49" s="176" t="n">
        <v>0.24</v>
      </c>
      <c r="AL49" s="176" t="n">
        <v>0.288</v>
      </c>
      <c r="AM49" s="139"/>
      <c r="AN49" s="140" t="n">
        <v>14</v>
      </c>
      <c r="AO49" s="177" t="n">
        <v>0.25</v>
      </c>
      <c r="AP49" s="139"/>
      <c r="AQ49" s="177" t="n">
        <v>15</v>
      </c>
      <c r="AR49" s="179" t="n">
        <v>0</v>
      </c>
      <c r="AS49" s="139"/>
      <c r="AT49" s="177" t="n">
        <v>0</v>
      </c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41" t="n">
        <v>38261</v>
      </c>
      <c r="BG49" s="179" t="n">
        <v>0.75</v>
      </c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18"/>
      <c r="CG49" s="167"/>
      <c r="CH49" s="167"/>
      <c r="CI49" s="167"/>
      <c r="CK49" s="200"/>
      <c r="CL49" s="200"/>
      <c r="CM49" s="180"/>
      <c r="CN49" s="0"/>
      <c r="CO49" s="0"/>
      <c r="CP49" s="0"/>
      <c r="CQ49" s="0"/>
      <c r="CR49" s="0"/>
      <c r="CW49" s="181" t="n">
        <f aca="false">K49</f>
        <v>38261</v>
      </c>
      <c r="CX49" s="182" t="n">
        <f aca="false">AF49</f>
        <v>0.32</v>
      </c>
      <c r="CY49" s="182" t="n">
        <f aca="false">AG49</f>
        <v>0.4</v>
      </c>
      <c r="CZ49" s="182" t="n">
        <f aca="false">AH49</f>
        <v>0.48</v>
      </c>
      <c r="DB49" s="182" t="n">
        <f aca="false">X49</f>
        <v>0.16</v>
      </c>
      <c r="DC49" s="182" t="n">
        <f aca="false">Y49</f>
        <v>0.2</v>
      </c>
      <c r="DD49" s="182" t="n">
        <f aca="false">Z49</f>
        <v>0.24</v>
      </c>
      <c r="DF49" s="181" t="n">
        <f aca="false">BF49</f>
        <v>38261</v>
      </c>
      <c r="DG49" s="133" t="n">
        <f aca="false">BG49</f>
        <v>0.75</v>
      </c>
      <c r="DJ49" s="181" t="n">
        <f aca="false">CW49</f>
        <v>38261</v>
      </c>
      <c r="DK49" s="182" t="n">
        <f aca="false">AJ49</f>
        <v>0.192</v>
      </c>
      <c r="DL49" s="182" t="n">
        <f aca="false">AK49</f>
        <v>0.24</v>
      </c>
      <c r="DM49" s="182" t="n">
        <f aca="false">AL49</f>
        <v>0.288</v>
      </c>
      <c r="DO49" s="182" t="n">
        <f aca="false">AB49</f>
        <v>0.08</v>
      </c>
      <c r="DP49" s="182" t="n">
        <f aca="false">AC49</f>
        <v>0.1</v>
      </c>
      <c r="DQ49" s="182" t="n">
        <f aca="false">AD49</f>
        <v>0.12</v>
      </c>
      <c r="DW49" s="0" t="n">
        <v>40</v>
      </c>
      <c r="DX49" s="187" t="s">
        <v>259</v>
      </c>
      <c r="DY49" s="188" t="s">
        <v>260</v>
      </c>
      <c r="DZ49" s="189" t="s">
        <v>261</v>
      </c>
    </row>
    <row r="50" customFormat="false" ht="12.75" hidden="false" customHeight="false" outlineLevel="0" collapsed="false">
      <c r="A50" s="133"/>
      <c r="B50" s="174" t="n">
        <v>37408</v>
      </c>
      <c r="C50" s="175" t="n">
        <v>40.75</v>
      </c>
      <c r="D50" s="175" t="n">
        <v>44.25</v>
      </c>
      <c r="E50" s="175" t="n">
        <v>47.75</v>
      </c>
      <c r="F50" s="159"/>
      <c r="G50" s="175" t="n">
        <v>20.75</v>
      </c>
      <c r="H50" s="175" t="n">
        <v>20.75</v>
      </c>
      <c r="I50" s="175" t="n">
        <v>20.75</v>
      </c>
      <c r="J50" s="140"/>
      <c r="K50" s="141" t="n">
        <v>38292</v>
      </c>
      <c r="L50" s="176" t="n">
        <v>22.2900009155273</v>
      </c>
      <c r="M50" s="176" t="n">
        <v>22.2900009155273</v>
      </c>
      <c r="N50" s="176" t="n">
        <v>22.2900009155273</v>
      </c>
      <c r="O50" s="139"/>
      <c r="P50" s="176" t="n">
        <v>14.7900009155273</v>
      </c>
      <c r="Q50" s="176" t="n">
        <v>14.7900009155273</v>
      </c>
      <c r="R50" s="176" t="n">
        <v>14.7900009155273</v>
      </c>
      <c r="S50" s="139"/>
      <c r="T50" s="176" t="n">
        <v>0</v>
      </c>
      <c r="U50" s="176" t="n">
        <v>0</v>
      </c>
      <c r="V50" s="176" t="n">
        <v>0</v>
      </c>
      <c r="W50" s="139"/>
      <c r="X50" s="176" t="n">
        <v>0.16</v>
      </c>
      <c r="Y50" s="176" t="n">
        <v>0.2</v>
      </c>
      <c r="Z50" s="176" t="n">
        <v>0.24</v>
      </c>
      <c r="AA50" s="139"/>
      <c r="AB50" s="176" t="n">
        <v>0.08</v>
      </c>
      <c r="AC50" s="176" t="n">
        <v>0.1</v>
      </c>
      <c r="AD50" s="176" t="n">
        <v>0.12</v>
      </c>
      <c r="AE50" s="139"/>
      <c r="AF50" s="176" t="n">
        <v>0.32</v>
      </c>
      <c r="AG50" s="176" t="n">
        <v>0.4</v>
      </c>
      <c r="AH50" s="176" t="n">
        <v>0.48</v>
      </c>
      <c r="AI50" s="139"/>
      <c r="AJ50" s="176" t="n">
        <v>0.192</v>
      </c>
      <c r="AK50" s="176" t="n">
        <v>0.24</v>
      </c>
      <c r="AL50" s="176" t="n">
        <v>0.288</v>
      </c>
      <c r="AM50" s="139"/>
      <c r="AN50" s="140" t="n">
        <v>14</v>
      </c>
      <c r="AO50" s="177" t="n">
        <v>0.25</v>
      </c>
      <c r="AP50" s="139"/>
      <c r="AQ50" s="177" t="n">
        <v>25</v>
      </c>
      <c r="AR50" s="179" t="n">
        <v>0.125</v>
      </c>
      <c r="AS50" s="139"/>
      <c r="AT50" s="177" t="n">
        <v>0</v>
      </c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41" t="n">
        <v>38292</v>
      </c>
      <c r="BG50" s="179" t="n">
        <v>0.75</v>
      </c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18"/>
      <c r="CG50" s="167"/>
      <c r="CH50" s="167"/>
      <c r="CI50" s="167"/>
      <c r="CK50" s="200"/>
      <c r="CL50" s="200"/>
      <c r="CM50" s="180"/>
      <c r="CN50" s="0"/>
      <c r="CO50" s="0"/>
      <c r="CP50" s="0"/>
      <c r="CQ50" s="0"/>
      <c r="CR50" s="0"/>
      <c r="CW50" s="181" t="n">
        <f aca="false">K50</f>
        <v>38292</v>
      </c>
      <c r="CX50" s="182" t="n">
        <f aca="false">AF50</f>
        <v>0.32</v>
      </c>
      <c r="CY50" s="182" t="n">
        <f aca="false">AG50</f>
        <v>0.4</v>
      </c>
      <c r="CZ50" s="182" t="n">
        <f aca="false">AH50</f>
        <v>0.48</v>
      </c>
      <c r="DB50" s="182" t="n">
        <f aca="false">X50</f>
        <v>0.16</v>
      </c>
      <c r="DC50" s="182" t="n">
        <f aca="false">Y50</f>
        <v>0.2</v>
      </c>
      <c r="DD50" s="182" t="n">
        <f aca="false">Z50</f>
        <v>0.24</v>
      </c>
      <c r="DF50" s="181" t="n">
        <f aca="false">BF50</f>
        <v>38292</v>
      </c>
      <c r="DG50" s="133" t="n">
        <f aca="false">BG50</f>
        <v>0.75</v>
      </c>
      <c r="DJ50" s="181" t="n">
        <f aca="false">CW50</f>
        <v>38292</v>
      </c>
      <c r="DK50" s="182" t="n">
        <f aca="false">AJ50</f>
        <v>0.192</v>
      </c>
      <c r="DL50" s="182" t="n">
        <f aca="false">AK50</f>
        <v>0.24</v>
      </c>
      <c r="DM50" s="182" t="n">
        <f aca="false">AL50</f>
        <v>0.288</v>
      </c>
      <c r="DO50" s="182" t="n">
        <f aca="false">AB50</f>
        <v>0.08</v>
      </c>
      <c r="DP50" s="182" t="n">
        <f aca="false">AC50</f>
        <v>0.1</v>
      </c>
      <c r="DQ50" s="182" t="n">
        <f aca="false">AD50</f>
        <v>0.12</v>
      </c>
      <c r="DW50" s="0" t="n">
        <v>41</v>
      </c>
      <c r="DX50" s="187" t="s">
        <v>262</v>
      </c>
      <c r="DY50" s="188" t="s">
        <v>263</v>
      </c>
      <c r="DZ50" s="189" t="n">
        <v>9</v>
      </c>
    </row>
    <row r="51" customFormat="false" ht="12.75" hidden="false" customHeight="false" outlineLevel="0" collapsed="false">
      <c r="A51" s="133"/>
      <c r="B51" s="174" t="n">
        <v>37438</v>
      </c>
      <c r="C51" s="175" t="n">
        <v>54.5</v>
      </c>
      <c r="D51" s="175" t="n">
        <v>59.5</v>
      </c>
      <c r="E51" s="175" t="n">
        <v>64.5</v>
      </c>
      <c r="F51" s="159"/>
      <c r="G51" s="175" t="n">
        <v>21.25</v>
      </c>
      <c r="H51" s="175" t="n">
        <v>21.25</v>
      </c>
      <c r="I51" s="175" t="n">
        <v>21.25</v>
      </c>
      <c r="J51" s="140"/>
      <c r="K51" s="141" t="n">
        <v>38322</v>
      </c>
      <c r="L51" s="176" t="n">
        <v>27.2900009155273</v>
      </c>
      <c r="M51" s="176" t="n">
        <v>27.2900009155273</v>
      </c>
      <c r="N51" s="176" t="n">
        <v>27.2900009155273</v>
      </c>
      <c r="O51" s="139"/>
      <c r="P51" s="176" t="n">
        <v>21.7900009155273</v>
      </c>
      <c r="Q51" s="176" t="n">
        <v>21.7900009155273</v>
      </c>
      <c r="R51" s="176" t="n">
        <v>21.7900009155273</v>
      </c>
      <c r="S51" s="139"/>
      <c r="T51" s="176" t="n">
        <v>0</v>
      </c>
      <c r="U51" s="176" t="n">
        <v>0</v>
      </c>
      <c r="V51" s="176" t="n">
        <v>0</v>
      </c>
      <c r="W51" s="139"/>
      <c r="X51" s="176" t="n">
        <v>0.16</v>
      </c>
      <c r="Y51" s="176" t="n">
        <v>0.2</v>
      </c>
      <c r="Z51" s="176" t="n">
        <v>0.24</v>
      </c>
      <c r="AA51" s="139"/>
      <c r="AB51" s="176" t="n">
        <v>0.08</v>
      </c>
      <c r="AC51" s="176" t="n">
        <v>0.1</v>
      </c>
      <c r="AD51" s="176" t="n">
        <v>0.12</v>
      </c>
      <c r="AE51" s="139"/>
      <c r="AF51" s="176" t="n">
        <v>0.32</v>
      </c>
      <c r="AG51" s="176" t="n">
        <v>0.4</v>
      </c>
      <c r="AH51" s="176" t="n">
        <v>0.48</v>
      </c>
      <c r="AI51" s="139"/>
      <c r="AJ51" s="176" t="n">
        <v>0.192</v>
      </c>
      <c r="AK51" s="176" t="n">
        <v>0.24</v>
      </c>
      <c r="AL51" s="176" t="n">
        <v>0.288</v>
      </c>
      <c r="AM51" s="139"/>
      <c r="AN51" s="140" t="n">
        <v>14</v>
      </c>
      <c r="AO51" s="177" t="n">
        <v>0.4</v>
      </c>
      <c r="AP51" s="139"/>
      <c r="AQ51" s="177" t="n">
        <v>60</v>
      </c>
      <c r="AR51" s="179" t="n">
        <v>0.25</v>
      </c>
      <c r="AS51" s="139"/>
      <c r="AT51" s="177" t="n">
        <v>0</v>
      </c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41" t="n">
        <v>38322</v>
      </c>
      <c r="BG51" s="179" t="n">
        <v>0.75</v>
      </c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18"/>
      <c r="CG51" s="167"/>
      <c r="CH51" s="167"/>
      <c r="CI51" s="167"/>
      <c r="CK51" s="200"/>
      <c r="CL51" s="200"/>
      <c r="CM51" s="180"/>
      <c r="CN51" s="0"/>
      <c r="CO51" s="0"/>
      <c r="CP51" s="0"/>
      <c r="CQ51" s="0"/>
      <c r="CR51" s="0"/>
      <c r="CW51" s="181" t="n">
        <f aca="false">K51</f>
        <v>38322</v>
      </c>
      <c r="CX51" s="182" t="n">
        <f aca="false">AF51</f>
        <v>0.32</v>
      </c>
      <c r="CY51" s="182" t="n">
        <f aca="false">AG51</f>
        <v>0.4</v>
      </c>
      <c r="CZ51" s="182" t="n">
        <f aca="false">AH51</f>
        <v>0.48</v>
      </c>
      <c r="DB51" s="182" t="n">
        <f aca="false">X51</f>
        <v>0.16</v>
      </c>
      <c r="DC51" s="182" t="n">
        <f aca="false">Y51</f>
        <v>0.2</v>
      </c>
      <c r="DD51" s="182" t="n">
        <f aca="false">Z51</f>
        <v>0.24</v>
      </c>
      <c r="DF51" s="181" t="n">
        <f aca="false">BF51</f>
        <v>38322</v>
      </c>
      <c r="DG51" s="133" t="n">
        <f aca="false">BG51</f>
        <v>0.75</v>
      </c>
      <c r="DJ51" s="181" t="n">
        <f aca="false">CW51</f>
        <v>38322</v>
      </c>
      <c r="DK51" s="182" t="n">
        <f aca="false">AJ51</f>
        <v>0.192</v>
      </c>
      <c r="DL51" s="182" t="n">
        <f aca="false">AK51</f>
        <v>0.24</v>
      </c>
      <c r="DM51" s="182" t="n">
        <f aca="false">AL51</f>
        <v>0.288</v>
      </c>
      <c r="DO51" s="182" t="n">
        <f aca="false">AB51</f>
        <v>0.08</v>
      </c>
      <c r="DP51" s="182" t="n">
        <f aca="false">AC51</f>
        <v>0.1</v>
      </c>
      <c r="DQ51" s="182" t="n">
        <f aca="false">AD51</f>
        <v>0.12</v>
      </c>
      <c r="DW51" s="0" t="n">
        <v>42</v>
      </c>
      <c r="DX51" s="187" t="s">
        <v>264</v>
      </c>
      <c r="DY51" s="188" t="s">
        <v>265</v>
      </c>
      <c r="DZ51" s="189" t="n">
        <v>10</v>
      </c>
    </row>
    <row r="52" customFormat="false" ht="12.75" hidden="false" customHeight="false" outlineLevel="0" collapsed="false">
      <c r="A52" s="133"/>
      <c r="B52" s="174" t="n">
        <v>37469</v>
      </c>
      <c r="C52" s="175" t="n">
        <v>54.5</v>
      </c>
      <c r="D52" s="175" t="n">
        <v>59.5</v>
      </c>
      <c r="E52" s="175" t="n">
        <v>64.5</v>
      </c>
      <c r="F52" s="159"/>
      <c r="G52" s="175" t="n">
        <v>22.25</v>
      </c>
      <c r="H52" s="175" t="n">
        <v>22.25</v>
      </c>
      <c r="I52" s="175" t="n">
        <v>22.25</v>
      </c>
      <c r="J52" s="140"/>
      <c r="K52" s="141" t="n">
        <v>38353</v>
      </c>
      <c r="L52" s="176" t="n">
        <v>35.75</v>
      </c>
      <c r="M52" s="176" t="n">
        <v>35.75</v>
      </c>
      <c r="N52" s="176" t="n">
        <v>35.75</v>
      </c>
      <c r="O52" s="139"/>
      <c r="P52" s="176" t="n">
        <v>25.25</v>
      </c>
      <c r="Q52" s="176" t="n">
        <v>25.25</v>
      </c>
      <c r="R52" s="176" t="n">
        <v>25.25</v>
      </c>
      <c r="S52" s="139"/>
      <c r="T52" s="176" t="n">
        <v>0</v>
      </c>
      <c r="U52" s="176" t="n">
        <v>0</v>
      </c>
      <c r="V52" s="176" t="n">
        <v>0</v>
      </c>
      <c r="W52" s="139"/>
      <c r="X52" s="176" t="n">
        <v>0.16</v>
      </c>
      <c r="Y52" s="176" t="n">
        <v>0.2</v>
      </c>
      <c r="Z52" s="176" t="n">
        <v>0.24</v>
      </c>
      <c r="AA52" s="139"/>
      <c r="AB52" s="176" t="n">
        <v>0.08</v>
      </c>
      <c r="AC52" s="176" t="n">
        <v>0.1</v>
      </c>
      <c r="AD52" s="176" t="n">
        <v>0.12</v>
      </c>
      <c r="AE52" s="139"/>
      <c r="AF52" s="176" t="n">
        <v>0.32</v>
      </c>
      <c r="AG52" s="176" t="n">
        <v>0.4</v>
      </c>
      <c r="AH52" s="176" t="n">
        <v>0.48</v>
      </c>
      <c r="AI52" s="139"/>
      <c r="AJ52" s="176" t="n">
        <v>0.192</v>
      </c>
      <c r="AK52" s="176" t="n">
        <v>0.24</v>
      </c>
      <c r="AL52" s="176" t="n">
        <v>0.288</v>
      </c>
      <c r="AM52" s="139"/>
      <c r="AN52" s="140" t="n">
        <v>15</v>
      </c>
      <c r="AO52" s="177" t="n">
        <v>0.4</v>
      </c>
      <c r="AP52" s="139"/>
      <c r="AQ52" s="177" t="n">
        <v>80</v>
      </c>
      <c r="AR52" s="179" t="n">
        <v>0.4</v>
      </c>
      <c r="AS52" s="139"/>
      <c r="AT52" s="177" t="n">
        <v>0</v>
      </c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41" t="n">
        <v>38353</v>
      </c>
      <c r="BG52" s="179" t="n">
        <v>0.75</v>
      </c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20"/>
      <c r="CG52" s="167"/>
      <c r="CH52" s="167"/>
      <c r="CI52" s="167"/>
      <c r="CK52" s="200"/>
      <c r="CL52" s="200"/>
      <c r="CM52" s="180"/>
      <c r="CN52" s="0"/>
      <c r="CO52" s="0"/>
      <c r="CP52" s="0"/>
      <c r="CQ52" s="0"/>
      <c r="CR52" s="0"/>
      <c r="CW52" s="181" t="n">
        <f aca="false">K52</f>
        <v>38353</v>
      </c>
      <c r="CX52" s="182" t="n">
        <f aca="false">AF52</f>
        <v>0.32</v>
      </c>
      <c r="CY52" s="182" t="n">
        <f aca="false">AG52</f>
        <v>0.4</v>
      </c>
      <c r="CZ52" s="182" t="n">
        <f aca="false">AH52</f>
        <v>0.48</v>
      </c>
      <c r="DB52" s="182" t="n">
        <f aca="false">X52</f>
        <v>0.16</v>
      </c>
      <c r="DC52" s="182" t="n">
        <f aca="false">Y52</f>
        <v>0.2</v>
      </c>
      <c r="DD52" s="182" t="n">
        <f aca="false">Z52</f>
        <v>0.24</v>
      </c>
      <c r="DF52" s="181" t="n">
        <f aca="false">BF52</f>
        <v>38353</v>
      </c>
      <c r="DG52" s="133" t="n">
        <f aca="false">BG52</f>
        <v>0.75</v>
      </c>
      <c r="DJ52" s="181" t="n">
        <f aca="false">CW52</f>
        <v>38353</v>
      </c>
      <c r="DK52" s="182" t="n">
        <f aca="false">AJ52</f>
        <v>0.192</v>
      </c>
      <c r="DL52" s="182" t="n">
        <f aca="false">AK52</f>
        <v>0.24</v>
      </c>
      <c r="DM52" s="182" t="n">
        <f aca="false">AL52</f>
        <v>0.288</v>
      </c>
      <c r="DO52" s="182" t="n">
        <f aca="false">AB52</f>
        <v>0.08</v>
      </c>
      <c r="DP52" s="182" t="n">
        <f aca="false">AC52</f>
        <v>0.1</v>
      </c>
      <c r="DQ52" s="182" t="n">
        <f aca="false">AD52</f>
        <v>0.12</v>
      </c>
      <c r="DW52" s="0" t="n">
        <v>43</v>
      </c>
      <c r="DX52" s="187" t="s">
        <v>266</v>
      </c>
      <c r="DY52" s="188" t="s">
        <v>267</v>
      </c>
      <c r="DZ52" s="189" t="n">
        <v>11</v>
      </c>
    </row>
    <row r="53" customFormat="false" ht="12.75" hidden="false" customHeight="false" outlineLevel="0" collapsed="false">
      <c r="A53" s="133"/>
      <c r="B53" s="174" t="n">
        <v>37500</v>
      </c>
      <c r="C53" s="175" t="n">
        <v>26.2</v>
      </c>
      <c r="D53" s="175" t="n">
        <v>28.75</v>
      </c>
      <c r="E53" s="175" t="n">
        <v>31.3</v>
      </c>
      <c r="F53" s="159"/>
      <c r="G53" s="175" t="n">
        <v>16.25</v>
      </c>
      <c r="H53" s="175" t="n">
        <v>16.25</v>
      </c>
      <c r="I53" s="175" t="n">
        <v>16.25</v>
      </c>
      <c r="J53" s="140"/>
      <c r="K53" s="141" t="n">
        <v>38384</v>
      </c>
      <c r="L53" s="176" t="n">
        <v>31.2460021972656</v>
      </c>
      <c r="M53" s="176" t="n">
        <v>31.2460021972656</v>
      </c>
      <c r="N53" s="176" t="n">
        <v>31.2460021972656</v>
      </c>
      <c r="O53" s="139"/>
      <c r="P53" s="176" t="n">
        <v>22.7465019226074</v>
      </c>
      <c r="Q53" s="176" t="n">
        <v>22.7465019226074</v>
      </c>
      <c r="R53" s="176" t="n">
        <v>22.7465019226074</v>
      </c>
      <c r="S53" s="139"/>
      <c r="T53" s="176" t="n">
        <v>0</v>
      </c>
      <c r="U53" s="176" t="n">
        <v>0</v>
      </c>
      <c r="V53" s="176" t="n">
        <v>0</v>
      </c>
      <c r="W53" s="139"/>
      <c r="X53" s="176" t="n">
        <v>0.16</v>
      </c>
      <c r="Y53" s="176" t="n">
        <v>0.2</v>
      </c>
      <c r="Z53" s="176" t="n">
        <v>0.24</v>
      </c>
      <c r="AA53" s="139"/>
      <c r="AB53" s="176" t="n">
        <v>0.08</v>
      </c>
      <c r="AC53" s="176" t="n">
        <v>0.1</v>
      </c>
      <c r="AD53" s="176" t="n">
        <v>0.12</v>
      </c>
      <c r="AE53" s="139"/>
      <c r="AF53" s="176" t="n">
        <v>0.28</v>
      </c>
      <c r="AG53" s="176" t="n">
        <v>0.35</v>
      </c>
      <c r="AH53" s="176" t="n">
        <v>0.42</v>
      </c>
      <c r="AI53" s="139"/>
      <c r="AJ53" s="176" t="n">
        <v>0.168</v>
      </c>
      <c r="AK53" s="176" t="n">
        <v>0.21</v>
      </c>
      <c r="AL53" s="176" t="n">
        <v>0.252</v>
      </c>
      <c r="AM53" s="139"/>
      <c r="AN53" s="140" t="n">
        <v>15</v>
      </c>
      <c r="AO53" s="177" t="n">
        <v>0.4</v>
      </c>
      <c r="AP53" s="139"/>
      <c r="AQ53" s="177" t="n">
        <v>100</v>
      </c>
      <c r="AR53" s="179" t="n">
        <v>0.4</v>
      </c>
      <c r="AS53" s="139"/>
      <c r="AT53" s="177" t="n">
        <v>0</v>
      </c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41" t="n">
        <v>38384</v>
      </c>
      <c r="BG53" s="179" t="n">
        <v>0.75</v>
      </c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20"/>
      <c r="CG53" s="167"/>
      <c r="CH53" s="167"/>
      <c r="CI53" s="167"/>
      <c r="CK53" s="200"/>
      <c r="CL53" s="200"/>
      <c r="CM53" s="180"/>
      <c r="CN53" s="0"/>
      <c r="CO53" s="0"/>
      <c r="CP53" s="0"/>
      <c r="CQ53" s="0"/>
      <c r="CR53" s="0"/>
      <c r="CW53" s="181" t="n">
        <f aca="false">K53</f>
        <v>38384</v>
      </c>
      <c r="CX53" s="182" t="n">
        <f aca="false">AF53</f>
        <v>0.28</v>
      </c>
      <c r="CY53" s="182" t="n">
        <f aca="false">AG53</f>
        <v>0.35</v>
      </c>
      <c r="CZ53" s="182" t="n">
        <f aca="false">AH53</f>
        <v>0.42</v>
      </c>
      <c r="DB53" s="182" t="n">
        <f aca="false">X53</f>
        <v>0.16</v>
      </c>
      <c r="DC53" s="182" t="n">
        <f aca="false">Y53</f>
        <v>0.2</v>
      </c>
      <c r="DD53" s="182" t="n">
        <f aca="false">Z53</f>
        <v>0.24</v>
      </c>
      <c r="DF53" s="181" t="n">
        <f aca="false">BF53</f>
        <v>38384</v>
      </c>
      <c r="DG53" s="133" t="n">
        <f aca="false">BG53</f>
        <v>0.75</v>
      </c>
      <c r="DJ53" s="181" t="n">
        <f aca="false">CW53</f>
        <v>38384</v>
      </c>
      <c r="DK53" s="182" t="n">
        <f aca="false">AJ53</f>
        <v>0.168</v>
      </c>
      <c r="DL53" s="182" t="n">
        <f aca="false">AK53</f>
        <v>0.21</v>
      </c>
      <c r="DM53" s="182" t="n">
        <f aca="false">AL53</f>
        <v>0.252</v>
      </c>
      <c r="DO53" s="182" t="n">
        <f aca="false">AB53</f>
        <v>0.08</v>
      </c>
      <c r="DP53" s="182" t="n">
        <f aca="false">AC53</f>
        <v>0.1</v>
      </c>
      <c r="DQ53" s="182" t="n">
        <f aca="false">AD53</f>
        <v>0.12</v>
      </c>
      <c r="DW53" s="0" t="n">
        <v>44</v>
      </c>
      <c r="DX53" s="187" t="s">
        <v>268</v>
      </c>
      <c r="DY53" s="188" t="s">
        <v>269</v>
      </c>
      <c r="DZ53" s="189" t="n">
        <v>12</v>
      </c>
    </row>
    <row r="54" customFormat="false" ht="12.75" hidden="false" customHeight="false" outlineLevel="0" collapsed="false">
      <c r="A54" s="133"/>
      <c r="B54" s="174" t="n">
        <v>37530</v>
      </c>
      <c r="C54" s="175" t="n">
        <v>28.7562496185303</v>
      </c>
      <c r="D54" s="175" t="n">
        <v>29.5562496185303</v>
      </c>
      <c r="E54" s="175" t="n">
        <v>30.3562496185303</v>
      </c>
      <c r="F54" s="159"/>
      <c r="G54" s="175" t="n">
        <v>15.750002861023</v>
      </c>
      <c r="H54" s="175" t="n">
        <v>15.750002861023</v>
      </c>
      <c r="I54" s="175" t="n">
        <v>15.750002861023</v>
      </c>
      <c r="J54" s="140"/>
      <c r="K54" s="141" t="n">
        <v>38412</v>
      </c>
      <c r="L54" s="176" t="n">
        <v>25.5</v>
      </c>
      <c r="M54" s="176" t="n">
        <v>25.5</v>
      </c>
      <c r="N54" s="176" t="n">
        <v>25.5</v>
      </c>
      <c r="O54" s="139"/>
      <c r="P54" s="176" t="n">
        <v>20</v>
      </c>
      <c r="Q54" s="176" t="n">
        <v>20</v>
      </c>
      <c r="R54" s="176" t="n">
        <v>20</v>
      </c>
      <c r="S54" s="139"/>
      <c r="T54" s="176" t="n">
        <v>0</v>
      </c>
      <c r="U54" s="176" t="n">
        <v>0</v>
      </c>
      <c r="V54" s="176" t="n">
        <v>0</v>
      </c>
      <c r="W54" s="139"/>
      <c r="X54" s="176" t="n">
        <v>0.16</v>
      </c>
      <c r="Y54" s="176" t="n">
        <v>0.2</v>
      </c>
      <c r="Z54" s="176" t="n">
        <v>0.24</v>
      </c>
      <c r="AA54" s="139"/>
      <c r="AB54" s="176" t="n">
        <v>0.08</v>
      </c>
      <c r="AC54" s="176" t="n">
        <v>0.1</v>
      </c>
      <c r="AD54" s="176" t="n">
        <v>0.12</v>
      </c>
      <c r="AE54" s="139"/>
      <c r="AF54" s="176" t="n">
        <v>0.28</v>
      </c>
      <c r="AG54" s="176" t="n">
        <v>0.35</v>
      </c>
      <c r="AH54" s="176" t="n">
        <v>0.42</v>
      </c>
      <c r="AI54" s="139"/>
      <c r="AJ54" s="176" t="n">
        <v>0.168</v>
      </c>
      <c r="AK54" s="176" t="n">
        <v>0.21</v>
      </c>
      <c r="AL54" s="176" t="n">
        <v>0.252</v>
      </c>
      <c r="AM54" s="139"/>
      <c r="AN54" s="140" t="n">
        <v>15</v>
      </c>
      <c r="AO54" s="177" t="n">
        <v>0.4</v>
      </c>
      <c r="AP54" s="139"/>
      <c r="AQ54" s="177" t="n">
        <v>120</v>
      </c>
      <c r="AR54" s="179" t="n">
        <v>0.4</v>
      </c>
      <c r="AS54" s="139"/>
      <c r="AT54" s="177" t="n">
        <v>0</v>
      </c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41" t="n">
        <v>38412</v>
      </c>
      <c r="BG54" s="179" t="n">
        <v>0.75</v>
      </c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20"/>
      <c r="CG54" s="167"/>
      <c r="CH54" s="167"/>
      <c r="CI54" s="167"/>
      <c r="CK54" s="200"/>
      <c r="CL54" s="200"/>
      <c r="CM54" s="180"/>
      <c r="CN54" s="0"/>
      <c r="CO54" s="0"/>
      <c r="CP54" s="0"/>
      <c r="CQ54" s="0"/>
      <c r="CR54" s="0"/>
      <c r="CW54" s="181" t="n">
        <f aca="false">K54</f>
        <v>38412</v>
      </c>
      <c r="CX54" s="182" t="n">
        <f aca="false">AF54</f>
        <v>0.28</v>
      </c>
      <c r="CY54" s="182" t="n">
        <f aca="false">AG54</f>
        <v>0.35</v>
      </c>
      <c r="CZ54" s="182" t="n">
        <f aca="false">AH54</f>
        <v>0.42</v>
      </c>
      <c r="DB54" s="182" t="n">
        <f aca="false">X54</f>
        <v>0.16</v>
      </c>
      <c r="DC54" s="182" t="n">
        <f aca="false">Y54</f>
        <v>0.2</v>
      </c>
      <c r="DD54" s="182" t="n">
        <f aca="false">Z54</f>
        <v>0.24</v>
      </c>
      <c r="DF54" s="181" t="n">
        <f aca="false">BF54</f>
        <v>38412</v>
      </c>
      <c r="DG54" s="133" t="n">
        <f aca="false">BG54</f>
        <v>0.75</v>
      </c>
      <c r="DJ54" s="181" t="n">
        <f aca="false">CW54</f>
        <v>38412</v>
      </c>
      <c r="DK54" s="182" t="n">
        <f aca="false">AJ54</f>
        <v>0.168</v>
      </c>
      <c r="DL54" s="182" t="n">
        <f aca="false">AK54</f>
        <v>0.21</v>
      </c>
      <c r="DM54" s="182" t="n">
        <f aca="false">AL54</f>
        <v>0.252</v>
      </c>
      <c r="DO54" s="182" t="n">
        <f aca="false">AB54</f>
        <v>0.08</v>
      </c>
      <c r="DP54" s="182" t="n">
        <f aca="false">AC54</f>
        <v>0.1</v>
      </c>
      <c r="DQ54" s="182" t="n">
        <f aca="false">AD54</f>
        <v>0.12</v>
      </c>
      <c r="DW54" s="0" t="n">
        <v>45</v>
      </c>
      <c r="DX54" s="187" t="s">
        <v>270</v>
      </c>
      <c r="DY54" s="188" t="s">
        <v>271</v>
      </c>
      <c r="DZ54" s="189" t="n">
        <v>20</v>
      </c>
    </row>
    <row r="55" customFormat="false" ht="12.75" hidden="false" customHeight="false" outlineLevel="0" collapsed="false">
      <c r="A55" s="133"/>
      <c r="B55" s="174" t="n">
        <v>37561</v>
      </c>
      <c r="C55" s="175" t="n">
        <v>28.9562522888184</v>
      </c>
      <c r="D55" s="175" t="n">
        <v>29.7562522888184</v>
      </c>
      <c r="E55" s="175" t="n">
        <v>30.5562522888184</v>
      </c>
      <c r="F55" s="159"/>
      <c r="G55" s="175" t="n">
        <v>16.75</v>
      </c>
      <c r="H55" s="175" t="n">
        <v>16.75</v>
      </c>
      <c r="I55" s="175" t="n">
        <v>16.75</v>
      </c>
      <c r="J55" s="140"/>
      <c r="K55" s="141" t="n">
        <v>38443</v>
      </c>
      <c r="L55" s="176" t="n">
        <v>22</v>
      </c>
      <c r="M55" s="176" t="n">
        <v>22</v>
      </c>
      <c r="N55" s="176" t="n">
        <v>22</v>
      </c>
      <c r="O55" s="139"/>
      <c r="P55" s="176" t="n">
        <v>16.4950008392334</v>
      </c>
      <c r="Q55" s="176" t="n">
        <v>16.4950008392334</v>
      </c>
      <c r="R55" s="176" t="n">
        <v>16.4950008392334</v>
      </c>
      <c r="S55" s="139"/>
      <c r="T55" s="176" t="n">
        <v>0</v>
      </c>
      <c r="U55" s="176" t="n">
        <v>0</v>
      </c>
      <c r="V55" s="176" t="n">
        <v>0</v>
      </c>
      <c r="W55" s="139"/>
      <c r="X55" s="176" t="n">
        <v>0.16</v>
      </c>
      <c r="Y55" s="176" t="n">
        <v>0.2</v>
      </c>
      <c r="Z55" s="176" t="n">
        <v>0.24</v>
      </c>
      <c r="AA55" s="139"/>
      <c r="AB55" s="176" t="n">
        <v>0.08</v>
      </c>
      <c r="AC55" s="176" t="n">
        <v>0.1</v>
      </c>
      <c r="AD55" s="176" t="n">
        <v>0.12</v>
      </c>
      <c r="AE55" s="139"/>
      <c r="AF55" s="176" t="n">
        <v>0.28</v>
      </c>
      <c r="AG55" s="176" t="n">
        <v>0.35</v>
      </c>
      <c r="AH55" s="176" t="n">
        <v>0.42</v>
      </c>
      <c r="AI55" s="139"/>
      <c r="AJ55" s="176" t="n">
        <v>0.168</v>
      </c>
      <c r="AK55" s="176" t="n">
        <v>0.21</v>
      </c>
      <c r="AL55" s="176" t="n">
        <v>0.252</v>
      </c>
      <c r="AM55" s="139"/>
      <c r="AN55" s="140" t="n">
        <v>16</v>
      </c>
      <c r="AO55" s="177" t="n">
        <v>0.4</v>
      </c>
      <c r="AP55" s="139"/>
      <c r="AQ55" s="177" t="n">
        <v>140</v>
      </c>
      <c r="AR55" s="179" t="n">
        <v>0.4</v>
      </c>
      <c r="AS55" s="139"/>
      <c r="AT55" s="177" t="n">
        <v>0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41" t="n">
        <v>38443</v>
      </c>
      <c r="BG55" s="179" t="n">
        <v>0.75</v>
      </c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20"/>
      <c r="CG55" s="167"/>
      <c r="CH55" s="167"/>
      <c r="CI55" s="167"/>
      <c r="CK55" s="200"/>
      <c r="CL55" s="200"/>
      <c r="CM55" s="180"/>
      <c r="CN55" s="0"/>
      <c r="CO55" s="0"/>
      <c r="CP55" s="0"/>
      <c r="CQ55" s="0"/>
      <c r="CR55" s="0"/>
      <c r="CW55" s="181" t="n">
        <f aca="false">K55</f>
        <v>38443</v>
      </c>
      <c r="CX55" s="182" t="n">
        <f aca="false">AF55</f>
        <v>0.28</v>
      </c>
      <c r="CY55" s="182" t="n">
        <f aca="false">AG55</f>
        <v>0.35</v>
      </c>
      <c r="CZ55" s="182" t="n">
        <f aca="false">AH55</f>
        <v>0.42</v>
      </c>
      <c r="DB55" s="182" t="n">
        <f aca="false">X55</f>
        <v>0.16</v>
      </c>
      <c r="DC55" s="182" t="n">
        <f aca="false">Y55</f>
        <v>0.2</v>
      </c>
      <c r="DD55" s="182" t="n">
        <f aca="false">Z55</f>
        <v>0.24</v>
      </c>
      <c r="DF55" s="181" t="n">
        <f aca="false">BF55</f>
        <v>38443</v>
      </c>
      <c r="DG55" s="133" t="n">
        <f aca="false">BG55</f>
        <v>0.75</v>
      </c>
      <c r="DJ55" s="181" t="n">
        <f aca="false">CW55</f>
        <v>38443</v>
      </c>
      <c r="DK55" s="182" t="n">
        <f aca="false">AJ55</f>
        <v>0.168</v>
      </c>
      <c r="DL55" s="182" t="n">
        <f aca="false">AK55</f>
        <v>0.21</v>
      </c>
      <c r="DM55" s="182" t="n">
        <f aca="false">AL55</f>
        <v>0.252</v>
      </c>
      <c r="DO55" s="182" t="n">
        <f aca="false">AB55</f>
        <v>0.08</v>
      </c>
      <c r="DP55" s="182" t="n">
        <f aca="false">AC55</f>
        <v>0.1</v>
      </c>
      <c r="DQ55" s="182" t="n">
        <f aca="false">AD55</f>
        <v>0.12</v>
      </c>
      <c r="DW55" s="0" t="n">
        <v>46</v>
      </c>
      <c r="DX55" s="187" t="s">
        <v>272</v>
      </c>
      <c r="DY55" s="188" t="s">
        <v>273</v>
      </c>
      <c r="DZ55" s="189" t="n">
        <v>21</v>
      </c>
    </row>
    <row r="56" customFormat="false" ht="13.5" hidden="false" customHeight="false" outlineLevel="0" collapsed="false">
      <c r="A56" s="133"/>
      <c r="B56" s="174" t="n">
        <v>37591</v>
      </c>
      <c r="C56" s="175" t="n">
        <v>29.1562492370605</v>
      </c>
      <c r="D56" s="175" t="n">
        <v>29.9562492370605</v>
      </c>
      <c r="E56" s="175" t="n">
        <v>30.7562492370605</v>
      </c>
      <c r="F56" s="159"/>
      <c r="G56" s="175" t="n">
        <v>19</v>
      </c>
      <c r="H56" s="175" t="n">
        <v>19</v>
      </c>
      <c r="I56" s="175" t="n">
        <v>19</v>
      </c>
      <c r="J56" s="140"/>
      <c r="K56" s="141" t="n">
        <v>38473</v>
      </c>
      <c r="L56" s="176" t="n">
        <v>22.2900009155273</v>
      </c>
      <c r="M56" s="176" t="n">
        <v>22.2900009155273</v>
      </c>
      <c r="N56" s="176" t="n">
        <v>22.2900009155273</v>
      </c>
      <c r="O56" s="139"/>
      <c r="P56" s="176" t="n">
        <v>15.7950000762939</v>
      </c>
      <c r="Q56" s="176" t="n">
        <v>15.7950000762939</v>
      </c>
      <c r="R56" s="176" t="n">
        <v>15.7950000762939</v>
      </c>
      <c r="S56" s="139"/>
      <c r="T56" s="176" t="n">
        <v>0</v>
      </c>
      <c r="U56" s="176" t="n">
        <v>0</v>
      </c>
      <c r="V56" s="176" t="n">
        <v>0</v>
      </c>
      <c r="W56" s="139"/>
      <c r="X56" s="176" t="n">
        <v>0.16</v>
      </c>
      <c r="Y56" s="176" t="n">
        <v>0.2</v>
      </c>
      <c r="Z56" s="176" t="n">
        <v>0.24</v>
      </c>
      <c r="AA56" s="139"/>
      <c r="AB56" s="176" t="n">
        <v>0.08</v>
      </c>
      <c r="AC56" s="176" t="n">
        <v>0.1</v>
      </c>
      <c r="AD56" s="176" t="n">
        <v>0.12</v>
      </c>
      <c r="AE56" s="139"/>
      <c r="AF56" s="176" t="n">
        <v>0.28</v>
      </c>
      <c r="AG56" s="176" t="n">
        <v>0.35</v>
      </c>
      <c r="AH56" s="176" t="n">
        <v>0.42</v>
      </c>
      <c r="AI56" s="139"/>
      <c r="AJ56" s="176" t="n">
        <v>0.168</v>
      </c>
      <c r="AK56" s="176" t="n">
        <v>0.21</v>
      </c>
      <c r="AL56" s="176" t="n">
        <v>0.252</v>
      </c>
      <c r="AM56" s="139"/>
      <c r="AN56" s="140" t="n">
        <v>16</v>
      </c>
      <c r="AO56" s="177" t="n">
        <v>0.4</v>
      </c>
      <c r="AP56" s="139"/>
      <c r="AQ56" s="177" t="n">
        <v>160</v>
      </c>
      <c r="AR56" s="179" t="n">
        <v>0.4</v>
      </c>
      <c r="AS56" s="139"/>
      <c r="AT56" s="177" t="n">
        <v>0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41" t="n">
        <v>38473</v>
      </c>
      <c r="BG56" s="179" t="n">
        <v>0.75</v>
      </c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20"/>
      <c r="CG56" s="118"/>
      <c r="CH56" s="118"/>
      <c r="CI56" s="118"/>
      <c r="CK56" s="200"/>
      <c r="CL56" s="200"/>
      <c r="CM56" s="180"/>
      <c r="CN56" s="0"/>
      <c r="CO56" s="0"/>
      <c r="CP56" s="0"/>
      <c r="CQ56" s="0"/>
      <c r="CR56" s="0"/>
      <c r="CW56" s="181" t="n">
        <f aca="false">K56</f>
        <v>38473</v>
      </c>
      <c r="CX56" s="182" t="n">
        <f aca="false">AF56</f>
        <v>0.28</v>
      </c>
      <c r="CY56" s="182" t="n">
        <f aca="false">AG56</f>
        <v>0.35</v>
      </c>
      <c r="CZ56" s="182" t="n">
        <f aca="false">AH56</f>
        <v>0.42</v>
      </c>
      <c r="DB56" s="182" t="n">
        <f aca="false">X56</f>
        <v>0.16</v>
      </c>
      <c r="DC56" s="182" t="n">
        <f aca="false">Y56</f>
        <v>0.2</v>
      </c>
      <c r="DD56" s="182" t="n">
        <f aca="false">Z56</f>
        <v>0.24</v>
      </c>
      <c r="DF56" s="181" t="n">
        <f aca="false">BF56</f>
        <v>38473</v>
      </c>
      <c r="DG56" s="133" t="n">
        <f aca="false">BG56</f>
        <v>0.75</v>
      </c>
      <c r="DJ56" s="181" t="n">
        <f aca="false">CW56</f>
        <v>38473</v>
      </c>
      <c r="DK56" s="182" t="n">
        <f aca="false">AJ56</f>
        <v>0.168</v>
      </c>
      <c r="DL56" s="182" t="n">
        <f aca="false">AK56</f>
        <v>0.21</v>
      </c>
      <c r="DM56" s="182" t="n">
        <f aca="false">AL56</f>
        <v>0.252</v>
      </c>
      <c r="DO56" s="182" t="n">
        <f aca="false">AB56</f>
        <v>0.08</v>
      </c>
      <c r="DP56" s="182" t="n">
        <f aca="false">AC56</f>
        <v>0.1</v>
      </c>
      <c r="DQ56" s="182" t="n">
        <f aca="false">AD56</f>
        <v>0.12</v>
      </c>
      <c r="DW56" s="0" t="n">
        <v>47</v>
      </c>
      <c r="DX56" s="203" t="s">
        <v>272</v>
      </c>
      <c r="DY56" s="204" t="s">
        <v>274</v>
      </c>
      <c r="DZ56" s="205" t="n">
        <v>22</v>
      </c>
    </row>
    <row r="57" customFormat="false" ht="12.75" hidden="false" customHeight="false" outlineLevel="0" collapsed="false">
      <c r="A57" s="133"/>
      <c r="B57" s="174" t="n">
        <v>37622</v>
      </c>
      <c r="C57" s="175" t="n">
        <v>32.935717010498</v>
      </c>
      <c r="D57" s="175" t="n">
        <v>33.2857170104981</v>
      </c>
      <c r="E57" s="175" t="n">
        <v>33.6357170104981</v>
      </c>
      <c r="F57" s="159"/>
      <c r="G57" s="175" t="n">
        <v>20.8899993896484</v>
      </c>
      <c r="H57" s="175" t="n">
        <v>20.8899993896484</v>
      </c>
      <c r="I57" s="175" t="n">
        <v>20.8899993896484</v>
      </c>
      <c r="J57" s="140"/>
      <c r="K57" s="141" t="n">
        <v>38504</v>
      </c>
      <c r="L57" s="176" t="n">
        <v>29.2900009155273</v>
      </c>
      <c r="M57" s="176" t="n">
        <v>29.2900009155273</v>
      </c>
      <c r="N57" s="176" t="n">
        <v>29.2900009155273</v>
      </c>
      <c r="O57" s="139"/>
      <c r="P57" s="176" t="n">
        <v>19.7900009155273</v>
      </c>
      <c r="Q57" s="176" t="n">
        <v>19.7900009155273</v>
      </c>
      <c r="R57" s="176" t="n">
        <v>19.7900009155273</v>
      </c>
      <c r="S57" s="139"/>
      <c r="T57" s="176" t="n">
        <v>0</v>
      </c>
      <c r="U57" s="176" t="n">
        <v>0</v>
      </c>
      <c r="V57" s="176" t="n">
        <v>0</v>
      </c>
      <c r="W57" s="139"/>
      <c r="X57" s="176" t="n">
        <v>0.16</v>
      </c>
      <c r="Y57" s="176" t="n">
        <v>0.2</v>
      </c>
      <c r="Z57" s="176" t="n">
        <v>0.24</v>
      </c>
      <c r="AA57" s="139"/>
      <c r="AB57" s="176" t="n">
        <v>0.08</v>
      </c>
      <c r="AC57" s="176" t="n">
        <v>0.1</v>
      </c>
      <c r="AD57" s="176" t="n">
        <v>0.12</v>
      </c>
      <c r="AE57" s="139"/>
      <c r="AF57" s="176" t="n">
        <v>0.36</v>
      </c>
      <c r="AG57" s="176" t="n">
        <v>0.45</v>
      </c>
      <c r="AH57" s="176" t="n">
        <v>0.54</v>
      </c>
      <c r="AI57" s="139"/>
      <c r="AJ57" s="176" t="n">
        <v>0.216</v>
      </c>
      <c r="AK57" s="176" t="n">
        <v>0.27</v>
      </c>
      <c r="AL57" s="176" t="n">
        <v>0.324</v>
      </c>
      <c r="AM57" s="139"/>
      <c r="AN57" s="140" t="n">
        <v>16</v>
      </c>
      <c r="AO57" s="177" t="n">
        <v>0.4</v>
      </c>
      <c r="AP57" s="139"/>
      <c r="AQ57" s="177" t="n">
        <v>180</v>
      </c>
      <c r="AR57" s="179" t="n">
        <v>0.4</v>
      </c>
      <c r="AS57" s="139"/>
      <c r="AT57" s="177" t="n">
        <v>0</v>
      </c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41" t="n">
        <v>38504</v>
      </c>
      <c r="BG57" s="179" t="n">
        <v>0.75</v>
      </c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20"/>
      <c r="CG57" s="145"/>
      <c r="CH57" s="146"/>
      <c r="CI57" s="146"/>
      <c r="CK57" s="200"/>
      <c r="CL57" s="200"/>
      <c r="CM57" s="180"/>
      <c r="CN57" s="0"/>
      <c r="CO57" s="0"/>
      <c r="CP57" s="0"/>
      <c r="CQ57" s="0"/>
      <c r="CR57" s="0"/>
      <c r="CW57" s="181" t="n">
        <f aca="false">K57</f>
        <v>38504</v>
      </c>
      <c r="CX57" s="182" t="n">
        <f aca="false">AF57</f>
        <v>0.36</v>
      </c>
      <c r="CY57" s="182" t="n">
        <f aca="false">AG57</f>
        <v>0.45</v>
      </c>
      <c r="CZ57" s="182" t="n">
        <f aca="false">AH57</f>
        <v>0.54</v>
      </c>
      <c r="DB57" s="182" t="n">
        <f aca="false">X57</f>
        <v>0.16</v>
      </c>
      <c r="DC57" s="182" t="n">
        <f aca="false">Y57</f>
        <v>0.2</v>
      </c>
      <c r="DD57" s="182" t="n">
        <f aca="false">Z57</f>
        <v>0.24</v>
      </c>
      <c r="DF57" s="181" t="n">
        <f aca="false">BF57</f>
        <v>38504</v>
      </c>
      <c r="DG57" s="133" t="n">
        <f aca="false">BG57</f>
        <v>0.75</v>
      </c>
      <c r="DJ57" s="181" t="n">
        <f aca="false">CW57</f>
        <v>38504</v>
      </c>
      <c r="DK57" s="182" t="n">
        <f aca="false">AJ57</f>
        <v>0.216</v>
      </c>
      <c r="DL57" s="182" t="n">
        <f aca="false">AK57</f>
        <v>0.27</v>
      </c>
      <c r="DM57" s="182" t="n">
        <f aca="false">AL57</f>
        <v>0.324</v>
      </c>
      <c r="DO57" s="182" t="n">
        <f aca="false">AB57</f>
        <v>0.08</v>
      </c>
      <c r="DP57" s="182" t="n">
        <f aca="false">AC57</f>
        <v>0.1</v>
      </c>
      <c r="DQ57" s="182" t="n">
        <f aca="false">AD57</f>
        <v>0.12</v>
      </c>
    </row>
    <row r="58" customFormat="false" ht="12.75" hidden="false" customHeight="false" outlineLevel="0" collapsed="false">
      <c r="A58" s="133"/>
      <c r="B58" s="174" t="n">
        <v>37653</v>
      </c>
      <c r="C58" s="175" t="n">
        <v>32.3357147216797</v>
      </c>
      <c r="D58" s="175" t="n">
        <v>32.6857147216797</v>
      </c>
      <c r="E58" s="175" t="n">
        <v>33.0357147216797</v>
      </c>
      <c r="F58" s="159"/>
      <c r="G58" s="175" t="n">
        <v>19.3899993896484</v>
      </c>
      <c r="H58" s="175" t="n">
        <v>19.3899993896484</v>
      </c>
      <c r="I58" s="175" t="n">
        <v>19.3899993896484</v>
      </c>
      <c r="J58" s="140"/>
      <c r="K58" s="141" t="n">
        <v>38534</v>
      </c>
      <c r="L58" s="176" t="n">
        <v>35.2900009155273</v>
      </c>
      <c r="M58" s="176" t="n">
        <v>35.2900009155273</v>
      </c>
      <c r="N58" s="176" t="n">
        <v>35.2900009155273</v>
      </c>
      <c r="O58" s="139"/>
      <c r="P58" s="176" t="n">
        <v>25.7900009155273</v>
      </c>
      <c r="Q58" s="176" t="n">
        <v>25.7900009155273</v>
      </c>
      <c r="R58" s="176" t="n">
        <v>25.7900009155273</v>
      </c>
      <c r="S58" s="139"/>
      <c r="T58" s="176" t="n">
        <v>0</v>
      </c>
      <c r="U58" s="176" t="n">
        <v>0</v>
      </c>
      <c r="V58" s="176" t="n">
        <v>0</v>
      </c>
      <c r="W58" s="139"/>
      <c r="X58" s="176" t="n">
        <v>0.16</v>
      </c>
      <c r="Y58" s="176" t="n">
        <v>0.2</v>
      </c>
      <c r="Z58" s="176" t="n">
        <v>0.24</v>
      </c>
      <c r="AA58" s="139"/>
      <c r="AB58" s="176" t="n">
        <v>0.08</v>
      </c>
      <c r="AC58" s="176" t="n">
        <v>0.1</v>
      </c>
      <c r="AD58" s="176" t="n">
        <v>0.12</v>
      </c>
      <c r="AE58" s="139"/>
      <c r="AF58" s="176" t="n">
        <v>0.36</v>
      </c>
      <c r="AG58" s="176" t="n">
        <v>0.45</v>
      </c>
      <c r="AH58" s="176" t="n">
        <v>0.54</v>
      </c>
      <c r="AI58" s="139"/>
      <c r="AJ58" s="176" t="n">
        <v>0.216</v>
      </c>
      <c r="AK58" s="176" t="n">
        <v>0.27</v>
      </c>
      <c r="AL58" s="176" t="n">
        <v>0.324</v>
      </c>
      <c r="AM58" s="139"/>
      <c r="AN58" s="140" t="n">
        <v>17</v>
      </c>
      <c r="AO58" s="177" t="n">
        <v>0.4</v>
      </c>
      <c r="AP58" s="139"/>
      <c r="AQ58" s="177" t="n">
        <v>200</v>
      </c>
      <c r="AR58" s="179" t="n">
        <v>0.4</v>
      </c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41" t="n">
        <v>38534</v>
      </c>
      <c r="BG58" s="179" t="n">
        <v>0.75</v>
      </c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20"/>
      <c r="CG58" s="151"/>
      <c r="CH58" s="151"/>
      <c r="CI58" s="151"/>
      <c r="CK58" s="200"/>
      <c r="CL58" s="200"/>
      <c r="CM58" s="180"/>
      <c r="CN58" s="0"/>
      <c r="CO58" s="0"/>
      <c r="CP58" s="0"/>
      <c r="CQ58" s="0"/>
      <c r="CR58" s="0"/>
      <c r="CW58" s="181" t="n">
        <f aca="false">K58</f>
        <v>38534</v>
      </c>
      <c r="CX58" s="182" t="n">
        <f aca="false">AF58</f>
        <v>0.36</v>
      </c>
      <c r="CY58" s="182" t="n">
        <f aca="false">AG58</f>
        <v>0.45</v>
      </c>
      <c r="CZ58" s="182" t="n">
        <f aca="false">AH58</f>
        <v>0.54</v>
      </c>
      <c r="DB58" s="182" t="n">
        <f aca="false">X58</f>
        <v>0.16</v>
      </c>
      <c r="DC58" s="182" t="n">
        <f aca="false">Y58</f>
        <v>0.2</v>
      </c>
      <c r="DD58" s="182" t="n">
        <f aca="false">Z58</f>
        <v>0.24</v>
      </c>
      <c r="DF58" s="181" t="n">
        <f aca="false">BF58</f>
        <v>38534</v>
      </c>
      <c r="DG58" s="133" t="n">
        <f aca="false">BG58</f>
        <v>0.75</v>
      </c>
      <c r="DJ58" s="181" t="n">
        <f aca="false">CW58</f>
        <v>38534</v>
      </c>
      <c r="DK58" s="182" t="n">
        <f aca="false">AJ58</f>
        <v>0.216</v>
      </c>
      <c r="DL58" s="182" t="n">
        <f aca="false">AK58</f>
        <v>0.27</v>
      </c>
      <c r="DM58" s="182" t="n">
        <f aca="false">AL58</f>
        <v>0.324</v>
      </c>
      <c r="DO58" s="182" t="n">
        <f aca="false">AB58</f>
        <v>0.08</v>
      </c>
      <c r="DP58" s="182" t="n">
        <f aca="false">AC58</f>
        <v>0.1</v>
      </c>
      <c r="DQ58" s="182" t="n">
        <f aca="false">AD58</f>
        <v>0.12</v>
      </c>
    </row>
    <row r="59" customFormat="false" ht="12.75" hidden="false" customHeight="false" outlineLevel="0" collapsed="false">
      <c r="A59" s="133"/>
      <c r="B59" s="174" t="n">
        <v>37681</v>
      </c>
      <c r="C59" s="175" t="n">
        <v>31.0976783752441</v>
      </c>
      <c r="D59" s="175" t="n">
        <v>31.6476783752441</v>
      </c>
      <c r="E59" s="175" t="n">
        <v>32.1976783752441</v>
      </c>
      <c r="F59" s="159"/>
      <c r="G59" s="175" t="n">
        <v>20.3899993896484</v>
      </c>
      <c r="H59" s="175" t="n">
        <v>20.3899993896484</v>
      </c>
      <c r="I59" s="175" t="n">
        <v>20.3899993896484</v>
      </c>
      <c r="J59" s="140"/>
      <c r="K59" s="141" t="n">
        <v>38565</v>
      </c>
      <c r="L59" s="176" t="n">
        <v>33.2900047302246</v>
      </c>
      <c r="M59" s="176" t="n">
        <v>33.2900047302246</v>
      </c>
      <c r="N59" s="176" t="n">
        <v>33.2900047302246</v>
      </c>
      <c r="O59" s="139"/>
      <c r="P59" s="176" t="n">
        <v>25.7900009155273</v>
      </c>
      <c r="Q59" s="176" t="n">
        <v>25.7900009155273</v>
      </c>
      <c r="R59" s="176" t="n">
        <v>25.7900009155273</v>
      </c>
      <c r="S59" s="139"/>
      <c r="T59" s="176" t="n">
        <v>0</v>
      </c>
      <c r="U59" s="176" t="n">
        <v>0</v>
      </c>
      <c r="V59" s="176" t="n">
        <v>0</v>
      </c>
      <c r="W59" s="139"/>
      <c r="X59" s="176" t="n">
        <v>0.24</v>
      </c>
      <c r="Y59" s="176" t="n">
        <v>0.3</v>
      </c>
      <c r="Z59" s="176" t="n">
        <v>0.36</v>
      </c>
      <c r="AA59" s="139"/>
      <c r="AB59" s="176" t="n">
        <v>0.12</v>
      </c>
      <c r="AC59" s="176" t="n">
        <v>0.15</v>
      </c>
      <c r="AD59" s="176" t="n">
        <v>0.18</v>
      </c>
      <c r="AE59" s="139"/>
      <c r="AF59" s="176" t="n">
        <v>0.48</v>
      </c>
      <c r="AG59" s="176" t="n">
        <v>0.6</v>
      </c>
      <c r="AH59" s="176" t="n">
        <v>0.72</v>
      </c>
      <c r="AI59" s="139"/>
      <c r="AJ59" s="176" t="n">
        <v>0.288</v>
      </c>
      <c r="AK59" s="176" t="n">
        <v>0.36</v>
      </c>
      <c r="AL59" s="176" t="n">
        <v>0.432</v>
      </c>
      <c r="AM59" s="139"/>
      <c r="AN59" s="140" t="n">
        <v>17</v>
      </c>
      <c r="AO59" s="177" t="n">
        <v>0.4</v>
      </c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41" t="n">
        <v>38565</v>
      </c>
      <c r="BG59" s="179" t="n">
        <v>0.75</v>
      </c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20"/>
      <c r="CG59" s="151"/>
      <c r="CH59" s="151"/>
      <c r="CI59" s="151"/>
      <c r="CK59" s="200"/>
      <c r="CL59" s="200"/>
      <c r="CM59" s="180"/>
      <c r="CN59" s="0"/>
      <c r="CO59" s="0"/>
      <c r="CP59" s="0"/>
      <c r="CQ59" s="0"/>
      <c r="CR59" s="0"/>
      <c r="CW59" s="181" t="n">
        <f aca="false">K59</f>
        <v>38565</v>
      </c>
      <c r="CX59" s="182" t="n">
        <f aca="false">AF59</f>
        <v>0.48</v>
      </c>
      <c r="CY59" s="182" t="n">
        <f aca="false">AG59</f>
        <v>0.6</v>
      </c>
      <c r="CZ59" s="182" t="n">
        <f aca="false">AH59</f>
        <v>0.72</v>
      </c>
      <c r="DB59" s="182" t="n">
        <f aca="false">X59</f>
        <v>0.24</v>
      </c>
      <c r="DC59" s="182" t="n">
        <f aca="false">Y59</f>
        <v>0.3</v>
      </c>
      <c r="DD59" s="182" t="n">
        <f aca="false">Z59</f>
        <v>0.36</v>
      </c>
      <c r="DF59" s="181" t="n">
        <f aca="false">BF59</f>
        <v>38565</v>
      </c>
      <c r="DG59" s="133" t="n">
        <f aca="false">BG59</f>
        <v>0.75</v>
      </c>
      <c r="DJ59" s="181" t="n">
        <f aca="false">CW59</f>
        <v>38565</v>
      </c>
      <c r="DK59" s="182" t="n">
        <f aca="false">AJ59</f>
        <v>0.288</v>
      </c>
      <c r="DL59" s="182" t="n">
        <f aca="false">AK59</f>
        <v>0.36</v>
      </c>
      <c r="DM59" s="182" t="n">
        <f aca="false">AL59</f>
        <v>0.432</v>
      </c>
      <c r="DO59" s="182" t="n">
        <f aca="false">AB59</f>
        <v>0.12</v>
      </c>
      <c r="DP59" s="182" t="n">
        <f aca="false">AC59</f>
        <v>0.15</v>
      </c>
      <c r="DQ59" s="182" t="n">
        <f aca="false">AD59</f>
        <v>0.18</v>
      </c>
    </row>
    <row r="60" customFormat="false" ht="12.75" hidden="false" customHeight="false" outlineLevel="0" collapsed="false">
      <c r="A60" s="133"/>
      <c r="B60" s="174" t="n">
        <v>37712</v>
      </c>
      <c r="C60" s="175" t="n">
        <v>30.7976715087891</v>
      </c>
      <c r="D60" s="175" t="n">
        <v>31.8476715087891</v>
      </c>
      <c r="E60" s="175" t="n">
        <v>32.8976715087891</v>
      </c>
      <c r="F60" s="159"/>
      <c r="G60" s="175" t="n">
        <v>17.3899993896484</v>
      </c>
      <c r="H60" s="175" t="n">
        <v>17.3899993896484</v>
      </c>
      <c r="I60" s="175" t="n">
        <v>17.3899993896484</v>
      </c>
      <c r="J60" s="140"/>
      <c r="K60" s="141" t="n">
        <v>38596</v>
      </c>
      <c r="L60" s="176" t="n">
        <v>25.2900009155273</v>
      </c>
      <c r="M60" s="176" t="n">
        <v>25.2900009155273</v>
      </c>
      <c r="N60" s="176" t="n">
        <v>25.2900009155273</v>
      </c>
      <c r="O60" s="139"/>
      <c r="P60" s="176" t="n">
        <v>19.7900009155273</v>
      </c>
      <c r="Q60" s="176" t="n">
        <v>19.7900009155273</v>
      </c>
      <c r="R60" s="176" t="n">
        <v>19.7900009155273</v>
      </c>
      <c r="S60" s="139"/>
      <c r="T60" s="176" t="n">
        <v>0</v>
      </c>
      <c r="U60" s="176" t="n">
        <v>0</v>
      </c>
      <c r="V60" s="176" t="n">
        <v>0</v>
      </c>
      <c r="W60" s="139"/>
      <c r="X60" s="176" t="n">
        <v>0.24</v>
      </c>
      <c r="Y60" s="176" t="n">
        <v>0.3</v>
      </c>
      <c r="Z60" s="176" t="n">
        <v>0.36</v>
      </c>
      <c r="AA60" s="139"/>
      <c r="AB60" s="176" t="n">
        <v>0.12</v>
      </c>
      <c r="AC60" s="176" t="n">
        <v>0.15</v>
      </c>
      <c r="AD60" s="176" t="n">
        <v>0.18</v>
      </c>
      <c r="AE60" s="139"/>
      <c r="AF60" s="176" t="n">
        <v>0.48</v>
      </c>
      <c r="AG60" s="176" t="n">
        <v>0.6</v>
      </c>
      <c r="AH60" s="176" t="n">
        <v>0.72</v>
      </c>
      <c r="AI60" s="139"/>
      <c r="AJ60" s="176" t="n">
        <v>0.288</v>
      </c>
      <c r="AK60" s="176" t="n">
        <v>0.36</v>
      </c>
      <c r="AL60" s="176" t="n">
        <v>0.432</v>
      </c>
      <c r="AM60" s="139"/>
      <c r="AN60" s="140" t="n">
        <v>17</v>
      </c>
      <c r="AO60" s="177" t="n">
        <v>0.4</v>
      </c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41" t="n">
        <v>38596</v>
      </c>
      <c r="BG60" s="179" t="n">
        <v>0.75</v>
      </c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20"/>
      <c r="CG60" s="167"/>
      <c r="CH60" s="167"/>
      <c r="CI60" s="167"/>
      <c r="CK60" s="200"/>
      <c r="CL60" s="200"/>
      <c r="CM60" s="180"/>
      <c r="CN60" s="0"/>
      <c r="CO60" s="0"/>
      <c r="CP60" s="0"/>
      <c r="CQ60" s="0"/>
      <c r="CR60" s="0"/>
      <c r="CW60" s="181" t="n">
        <f aca="false">K60</f>
        <v>38596</v>
      </c>
      <c r="CX60" s="182" t="n">
        <f aca="false">AF60</f>
        <v>0.48</v>
      </c>
      <c r="CY60" s="182" t="n">
        <f aca="false">AG60</f>
        <v>0.6</v>
      </c>
      <c r="CZ60" s="182" t="n">
        <f aca="false">AH60</f>
        <v>0.72</v>
      </c>
      <c r="DB60" s="182" t="n">
        <f aca="false">X60</f>
        <v>0.24</v>
      </c>
      <c r="DC60" s="182" t="n">
        <f aca="false">Y60</f>
        <v>0.3</v>
      </c>
      <c r="DD60" s="182" t="n">
        <f aca="false">Z60</f>
        <v>0.36</v>
      </c>
      <c r="DF60" s="181" t="n">
        <f aca="false">BF60</f>
        <v>38596</v>
      </c>
      <c r="DG60" s="133" t="n">
        <f aca="false">BG60</f>
        <v>0.75</v>
      </c>
      <c r="DJ60" s="181" t="n">
        <f aca="false">CW60</f>
        <v>38596</v>
      </c>
      <c r="DK60" s="182" t="n">
        <f aca="false">AJ60</f>
        <v>0.288</v>
      </c>
      <c r="DL60" s="182" t="n">
        <f aca="false">AK60</f>
        <v>0.36</v>
      </c>
      <c r="DM60" s="182" t="n">
        <f aca="false">AL60</f>
        <v>0.432</v>
      </c>
      <c r="DO60" s="182" t="n">
        <f aca="false">AB60</f>
        <v>0.12</v>
      </c>
      <c r="DP60" s="182" t="n">
        <f aca="false">AC60</f>
        <v>0.15</v>
      </c>
      <c r="DQ60" s="182" t="n">
        <f aca="false">AD60</f>
        <v>0.18</v>
      </c>
    </row>
    <row r="61" customFormat="false" ht="12.75" hidden="false" customHeight="false" outlineLevel="0" collapsed="false">
      <c r="A61" s="133"/>
      <c r="B61" s="174" t="n">
        <v>37742</v>
      </c>
      <c r="C61" s="175" t="n">
        <v>32.575</v>
      </c>
      <c r="D61" s="175" t="n">
        <v>34.375</v>
      </c>
      <c r="E61" s="175" t="n">
        <v>36.175</v>
      </c>
      <c r="F61" s="159"/>
      <c r="G61" s="175" t="n">
        <v>17.9300003051758</v>
      </c>
      <c r="H61" s="175" t="n">
        <v>17.9300003051758</v>
      </c>
      <c r="I61" s="175" t="n">
        <v>17.9300003051758</v>
      </c>
      <c r="J61" s="140"/>
      <c r="K61" s="141" t="n">
        <v>38626</v>
      </c>
      <c r="L61" s="176" t="n">
        <v>20.2860012054443</v>
      </c>
      <c r="M61" s="176" t="n">
        <v>20.2860012054443</v>
      </c>
      <c r="N61" s="176" t="n">
        <v>20.2860012054443</v>
      </c>
      <c r="O61" s="139"/>
      <c r="P61" s="176" t="n">
        <v>14.7865009307861</v>
      </c>
      <c r="Q61" s="176" t="n">
        <v>14.7865009307861</v>
      </c>
      <c r="R61" s="176" t="n">
        <v>14.7865009307861</v>
      </c>
      <c r="S61" s="139"/>
      <c r="T61" s="176" t="n">
        <v>0</v>
      </c>
      <c r="U61" s="176" t="n">
        <v>0</v>
      </c>
      <c r="V61" s="176" t="n">
        <v>0</v>
      </c>
      <c r="W61" s="139"/>
      <c r="X61" s="176" t="n">
        <v>0.16</v>
      </c>
      <c r="Y61" s="176" t="n">
        <v>0.2</v>
      </c>
      <c r="Z61" s="176" t="n">
        <v>0.24</v>
      </c>
      <c r="AA61" s="139"/>
      <c r="AB61" s="176" t="n">
        <v>0.08</v>
      </c>
      <c r="AC61" s="176" t="n">
        <v>0.1</v>
      </c>
      <c r="AD61" s="176" t="n">
        <v>0.12</v>
      </c>
      <c r="AE61" s="139"/>
      <c r="AF61" s="176" t="n">
        <v>0.28</v>
      </c>
      <c r="AG61" s="176" t="n">
        <v>0.35</v>
      </c>
      <c r="AH61" s="176" t="n">
        <v>0.42</v>
      </c>
      <c r="AI61" s="139"/>
      <c r="AJ61" s="176" t="n">
        <v>0.168</v>
      </c>
      <c r="AK61" s="176" t="n">
        <v>0.21</v>
      </c>
      <c r="AL61" s="176" t="n">
        <v>0.252</v>
      </c>
      <c r="AM61" s="139"/>
      <c r="AN61" s="140" t="n">
        <v>18</v>
      </c>
      <c r="AO61" s="177" t="n">
        <v>0.4</v>
      </c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41" t="n">
        <v>38626</v>
      </c>
      <c r="BG61" s="179" t="n">
        <v>0.75</v>
      </c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20"/>
      <c r="CG61" s="167"/>
      <c r="CH61" s="167"/>
      <c r="CI61" s="167"/>
      <c r="CK61" s="200"/>
      <c r="CL61" s="200"/>
      <c r="CM61" s="180"/>
      <c r="CN61" s="0"/>
      <c r="CO61" s="0"/>
      <c r="CP61" s="0"/>
      <c r="CQ61" s="0"/>
      <c r="CR61" s="0"/>
      <c r="CW61" s="181" t="n">
        <f aca="false">K61</f>
        <v>38626</v>
      </c>
      <c r="CX61" s="182" t="n">
        <f aca="false">AF61</f>
        <v>0.28</v>
      </c>
      <c r="CY61" s="182" t="n">
        <f aca="false">AG61</f>
        <v>0.35</v>
      </c>
      <c r="CZ61" s="182" t="n">
        <f aca="false">AH61</f>
        <v>0.42</v>
      </c>
      <c r="DB61" s="182" t="n">
        <f aca="false">X61</f>
        <v>0.16</v>
      </c>
      <c r="DC61" s="182" t="n">
        <f aca="false">Y61</f>
        <v>0.2</v>
      </c>
      <c r="DD61" s="182" t="n">
        <f aca="false">Z61</f>
        <v>0.24</v>
      </c>
      <c r="DF61" s="181" t="n">
        <f aca="false">BF61</f>
        <v>38626</v>
      </c>
      <c r="DG61" s="133" t="n">
        <f aca="false">BG61</f>
        <v>0.75</v>
      </c>
      <c r="DJ61" s="181" t="n">
        <f aca="false">CW61</f>
        <v>38626</v>
      </c>
      <c r="DK61" s="182" t="n">
        <f aca="false">AJ61</f>
        <v>0.168</v>
      </c>
      <c r="DL61" s="182" t="n">
        <f aca="false">AK61</f>
        <v>0.21</v>
      </c>
      <c r="DM61" s="182" t="n">
        <f aca="false">AL61</f>
        <v>0.252</v>
      </c>
      <c r="DO61" s="182" t="n">
        <f aca="false">AB61</f>
        <v>0.08</v>
      </c>
      <c r="DP61" s="182" t="n">
        <f aca="false">AC61</f>
        <v>0.1</v>
      </c>
      <c r="DQ61" s="182" t="n">
        <f aca="false">AD61</f>
        <v>0.12</v>
      </c>
    </row>
    <row r="62" customFormat="false" ht="12.75" hidden="false" customHeight="false" outlineLevel="0" collapsed="false">
      <c r="A62" s="133"/>
      <c r="B62" s="174" t="n">
        <v>37773</v>
      </c>
      <c r="C62" s="175" t="n">
        <v>39</v>
      </c>
      <c r="D62" s="175" t="n">
        <v>43</v>
      </c>
      <c r="E62" s="175" t="n">
        <v>47</v>
      </c>
      <c r="F62" s="159"/>
      <c r="G62" s="175" t="n">
        <v>20.1800003051758</v>
      </c>
      <c r="H62" s="175" t="n">
        <v>20.1800003051758</v>
      </c>
      <c r="I62" s="175" t="n">
        <v>20.1800003051758</v>
      </c>
      <c r="J62" s="140"/>
      <c r="K62" s="141" t="n">
        <v>38657</v>
      </c>
      <c r="L62" s="176" t="n">
        <v>22.2900009155273</v>
      </c>
      <c r="M62" s="176" t="n">
        <v>22.2900009155273</v>
      </c>
      <c r="N62" s="176" t="n">
        <v>22.2900009155273</v>
      </c>
      <c r="O62" s="139"/>
      <c r="P62" s="176" t="n">
        <v>14.7900009155273</v>
      </c>
      <c r="Q62" s="176" t="n">
        <v>14.7900009155273</v>
      </c>
      <c r="R62" s="176" t="n">
        <v>14.7900009155273</v>
      </c>
      <c r="S62" s="139"/>
      <c r="T62" s="176" t="n">
        <v>0</v>
      </c>
      <c r="U62" s="176" t="n">
        <v>0</v>
      </c>
      <c r="V62" s="176" t="n">
        <v>0</v>
      </c>
      <c r="W62" s="139"/>
      <c r="X62" s="176" t="n">
        <v>0.16</v>
      </c>
      <c r="Y62" s="176" t="n">
        <v>0.2</v>
      </c>
      <c r="Z62" s="176" t="n">
        <v>0.24</v>
      </c>
      <c r="AA62" s="139"/>
      <c r="AB62" s="176" t="n">
        <v>0.08</v>
      </c>
      <c r="AC62" s="176" t="n">
        <v>0.1</v>
      </c>
      <c r="AD62" s="176" t="n">
        <v>0.12</v>
      </c>
      <c r="AE62" s="139"/>
      <c r="AF62" s="176" t="n">
        <v>0.28</v>
      </c>
      <c r="AG62" s="176" t="n">
        <v>0.35</v>
      </c>
      <c r="AH62" s="176" t="n">
        <v>0.42</v>
      </c>
      <c r="AI62" s="139"/>
      <c r="AJ62" s="176" t="n">
        <v>0.168</v>
      </c>
      <c r="AK62" s="176" t="n">
        <v>0.21</v>
      </c>
      <c r="AL62" s="176" t="n">
        <v>0.252</v>
      </c>
      <c r="AM62" s="139"/>
      <c r="AN62" s="140" t="n">
        <v>18</v>
      </c>
      <c r="AO62" s="177" t="n">
        <v>0.4</v>
      </c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41" t="n">
        <v>38657</v>
      </c>
      <c r="BG62" s="179" t="n">
        <v>0.75</v>
      </c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20"/>
      <c r="CG62" s="167"/>
      <c r="CH62" s="167"/>
      <c r="CI62" s="167"/>
      <c r="CK62" s="200"/>
      <c r="CL62" s="200"/>
      <c r="CM62" s="180"/>
      <c r="CN62" s="0"/>
      <c r="CO62" s="0"/>
      <c r="CP62" s="0"/>
      <c r="CQ62" s="0"/>
      <c r="CR62" s="0"/>
      <c r="CW62" s="181" t="n">
        <f aca="false">K62</f>
        <v>38657</v>
      </c>
      <c r="CX62" s="182" t="n">
        <f aca="false">AF62</f>
        <v>0.28</v>
      </c>
      <c r="CY62" s="182" t="n">
        <f aca="false">AG62</f>
        <v>0.35</v>
      </c>
      <c r="CZ62" s="182" t="n">
        <f aca="false">AH62</f>
        <v>0.42</v>
      </c>
      <c r="DB62" s="182" t="n">
        <f aca="false">X62</f>
        <v>0.16</v>
      </c>
      <c r="DC62" s="182" t="n">
        <f aca="false">Y62</f>
        <v>0.2</v>
      </c>
      <c r="DD62" s="182" t="n">
        <f aca="false">Z62</f>
        <v>0.24</v>
      </c>
      <c r="DF62" s="181" t="n">
        <f aca="false">BF62</f>
        <v>38657</v>
      </c>
      <c r="DG62" s="133" t="n">
        <f aca="false">BG62</f>
        <v>0.75</v>
      </c>
      <c r="DJ62" s="181" t="n">
        <f aca="false">CW62</f>
        <v>38657</v>
      </c>
      <c r="DK62" s="182" t="n">
        <f aca="false">AJ62</f>
        <v>0.168</v>
      </c>
      <c r="DL62" s="182" t="n">
        <f aca="false">AK62</f>
        <v>0.21</v>
      </c>
      <c r="DM62" s="182" t="n">
        <f aca="false">AL62</f>
        <v>0.252</v>
      </c>
      <c r="DO62" s="182" t="n">
        <f aca="false">AB62</f>
        <v>0.08</v>
      </c>
      <c r="DP62" s="182" t="n">
        <f aca="false">AC62</f>
        <v>0.1</v>
      </c>
      <c r="DQ62" s="182" t="n">
        <f aca="false">AD62</f>
        <v>0.12</v>
      </c>
    </row>
    <row r="63" customFormat="false" ht="12.75" hidden="false" customHeight="false" outlineLevel="0" collapsed="false">
      <c r="A63" s="133"/>
      <c r="B63" s="174" t="n">
        <v>37803</v>
      </c>
      <c r="C63" s="175" t="n">
        <v>46.25</v>
      </c>
      <c r="D63" s="175" t="n">
        <v>52.25</v>
      </c>
      <c r="E63" s="175" t="n">
        <v>58.25</v>
      </c>
      <c r="F63" s="159"/>
      <c r="G63" s="175" t="n">
        <v>20.6800003051758</v>
      </c>
      <c r="H63" s="175" t="n">
        <v>20.6800003051758</v>
      </c>
      <c r="I63" s="175" t="n">
        <v>20.6800003051758</v>
      </c>
      <c r="J63" s="140"/>
      <c r="K63" s="141" t="n">
        <v>38687</v>
      </c>
      <c r="L63" s="176" t="n">
        <v>27.2900009155273</v>
      </c>
      <c r="M63" s="176" t="n">
        <v>27.2900009155273</v>
      </c>
      <c r="N63" s="176" t="n">
        <v>27.2900009155273</v>
      </c>
      <c r="O63" s="139"/>
      <c r="P63" s="176" t="n">
        <v>21.7900009155273</v>
      </c>
      <c r="Q63" s="176" t="n">
        <v>21.7900009155273</v>
      </c>
      <c r="R63" s="176" t="n">
        <v>21.7900009155273</v>
      </c>
      <c r="S63" s="139"/>
      <c r="T63" s="176" t="n">
        <v>0</v>
      </c>
      <c r="U63" s="176" t="n">
        <v>0</v>
      </c>
      <c r="V63" s="176" t="n">
        <v>0</v>
      </c>
      <c r="W63" s="139"/>
      <c r="X63" s="176" t="n">
        <v>0.16</v>
      </c>
      <c r="Y63" s="176" t="n">
        <v>0.2</v>
      </c>
      <c r="Z63" s="176" t="n">
        <v>0.24</v>
      </c>
      <c r="AA63" s="139"/>
      <c r="AB63" s="176" t="n">
        <v>0.08</v>
      </c>
      <c r="AC63" s="176" t="n">
        <v>0.1</v>
      </c>
      <c r="AD63" s="176" t="n">
        <v>0.12</v>
      </c>
      <c r="AE63" s="139"/>
      <c r="AF63" s="176" t="n">
        <v>0.28</v>
      </c>
      <c r="AG63" s="176" t="n">
        <v>0.35</v>
      </c>
      <c r="AH63" s="176" t="n">
        <v>0.42</v>
      </c>
      <c r="AI63" s="139"/>
      <c r="AJ63" s="176" t="n">
        <v>0.168</v>
      </c>
      <c r="AK63" s="176" t="n">
        <v>0.21</v>
      </c>
      <c r="AL63" s="176" t="n">
        <v>0.252</v>
      </c>
      <c r="AM63" s="139"/>
      <c r="AN63" s="140" t="n">
        <v>18</v>
      </c>
      <c r="AO63" s="177" t="n">
        <v>0.4</v>
      </c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41" t="n">
        <v>38687</v>
      </c>
      <c r="BG63" s="179" t="n">
        <v>0.75</v>
      </c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20"/>
      <c r="CG63" s="167"/>
      <c r="CH63" s="167"/>
      <c r="CI63" s="167"/>
      <c r="CK63" s="200"/>
      <c r="CL63" s="200"/>
      <c r="CM63" s="180"/>
      <c r="CN63" s="0"/>
      <c r="CO63" s="0"/>
      <c r="CP63" s="0"/>
      <c r="CQ63" s="0"/>
      <c r="CR63" s="0"/>
      <c r="CW63" s="181" t="n">
        <f aca="false">K63</f>
        <v>38687</v>
      </c>
      <c r="CX63" s="182" t="n">
        <f aca="false">AF63</f>
        <v>0.28</v>
      </c>
      <c r="CY63" s="182" t="n">
        <f aca="false">AG63</f>
        <v>0.35</v>
      </c>
      <c r="CZ63" s="182" t="n">
        <f aca="false">AH63</f>
        <v>0.42</v>
      </c>
      <c r="DB63" s="182" t="n">
        <f aca="false">X63</f>
        <v>0.16</v>
      </c>
      <c r="DC63" s="182" t="n">
        <f aca="false">Y63</f>
        <v>0.2</v>
      </c>
      <c r="DD63" s="182" t="n">
        <f aca="false">Z63</f>
        <v>0.24</v>
      </c>
      <c r="DF63" s="181" t="n">
        <f aca="false">BF63</f>
        <v>38687</v>
      </c>
      <c r="DG63" s="133" t="n">
        <f aca="false">BG63</f>
        <v>0.75</v>
      </c>
      <c r="DJ63" s="181" t="n">
        <f aca="false">CW63</f>
        <v>38687</v>
      </c>
      <c r="DK63" s="182" t="n">
        <f aca="false">AJ63</f>
        <v>0.168</v>
      </c>
      <c r="DL63" s="182" t="n">
        <f aca="false">AK63</f>
        <v>0.21</v>
      </c>
      <c r="DM63" s="182" t="n">
        <f aca="false">AL63</f>
        <v>0.252</v>
      </c>
      <c r="DO63" s="182" t="n">
        <f aca="false">AB63</f>
        <v>0.08</v>
      </c>
      <c r="DP63" s="182" t="n">
        <f aca="false">AC63</f>
        <v>0.1</v>
      </c>
      <c r="DQ63" s="182" t="n">
        <f aca="false">AD63</f>
        <v>0.12</v>
      </c>
    </row>
    <row r="64" customFormat="false" ht="12.75" hidden="false" customHeight="false" outlineLevel="0" collapsed="false">
      <c r="A64" s="133"/>
      <c r="B64" s="174" t="n">
        <v>37834</v>
      </c>
      <c r="C64" s="175" t="n">
        <v>46.25</v>
      </c>
      <c r="D64" s="175" t="n">
        <v>52.25</v>
      </c>
      <c r="E64" s="175" t="n">
        <v>58.25</v>
      </c>
      <c r="F64" s="159"/>
      <c r="G64" s="175" t="n">
        <v>21.6800003051758</v>
      </c>
      <c r="H64" s="175" t="n">
        <v>21.6800003051758</v>
      </c>
      <c r="I64" s="175" t="n">
        <v>21.6800003051758</v>
      </c>
      <c r="J64" s="140"/>
      <c r="K64" s="141" t="n">
        <v>38718</v>
      </c>
      <c r="L64" s="176" t="n">
        <v>35.75</v>
      </c>
      <c r="M64" s="176" t="n">
        <v>35.75</v>
      </c>
      <c r="N64" s="176" t="n">
        <v>35.75</v>
      </c>
      <c r="O64" s="139"/>
      <c r="P64" s="176" t="n">
        <v>25.25</v>
      </c>
      <c r="Q64" s="176" t="n">
        <v>25.25</v>
      </c>
      <c r="R64" s="176" t="n">
        <v>25.25</v>
      </c>
      <c r="S64" s="139"/>
      <c r="T64" s="176" t="n">
        <v>0</v>
      </c>
      <c r="U64" s="176" t="n">
        <v>0</v>
      </c>
      <c r="V64" s="176" t="n">
        <v>0</v>
      </c>
      <c r="W64" s="139"/>
      <c r="X64" s="176" t="n">
        <v>0.16</v>
      </c>
      <c r="Y64" s="176" t="n">
        <v>0.2</v>
      </c>
      <c r="Z64" s="176" t="n">
        <v>0.24</v>
      </c>
      <c r="AA64" s="139"/>
      <c r="AB64" s="176" t="n">
        <v>0.08</v>
      </c>
      <c r="AC64" s="176" t="n">
        <v>0.1</v>
      </c>
      <c r="AD64" s="176" t="n">
        <v>0.12</v>
      </c>
      <c r="AE64" s="139"/>
      <c r="AF64" s="176" t="n">
        <v>0.28</v>
      </c>
      <c r="AG64" s="176" t="n">
        <v>0.35</v>
      </c>
      <c r="AH64" s="176" t="n">
        <v>0.42</v>
      </c>
      <c r="AI64" s="139"/>
      <c r="AJ64" s="176" t="n">
        <v>0.168</v>
      </c>
      <c r="AK64" s="176" t="n">
        <v>0.21</v>
      </c>
      <c r="AL64" s="176" t="n">
        <v>0.252</v>
      </c>
      <c r="AM64" s="139"/>
      <c r="AN64" s="140" t="n">
        <v>19</v>
      </c>
      <c r="AO64" s="177" t="n">
        <v>0.4</v>
      </c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41" t="n">
        <v>38718</v>
      </c>
      <c r="BG64" s="179" t="n">
        <v>0.75</v>
      </c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20"/>
      <c r="CG64" s="167"/>
      <c r="CH64" s="167"/>
      <c r="CI64" s="167"/>
      <c r="CK64" s="200"/>
      <c r="CL64" s="200"/>
      <c r="CM64" s="180"/>
      <c r="CN64" s="0"/>
      <c r="CO64" s="0"/>
      <c r="CP64" s="0"/>
      <c r="CQ64" s="0"/>
      <c r="CR64" s="0"/>
      <c r="CW64" s="181" t="n">
        <f aca="false">K64</f>
        <v>38718</v>
      </c>
      <c r="CX64" s="182" t="n">
        <f aca="false">AF64</f>
        <v>0.28</v>
      </c>
      <c r="CY64" s="182" t="n">
        <f aca="false">AG64</f>
        <v>0.35</v>
      </c>
      <c r="CZ64" s="182" t="n">
        <f aca="false">AH64</f>
        <v>0.42</v>
      </c>
      <c r="DB64" s="182" t="n">
        <f aca="false">X64</f>
        <v>0.16</v>
      </c>
      <c r="DC64" s="182" t="n">
        <f aca="false">Y64</f>
        <v>0.2</v>
      </c>
      <c r="DD64" s="182" t="n">
        <f aca="false">Z64</f>
        <v>0.24</v>
      </c>
      <c r="DF64" s="181" t="n">
        <f aca="false">BF64</f>
        <v>38718</v>
      </c>
      <c r="DG64" s="133" t="n">
        <f aca="false">BG64</f>
        <v>0.75</v>
      </c>
      <c r="DJ64" s="181" t="n">
        <f aca="false">CW64</f>
        <v>38718</v>
      </c>
      <c r="DK64" s="182" t="n">
        <f aca="false">AJ64</f>
        <v>0.168</v>
      </c>
      <c r="DL64" s="182" t="n">
        <f aca="false">AK64</f>
        <v>0.21</v>
      </c>
      <c r="DM64" s="182" t="n">
        <f aca="false">AL64</f>
        <v>0.252</v>
      </c>
      <c r="DO64" s="182" t="n">
        <f aca="false">AB64</f>
        <v>0.08</v>
      </c>
      <c r="DP64" s="182" t="n">
        <f aca="false">AC64</f>
        <v>0.1</v>
      </c>
      <c r="DQ64" s="182" t="n">
        <f aca="false">AD64</f>
        <v>0.12</v>
      </c>
    </row>
    <row r="65" customFormat="false" ht="12.75" hidden="false" customHeight="false" outlineLevel="0" collapsed="false">
      <c r="A65" s="133"/>
      <c r="B65" s="174" t="n">
        <v>37865</v>
      </c>
      <c r="C65" s="175" t="n">
        <v>26.9</v>
      </c>
      <c r="D65" s="175" t="n">
        <v>29.5</v>
      </c>
      <c r="E65" s="175" t="n">
        <v>32.1</v>
      </c>
      <c r="F65" s="159"/>
      <c r="G65" s="175" t="n">
        <v>15.6800003051758</v>
      </c>
      <c r="H65" s="175" t="n">
        <v>15.6800003051758</v>
      </c>
      <c r="I65" s="175" t="n">
        <v>15.6800003051758</v>
      </c>
      <c r="J65" s="140"/>
      <c r="K65" s="141" t="n">
        <v>38749</v>
      </c>
      <c r="L65" s="176" t="n">
        <v>31.2460021972656</v>
      </c>
      <c r="M65" s="176" t="n">
        <v>31.2460021972656</v>
      </c>
      <c r="N65" s="176" t="n">
        <v>31.2460021972656</v>
      </c>
      <c r="O65" s="139"/>
      <c r="P65" s="176" t="n">
        <v>22.7465019226074</v>
      </c>
      <c r="Q65" s="176" t="n">
        <v>22.7465019226074</v>
      </c>
      <c r="R65" s="176" t="n">
        <v>22.7465019226074</v>
      </c>
      <c r="S65" s="139"/>
      <c r="T65" s="176" t="n">
        <v>0</v>
      </c>
      <c r="U65" s="176" t="n">
        <v>0</v>
      </c>
      <c r="V65" s="176" t="n">
        <v>0</v>
      </c>
      <c r="W65" s="139"/>
      <c r="X65" s="176" t="n">
        <v>0.16</v>
      </c>
      <c r="Y65" s="176" t="n">
        <v>0.2</v>
      </c>
      <c r="Z65" s="176" t="n">
        <v>0.24</v>
      </c>
      <c r="AA65" s="139"/>
      <c r="AB65" s="176" t="n">
        <v>0.08</v>
      </c>
      <c r="AC65" s="176" t="n">
        <v>0.1</v>
      </c>
      <c r="AD65" s="176" t="n">
        <v>0.12</v>
      </c>
      <c r="AE65" s="139"/>
      <c r="AF65" s="176" t="n">
        <v>0.28</v>
      </c>
      <c r="AG65" s="176" t="n">
        <v>0.35</v>
      </c>
      <c r="AH65" s="176" t="n">
        <v>0.42</v>
      </c>
      <c r="AI65" s="139"/>
      <c r="AJ65" s="176" t="n">
        <v>0.168</v>
      </c>
      <c r="AK65" s="176" t="n">
        <v>0.21</v>
      </c>
      <c r="AL65" s="176" t="n">
        <v>0.252</v>
      </c>
      <c r="AM65" s="139"/>
      <c r="AN65" s="140" t="n">
        <v>19</v>
      </c>
      <c r="AO65" s="177" t="n">
        <v>0.4</v>
      </c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41" t="n">
        <v>38749</v>
      </c>
      <c r="BG65" s="179" t="n">
        <v>0.75</v>
      </c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20"/>
      <c r="CG65" s="167"/>
      <c r="CH65" s="167"/>
      <c r="CI65" s="167"/>
      <c r="CK65" s="200"/>
      <c r="CL65" s="200"/>
      <c r="CM65" s="180"/>
      <c r="CN65" s="0"/>
      <c r="CO65" s="0"/>
      <c r="CP65" s="0"/>
      <c r="CQ65" s="0"/>
      <c r="CR65" s="0"/>
      <c r="CW65" s="181" t="n">
        <f aca="false">K65</f>
        <v>38749</v>
      </c>
      <c r="CX65" s="182" t="n">
        <f aca="false">AF65</f>
        <v>0.28</v>
      </c>
      <c r="CY65" s="182" t="n">
        <f aca="false">AG65</f>
        <v>0.35</v>
      </c>
      <c r="CZ65" s="182" t="n">
        <f aca="false">AH65</f>
        <v>0.42</v>
      </c>
      <c r="DB65" s="182" t="n">
        <f aca="false">X65</f>
        <v>0.16</v>
      </c>
      <c r="DC65" s="182" t="n">
        <f aca="false">Y65</f>
        <v>0.2</v>
      </c>
      <c r="DD65" s="182" t="n">
        <f aca="false">Z65</f>
        <v>0.24</v>
      </c>
      <c r="DF65" s="181" t="n">
        <f aca="false">BF65</f>
        <v>38749</v>
      </c>
      <c r="DG65" s="133" t="n">
        <f aca="false">BG65</f>
        <v>0.75</v>
      </c>
      <c r="DJ65" s="181" t="n">
        <f aca="false">CW65</f>
        <v>38749</v>
      </c>
      <c r="DK65" s="182" t="n">
        <f aca="false">AJ65</f>
        <v>0.168</v>
      </c>
      <c r="DL65" s="182" t="n">
        <f aca="false">AK65</f>
        <v>0.21</v>
      </c>
      <c r="DM65" s="182" t="n">
        <f aca="false">AL65</f>
        <v>0.252</v>
      </c>
      <c r="DO65" s="182" t="n">
        <f aca="false">AB65</f>
        <v>0.08</v>
      </c>
      <c r="DP65" s="182" t="n">
        <f aca="false">AC65</f>
        <v>0.1</v>
      </c>
      <c r="DQ65" s="182" t="n">
        <f aca="false">AD65</f>
        <v>0.12</v>
      </c>
    </row>
    <row r="66" customFormat="false" ht="12.75" hidden="false" customHeight="false" outlineLevel="0" collapsed="false">
      <c r="A66" s="133"/>
      <c r="B66" s="174" t="n">
        <v>37895</v>
      </c>
      <c r="C66" s="175" t="n">
        <v>29.3015636444092</v>
      </c>
      <c r="D66" s="175" t="n">
        <v>30.1515636444092</v>
      </c>
      <c r="E66" s="175" t="n">
        <v>31.0015636444092</v>
      </c>
      <c r="F66" s="159"/>
      <c r="G66" s="175" t="n">
        <v>15.1800022125244</v>
      </c>
      <c r="H66" s="175" t="n">
        <v>15.1800022125244</v>
      </c>
      <c r="I66" s="175" t="n">
        <v>15.1800022125244</v>
      </c>
      <c r="J66" s="140"/>
      <c r="K66" s="141" t="n">
        <v>38777</v>
      </c>
      <c r="L66" s="176" t="n">
        <v>25.5</v>
      </c>
      <c r="M66" s="176" t="n">
        <v>25.5</v>
      </c>
      <c r="N66" s="176" t="n">
        <v>25.5</v>
      </c>
      <c r="O66" s="139"/>
      <c r="P66" s="176" t="n">
        <v>20</v>
      </c>
      <c r="Q66" s="176" t="n">
        <v>20</v>
      </c>
      <c r="R66" s="176" t="n">
        <v>20</v>
      </c>
      <c r="S66" s="139"/>
      <c r="T66" s="176" t="n">
        <v>0</v>
      </c>
      <c r="U66" s="176" t="n">
        <v>0</v>
      </c>
      <c r="V66" s="176" t="n">
        <v>0</v>
      </c>
      <c r="W66" s="139"/>
      <c r="X66" s="176" t="n">
        <v>0.16</v>
      </c>
      <c r="Y66" s="176" t="n">
        <v>0.2</v>
      </c>
      <c r="Z66" s="176" t="n">
        <v>0.24</v>
      </c>
      <c r="AA66" s="139"/>
      <c r="AB66" s="176" t="n">
        <v>0.08</v>
      </c>
      <c r="AC66" s="176" t="n">
        <v>0.1</v>
      </c>
      <c r="AD66" s="176" t="n">
        <v>0.12</v>
      </c>
      <c r="AE66" s="139"/>
      <c r="AF66" s="176" t="n">
        <v>0.28</v>
      </c>
      <c r="AG66" s="176" t="n">
        <v>0.35</v>
      </c>
      <c r="AH66" s="176" t="n">
        <v>0.42</v>
      </c>
      <c r="AI66" s="139"/>
      <c r="AJ66" s="176" t="n">
        <v>0.168</v>
      </c>
      <c r="AK66" s="176" t="n">
        <v>0.21</v>
      </c>
      <c r="AL66" s="176" t="n">
        <v>0.252</v>
      </c>
      <c r="AM66" s="139"/>
      <c r="AN66" s="140" t="n">
        <v>19</v>
      </c>
      <c r="AO66" s="177" t="n">
        <v>0.4</v>
      </c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41" t="n">
        <v>38777</v>
      </c>
      <c r="BG66" s="179" t="n">
        <v>0.75</v>
      </c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20"/>
      <c r="CG66" s="167"/>
      <c r="CH66" s="167"/>
      <c r="CI66" s="167"/>
      <c r="CK66" s="200"/>
      <c r="CL66" s="200"/>
      <c r="CM66" s="180"/>
      <c r="CN66" s="0"/>
      <c r="CO66" s="0"/>
      <c r="CP66" s="0"/>
      <c r="CQ66" s="0"/>
      <c r="CR66" s="0"/>
      <c r="CW66" s="181" t="n">
        <f aca="false">K66</f>
        <v>38777</v>
      </c>
      <c r="CX66" s="182" t="n">
        <f aca="false">AF66</f>
        <v>0.28</v>
      </c>
      <c r="CY66" s="182" t="n">
        <f aca="false">AG66</f>
        <v>0.35</v>
      </c>
      <c r="CZ66" s="182" t="n">
        <f aca="false">AH66</f>
        <v>0.42</v>
      </c>
      <c r="DB66" s="182" t="n">
        <f aca="false">X66</f>
        <v>0.16</v>
      </c>
      <c r="DC66" s="182" t="n">
        <f aca="false">Y66</f>
        <v>0.2</v>
      </c>
      <c r="DD66" s="182" t="n">
        <f aca="false">Z66</f>
        <v>0.24</v>
      </c>
      <c r="DF66" s="181" t="n">
        <f aca="false">BF66</f>
        <v>38777</v>
      </c>
      <c r="DG66" s="133" t="n">
        <f aca="false">BG66</f>
        <v>0.75</v>
      </c>
      <c r="DJ66" s="181" t="n">
        <f aca="false">CW66</f>
        <v>38777</v>
      </c>
      <c r="DK66" s="182" t="n">
        <f aca="false">AJ66</f>
        <v>0.168</v>
      </c>
      <c r="DL66" s="182" t="n">
        <f aca="false">AK66</f>
        <v>0.21</v>
      </c>
      <c r="DM66" s="182" t="n">
        <f aca="false">AL66</f>
        <v>0.252</v>
      </c>
      <c r="DO66" s="182" t="n">
        <f aca="false">AB66</f>
        <v>0.08</v>
      </c>
      <c r="DP66" s="182" t="n">
        <f aca="false">AC66</f>
        <v>0.1</v>
      </c>
      <c r="DQ66" s="182" t="n">
        <f aca="false">AD66</f>
        <v>0.12</v>
      </c>
    </row>
    <row r="67" customFormat="false" ht="12.75" hidden="false" customHeight="false" outlineLevel="0" collapsed="false">
      <c r="A67" s="133"/>
      <c r="B67" s="174" t="n">
        <v>37926</v>
      </c>
      <c r="C67" s="175" t="n">
        <v>29.4015621185303</v>
      </c>
      <c r="D67" s="175" t="n">
        <v>30.2515621185303</v>
      </c>
      <c r="E67" s="175" t="n">
        <v>31.1015621185303</v>
      </c>
      <c r="F67" s="159"/>
      <c r="G67" s="175" t="n">
        <v>16.1800003051758</v>
      </c>
      <c r="H67" s="175" t="n">
        <v>16.1800003051758</v>
      </c>
      <c r="I67" s="175" t="n">
        <v>16.1800003051758</v>
      </c>
      <c r="J67" s="140"/>
      <c r="K67" s="141" t="n">
        <v>38808</v>
      </c>
      <c r="L67" s="176" t="n">
        <v>22</v>
      </c>
      <c r="M67" s="176" t="n">
        <v>22</v>
      </c>
      <c r="N67" s="176" t="n">
        <v>22</v>
      </c>
      <c r="O67" s="139"/>
      <c r="P67" s="176" t="n">
        <v>16.4950008392334</v>
      </c>
      <c r="Q67" s="176" t="n">
        <v>16.4950008392334</v>
      </c>
      <c r="R67" s="176" t="n">
        <v>16.4950008392334</v>
      </c>
      <c r="S67" s="139"/>
      <c r="T67" s="176" t="n">
        <v>0</v>
      </c>
      <c r="U67" s="176" t="n">
        <v>0</v>
      </c>
      <c r="V67" s="176" t="n">
        <v>0</v>
      </c>
      <c r="W67" s="139"/>
      <c r="X67" s="176" t="n">
        <v>0.16</v>
      </c>
      <c r="Y67" s="176" t="n">
        <v>0.2</v>
      </c>
      <c r="Z67" s="176" t="n">
        <v>0.24</v>
      </c>
      <c r="AA67" s="139"/>
      <c r="AB67" s="176" t="n">
        <v>0.08</v>
      </c>
      <c r="AC67" s="176" t="n">
        <v>0.1</v>
      </c>
      <c r="AD67" s="176" t="n">
        <v>0.12</v>
      </c>
      <c r="AE67" s="139"/>
      <c r="AF67" s="176" t="n">
        <v>0.28</v>
      </c>
      <c r="AG67" s="176" t="n">
        <v>0.35</v>
      </c>
      <c r="AH67" s="176" t="n">
        <v>0.42</v>
      </c>
      <c r="AI67" s="139"/>
      <c r="AJ67" s="176" t="n">
        <v>0.168</v>
      </c>
      <c r="AK67" s="176" t="n">
        <v>0.21</v>
      </c>
      <c r="AL67" s="176" t="n">
        <v>0.252</v>
      </c>
      <c r="AM67" s="139"/>
      <c r="AN67" s="140" t="n">
        <v>20</v>
      </c>
      <c r="AO67" s="177" t="n">
        <v>0.4</v>
      </c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41" t="n">
        <v>38808</v>
      </c>
      <c r="BG67" s="179" t="n">
        <v>0.75</v>
      </c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20"/>
      <c r="CG67" s="167"/>
      <c r="CH67" s="167"/>
      <c r="CI67" s="167"/>
      <c r="CK67" s="200"/>
      <c r="CL67" s="200"/>
      <c r="CM67" s="180"/>
      <c r="CN67" s="0"/>
      <c r="CO67" s="0"/>
      <c r="CP67" s="0"/>
      <c r="CQ67" s="0"/>
      <c r="CR67" s="0"/>
      <c r="CW67" s="181" t="n">
        <f aca="false">K67</f>
        <v>38808</v>
      </c>
      <c r="CX67" s="182" t="n">
        <f aca="false">AF67</f>
        <v>0.28</v>
      </c>
      <c r="CY67" s="182" t="n">
        <f aca="false">AG67</f>
        <v>0.35</v>
      </c>
      <c r="CZ67" s="182" t="n">
        <f aca="false">AH67</f>
        <v>0.42</v>
      </c>
      <c r="DB67" s="182" t="n">
        <f aca="false">X67</f>
        <v>0.16</v>
      </c>
      <c r="DC67" s="182" t="n">
        <f aca="false">Y67</f>
        <v>0.2</v>
      </c>
      <c r="DD67" s="182" t="n">
        <f aca="false">Z67</f>
        <v>0.24</v>
      </c>
      <c r="DF67" s="181" t="n">
        <f aca="false">BF67</f>
        <v>38808</v>
      </c>
      <c r="DG67" s="133" t="n">
        <f aca="false">BG67</f>
        <v>0.75</v>
      </c>
      <c r="DJ67" s="181" t="n">
        <f aca="false">CW67</f>
        <v>38808</v>
      </c>
      <c r="DK67" s="182" t="n">
        <f aca="false">AJ67</f>
        <v>0.168</v>
      </c>
      <c r="DL67" s="182" t="n">
        <f aca="false">AK67</f>
        <v>0.21</v>
      </c>
      <c r="DM67" s="182" t="n">
        <f aca="false">AL67</f>
        <v>0.252</v>
      </c>
      <c r="DO67" s="182" t="n">
        <f aca="false">AB67</f>
        <v>0.08</v>
      </c>
      <c r="DP67" s="182" t="n">
        <f aca="false">AC67</f>
        <v>0.1</v>
      </c>
      <c r="DQ67" s="182" t="n">
        <f aca="false">AD67</f>
        <v>0.12</v>
      </c>
    </row>
    <row r="68" customFormat="false" ht="12.75" hidden="false" customHeight="false" outlineLevel="0" collapsed="false">
      <c r="A68" s="133"/>
      <c r="B68" s="174" t="n">
        <v>37956</v>
      </c>
      <c r="C68" s="175" t="n">
        <v>29.5015605926514</v>
      </c>
      <c r="D68" s="175" t="n">
        <v>30.3515605926514</v>
      </c>
      <c r="E68" s="175" t="n">
        <v>31.2015605926514</v>
      </c>
      <c r="F68" s="159"/>
      <c r="G68" s="175" t="n">
        <v>18.4300003051758</v>
      </c>
      <c r="H68" s="175" t="n">
        <v>18.4300003051758</v>
      </c>
      <c r="I68" s="175" t="n">
        <v>18.4300003051758</v>
      </c>
      <c r="J68" s="140"/>
      <c r="K68" s="141" t="n">
        <v>38838</v>
      </c>
      <c r="L68" s="176" t="n">
        <v>22.2900009155273</v>
      </c>
      <c r="M68" s="176" t="n">
        <v>22.2900009155273</v>
      </c>
      <c r="N68" s="176" t="n">
        <v>22.2900009155273</v>
      </c>
      <c r="O68" s="139"/>
      <c r="P68" s="176" t="n">
        <v>15.7950000762939</v>
      </c>
      <c r="Q68" s="176" t="n">
        <v>15.7950000762939</v>
      </c>
      <c r="R68" s="176" t="n">
        <v>15.7950000762939</v>
      </c>
      <c r="S68" s="139"/>
      <c r="T68" s="176" t="n">
        <v>0</v>
      </c>
      <c r="U68" s="176" t="n">
        <v>0</v>
      </c>
      <c r="V68" s="176" t="n">
        <v>0</v>
      </c>
      <c r="W68" s="139"/>
      <c r="X68" s="176" t="n">
        <v>0.16</v>
      </c>
      <c r="Y68" s="176" t="n">
        <v>0.2</v>
      </c>
      <c r="Z68" s="176" t="n">
        <v>0.24</v>
      </c>
      <c r="AA68" s="139"/>
      <c r="AB68" s="176" t="n">
        <v>0.08</v>
      </c>
      <c r="AC68" s="176" t="n">
        <v>0.1</v>
      </c>
      <c r="AD68" s="176" t="n">
        <v>0.12</v>
      </c>
      <c r="AE68" s="139"/>
      <c r="AF68" s="176" t="n">
        <v>0.28</v>
      </c>
      <c r="AG68" s="176" t="n">
        <v>0.35</v>
      </c>
      <c r="AH68" s="176" t="n">
        <v>0.42</v>
      </c>
      <c r="AI68" s="139"/>
      <c r="AJ68" s="176" t="n">
        <v>0.168</v>
      </c>
      <c r="AK68" s="176" t="n">
        <v>0.21</v>
      </c>
      <c r="AL68" s="176" t="n">
        <v>0.252</v>
      </c>
      <c r="AM68" s="139"/>
      <c r="AN68" s="140" t="n">
        <v>20</v>
      </c>
      <c r="AO68" s="177" t="n">
        <v>0.4</v>
      </c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41" t="n">
        <v>38838</v>
      </c>
      <c r="BG68" s="179" t="n">
        <v>0.75</v>
      </c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20"/>
      <c r="CG68" s="167"/>
      <c r="CH68" s="167"/>
      <c r="CI68" s="167"/>
      <c r="CK68" s="200"/>
      <c r="CL68" s="200"/>
      <c r="CM68" s="180"/>
      <c r="CN68" s="0"/>
      <c r="CO68" s="0"/>
      <c r="CP68" s="0"/>
      <c r="CQ68" s="0"/>
      <c r="CR68" s="0"/>
      <c r="CW68" s="181" t="n">
        <f aca="false">K68</f>
        <v>38838</v>
      </c>
      <c r="CX68" s="182" t="n">
        <f aca="false">AF68</f>
        <v>0.28</v>
      </c>
      <c r="CY68" s="182" t="n">
        <f aca="false">AG68</f>
        <v>0.35</v>
      </c>
      <c r="CZ68" s="182" t="n">
        <f aca="false">AH68</f>
        <v>0.42</v>
      </c>
      <c r="DB68" s="182" t="n">
        <f aca="false">X68</f>
        <v>0.16</v>
      </c>
      <c r="DC68" s="182" t="n">
        <f aca="false">Y68</f>
        <v>0.2</v>
      </c>
      <c r="DD68" s="182" t="n">
        <f aca="false">Z68</f>
        <v>0.24</v>
      </c>
      <c r="DF68" s="181" t="n">
        <f aca="false">BF68</f>
        <v>38838</v>
      </c>
      <c r="DG68" s="133" t="n">
        <f aca="false">BG68</f>
        <v>0.75</v>
      </c>
      <c r="DJ68" s="181" t="n">
        <f aca="false">CW68</f>
        <v>38838</v>
      </c>
      <c r="DK68" s="182" t="n">
        <f aca="false">AJ68</f>
        <v>0.168</v>
      </c>
      <c r="DL68" s="182" t="n">
        <f aca="false">AK68</f>
        <v>0.21</v>
      </c>
      <c r="DM68" s="182" t="n">
        <f aca="false">AL68</f>
        <v>0.252</v>
      </c>
      <c r="DO68" s="182" t="n">
        <f aca="false">AB68</f>
        <v>0.08</v>
      </c>
      <c r="DP68" s="182" t="n">
        <f aca="false">AC68</f>
        <v>0.1</v>
      </c>
      <c r="DQ68" s="182" t="n">
        <f aca="false">AD68</f>
        <v>0.12</v>
      </c>
    </row>
    <row r="69" customFormat="false" ht="12.75" hidden="false" customHeight="false" outlineLevel="0" collapsed="false">
      <c r="A69" s="133"/>
      <c r="B69" s="174" t="n">
        <v>37987</v>
      </c>
      <c r="C69" s="175" t="n">
        <v>33.9357162475586</v>
      </c>
      <c r="D69" s="175" t="n">
        <v>34.3357162475586</v>
      </c>
      <c r="E69" s="175" t="n">
        <v>34.7357162475586</v>
      </c>
      <c r="F69" s="159"/>
      <c r="G69" s="175" t="n">
        <v>20.75</v>
      </c>
      <c r="H69" s="175" t="n">
        <v>20.75</v>
      </c>
      <c r="I69" s="175" t="n">
        <v>20.75</v>
      </c>
      <c r="J69" s="140"/>
      <c r="K69" s="141" t="n">
        <v>38869</v>
      </c>
      <c r="L69" s="176" t="n">
        <v>29.2900009155273</v>
      </c>
      <c r="M69" s="176" t="n">
        <v>29.2900009155273</v>
      </c>
      <c r="N69" s="176" t="n">
        <v>29.2900009155273</v>
      </c>
      <c r="O69" s="139"/>
      <c r="P69" s="176" t="n">
        <v>19.7900009155273</v>
      </c>
      <c r="Q69" s="176" t="n">
        <v>19.7900009155273</v>
      </c>
      <c r="R69" s="176" t="n">
        <v>19.7900009155273</v>
      </c>
      <c r="S69" s="139"/>
      <c r="T69" s="176" t="n">
        <v>0</v>
      </c>
      <c r="U69" s="176" t="n">
        <v>0</v>
      </c>
      <c r="V69" s="176" t="n">
        <v>0</v>
      </c>
      <c r="W69" s="139"/>
      <c r="X69" s="176" t="n">
        <v>0.16</v>
      </c>
      <c r="Y69" s="176" t="n">
        <v>0.2</v>
      </c>
      <c r="Z69" s="176" t="n">
        <v>0.24</v>
      </c>
      <c r="AA69" s="139"/>
      <c r="AB69" s="176" t="n">
        <v>0.08</v>
      </c>
      <c r="AC69" s="176" t="n">
        <v>0.1</v>
      </c>
      <c r="AD69" s="176" t="n">
        <v>0.12</v>
      </c>
      <c r="AE69" s="139"/>
      <c r="AF69" s="176" t="n">
        <v>0.36</v>
      </c>
      <c r="AG69" s="176" t="n">
        <v>0.45</v>
      </c>
      <c r="AH69" s="176" t="n">
        <v>0.54</v>
      </c>
      <c r="AI69" s="139"/>
      <c r="AJ69" s="176" t="n">
        <v>0.216</v>
      </c>
      <c r="AK69" s="176" t="n">
        <v>0.27</v>
      </c>
      <c r="AL69" s="176" t="n">
        <v>0.324</v>
      </c>
      <c r="AM69" s="139"/>
      <c r="AN69" s="140" t="n">
        <v>20</v>
      </c>
      <c r="AO69" s="177" t="n">
        <v>0.4</v>
      </c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41" t="n">
        <v>38869</v>
      </c>
      <c r="BG69" s="179" t="n">
        <v>0.75</v>
      </c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20"/>
      <c r="CG69" s="167"/>
      <c r="CH69" s="167"/>
      <c r="CI69" s="167"/>
      <c r="CK69" s="200"/>
      <c r="CL69" s="200"/>
      <c r="CM69" s="180"/>
      <c r="CN69" s="0"/>
      <c r="CO69" s="0"/>
      <c r="CP69" s="0"/>
      <c r="CQ69" s="0"/>
      <c r="CR69" s="0"/>
      <c r="CW69" s="181" t="n">
        <f aca="false">K69</f>
        <v>38869</v>
      </c>
      <c r="CX69" s="182" t="n">
        <f aca="false">AF69</f>
        <v>0.36</v>
      </c>
      <c r="CY69" s="182" t="n">
        <f aca="false">AG69</f>
        <v>0.45</v>
      </c>
      <c r="CZ69" s="182" t="n">
        <f aca="false">AH69</f>
        <v>0.54</v>
      </c>
      <c r="DB69" s="182" t="n">
        <f aca="false">X69</f>
        <v>0.16</v>
      </c>
      <c r="DC69" s="182" t="n">
        <f aca="false">Y69</f>
        <v>0.2</v>
      </c>
      <c r="DD69" s="182" t="n">
        <f aca="false">Z69</f>
        <v>0.24</v>
      </c>
      <c r="DF69" s="181" t="n">
        <f aca="false">BF69</f>
        <v>38869</v>
      </c>
      <c r="DG69" s="133" t="n">
        <f aca="false">BG69</f>
        <v>0.75</v>
      </c>
      <c r="DJ69" s="181" t="n">
        <f aca="false">CW69</f>
        <v>38869</v>
      </c>
      <c r="DK69" s="182" t="n">
        <f aca="false">AJ69</f>
        <v>0.216</v>
      </c>
      <c r="DL69" s="182" t="n">
        <f aca="false">AK69</f>
        <v>0.27</v>
      </c>
      <c r="DM69" s="182" t="n">
        <f aca="false">AL69</f>
        <v>0.324</v>
      </c>
      <c r="DO69" s="182" t="n">
        <f aca="false">AB69</f>
        <v>0.08</v>
      </c>
      <c r="DP69" s="182" t="n">
        <f aca="false">AC69</f>
        <v>0.1</v>
      </c>
      <c r="DQ69" s="182" t="n">
        <f aca="false">AD69</f>
        <v>0.12</v>
      </c>
    </row>
    <row r="70" customFormat="false" ht="12.75" hidden="false" customHeight="false" outlineLevel="0" collapsed="false">
      <c r="A70" s="133"/>
      <c r="B70" s="174" t="n">
        <v>38018</v>
      </c>
      <c r="C70" s="175" t="n">
        <v>33.335710144043</v>
      </c>
      <c r="D70" s="175" t="n">
        <v>33.735710144043</v>
      </c>
      <c r="E70" s="175" t="n">
        <v>34.135710144043</v>
      </c>
      <c r="F70" s="159"/>
      <c r="G70" s="175" t="n">
        <v>20</v>
      </c>
      <c r="H70" s="175" t="n">
        <v>20</v>
      </c>
      <c r="I70" s="175" t="n">
        <v>20</v>
      </c>
      <c r="J70" s="140"/>
      <c r="K70" s="141" t="n">
        <v>38899</v>
      </c>
      <c r="L70" s="176" t="n">
        <v>35.2900009155273</v>
      </c>
      <c r="M70" s="176" t="n">
        <v>35.2900009155273</v>
      </c>
      <c r="N70" s="176" t="n">
        <v>35.2900009155273</v>
      </c>
      <c r="O70" s="139"/>
      <c r="P70" s="176" t="n">
        <v>25.7900009155273</v>
      </c>
      <c r="Q70" s="176" t="n">
        <v>25.7900009155273</v>
      </c>
      <c r="R70" s="176" t="n">
        <v>25.7900009155273</v>
      </c>
      <c r="S70" s="139"/>
      <c r="T70" s="176" t="n">
        <v>0</v>
      </c>
      <c r="U70" s="176" t="n">
        <v>0</v>
      </c>
      <c r="V70" s="176" t="n">
        <v>0</v>
      </c>
      <c r="W70" s="139"/>
      <c r="X70" s="176" t="n">
        <v>0.16</v>
      </c>
      <c r="Y70" s="176" t="n">
        <v>0.2</v>
      </c>
      <c r="Z70" s="176" t="n">
        <v>0.24</v>
      </c>
      <c r="AA70" s="139"/>
      <c r="AB70" s="176" t="n">
        <v>0.08</v>
      </c>
      <c r="AC70" s="176" t="n">
        <v>0.1</v>
      </c>
      <c r="AD70" s="176" t="n">
        <v>0.12</v>
      </c>
      <c r="AE70" s="139"/>
      <c r="AF70" s="176" t="n">
        <v>0.36</v>
      </c>
      <c r="AG70" s="176" t="n">
        <v>0.45</v>
      </c>
      <c r="AH70" s="176" t="n">
        <v>0.54</v>
      </c>
      <c r="AI70" s="139"/>
      <c r="AJ70" s="176" t="n">
        <v>0.216</v>
      </c>
      <c r="AK70" s="176" t="n">
        <v>0.27</v>
      </c>
      <c r="AL70" s="176" t="n">
        <v>0.324</v>
      </c>
      <c r="AM70" s="139"/>
      <c r="AN70" s="140" t="n">
        <v>21</v>
      </c>
      <c r="AO70" s="177" t="n">
        <v>0.4</v>
      </c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41" t="n">
        <v>38899</v>
      </c>
      <c r="BG70" s="179" t="n">
        <v>0.75</v>
      </c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20"/>
      <c r="CG70" s="167"/>
      <c r="CH70" s="167"/>
      <c r="CI70" s="167"/>
      <c r="CK70" s="200"/>
      <c r="CL70" s="200"/>
      <c r="CM70" s="180"/>
      <c r="CN70" s="0"/>
      <c r="CO70" s="0"/>
      <c r="CP70" s="0"/>
      <c r="CQ70" s="0"/>
      <c r="CR70" s="0"/>
      <c r="CW70" s="181" t="n">
        <f aca="false">K70</f>
        <v>38899</v>
      </c>
      <c r="CX70" s="182" t="n">
        <f aca="false">AF70</f>
        <v>0.36</v>
      </c>
      <c r="CY70" s="182" t="n">
        <f aca="false">AG70</f>
        <v>0.45</v>
      </c>
      <c r="CZ70" s="182" t="n">
        <f aca="false">AH70</f>
        <v>0.54</v>
      </c>
      <c r="DB70" s="182" t="n">
        <f aca="false">X70</f>
        <v>0.16</v>
      </c>
      <c r="DC70" s="182" t="n">
        <f aca="false">Y70</f>
        <v>0.2</v>
      </c>
      <c r="DD70" s="182" t="n">
        <f aca="false">Z70</f>
        <v>0.24</v>
      </c>
      <c r="DF70" s="181" t="n">
        <f aca="false">BF70</f>
        <v>38899</v>
      </c>
      <c r="DG70" s="133" t="n">
        <f aca="false">BG70</f>
        <v>0.75</v>
      </c>
      <c r="DJ70" s="181" t="n">
        <f aca="false">CW70</f>
        <v>38899</v>
      </c>
      <c r="DK70" s="182" t="n">
        <f aca="false">AJ70</f>
        <v>0.216</v>
      </c>
      <c r="DL70" s="182" t="n">
        <f aca="false">AK70</f>
        <v>0.27</v>
      </c>
      <c r="DM70" s="182" t="n">
        <f aca="false">AL70</f>
        <v>0.324</v>
      </c>
      <c r="DO70" s="182" t="n">
        <f aca="false">AB70</f>
        <v>0.08</v>
      </c>
      <c r="DP70" s="182" t="n">
        <f aca="false">AC70</f>
        <v>0.1</v>
      </c>
      <c r="DQ70" s="182" t="n">
        <f aca="false">AD70</f>
        <v>0.12</v>
      </c>
    </row>
    <row r="71" customFormat="false" ht="12.75" hidden="false" customHeight="false" outlineLevel="0" collapsed="false">
      <c r="A71" s="133"/>
      <c r="B71" s="174" t="n">
        <v>38047</v>
      </c>
      <c r="C71" s="175" t="n">
        <v>31.8476776123047</v>
      </c>
      <c r="D71" s="175" t="n">
        <v>32.4476776123047</v>
      </c>
      <c r="E71" s="175" t="n">
        <v>33.0476776123047</v>
      </c>
      <c r="F71" s="159"/>
      <c r="G71" s="175" t="n">
        <v>21</v>
      </c>
      <c r="H71" s="175" t="n">
        <v>21</v>
      </c>
      <c r="I71" s="175" t="n">
        <v>21</v>
      </c>
      <c r="J71" s="140"/>
      <c r="K71" s="141" t="n">
        <v>38930</v>
      </c>
      <c r="L71" s="176" t="n">
        <v>33.2900047302246</v>
      </c>
      <c r="M71" s="176" t="n">
        <v>33.2900047302246</v>
      </c>
      <c r="N71" s="176" t="n">
        <v>33.2900047302246</v>
      </c>
      <c r="O71" s="139"/>
      <c r="P71" s="176" t="n">
        <v>25.7900009155273</v>
      </c>
      <c r="Q71" s="176" t="n">
        <v>25.7900009155273</v>
      </c>
      <c r="R71" s="176" t="n">
        <v>25.7900009155273</v>
      </c>
      <c r="S71" s="139"/>
      <c r="T71" s="176" t="n">
        <v>0</v>
      </c>
      <c r="U71" s="176" t="n">
        <v>0</v>
      </c>
      <c r="V71" s="176" t="n">
        <v>0</v>
      </c>
      <c r="W71" s="139"/>
      <c r="X71" s="176" t="n">
        <v>0.24</v>
      </c>
      <c r="Y71" s="176" t="n">
        <v>0.3</v>
      </c>
      <c r="Z71" s="176" t="n">
        <v>0.36</v>
      </c>
      <c r="AA71" s="139"/>
      <c r="AB71" s="176" t="n">
        <v>0.12</v>
      </c>
      <c r="AC71" s="176" t="n">
        <v>0.15</v>
      </c>
      <c r="AD71" s="176" t="n">
        <v>0.18</v>
      </c>
      <c r="AE71" s="139"/>
      <c r="AF71" s="176" t="n">
        <v>0.48</v>
      </c>
      <c r="AG71" s="176" t="n">
        <v>0.6</v>
      </c>
      <c r="AH71" s="176" t="n">
        <v>0.72</v>
      </c>
      <c r="AI71" s="139"/>
      <c r="AJ71" s="176" t="n">
        <v>0.288</v>
      </c>
      <c r="AK71" s="176" t="n">
        <v>0.36</v>
      </c>
      <c r="AL71" s="176" t="n">
        <v>0.432</v>
      </c>
      <c r="AM71" s="139"/>
      <c r="AN71" s="140" t="n">
        <v>21</v>
      </c>
      <c r="AO71" s="177" t="n">
        <v>0.4</v>
      </c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41" t="n">
        <v>38930</v>
      </c>
      <c r="BG71" s="179" t="n">
        <v>0.75</v>
      </c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20"/>
      <c r="CG71" s="167"/>
      <c r="CH71" s="167"/>
      <c r="CI71" s="167"/>
      <c r="CK71" s="200"/>
      <c r="CL71" s="200"/>
      <c r="CM71" s="180"/>
      <c r="CN71" s="0"/>
      <c r="CO71" s="0"/>
      <c r="CP71" s="0"/>
      <c r="CQ71" s="0"/>
      <c r="CR71" s="0"/>
      <c r="CW71" s="181" t="n">
        <f aca="false">K71</f>
        <v>38930</v>
      </c>
      <c r="CX71" s="182" t="n">
        <f aca="false">AF71</f>
        <v>0.48</v>
      </c>
      <c r="CY71" s="182" t="n">
        <f aca="false">AG71</f>
        <v>0.6</v>
      </c>
      <c r="CZ71" s="182" t="n">
        <f aca="false">AH71</f>
        <v>0.72</v>
      </c>
      <c r="DB71" s="182" t="n">
        <f aca="false">X71</f>
        <v>0.24</v>
      </c>
      <c r="DC71" s="182" t="n">
        <f aca="false">Y71</f>
        <v>0.3</v>
      </c>
      <c r="DD71" s="182" t="n">
        <f aca="false">Z71</f>
        <v>0.36</v>
      </c>
      <c r="DF71" s="181" t="n">
        <f aca="false">BF71</f>
        <v>38930</v>
      </c>
      <c r="DG71" s="133" t="n">
        <f aca="false">BG71</f>
        <v>0.75</v>
      </c>
      <c r="DJ71" s="181" t="n">
        <f aca="false">CW71</f>
        <v>38930</v>
      </c>
      <c r="DK71" s="182" t="n">
        <f aca="false">AJ71</f>
        <v>0.288</v>
      </c>
      <c r="DL71" s="182" t="n">
        <f aca="false">AK71</f>
        <v>0.36</v>
      </c>
      <c r="DM71" s="182" t="n">
        <f aca="false">AL71</f>
        <v>0.432</v>
      </c>
      <c r="DO71" s="182" t="n">
        <f aca="false">AB71</f>
        <v>0.12</v>
      </c>
      <c r="DP71" s="182" t="n">
        <f aca="false">AC71</f>
        <v>0.15</v>
      </c>
      <c r="DQ71" s="182" t="n">
        <f aca="false">AD71</f>
        <v>0.18</v>
      </c>
    </row>
    <row r="72" customFormat="false" ht="12.75" hidden="false" customHeight="false" outlineLevel="0" collapsed="false">
      <c r="A72" s="133"/>
      <c r="B72" s="174" t="n">
        <v>38078</v>
      </c>
      <c r="C72" s="175" t="n">
        <v>31.5476783752441</v>
      </c>
      <c r="D72" s="175" t="n">
        <v>32.6476783752441</v>
      </c>
      <c r="E72" s="175" t="n">
        <v>33.7476783752441</v>
      </c>
      <c r="F72" s="159"/>
      <c r="G72" s="175" t="n">
        <v>18</v>
      </c>
      <c r="H72" s="175" t="n">
        <v>18</v>
      </c>
      <c r="I72" s="175" t="n">
        <v>18</v>
      </c>
      <c r="J72" s="140"/>
      <c r="K72" s="141" t="n">
        <v>38961</v>
      </c>
      <c r="L72" s="176" t="n">
        <v>25.2900009155273</v>
      </c>
      <c r="M72" s="176" t="n">
        <v>25.2900009155273</v>
      </c>
      <c r="N72" s="176" t="n">
        <v>25.2900009155273</v>
      </c>
      <c r="O72" s="139"/>
      <c r="P72" s="176" t="n">
        <v>19.7900009155273</v>
      </c>
      <c r="Q72" s="176" t="n">
        <v>19.7900009155273</v>
      </c>
      <c r="R72" s="176" t="n">
        <v>19.7900009155273</v>
      </c>
      <c r="S72" s="139"/>
      <c r="T72" s="176" t="n">
        <v>0</v>
      </c>
      <c r="U72" s="176" t="n">
        <v>0</v>
      </c>
      <c r="V72" s="176" t="n">
        <v>0</v>
      </c>
      <c r="W72" s="139"/>
      <c r="X72" s="176" t="n">
        <v>0.24</v>
      </c>
      <c r="Y72" s="176" t="n">
        <v>0.3</v>
      </c>
      <c r="Z72" s="176" t="n">
        <v>0.36</v>
      </c>
      <c r="AA72" s="139"/>
      <c r="AB72" s="176" t="n">
        <v>0.12</v>
      </c>
      <c r="AC72" s="176" t="n">
        <v>0.15</v>
      </c>
      <c r="AD72" s="176" t="n">
        <v>0.18</v>
      </c>
      <c r="AE72" s="139"/>
      <c r="AF72" s="176" t="n">
        <v>0.48</v>
      </c>
      <c r="AG72" s="176" t="n">
        <v>0.6</v>
      </c>
      <c r="AH72" s="176" t="n">
        <v>0.72</v>
      </c>
      <c r="AI72" s="139"/>
      <c r="AJ72" s="176" t="n">
        <v>0.288</v>
      </c>
      <c r="AK72" s="176" t="n">
        <v>0.36</v>
      </c>
      <c r="AL72" s="176" t="n">
        <v>0.432</v>
      </c>
      <c r="AM72" s="139"/>
      <c r="AN72" s="140" t="n">
        <v>21</v>
      </c>
      <c r="AO72" s="177" t="n">
        <v>0.4</v>
      </c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41" t="n">
        <v>38961</v>
      </c>
      <c r="BG72" s="179" t="n">
        <v>0.75</v>
      </c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20"/>
      <c r="CG72" s="118"/>
      <c r="CH72" s="118"/>
      <c r="CI72" s="118"/>
      <c r="CK72" s="200"/>
      <c r="CL72" s="200"/>
      <c r="CM72" s="180"/>
      <c r="CN72" s="0"/>
      <c r="CO72" s="0"/>
      <c r="CP72" s="0"/>
      <c r="CQ72" s="0"/>
      <c r="CR72" s="0"/>
      <c r="CW72" s="181" t="n">
        <f aca="false">K72</f>
        <v>38961</v>
      </c>
      <c r="CX72" s="182" t="n">
        <f aca="false">AF72</f>
        <v>0.48</v>
      </c>
      <c r="CY72" s="182" t="n">
        <f aca="false">AG72</f>
        <v>0.6</v>
      </c>
      <c r="CZ72" s="182" t="n">
        <f aca="false">AH72</f>
        <v>0.72</v>
      </c>
      <c r="DB72" s="182" t="n">
        <f aca="false">X72</f>
        <v>0.24</v>
      </c>
      <c r="DC72" s="182" t="n">
        <f aca="false">Y72</f>
        <v>0.3</v>
      </c>
      <c r="DD72" s="182" t="n">
        <f aca="false">Z72</f>
        <v>0.36</v>
      </c>
      <c r="DF72" s="181" t="n">
        <f aca="false">BF72</f>
        <v>38961</v>
      </c>
      <c r="DG72" s="133" t="n">
        <f aca="false">BG72</f>
        <v>0.75</v>
      </c>
      <c r="DJ72" s="181" t="n">
        <f aca="false">CW72</f>
        <v>38961</v>
      </c>
      <c r="DK72" s="182" t="n">
        <f aca="false">AJ72</f>
        <v>0.288</v>
      </c>
      <c r="DL72" s="182" t="n">
        <f aca="false">AK72</f>
        <v>0.36</v>
      </c>
      <c r="DM72" s="182" t="n">
        <f aca="false">AL72</f>
        <v>0.432</v>
      </c>
      <c r="DO72" s="182" t="n">
        <f aca="false">AB72</f>
        <v>0.12</v>
      </c>
      <c r="DP72" s="182" t="n">
        <f aca="false">AC72</f>
        <v>0.15</v>
      </c>
      <c r="DQ72" s="182" t="n">
        <f aca="false">AD72</f>
        <v>0.18</v>
      </c>
    </row>
    <row r="73" customFormat="false" ht="12.75" hidden="false" customHeight="false" outlineLevel="0" collapsed="false">
      <c r="A73" s="133"/>
      <c r="B73" s="174" t="n">
        <v>38108</v>
      </c>
      <c r="C73" s="175" t="n">
        <v>32.8250030517578</v>
      </c>
      <c r="D73" s="175" t="n">
        <v>34.6750030517578</v>
      </c>
      <c r="E73" s="175" t="n">
        <v>36.5250030517578</v>
      </c>
      <c r="F73" s="159"/>
      <c r="G73" s="175" t="n">
        <v>18.5400009155273</v>
      </c>
      <c r="H73" s="175" t="n">
        <v>18.5400009155273</v>
      </c>
      <c r="I73" s="175" t="n">
        <v>18.5400009155273</v>
      </c>
      <c r="J73" s="140"/>
      <c r="K73" s="141" t="n">
        <v>38991</v>
      </c>
      <c r="L73" s="176" t="n">
        <v>20.2860012054443</v>
      </c>
      <c r="M73" s="176" t="n">
        <v>20.2860012054443</v>
      </c>
      <c r="N73" s="176" t="n">
        <v>20.2860012054443</v>
      </c>
      <c r="O73" s="139"/>
      <c r="P73" s="176" t="n">
        <v>14.7865009307861</v>
      </c>
      <c r="Q73" s="176" t="n">
        <v>14.7865009307861</v>
      </c>
      <c r="R73" s="176" t="n">
        <v>14.7865009307861</v>
      </c>
      <c r="S73" s="139"/>
      <c r="T73" s="176" t="n">
        <v>0</v>
      </c>
      <c r="U73" s="176" t="n">
        <v>0</v>
      </c>
      <c r="V73" s="176" t="n">
        <v>0</v>
      </c>
      <c r="W73" s="139"/>
      <c r="X73" s="176" t="n">
        <v>0.16</v>
      </c>
      <c r="Y73" s="176" t="n">
        <v>0.2</v>
      </c>
      <c r="Z73" s="176" t="n">
        <v>0.24</v>
      </c>
      <c r="AA73" s="139"/>
      <c r="AB73" s="176" t="n">
        <v>0.08</v>
      </c>
      <c r="AC73" s="176" t="n">
        <v>0.1</v>
      </c>
      <c r="AD73" s="176" t="n">
        <v>0.12</v>
      </c>
      <c r="AE73" s="139"/>
      <c r="AF73" s="176" t="n">
        <v>0.36</v>
      </c>
      <c r="AG73" s="176" t="n">
        <v>0.45</v>
      </c>
      <c r="AH73" s="176" t="n">
        <v>0.54</v>
      </c>
      <c r="AI73" s="139"/>
      <c r="AJ73" s="176" t="n">
        <v>0.216</v>
      </c>
      <c r="AK73" s="176" t="n">
        <v>0.27</v>
      </c>
      <c r="AL73" s="176" t="n">
        <v>0.324</v>
      </c>
      <c r="AM73" s="139"/>
      <c r="AN73" s="140" t="n">
        <v>22</v>
      </c>
      <c r="AO73" s="177" t="n">
        <v>0.4</v>
      </c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41" t="n">
        <v>38991</v>
      </c>
      <c r="BG73" s="179" t="n">
        <v>0.75</v>
      </c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20"/>
      <c r="CG73" s="118"/>
      <c r="CH73" s="118"/>
      <c r="CI73" s="118"/>
      <c r="CK73" s="200"/>
      <c r="CL73" s="200"/>
      <c r="CM73" s="180"/>
      <c r="CN73" s="0"/>
      <c r="CO73" s="0"/>
      <c r="CP73" s="0"/>
      <c r="CQ73" s="0"/>
      <c r="CR73" s="0"/>
      <c r="CW73" s="181" t="n">
        <f aca="false">K73</f>
        <v>38991</v>
      </c>
      <c r="CX73" s="182" t="n">
        <f aca="false">AF73</f>
        <v>0.36</v>
      </c>
      <c r="CY73" s="182" t="n">
        <f aca="false">AG73</f>
        <v>0.45</v>
      </c>
      <c r="CZ73" s="182" t="n">
        <f aca="false">AH73</f>
        <v>0.54</v>
      </c>
      <c r="DB73" s="182" t="n">
        <f aca="false">X73</f>
        <v>0.16</v>
      </c>
      <c r="DC73" s="182" t="n">
        <f aca="false">Y73</f>
        <v>0.2</v>
      </c>
      <c r="DD73" s="182" t="n">
        <f aca="false">Z73</f>
        <v>0.24</v>
      </c>
      <c r="DF73" s="181" t="n">
        <f aca="false">BF73</f>
        <v>38991</v>
      </c>
      <c r="DG73" s="133" t="n">
        <f aca="false">BG73</f>
        <v>0.75</v>
      </c>
      <c r="DJ73" s="181" t="n">
        <f aca="false">CW73</f>
        <v>38991</v>
      </c>
      <c r="DK73" s="182" t="n">
        <f aca="false">AJ73</f>
        <v>0.216</v>
      </c>
      <c r="DL73" s="182" t="n">
        <f aca="false">AK73</f>
        <v>0.27</v>
      </c>
      <c r="DM73" s="182" t="n">
        <f aca="false">AL73</f>
        <v>0.324</v>
      </c>
      <c r="DO73" s="182" t="n">
        <f aca="false">AB73</f>
        <v>0.08</v>
      </c>
      <c r="DP73" s="182" t="n">
        <f aca="false">AC73</f>
        <v>0.1</v>
      </c>
      <c r="DQ73" s="182" t="n">
        <f aca="false">AD73</f>
        <v>0.12</v>
      </c>
    </row>
    <row r="74" customFormat="false" ht="12.75" hidden="false" customHeight="false" outlineLevel="0" collapsed="false">
      <c r="A74" s="133"/>
      <c r="B74" s="174" t="n">
        <v>38139</v>
      </c>
      <c r="C74" s="175" t="n">
        <v>37.8750038146973</v>
      </c>
      <c r="D74" s="175" t="n">
        <v>42.1250038146973</v>
      </c>
      <c r="E74" s="175" t="n">
        <v>46.3750038146973</v>
      </c>
      <c r="F74" s="159"/>
      <c r="G74" s="175" t="n">
        <v>21.5400009155273</v>
      </c>
      <c r="H74" s="175" t="n">
        <v>21.5400009155273</v>
      </c>
      <c r="I74" s="175" t="n">
        <v>21.5400009155273</v>
      </c>
      <c r="J74" s="140"/>
      <c r="K74" s="141" t="n">
        <v>39022</v>
      </c>
      <c r="L74" s="176" t="n">
        <v>22.2900009155273</v>
      </c>
      <c r="M74" s="176" t="n">
        <v>22.2900009155273</v>
      </c>
      <c r="N74" s="176" t="n">
        <v>22.2900009155273</v>
      </c>
      <c r="O74" s="139"/>
      <c r="P74" s="176" t="n">
        <v>14.7900009155273</v>
      </c>
      <c r="Q74" s="176" t="n">
        <v>14.7900009155273</v>
      </c>
      <c r="R74" s="176" t="n">
        <v>14.7900009155273</v>
      </c>
      <c r="S74" s="139"/>
      <c r="T74" s="176" t="n">
        <v>0</v>
      </c>
      <c r="U74" s="176" t="n">
        <v>0</v>
      </c>
      <c r="V74" s="176" t="n">
        <v>0</v>
      </c>
      <c r="W74" s="139"/>
      <c r="X74" s="176" t="n">
        <v>0.16</v>
      </c>
      <c r="Y74" s="176" t="n">
        <v>0.2</v>
      </c>
      <c r="Z74" s="176" t="n">
        <v>0.24</v>
      </c>
      <c r="AA74" s="139"/>
      <c r="AB74" s="176" t="n">
        <v>0.08</v>
      </c>
      <c r="AC74" s="176" t="n">
        <v>0.1</v>
      </c>
      <c r="AD74" s="176" t="n">
        <v>0.12</v>
      </c>
      <c r="AE74" s="139"/>
      <c r="AF74" s="176" t="n">
        <v>0.36</v>
      </c>
      <c r="AG74" s="176" t="n">
        <v>0.45</v>
      </c>
      <c r="AH74" s="176" t="n">
        <v>0.54</v>
      </c>
      <c r="AI74" s="139"/>
      <c r="AJ74" s="176" t="n">
        <v>0.216</v>
      </c>
      <c r="AK74" s="176" t="n">
        <v>0.27</v>
      </c>
      <c r="AL74" s="176" t="n">
        <v>0.324</v>
      </c>
      <c r="AM74" s="139"/>
      <c r="AN74" s="140" t="n">
        <v>22</v>
      </c>
      <c r="AO74" s="177" t="n">
        <v>0.4</v>
      </c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41" t="n">
        <v>39022</v>
      </c>
      <c r="BG74" s="179" t="n">
        <v>0.75</v>
      </c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20"/>
      <c r="CG74" s="118"/>
      <c r="CH74" s="118"/>
      <c r="CI74" s="118"/>
      <c r="CK74" s="200"/>
      <c r="CL74" s="200"/>
      <c r="CM74" s="180"/>
      <c r="CN74" s="0"/>
      <c r="CO74" s="0"/>
      <c r="CP74" s="0"/>
      <c r="CQ74" s="0"/>
      <c r="CR74" s="0"/>
      <c r="CW74" s="181" t="n">
        <f aca="false">K74</f>
        <v>39022</v>
      </c>
      <c r="CX74" s="182" t="n">
        <f aca="false">AF74</f>
        <v>0.36</v>
      </c>
      <c r="CY74" s="182" t="n">
        <f aca="false">AG74</f>
        <v>0.45</v>
      </c>
      <c r="CZ74" s="182" t="n">
        <f aca="false">AH74</f>
        <v>0.54</v>
      </c>
      <c r="DB74" s="182" t="n">
        <f aca="false">X74</f>
        <v>0.16</v>
      </c>
      <c r="DC74" s="182" t="n">
        <f aca="false">Y74</f>
        <v>0.2</v>
      </c>
      <c r="DD74" s="182" t="n">
        <f aca="false">Z74</f>
        <v>0.24</v>
      </c>
      <c r="DF74" s="181" t="n">
        <f aca="false">BF74</f>
        <v>39022</v>
      </c>
      <c r="DG74" s="133" t="n">
        <f aca="false">BG74</f>
        <v>0.75</v>
      </c>
      <c r="DJ74" s="181" t="n">
        <f aca="false">CW74</f>
        <v>39022</v>
      </c>
      <c r="DK74" s="182" t="n">
        <f aca="false">AJ74</f>
        <v>0.216</v>
      </c>
      <c r="DL74" s="182" t="n">
        <f aca="false">AK74</f>
        <v>0.27</v>
      </c>
      <c r="DM74" s="182" t="n">
        <f aca="false">AL74</f>
        <v>0.324</v>
      </c>
      <c r="DO74" s="182" t="n">
        <f aca="false">AB74</f>
        <v>0.08</v>
      </c>
      <c r="DP74" s="182" t="n">
        <f aca="false">AC74</f>
        <v>0.1</v>
      </c>
      <c r="DQ74" s="182" t="n">
        <f aca="false">AD74</f>
        <v>0.12</v>
      </c>
    </row>
    <row r="75" customFormat="false" ht="12.75" hidden="false" customHeight="false" outlineLevel="0" collapsed="false">
      <c r="A75" s="133"/>
      <c r="B75" s="174" t="n">
        <v>38169</v>
      </c>
      <c r="C75" s="175" t="n">
        <v>43.75</v>
      </c>
      <c r="D75" s="175" t="n">
        <v>50.75</v>
      </c>
      <c r="E75" s="175" t="n">
        <v>57.75</v>
      </c>
      <c r="F75" s="159"/>
      <c r="G75" s="175" t="n">
        <v>22.0400009155273</v>
      </c>
      <c r="H75" s="175" t="n">
        <v>22.0400009155273</v>
      </c>
      <c r="I75" s="175" t="n">
        <v>22.0400009155273</v>
      </c>
      <c r="J75" s="140"/>
      <c r="K75" s="141" t="n">
        <v>39052</v>
      </c>
      <c r="L75" s="176" t="n">
        <v>27.2900009155273</v>
      </c>
      <c r="M75" s="176" t="n">
        <v>27.2900009155273</v>
      </c>
      <c r="N75" s="176" t="n">
        <v>27.2900009155273</v>
      </c>
      <c r="O75" s="139"/>
      <c r="P75" s="176" t="n">
        <v>21.7900009155273</v>
      </c>
      <c r="Q75" s="176" t="n">
        <v>21.7900009155273</v>
      </c>
      <c r="R75" s="176" t="n">
        <v>21.7900009155273</v>
      </c>
      <c r="S75" s="139"/>
      <c r="T75" s="176" t="n">
        <v>0</v>
      </c>
      <c r="U75" s="176" t="n">
        <v>0</v>
      </c>
      <c r="V75" s="176" t="n">
        <v>0</v>
      </c>
      <c r="W75" s="139"/>
      <c r="X75" s="176" t="n">
        <v>0.16</v>
      </c>
      <c r="Y75" s="176" t="n">
        <v>0.2</v>
      </c>
      <c r="Z75" s="176" t="n">
        <v>0.24</v>
      </c>
      <c r="AA75" s="139"/>
      <c r="AB75" s="176" t="n">
        <v>0.08</v>
      </c>
      <c r="AC75" s="176" t="n">
        <v>0.1</v>
      </c>
      <c r="AD75" s="176" t="n">
        <v>0.12</v>
      </c>
      <c r="AE75" s="139"/>
      <c r="AF75" s="176" t="n">
        <v>0.28</v>
      </c>
      <c r="AG75" s="176" t="n">
        <v>0.35</v>
      </c>
      <c r="AH75" s="176" t="n">
        <v>0.42</v>
      </c>
      <c r="AI75" s="139"/>
      <c r="AJ75" s="176" t="n">
        <v>0.168</v>
      </c>
      <c r="AK75" s="176" t="n">
        <v>0.21</v>
      </c>
      <c r="AL75" s="176" t="n">
        <v>0.252</v>
      </c>
      <c r="AM75" s="139"/>
      <c r="AN75" s="140" t="n">
        <v>22</v>
      </c>
      <c r="AO75" s="177" t="n">
        <v>0.4</v>
      </c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41" t="n">
        <v>39052</v>
      </c>
      <c r="BG75" s="179" t="n">
        <v>0.75</v>
      </c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  <c r="CE75" s="139"/>
      <c r="CF75" s="120"/>
      <c r="CG75" s="118"/>
      <c r="CH75" s="118"/>
      <c r="CI75" s="118"/>
      <c r="CK75" s="200"/>
      <c r="CL75" s="200"/>
      <c r="CM75" s="180"/>
      <c r="CN75" s="0"/>
      <c r="CO75" s="0"/>
      <c r="CP75" s="0"/>
      <c r="CQ75" s="0"/>
      <c r="CR75" s="0"/>
      <c r="CW75" s="181" t="n">
        <f aca="false">K75</f>
        <v>39052</v>
      </c>
      <c r="CX75" s="182" t="n">
        <f aca="false">AF75</f>
        <v>0.28</v>
      </c>
      <c r="CY75" s="182" t="n">
        <f aca="false">AG75</f>
        <v>0.35</v>
      </c>
      <c r="CZ75" s="182" t="n">
        <f aca="false">AH75</f>
        <v>0.42</v>
      </c>
      <c r="DB75" s="182" t="n">
        <f aca="false">X75</f>
        <v>0.16</v>
      </c>
      <c r="DC75" s="182" t="n">
        <f aca="false">Y75</f>
        <v>0.2</v>
      </c>
      <c r="DD75" s="182" t="n">
        <f aca="false">Z75</f>
        <v>0.24</v>
      </c>
      <c r="DF75" s="181" t="n">
        <f aca="false">BF75</f>
        <v>39052</v>
      </c>
      <c r="DG75" s="133" t="n">
        <f aca="false">BG75</f>
        <v>0.75</v>
      </c>
      <c r="DJ75" s="181" t="n">
        <f aca="false">CW75</f>
        <v>39052</v>
      </c>
      <c r="DK75" s="182" t="n">
        <f aca="false">AJ75</f>
        <v>0.168</v>
      </c>
      <c r="DL75" s="182" t="n">
        <f aca="false">AK75</f>
        <v>0.21</v>
      </c>
      <c r="DM75" s="182" t="n">
        <f aca="false">AL75</f>
        <v>0.252</v>
      </c>
      <c r="DO75" s="182" t="n">
        <f aca="false">AB75</f>
        <v>0.08</v>
      </c>
      <c r="DP75" s="182" t="n">
        <f aca="false">AC75</f>
        <v>0.1</v>
      </c>
      <c r="DQ75" s="182" t="n">
        <f aca="false">AD75</f>
        <v>0.12</v>
      </c>
    </row>
    <row r="76" customFormat="false" ht="12.75" hidden="false" customHeight="false" outlineLevel="0" collapsed="false">
      <c r="A76" s="133"/>
      <c r="B76" s="174" t="n">
        <v>38200</v>
      </c>
      <c r="C76" s="175" t="n">
        <v>43.75</v>
      </c>
      <c r="D76" s="175" t="n">
        <v>50.75</v>
      </c>
      <c r="E76" s="175" t="n">
        <v>57.75</v>
      </c>
      <c r="F76" s="159"/>
      <c r="G76" s="175" t="n">
        <v>23.0400009155273</v>
      </c>
      <c r="H76" s="175" t="n">
        <v>23.0400009155273</v>
      </c>
      <c r="I76" s="175" t="n">
        <v>23.0400009155273</v>
      </c>
      <c r="J76" s="140"/>
      <c r="K76" s="141" t="n">
        <v>39083</v>
      </c>
      <c r="L76" s="176" t="n">
        <v>35.75</v>
      </c>
      <c r="M76" s="176" t="n">
        <v>35.75</v>
      </c>
      <c r="N76" s="176" t="n">
        <v>35.75</v>
      </c>
      <c r="O76" s="139"/>
      <c r="P76" s="176" t="n">
        <v>25.25</v>
      </c>
      <c r="Q76" s="176" t="n">
        <v>25.25</v>
      </c>
      <c r="R76" s="176" t="n">
        <v>25.25</v>
      </c>
      <c r="S76" s="139"/>
      <c r="T76" s="176" t="n">
        <v>0</v>
      </c>
      <c r="U76" s="176" t="n">
        <v>0</v>
      </c>
      <c r="V76" s="176" t="n">
        <v>0</v>
      </c>
      <c r="W76" s="139"/>
      <c r="X76" s="176" t="n">
        <v>0.16</v>
      </c>
      <c r="Y76" s="176" t="n">
        <v>0.2</v>
      </c>
      <c r="Z76" s="176" t="n">
        <v>0.24</v>
      </c>
      <c r="AA76" s="139"/>
      <c r="AB76" s="176" t="n">
        <v>0.08</v>
      </c>
      <c r="AC76" s="176" t="n">
        <v>0.1</v>
      </c>
      <c r="AD76" s="176" t="n">
        <v>0.12</v>
      </c>
      <c r="AE76" s="139"/>
      <c r="AF76" s="176" t="n">
        <v>0.28</v>
      </c>
      <c r="AG76" s="176" t="n">
        <v>0.35</v>
      </c>
      <c r="AH76" s="176" t="n">
        <v>0.42</v>
      </c>
      <c r="AI76" s="139"/>
      <c r="AJ76" s="176" t="n">
        <v>0.168</v>
      </c>
      <c r="AK76" s="176" t="n">
        <v>0.21</v>
      </c>
      <c r="AL76" s="176" t="n">
        <v>0.252</v>
      </c>
      <c r="AM76" s="139"/>
      <c r="AN76" s="140" t="n">
        <v>23</v>
      </c>
      <c r="AO76" s="177" t="n">
        <v>0.4</v>
      </c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41" t="n">
        <v>39083</v>
      </c>
      <c r="BG76" s="179" t="n">
        <v>0.75</v>
      </c>
      <c r="BH76" s="139"/>
      <c r="BI76" s="139"/>
      <c r="BJ76" s="139"/>
      <c r="BK76" s="139"/>
      <c r="BL76" s="139"/>
      <c r="BM76" s="139"/>
      <c r="BN76" s="139"/>
      <c r="BO76" s="139"/>
      <c r="BP76" s="139"/>
      <c r="BQ76" s="139"/>
      <c r="BR76" s="139"/>
      <c r="BS76" s="139"/>
      <c r="BT76" s="139"/>
      <c r="BU76" s="139"/>
      <c r="BV76" s="139"/>
      <c r="BW76" s="139"/>
      <c r="BX76" s="139"/>
      <c r="BY76" s="139"/>
      <c r="BZ76" s="139"/>
      <c r="CA76" s="139"/>
      <c r="CB76" s="139"/>
      <c r="CC76" s="139"/>
      <c r="CD76" s="139"/>
      <c r="CE76" s="139"/>
      <c r="CF76" s="120"/>
      <c r="CG76" s="118"/>
      <c r="CH76" s="118"/>
      <c r="CI76" s="118"/>
      <c r="CK76" s="200"/>
      <c r="CL76" s="200"/>
      <c r="CM76" s="180"/>
      <c r="CN76" s="0"/>
      <c r="CO76" s="0"/>
      <c r="CP76" s="0"/>
      <c r="CQ76" s="0"/>
      <c r="CR76" s="0"/>
      <c r="CW76" s="181" t="n">
        <f aca="false">K76</f>
        <v>39083</v>
      </c>
      <c r="CX76" s="182" t="n">
        <f aca="false">AF76</f>
        <v>0.28</v>
      </c>
      <c r="CY76" s="182" t="n">
        <f aca="false">AG76</f>
        <v>0.35</v>
      </c>
      <c r="CZ76" s="182" t="n">
        <f aca="false">AH76</f>
        <v>0.42</v>
      </c>
      <c r="DB76" s="182" t="n">
        <f aca="false">X76</f>
        <v>0.16</v>
      </c>
      <c r="DC76" s="182" t="n">
        <f aca="false">Y76</f>
        <v>0.2</v>
      </c>
      <c r="DD76" s="182" t="n">
        <f aca="false">Z76</f>
        <v>0.24</v>
      </c>
      <c r="DF76" s="181" t="n">
        <f aca="false">BF76</f>
        <v>39083</v>
      </c>
      <c r="DG76" s="133" t="n">
        <f aca="false">BG76</f>
        <v>0.75</v>
      </c>
      <c r="DJ76" s="181" t="n">
        <f aca="false">CW76</f>
        <v>39083</v>
      </c>
      <c r="DK76" s="182" t="n">
        <f aca="false">AJ76</f>
        <v>0.168</v>
      </c>
      <c r="DL76" s="182" t="n">
        <f aca="false">AK76</f>
        <v>0.21</v>
      </c>
      <c r="DM76" s="182" t="n">
        <f aca="false">AL76</f>
        <v>0.252</v>
      </c>
      <c r="DO76" s="182" t="n">
        <f aca="false">AB76</f>
        <v>0.08</v>
      </c>
      <c r="DP76" s="182" t="n">
        <f aca="false">AC76</f>
        <v>0.1</v>
      </c>
      <c r="DQ76" s="182" t="n">
        <f aca="false">AD76</f>
        <v>0.12</v>
      </c>
    </row>
    <row r="77" customFormat="false" ht="12.75" hidden="false" customHeight="false" outlineLevel="0" collapsed="false">
      <c r="A77" s="133"/>
      <c r="B77" s="174" t="n">
        <v>38231</v>
      </c>
      <c r="C77" s="175" t="n">
        <v>27.1500011444092</v>
      </c>
      <c r="D77" s="175" t="n">
        <v>29.8000011444092</v>
      </c>
      <c r="E77" s="175" t="n">
        <v>32.4500011444092</v>
      </c>
      <c r="F77" s="159"/>
      <c r="G77" s="175" t="n">
        <v>17.0400009155273</v>
      </c>
      <c r="H77" s="175" t="n">
        <v>17.0400009155273</v>
      </c>
      <c r="I77" s="175" t="n">
        <v>17.0400009155273</v>
      </c>
      <c r="J77" s="140"/>
      <c r="K77" s="141" t="n">
        <v>39114</v>
      </c>
      <c r="L77" s="176" t="n">
        <v>31.2460021972656</v>
      </c>
      <c r="M77" s="176" t="n">
        <v>31.2460021972656</v>
      </c>
      <c r="N77" s="176" t="n">
        <v>31.2460021972656</v>
      </c>
      <c r="O77" s="139"/>
      <c r="P77" s="176" t="n">
        <v>22.7465019226074</v>
      </c>
      <c r="Q77" s="176" t="n">
        <v>22.7465019226074</v>
      </c>
      <c r="R77" s="176" t="n">
        <v>22.7465019226074</v>
      </c>
      <c r="S77" s="139"/>
      <c r="T77" s="176" t="n">
        <v>0</v>
      </c>
      <c r="U77" s="176" t="n">
        <v>0</v>
      </c>
      <c r="V77" s="176" t="n">
        <v>0</v>
      </c>
      <c r="W77" s="139"/>
      <c r="X77" s="176" t="n">
        <v>0.16</v>
      </c>
      <c r="Y77" s="176" t="n">
        <v>0.2</v>
      </c>
      <c r="Z77" s="176" t="n">
        <v>0.24</v>
      </c>
      <c r="AA77" s="139"/>
      <c r="AB77" s="176" t="n">
        <v>0.08</v>
      </c>
      <c r="AC77" s="176" t="n">
        <v>0.1</v>
      </c>
      <c r="AD77" s="176" t="n">
        <v>0.12</v>
      </c>
      <c r="AE77" s="139"/>
      <c r="AF77" s="176" t="n">
        <v>0.28</v>
      </c>
      <c r="AG77" s="176" t="n">
        <v>0.35</v>
      </c>
      <c r="AH77" s="176" t="n">
        <v>0.42</v>
      </c>
      <c r="AI77" s="139"/>
      <c r="AJ77" s="176" t="n">
        <v>0.168</v>
      </c>
      <c r="AK77" s="176" t="n">
        <v>0.21</v>
      </c>
      <c r="AL77" s="176" t="n">
        <v>0.252</v>
      </c>
      <c r="AM77" s="139"/>
      <c r="AN77" s="140" t="n">
        <v>23</v>
      </c>
      <c r="AO77" s="177" t="n">
        <v>0.4</v>
      </c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41" t="n">
        <v>39114</v>
      </c>
      <c r="BG77" s="179" t="n">
        <v>0.75</v>
      </c>
      <c r="BH77" s="139"/>
      <c r="BI77" s="139"/>
      <c r="BJ77" s="139"/>
      <c r="BK77" s="139"/>
      <c r="BL77" s="139"/>
      <c r="BM77" s="139"/>
      <c r="BN77" s="139"/>
      <c r="BO77" s="139"/>
      <c r="BP77" s="139"/>
      <c r="BQ77" s="139"/>
      <c r="BR77" s="139"/>
      <c r="BS77" s="139"/>
      <c r="BT77" s="139"/>
      <c r="BU77" s="139"/>
      <c r="BV77" s="139"/>
      <c r="BW77" s="139"/>
      <c r="BX77" s="139"/>
      <c r="BY77" s="139"/>
      <c r="BZ77" s="139"/>
      <c r="CA77" s="139"/>
      <c r="CB77" s="139"/>
      <c r="CC77" s="139"/>
      <c r="CD77" s="139"/>
      <c r="CE77" s="139"/>
      <c r="CF77" s="120"/>
      <c r="CG77" s="118"/>
      <c r="CH77" s="118"/>
      <c r="CI77" s="118"/>
      <c r="CK77" s="200"/>
      <c r="CL77" s="200"/>
      <c r="CM77" s="180"/>
      <c r="CN77" s="0"/>
      <c r="CO77" s="0"/>
      <c r="CP77" s="0"/>
      <c r="CQ77" s="0"/>
      <c r="CR77" s="0"/>
      <c r="CW77" s="181" t="n">
        <f aca="false">K77</f>
        <v>39114</v>
      </c>
      <c r="CX77" s="182" t="n">
        <f aca="false">AF77</f>
        <v>0.28</v>
      </c>
      <c r="CY77" s="182" t="n">
        <f aca="false">AG77</f>
        <v>0.35</v>
      </c>
      <c r="CZ77" s="182" t="n">
        <f aca="false">AH77</f>
        <v>0.42</v>
      </c>
      <c r="DB77" s="182" t="n">
        <f aca="false">X77</f>
        <v>0.16</v>
      </c>
      <c r="DC77" s="182" t="n">
        <f aca="false">Y77</f>
        <v>0.2</v>
      </c>
      <c r="DD77" s="182" t="n">
        <f aca="false">Z77</f>
        <v>0.24</v>
      </c>
      <c r="DF77" s="181" t="n">
        <f aca="false">BF77</f>
        <v>39114</v>
      </c>
      <c r="DG77" s="133" t="n">
        <f aca="false">BG77</f>
        <v>0.75</v>
      </c>
      <c r="DJ77" s="181" t="n">
        <f aca="false">CW77</f>
        <v>39114</v>
      </c>
      <c r="DK77" s="182" t="n">
        <f aca="false">AJ77</f>
        <v>0.168</v>
      </c>
      <c r="DL77" s="182" t="n">
        <f aca="false">AK77</f>
        <v>0.21</v>
      </c>
      <c r="DM77" s="182" t="n">
        <f aca="false">AL77</f>
        <v>0.252</v>
      </c>
      <c r="DO77" s="182" t="n">
        <f aca="false">AB77</f>
        <v>0.08</v>
      </c>
      <c r="DP77" s="182" t="n">
        <f aca="false">AC77</f>
        <v>0.1</v>
      </c>
      <c r="DQ77" s="182" t="n">
        <f aca="false">AD77</f>
        <v>0.12</v>
      </c>
    </row>
    <row r="78" customFormat="false" ht="12.75" hidden="false" customHeight="false" outlineLevel="0" collapsed="false">
      <c r="A78" s="133"/>
      <c r="B78" s="174" t="n">
        <v>38261</v>
      </c>
      <c r="C78" s="175" t="n">
        <v>29.8015628814697</v>
      </c>
      <c r="D78" s="175" t="n">
        <v>30.7015628814697</v>
      </c>
      <c r="E78" s="175" t="n">
        <v>31.6015628814697</v>
      </c>
      <c r="F78" s="159"/>
      <c r="G78" s="175" t="n">
        <v>16.540002822876</v>
      </c>
      <c r="H78" s="175" t="n">
        <v>16.540002822876</v>
      </c>
      <c r="I78" s="175" t="n">
        <v>16.540002822876</v>
      </c>
      <c r="J78" s="140"/>
      <c r="K78" s="141" t="n">
        <v>39142</v>
      </c>
      <c r="L78" s="176" t="n">
        <v>25.5</v>
      </c>
      <c r="M78" s="176" t="n">
        <v>25.5</v>
      </c>
      <c r="N78" s="176" t="n">
        <v>25.5</v>
      </c>
      <c r="O78" s="139"/>
      <c r="P78" s="176" t="n">
        <v>20</v>
      </c>
      <c r="Q78" s="176" t="n">
        <v>20</v>
      </c>
      <c r="R78" s="176" t="n">
        <v>20</v>
      </c>
      <c r="S78" s="139"/>
      <c r="T78" s="176" t="n">
        <v>0</v>
      </c>
      <c r="U78" s="176" t="n">
        <v>0</v>
      </c>
      <c r="V78" s="176" t="n">
        <v>0</v>
      </c>
      <c r="W78" s="139"/>
      <c r="X78" s="176" t="n">
        <v>0.16</v>
      </c>
      <c r="Y78" s="176" t="n">
        <v>0.2</v>
      </c>
      <c r="Z78" s="176" t="n">
        <v>0.24</v>
      </c>
      <c r="AA78" s="139"/>
      <c r="AB78" s="176" t="n">
        <v>0.08</v>
      </c>
      <c r="AC78" s="176" t="n">
        <v>0.1</v>
      </c>
      <c r="AD78" s="176" t="n">
        <v>0.12</v>
      </c>
      <c r="AE78" s="139"/>
      <c r="AF78" s="176" t="n">
        <v>0.28</v>
      </c>
      <c r="AG78" s="176" t="n">
        <v>0.35</v>
      </c>
      <c r="AH78" s="176" t="n">
        <v>0.42</v>
      </c>
      <c r="AI78" s="139"/>
      <c r="AJ78" s="176" t="n">
        <v>0.168</v>
      </c>
      <c r="AK78" s="176" t="n">
        <v>0.21</v>
      </c>
      <c r="AL78" s="176" t="n">
        <v>0.252</v>
      </c>
      <c r="AM78" s="139"/>
      <c r="AN78" s="140" t="n">
        <v>23</v>
      </c>
      <c r="AO78" s="177" t="n">
        <v>0.4</v>
      </c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41" t="n">
        <v>39142</v>
      </c>
      <c r="BG78" s="179" t="n">
        <v>0.75</v>
      </c>
      <c r="BH78" s="139"/>
      <c r="BI78" s="139"/>
      <c r="BJ78" s="139"/>
      <c r="BK78" s="139"/>
      <c r="BL78" s="139"/>
      <c r="BM78" s="139"/>
      <c r="BN78" s="139"/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20"/>
      <c r="CG78" s="118"/>
      <c r="CH78" s="118"/>
      <c r="CI78" s="118"/>
      <c r="CK78" s="200"/>
      <c r="CL78" s="200"/>
      <c r="CM78" s="180"/>
      <c r="CN78" s="0"/>
      <c r="CO78" s="0"/>
      <c r="CP78" s="0"/>
      <c r="CQ78" s="0"/>
      <c r="CR78" s="0"/>
      <c r="CW78" s="181" t="n">
        <f aca="false">K78</f>
        <v>39142</v>
      </c>
      <c r="CX78" s="182" t="n">
        <f aca="false">AF78</f>
        <v>0.28</v>
      </c>
      <c r="CY78" s="182" t="n">
        <f aca="false">AG78</f>
        <v>0.35</v>
      </c>
      <c r="CZ78" s="182" t="n">
        <f aca="false">AH78</f>
        <v>0.42</v>
      </c>
      <c r="DB78" s="182" t="n">
        <f aca="false">X78</f>
        <v>0.16</v>
      </c>
      <c r="DC78" s="182" t="n">
        <f aca="false">Y78</f>
        <v>0.2</v>
      </c>
      <c r="DD78" s="182" t="n">
        <f aca="false">Z78</f>
        <v>0.24</v>
      </c>
      <c r="DF78" s="181" t="n">
        <f aca="false">BF78</f>
        <v>39142</v>
      </c>
      <c r="DG78" s="133" t="n">
        <f aca="false">BG78</f>
        <v>0.75</v>
      </c>
      <c r="DJ78" s="181" t="n">
        <f aca="false">CW78</f>
        <v>39142</v>
      </c>
      <c r="DK78" s="182" t="n">
        <f aca="false">AJ78</f>
        <v>0.168</v>
      </c>
      <c r="DL78" s="182" t="n">
        <f aca="false">AK78</f>
        <v>0.21</v>
      </c>
      <c r="DM78" s="182" t="n">
        <f aca="false">AL78</f>
        <v>0.252</v>
      </c>
      <c r="DO78" s="182" t="n">
        <f aca="false">AB78</f>
        <v>0.08</v>
      </c>
      <c r="DP78" s="182" t="n">
        <f aca="false">AC78</f>
        <v>0.1</v>
      </c>
      <c r="DQ78" s="182" t="n">
        <f aca="false">AD78</f>
        <v>0.12</v>
      </c>
    </row>
    <row r="79" customFormat="false" ht="12.75" hidden="false" customHeight="false" outlineLevel="0" collapsed="false">
      <c r="A79" s="133"/>
      <c r="B79" s="174" t="n">
        <v>38292</v>
      </c>
      <c r="C79" s="175" t="n">
        <v>29.9015613555908</v>
      </c>
      <c r="D79" s="175" t="n">
        <v>30.8015613555908</v>
      </c>
      <c r="E79" s="175" t="n">
        <v>31.7015613555908</v>
      </c>
      <c r="F79" s="159"/>
      <c r="G79" s="175" t="n">
        <v>17.5400009155273</v>
      </c>
      <c r="H79" s="175" t="n">
        <v>17.5400009155273</v>
      </c>
      <c r="I79" s="175" t="n">
        <v>17.5400009155273</v>
      </c>
      <c r="J79" s="140"/>
      <c r="K79" s="141" t="n">
        <v>39173</v>
      </c>
      <c r="L79" s="176" t="n">
        <v>22</v>
      </c>
      <c r="M79" s="176" t="n">
        <v>22</v>
      </c>
      <c r="N79" s="176" t="n">
        <v>22</v>
      </c>
      <c r="O79" s="139"/>
      <c r="P79" s="176" t="n">
        <v>16.4950008392334</v>
      </c>
      <c r="Q79" s="176" t="n">
        <v>16.4950008392334</v>
      </c>
      <c r="R79" s="176" t="n">
        <v>16.4950008392334</v>
      </c>
      <c r="S79" s="139"/>
      <c r="T79" s="176" t="n">
        <v>0</v>
      </c>
      <c r="U79" s="176" t="n">
        <v>0</v>
      </c>
      <c r="V79" s="176" t="n">
        <v>0</v>
      </c>
      <c r="W79" s="139"/>
      <c r="X79" s="176" t="n">
        <v>0.16</v>
      </c>
      <c r="Y79" s="176" t="n">
        <v>0.2</v>
      </c>
      <c r="Z79" s="176" t="n">
        <v>0.24</v>
      </c>
      <c r="AA79" s="139"/>
      <c r="AB79" s="176" t="n">
        <v>0.08</v>
      </c>
      <c r="AC79" s="176" t="n">
        <v>0.1</v>
      </c>
      <c r="AD79" s="176" t="n">
        <v>0.12</v>
      </c>
      <c r="AE79" s="139"/>
      <c r="AF79" s="176" t="n">
        <v>0.28</v>
      </c>
      <c r="AG79" s="176" t="n">
        <v>0.35</v>
      </c>
      <c r="AH79" s="176" t="n">
        <v>0.42</v>
      </c>
      <c r="AI79" s="139"/>
      <c r="AJ79" s="176" t="n">
        <v>0.168</v>
      </c>
      <c r="AK79" s="176" t="n">
        <v>0.21</v>
      </c>
      <c r="AL79" s="176" t="n">
        <v>0.252</v>
      </c>
      <c r="AM79" s="139"/>
      <c r="AN79" s="140" t="n">
        <v>24</v>
      </c>
      <c r="AO79" s="177" t="n">
        <v>0.4</v>
      </c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41" t="n">
        <v>39173</v>
      </c>
      <c r="BG79" s="179" t="n">
        <v>0.75</v>
      </c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20"/>
      <c r="CG79" s="118"/>
      <c r="CH79" s="118"/>
      <c r="CI79" s="118"/>
      <c r="CK79" s="200"/>
      <c r="CL79" s="200"/>
      <c r="CM79" s="180"/>
      <c r="CN79" s="0"/>
      <c r="CO79" s="0"/>
      <c r="CP79" s="0"/>
      <c r="CQ79" s="0"/>
      <c r="CR79" s="0"/>
      <c r="CW79" s="181" t="n">
        <f aca="false">K79</f>
        <v>39173</v>
      </c>
      <c r="CX79" s="182" t="n">
        <f aca="false">AF79</f>
        <v>0.28</v>
      </c>
      <c r="CY79" s="182" t="n">
        <f aca="false">AG79</f>
        <v>0.35</v>
      </c>
      <c r="CZ79" s="182" t="n">
        <f aca="false">AH79</f>
        <v>0.42</v>
      </c>
      <c r="DB79" s="182" t="n">
        <f aca="false">X79</f>
        <v>0.16</v>
      </c>
      <c r="DC79" s="182" t="n">
        <f aca="false">Y79</f>
        <v>0.2</v>
      </c>
      <c r="DD79" s="182" t="n">
        <f aca="false">Z79</f>
        <v>0.24</v>
      </c>
      <c r="DF79" s="181" t="n">
        <f aca="false">BF79</f>
        <v>39173</v>
      </c>
      <c r="DG79" s="133" t="n">
        <f aca="false">BG79</f>
        <v>0.75</v>
      </c>
      <c r="DJ79" s="181" t="n">
        <f aca="false">CW79</f>
        <v>39173</v>
      </c>
      <c r="DK79" s="182" t="n">
        <f aca="false">AJ79</f>
        <v>0.168</v>
      </c>
      <c r="DL79" s="182" t="n">
        <f aca="false">AK79</f>
        <v>0.21</v>
      </c>
      <c r="DM79" s="182" t="n">
        <f aca="false">AL79</f>
        <v>0.252</v>
      </c>
      <c r="DO79" s="182" t="n">
        <f aca="false">AB79</f>
        <v>0.08</v>
      </c>
      <c r="DP79" s="182" t="n">
        <f aca="false">AC79</f>
        <v>0.1</v>
      </c>
      <c r="DQ79" s="182" t="n">
        <f aca="false">AD79</f>
        <v>0.12</v>
      </c>
    </row>
    <row r="80" customFormat="false" ht="12.75" hidden="false" customHeight="false" outlineLevel="0" collapsed="false">
      <c r="A80" s="133"/>
      <c r="B80" s="174" t="n">
        <v>38322</v>
      </c>
      <c r="C80" s="175" t="n">
        <v>30.0015598297119</v>
      </c>
      <c r="D80" s="175" t="n">
        <v>30.9015598297119</v>
      </c>
      <c r="E80" s="175" t="n">
        <v>31.8015598297119</v>
      </c>
      <c r="F80" s="159"/>
      <c r="G80" s="175" t="n">
        <v>19.7900009155273</v>
      </c>
      <c r="H80" s="175" t="n">
        <v>19.7900009155273</v>
      </c>
      <c r="I80" s="175" t="n">
        <v>19.7900009155273</v>
      </c>
      <c r="J80" s="140"/>
      <c r="K80" s="141" t="n">
        <v>39203</v>
      </c>
      <c r="L80" s="176" t="n">
        <v>22.2900009155273</v>
      </c>
      <c r="M80" s="176" t="n">
        <v>22.2900009155273</v>
      </c>
      <c r="N80" s="176" t="n">
        <v>22.2900009155273</v>
      </c>
      <c r="O80" s="139"/>
      <c r="P80" s="176" t="n">
        <v>15.7950000762939</v>
      </c>
      <c r="Q80" s="176" t="n">
        <v>15.7950000762939</v>
      </c>
      <c r="R80" s="176" t="n">
        <v>15.7950000762939</v>
      </c>
      <c r="S80" s="139"/>
      <c r="T80" s="176" t="n">
        <v>0</v>
      </c>
      <c r="U80" s="176" t="n">
        <v>0</v>
      </c>
      <c r="V80" s="176" t="n">
        <v>0</v>
      </c>
      <c r="W80" s="139"/>
      <c r="X80" s="176" t="n">
        <v>0.16</v>
      </c>
      <c r="Y80" s="176" t="n">
        <v>0.2</v>
      </c>
      <c r="Z80" s="176" t="n">
        <v>0.24</v>
      </c>
      <c r="AA80" s="139"/>
      <c r="AB80" s="176" t="n">
        <v>0.08</v>
      </c>
      <c r="AC80" s="176" t="n">
        <v>0.1</v>
      </c>
      <c r="AD80" s="176" t="n">
        <v>0.12</v>
      </c>
      <c r="AE80" s="139"/>
      <c r="AF80" s="176" t="n">
        <v>0.28</v>
      </c>
      <c r="AG80" s="176" t="n">
        <v>0.35</v>
      </c>
      <c r="AH80" s="176" t="n">
        <v>0.42</v>
      </c>
      <c r="AI80" s="139"/>
      <c r="AJ80" s="176" t="n">
        <v>0.168</v>
      </c>
      <c r="AK80" s="176" t="n">
        <v>0.21</v>
      </c>
      <c r="AL80" s="176" t="n">
        <v>0.252</v>
      </c>
      <c r="AM80" s="139"/>
      <c r="AN80" s="140" t="n">
        <v>24</v>
      </c>
      <c r="AO80" s="177" t="n">
        <v>0.4</v>
      </c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41" t="n">
        <v>39203</v>
      </c>
      <c r="BG80" s="179" t="n">
        <v>0.75</v>
      </c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20"/>
      <c r="CG80" s="118"/>
      <c r="CH80" s="118"/>
      <c r="CI80" s="118"/>
      <c r="CK80" s="200"/>
      <c r="CL80" s="200"/>
      <c r="CM80" s="180"/>
      <c r="CN80" s="0"/>
      <c r="CO80" s="0"/>
      <c r="CP80" s="0"/>
      <c r="CQ80" s="0"/>
      <c r="CR80" s="0"/>
      <c r="CW80" s="181" t="n">
        <f aca="false">K80</f>
        <v>39203</v>
      </c>
      <c r="CX80" s="182" t="n">
        <f aca="false">AF80</f>
        <v>0.28</v>
      </c>
      <c r="CY80" s="182" t="n">
        <f aca="false">AG80</f>
        <v>0.35</v>
      </c>
      <c r="CZ80" s="182" t="n">
        <f aca="false">AH80</f>
        <v>0.42</v>
      </c>
      <c r="DB80" s="182" t="n">
        <f aca="false">X80</f>
        <v>0.16</v>
      </c>
      <c r="DC80" s="182" t="n">
        <f aca="false">Y80</f>
        <v>0.2</v>
      </c>
      <c r="DD80" s="182" t="n">
        <f aca="false">Z80</f>
        <v>0.24</v>
      </c>
      <c r="DF80" s="181" t="n">
        <f aca="false">BF80</f>
        <v>39203</v>
      </c>
      <c r="DG80" s="133" t="n">
        <f aca="false">BG80</f>
        <v>0.75</v>
      </c>
      <c r="DJ80" s="181" t="n">
        <f aca="false">CW80</f>
        <v>39203</v>
      </c>
      <c r="DK80" s="182" t="n">
        <f aca="false">AJ80</f>
        <v>0.168</v>
      </c>
      <c r="DL80" s="182" t="n">
        <f aca="false">AK80</f>
        <v>0.21</v>
      </c>
      <c r="DM80" s="182" t="n">
        <f aca="false">AL80</f>
        <v>0.252</v>
      </c>
      <c r="DO80" s="182" t="n">
        <f aca="false">AB80</f>
        <v>0.08</v>
      </c>
      <c r="DP80" s="182" t="n">
        <f aca="false">AC80</f>
        <v>0.1</v>
      </c>
      <c r="DQ80" s="182" t="n">
        <f aca="false">AD80</f>
        <v>0.12</v>
      </c>
    </row>
    <row r="81" customFormat="false" ht="12.75" hidden="false" customHeight="false" outlineLevel="0" collapsed="false">
      <c r="A81" s="133"/>
      <c r="B81" s="174" t="n">
        <v>38353</v>
      </c>
      <c r="C81" s="175" t="n">
        <v>34.7257164001465</v>
      </c>
      <c r="D81" s="175" t="n">
        <v>35.1757164001465</v>
      </c>
      <c r="E81" s="175" t="n">
        <v>35.6257164001465</v>
      </c>
      <c r="F81" s="159"/>
      <c r="G81" s="175" t="n">
        <v>22</v>
      </c>
      <c r="H81" s="175" t="n">
        <v>22</v>
      </c>
      <c r="I81" s="175" t="n">
        <v>22</v>
      </c>
      <c r="J81" s="140"/>
      <c r="K81" s="141" t="n">
        <v>39234</v>
      </c>
      <c r="L81" s="176" t="n">
        <v>29.2900009155273</v>
      </c>
      <c r="M81" s="176" t="n">
        <v>29.2900009155273</v>
      </c>
      <c r="N81" s="176" t="n">
        <v>29.2900009155273</v>
      </c>
      <c r="O81" s="139"/>
      <c r="P81" s="176" t="n">
        <v>19.7900009155273</v>
      </c>
      <c r="Q81" s="176" t="n">
        <v>19.7900009155273</v>
      </c>
      <c r="R81" s="176" t="n">
        <v>19.7900009155273</v>
      </c>
      <c r="S81" s="139"/>
      <c r="T81" s="176" t="n">
        <v>0</v>
      </c>
      <c r="U81" s="176" t="n">
        <v>0</v>
      </c>
      <c r="V81" s="176" t="n">
        <v>0</v>
      </c>
      <c r="W81" s="139"/>
      <c r="X81" s="176" t="n">
        <v>0.16</v>
      </c>
      <c r="Y81" s="176" t="n">
        <v>0.2</v>
      </c>
      <c r="Z81" s="176" t="n">
        <v>0.24</v>
      </c>
      <c r="AA81" s="139"/>
      <c r="AB81" s="176" t="n">
        <v>0.08</v>
      </c>
      <c r="AC81" s="176" t="n">
        <v>0.1</v>
      </c>
      <c r="AD81" s="176" t="n">
        <v>0.12</v>
      </c>
      <c r="AE81" s="139"/>
      <c r="AF81" s="176" t="n">
        <v>0.36</v>
      </c>
      <c r="AG81" s="176" t="n">
        <v>0.45</v>
      </c>
      <c r="AH81" s="176" t="n">
        <v>0.54</v>
      </c>
      <c r="AI81" s="139"/>
      <c r="AJ81" s="176" t="n">
        <v>0.216</v>
      </c>
      <c r="AK81" s="176" t="n">
        <v>0.27</v>
      </c>
      <c r="AL81" s="176" t="n">
        <v>0.324</v>
      </c>
      <c r="AM81" s="139"/>
      <c r="AN81" s="140" t="n">
        <v>24</v>
      </c>
      <c r="AO81" s="177" t="n">
        <v>0.4</v>
      </c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41" t="n">
        <v>39234</v>
      </c>
      <c r="BG81" s="179" t="n">
        <v>0.75</v>
      </c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20"/>
      <c r="CG81" s="118"/>
      <c r="CH81" s="118"/>
      <c r="CI81" s="118"/>
      <c r="CK81" s="200"/>
      <c r="CL81" s="200"/>
      <c r="CM81" s="180"/>
      <c r="CN81" s="0"/>
      <c r="CO81" s="0"/>
      <c r="CP81" s="0"/>
      <c r="CQ81" s="0"/>
      <c r="CR81" s="0"/>
      <c r="CW81" s="181" t="n">
        <f aca="false">K81</f>
        <v>39234</v>
      </c>
      <c r="CX81" s="182" t="n">
        <f aca="false">AF81</f>
        <v>0.36</v>
      </c>
      <c r="CY81" s="182" t="n">
        <f aca="false">AG81</f>
        <v>0.45</v>
      </c>
      <c r="CZ81" s="182" t="n">
        <f aca="false">AH81</f>
        <v>0.54</v>
      </c>
      <c r="DB81" s="182" t="n">
        <f aca="false">X81</f>
        <v>0.16</v>
      </c>
      <c r="DC81" s="182" t="n">
        <f aca="false">Y81</f>
        <v>0.2</v>
      </c>
      <c r="DD81" s="182" t="n">
        <f aca="false">Z81</f>
        <v>0.24</v>
      </c>
      <c r="DF81" s="181" t="n">
        <f aca="false">BF81</f>
        <v>39234</v>
      </c>
      <c r="DG81" s="133" t="n">
        <f aca="false">BG81</f>
        <v>0.75</v>
      </c>
      <c r="DJ81" s="181" t="n">
        <f aca="false">CW81</f>
        <v>39234</v>
      </c>
      <c r="DK81" s="182" t="n">
        <f aca="false">AJ81</f>
        <v>0.216</v>
      </c>
      <c r="DL81" s="182" t="n">
        <f aca="false">AK81</f>
        <v>0.27</v>
      </c>
      <c r="DM81" s="182" t="n">
        <f aca="false">AL81</f>
        <v>0.324</v>
      </c>
      <c r="DO81" s="182" t="n">
        <f aca="false">AB81</f>
        <v>0.08</v>
      </c>
      <c r="DP81" s="182" t="n">
        <f aca="false">AC81</f>
        <v>0.1</v>
      </c>
      <c r="DQ81" s="182" t="n">
        <f aca="false">AD81</f>
        <v>0.12</v>
      </c>
    </row>
    <row r="82" customFormat="false" ht="12.75" hidden="false" customHeight="false" outlineLevel="0" collapsed="false">
      <c r="A82" s="133"/>
      <c r="B82" s="174" t="n">
        <v>38384</v>
      </c>
      <c r="C82" s="175" t="n">
        <v>34.1257141113281</v>
      </c>
      <c r="D82" s="175" t="n">
        <v>34.5757141113281</v>
      </c>
      <c r="E82" s="175" t="n">
        <v>35.0257141113281</v>
      </c>
      <c r="F82" s="159"/>
      <c r="G82" s="175" t="n">
        <v>20.5</v>
      </c>
      <c r="H82" s="175" t="n">
        <v>20.5</v>
      </c>
      <c r="I82" s="175" t="n">
        <v>20.5</v>
      </c>
      <c r="J82" s="140"/>
      <c r="K82" s="141" t="n">
        <v>39264</v>
      </c>
      <c r="L82" s="176" t="n">
        <v>35.2900009155273</v>
      </c>
      <c r="M82" s="176" t="n">
        <v>35.2900009155273</v>
      </c>
      <c r="N82" s="176" t="n">
        <v>35.2900009155273</v>
      </c>
      <c r="O82" s="139"/>
      <c r="P82" s="176" t="n">
        <v>25.7900009155273</v>
      </c>
      <c r="Q82" s="176" t="n">
        <v>25.7900009155273</v>
      </c>
      <c r="R82" s="176" t="n">
        <v>25.7900009155273</v>
      </c>
      <c r="S82" s="139"/>
      <c r="T82" s="176" t="n">
        <v>0</v>
      </c>
      <c r="U82" s="176" t="n">
        <v>0</v>
      </c>
      <c r="V82" s="176" t="n">
        <v>0</v>
      </c>
      <c r="W82" s="139"/>
      <c r="X82" s="176" t="n">
        <v>0.16</v>
      </c>
      <c r="Y82" s="176" t="n">
        <v>0.2</v>
      </c>
      <c r="Z82" s="176" t="n">
        <v>0.24</v>
      </c>
      <c r="AA82" s="139"/>
      <c r="AB82" s="176" t="n">
        <v>0.08</v>
      </c>
      <c r="AC82" s="176" t="n">
        <v>0.1</v>
      </c>
      <c r="AD82" s="176" t="n">
        <v>0.12</v>
      </c>
      <c r="AE82" s="139"/>
      <c r="AF82" s="176" t="n">
        <v>0.36</v>
      </c>
      <c r="AG82" s="176" t="n">
        <v>0.45</v>
      </c>
      <c r="AH82" s="176" t="n">
        <v>0.54</v>
      </c>
      <c r="AI82" s="139"/>
      <c r="AJ82" s="176" t="n">
        <v>0.216</v>
      </c>
      <c r="AK82" s="176" t="n">
        <v>0.27</v>
      </c>
      <c r="AL82" s="176" t="n">
        <v>0.324</v>
      </c>
      <c r="AM82" s="139"/>
      <c r="AN82" s="140" t="n">
        <v>25</v>
      </c>
      <c r="AO82" s="177" t="n">
        <v>0.4</v>
      </c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41" t="n">
        <v>39264</v>
      </c>
      <c r="BG82" s="179" t="n">
        <v>0.75</v>
      </c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20"/>
      <c r="CG82" s="118"/>
      <c r="CH82" s="118"/>
      <c r="CI82" s="118"/>
      <c r="CK82" s="200"/>
      <c r="CL82" s="200"/>
      <c r="CM82" s="180"/>
      <c r="CN82" s="0"/>
      <c r="CO82" s="0"/>
      <c r="CP82" s="0"/>
      <c r="CQ82" s="0"/>
      <c r="CR82" s="0"/>
      <c r="CW82" s="181" t="n">
        <f aca="false">K82</f>
        <v>39264</v>
      </c>
      <c r="CX82" s="182" t="n">
        <f aca="false">AF82</f>
        <v>0.36</v>
      </c>
      <c r="CY82" s="182" t="n">
        <f aca="false">AG82</f>
        <v>0.45</v>
      </c>
      <c r="CZ82" s="182" t="n">
        <f aca="false">AH82</f>
        <v>0.54</v>
      </c>
      <c r="DB82" s="182" t="n">
        <f aca="false">X82</f>
        <v>0.16</v>
      </c>
      <c r="DC82" s="182" t="n">
        <f aca="false">Y82</f>
        <v>0.2</v>
      </c>
      <c r="DD82" s="182" t="n">
        <f aca="false">Z82</f>
        <v>0.24</v>
      </c>
      <c r="DF82" s="181" t="n">
        <f aca="false">BF82</f>
        <v>39264</v>
      </c>
      <c r="DG82" s="133" t="n">
        <f aca="false">BG82</f>
        <v>0.75</v>
      </c>
      <c r="DJ82" s="181" t="n">
        <f aca="false">CW82</f>
        <v>39264</v>
      </c>
      <c r="DK82" s="182" t="n">
        <f aca="false">AJ82</f>
        <v>0.216</v>
      </c>
      <c r="DL82" s="182" t="n">
        <f aca="false">AK82</f>
        <v>0.27</v>
      </c>
      <c r="DM82" s="182" t="n">
        <f aca="false">AL82</f>
        <v>0.324</v>
      </c>
      <c r="DO82" s="182" t="n">
        <f aca="false">AB82</f>
        <v>0.08</v>
      </c>
      <c r="DP82" s="182" t="n">
        <f aca="false">AC82</f>
        <v>0.1</v>
      </c>
      <c r="DQ82" s="182" t="n">
        <f aca="false">AD82</f>
        <v>0.12</v>
      </c>
    </row>
    <row r="83" customFormat="false" ht="12.75" hidden="false" customHeight="false" outlineLevel="0" collapsed="false">
      <c r="A83" s="133"/>
      <c r="B83" s="174" t="n">
        <v>38412</v>
      </c>
      <c r="C83" s="175" t="n">
        <v>32.6376777648926</v>
      </c>
      <c r="D83" s="175" t="n">
        <v>33.2876777648926</v>
      </c>
      <c r="E83" s="175" t="n">
        <v>33.9376777648926</v>
      </c>
      <c r="F83" s="159"/>
      <c r="G83" s="175" t="n">
        <v>21.5</v>
      </c>
      <c r="H83" s="175" t="n">
        <v>21.5</v>
      </c>
      <c r="I83" s="175" t="n">
        <v>21.5</v>
      </c>
      <c r="J83" s="140"/>
      <c r="K83" s="141" t="n">
        <v>39295</v>
      </c>
      <c r="L83" s="176" t="n">
        <v>33.2900047302246</v>
      </c>
      <c r="M83" s="176" t="n">
        <v>33.2900047302246</v>
      </c>
      <c r="N83" s="176" t="n">
        <v>33.2900047302246</v>
      </c>
      <c r="O83" s="139"/>
      <c r="P83" s="176" t="n">
        <v>25.7900009155273</v>
      </c>
      <c r="Q83" s="176" t="n">
        <v>25.7900009155273</v>
      </c>
      <c r="R83" s="176" t="n">
        <v>25.7900009155273</v>
      </c>
      <c r="S83" s="139"/>
      <c r="T83" s="176" t="n">
        <v>0</v>
      </c>
      <c r="U83" s="176" t="n">
        <v>0</v>
      </c>
      <c r="V83" s="176" t="n">
        <v>0</v>
      </c>
      <c r="W83" s="139"/>
      <c r="X83" s="176" t="n">
        <v>0.24</v>
      </c>
      <c r="Y83" s="176" t="n">
        <v>0.3</v>
      </c>
      <c r="Z83" s="176" t="n">
        <v>0.36</v>
      </c>
      <c r="AA83" s="139"/>
      <c r="AB83" s="176" t="n">
        <v>0.12</v>
      </c>
      <c r="AC83" s="176" t="n">
        <v>0.15</v>
      </c>
      <c r="AD83" s="176" t="n">
        <v>0.18</v>
      </c>
      <c r="AE83" s="139"/>
      <c r="AF83" s="176" t="n">
        <v>0.48</v>
      </c>
      <c r="AG83" s="176" t="n">
        <v>0.6</v>
      </c>
      <c r="AH83" s="176" t="n">
        <v>0.72</v>
      </c>
      <c r="AI83" s="139"/>
      <c r="AJ83" s="176" t="n">
        <v>0.288</v>
      </c>
      <c r="AK83" s="176" t="n">
        <v>0.36</v>
      </c>
      <c r="AL83" s="176" t="n">
        <v>0.432</v>
      </c>
      <c r="AM83" s="139"/>
      <c r="AN83" s="140" t="n">
        <v>25</v>
      </c>
      <c r="AO83" s="177" t="n">
        <v>0.4</v>
      </c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41" t="n">
        <v>39295</v>
      </c>
      <c r="BG83" s="179" t="n">
        <v>0.75</v>
      </c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0"/>
      <c r="CK83" s="206"/>
      <c r="CL83" s="206"/>
      <c r="CM83" s="180"/>
      <c r="CN83" s="0"/>
      <c r="CO83" s="0"/>
      <c r="CP83" s="0"/>
      <c r="CQ83" s="0"/>
      <c r="CR83" s="0"/>
      <c r="CW83" s="181" t="n">
        <f aca="false">K83</f>
        <v>39295</v>
      </c>
      <c r="CX83" s="182" t="n">
        <f aca="false">AF83</f>
        <v>0.48</v>
      </c>
      <c r="CY83" s="182" t="n">
        <f aca="false">AG83</f>
        <v>0.6</v>
      </c>
      <c r="CZ83" s="182" t="n">
        <f aca="false">AH83</f>
        <v>0.72</v>
      </c>
      <c r="DB83" s="182" t="n">
        <f aca="false">X83</f>
        <v>0.24</v>
      </c>
      <c r="DC83" s="182" t="n">
        <f aca="false">Y83</f>
        <v>0.3</v>
      </c>
      <c r="DD83" s="182" t="n">
        <f aca="false">Z83</f>
        <v>0.36</v>
      </c>
      <c r="DF83" s="181" t="n">
        <f aca="false">BF83</f>
        <v>39295</v>
      </c>
      <c r="DG83" s="133" t="n">
        <f aca="false">BG83</f>
        <v>0.75</v>
      </c>
      <c r="DJ83" s="181" t="n">
        <f aca="false">CW83</f>
        <v>39295</v>
      </c>
      <c r="DK83" s="182" t="n">
        <f aca="false">AJ83</f>
        <v>0.288</v>
      </c>
      <c r="DL83" s="182" t="n">
        <f aca="false">AK83</f>
        <v>0.36</v>
      </c>
      <c r="DM83" s="182" t="n">
        <f aca="false">AL83</f>
        <v>0.432</v>
      </c>
      <c r="DO83" s="182" t="n">
        <f aca="false">AB83</f>
        <v>0.12</v>
      </c>
      <c r="DP83" s="182" t="n">
        <f aca="false">AC83</f>
        <v>0.15</v>
      </c>
      <c r="DQ83" s="182" t="n">
        <f aca="false">AD83</f>
        <v>0.18</v>
      </c>
    </row>
    <row r="84" customFormat="false" ht="12.75" hidden="false" customHeight="false" outlineLevel="0" collapsed="false">
      <c r="A84" s="133"/>
      <c r="B84" s="174" t="n">
        <v>38443</v>
      </c>
      <c r="C84" s="175" t="n">
        <v>32.337678527832</v>
      </c>
      <c r="D84" s="175" t="n">
        <v>33.487678527832</v>
      </c>
      <c r="E84" s="175" t="n">
        <v>34.637678527832</v>
      </c>
      <c r="F84" s="159"/>
      <c r="G84" s="175" t="n">
        <v>18.5</v>
      </c>
      <c r="H84" s="175" t="n">
        <v>18.5</v>
      </c>
      <c r="I84" s="175" t="n">
        <v>18.5</v>
      </c>
      <c r="J84" s="140"/>
      <c r="K84" s="141" t="n">
        <v>39326</v>
      </c>
      <c r="L84" s="176" t="n">
        <v>25.2900009155273</v>
      </c>
      <c r="M84" s="176" t="n">
        <v>25.2900009155273</v>
      </c>
      <c r="N84" s="176" t="n">
        <v>25.2900009155273</v>
      </c>
      <c r="O84" s="139"/>
      <c r="P84" s="176" t="n">
        <v>19.7900009155273</v>
      </c>
      <c r="Q84" s="176" t="n">
        <v>19.7900009155273</v>
      </c>
      <c r="R84" s="176" t="n">
        <v>19.7900009155273</v>
      </c>
      <c r="S84" s="139"/>
      <c r="T84" s="176" t="n">
        <v>0</v>
      </c>
      <c r="U84" s="176" t="n">
        <v>0</v>
      </c>
      <c r="V84" s="176" t="n">
        <v>0</v>
      </c>
      <c r="W84" s="139"/>
      <c r="X84" s="176" t="n">
        <v>0.24</v>
      </c>
      <c r="Y84" s="176" t="n">
        <v>0.3</v>
      </c>
      <c r="Z84" s="176" t="n">
        <v>0.36</v>
      </c>
      <c r="AA84" s="139"/>
      <c r="AB84" s="176" t="n">
        <v>0.12</v>
      </c>
      <c r="AC84" s="176" t="n">
        <v>0.15</v>
      </c>
      <c r="AD84" s="176" t="n">
        <v>0.18</v>
      </c>
      <c r="AE84" s="139"/>
      <c r="AF84" s="176" t="n">
        <v>0.48</v>
      </c>
      <c r="AG84" s="176" t="n">
        <v>0.6</v>
      </c>
      <c r="AH84" s="176" t="n">
        <v>0.72</v>
      </c>
      <c r="AI84" s="139"/>
      <c r="AJ84" s="176" t="n">
        <v>0.288</v>
      </c>
      <c r="AK84" s="176" t="n">
        <v>0.36</v>
      </c>
      <c r="AL84" s="176" t="n">
        <v>0.432</v>
      </c>
      <c r="AM84" s="139"/>
      <c r="AN84" s="140" t="n">
        <v>25</v>
      </c>
      <c r="AO84" s="177" t="n">
        <v>0.4</v>
      </c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41" t="n">
        <v>39326</v>
      </c>
      <c r="BG84" s="179" t="n">
        <v>0.75</v>
      </c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0"/>
      <c r="CK84" s="206"/>
      <c r="CL84" s="206"/>
      <c r="CM84" s="180"/>
      <c r="CN84" s="0"/>
      <c r="CO84" s="0"/>
      <c r="CP84" s="0"/>
      <c r="CQ84" s="0"/>
      <c r="CR84" s="0"/>
      <c r="CW84" s="181" t="n">
        <f aca="false">K84</f>
        <v>39326</v>
      </c>
      <c r="CX84" s="182" t="n">
        <f aca="false">AF84</f>
        <v>0.48</v>
      </c>
      <c r="CY84" s="182" t="n">
        <f aca="false">AG84</f>
        <v>0.6</v>
      </c>
      <c r="CZ84" s="182" t="n">
        <f aca="false">AH84</f>
        <v>0.72</v>
      </c>
      <c r="DB84" s="182" t="n">
        <f aca="false">X84</f>
        <v>0.24</v>
      </c>
      <c r="DC84" s="182" t="n">
        <f aca="false">Y84</f>
        <v>0.3</v>
      </c>
      <c r="DD84" s="182" t="n">
        <f aca="false">Z84</f>
        <v>0.36</v>
      </c>
      <c r="DF84" s="181" t="n">
        <f aca="false">BF84</f>
        <v>39326</v>
      </c>
      <c r="DG84" s="133" t="n">
        <f aca="false">BG84</f>
        <v>0.75</v>
      </c>
      <c r="DJ84" s="181" t="n">
        <f aca="false">CW84</f>
        <v>39326</v>
      </c>
      <c r="DK84" s="182" t="n">
        <f aca="false">AJ84</f>
        <v>0.288</v>
      </c>
      <c r="DL84" s="182" t="n">
        <f aca="false">AK84</f>
        <v>0.36</v>
      </c>
      <c r="DM84" s="182" t="n">
        <f aca="false">AL84</f>
        <v>0.432</v>
      </c>
      <c r="DO84" s="182" t="n">
        <f aca="false">AB84</f>
        <v>0.12</v>
      </c>
      <c r="DP84" s="182" t="n">
        <f aca="false">AC84</f>
        <v>0.15</v>
      </c>
      <c r="DQ84" s="182" t="n">
        <f aca="false">AD84</f>
        <v>0.18</v>
      </c>
    </row>
    <row r="85" customFormat="false" ht="12.75" hidden="false" customHeight="false" outlineLevel="0" collapsed="false">
      <c r="A85" s="133"/>
      <c r="B85" s="174" t="n">
        <v>38473</v>
      </c>
      <c r="C85" s="175" t="n">
        <v>33.6150032043457</v>
      </c>
      <c r="D85" s="175" t="n">
        <v>35.5150032043457</v>
      </c>
      <c r="E85" s="175" t="n">
        <v>37.4150032043457</v>
      </c>
      <c r="F85" s="159"/>
      <c r="G85" s="175" t="n">
        <v>19.0400009155273</v>
      </c>
      <c r="H85" s="175" t="n">
        <v>19.0400009155273</v>
      </c>
      <c r="I85" s="175" t="n">
        <v>19.0400009155273</v>
      </c>
      <c r="J85" s="140"/>
      <c r="K85" s="141" t="n">
        <v>39356</v>
      </c>
      <c r="L85" s="176" t="n">
        <v>20.2860012054443</v>
      </c>
      <c r="M85" s="176" t="n">
        <v>20.2860012054443</v>
      </c>
      <c r="N85" s="176" t="n">
        <v>20.2860012054443</v>
      </c>
      <c r="O85" s="139"/>
      <c r="P85" s="176" t="n">
        <v>14.7865009307861</v>
      </c>
      <c r="Q85" s="176" t="n">
        <v>14.7865009307861</v>
      </c>
      <c r="R85" s="176" t="n">
        <v>14.7865009307861</v>
      </c>
      <c r="S85" s="139"/>
      <c r="T85" s="176" t="n">
        <v>0</v>
      </c>
      <c r="U85" s="176" t="n">
        <v>0</v>
      </c>
      <c r="V85" s="176" t="n">
        <v>0</v>
      </c>
      <c r="W85" s="139"/>
      <c r="X85" s="176" t="n">
        <v>0.16</v>
      </c>
      <c r="Y85" s="176" t="n">
        <v>0.2</v>
      </c>
      <c r="Z85" s="176" t="n">
        <v>0.24</v>
      </c>
      <c r="AA85" s="139"/>
      <c r="AB85" s="176" t="n">
        <v>0.08</v>
      </c>
      <c r="AC85" s="176" t="n">
        <v>0.1</v>
      </c>
      <c r="AD85" s="176" t="n">
        <v>0.12</v>
      </c>
      <c r="AE85" s="139"/>
      <c r="AF85" s="176" t="n">
        <v>0.36</v>
      </c>
      <c r="AG85" s="176" t="n">
        <v>0.45</v>
      </c>
      <c r="AH85" s="176" t="n">
        <v>0.54</v>
      </c>
      <c r="AI85" s="139"/>
      <c r="AJ85" s="176" t="n">
        <v>0.216</v>
      </c>
      <c r="AK85" s="176" t="n">
        <v>0.27</v>
      </c>
      <c r="AL85" s="176" t="n">
        <v>0.324</v>
      </c>
      <c r="AM85" s="139"/>
      <c r="AN85" s="140" t="n">
        <v>26</v>
      </c>
      <c r="AO85" s="177" t="n">
        <v>0.4</v>
      </c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41" t="n">
        <v>39356</v>
      </c>
      <c r="BG85" s="179" t="n">
        <v>0.75</v>
      </c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0"/>
      <c r="CK85" s="206"/>
      <c r="CL85" s="206"/>
      <c r="CM85" s="180"/>
      <c r="CN85" s="0"/>
      <c r="CO85" s="0"/>
      <c r="CP85" s="0"/>
      <c r="CQ85" s="0"/>
      <c r="CR85" s="0"/>
      <c r="CW85" s="181" t="n">
        <f aca="false">K85</f>
        <v>39356</v>
      </c>
      <c r="CX85" s="182" t="n">
        <f aca="false">AF85</f>
        <v>0.36</v>
      </c>
      <c r="CY85" s="182" t="n">
        <f aca="false">AG85</f>
        <v>0.45</v>
      </c>
      <c r="CZ85" s="182" t="n">
        <f aca="false">AH85</f>
        <v>0.54</v>
      </c>
      <c r="DB85" s="182" t="n">
        <f aca="false">X85</f>
        <v>0.16</v>
      </c>
      <c r="DC85" s="182" t="n">
        <f aca="false">Y85</f>
        <v>0.2</v>
      </c>
      <c r="DD85" s="182" t="n">
        <f aca="false">Z85</f>
        <v>0.24</v>
      </c>
      <c r="DF85" s="181" t="n">
        <f aca="false">BF85</f>
        <v>39356</v>
      </c>
      <c r="DG85" s="133" t="n">
        <f aca="false">BG85</f>
        <v>0.75</v>
      </c>
      <c r="DJ85" s="181" t="n">
        <f aca="false">CW85</f>
        <v>39356</v>
      </c>
      <c r="DK85" s="182" t="n">
        <f aca="false">AJ85</f>
        <v>0.216</v>
      </c>
      <c r="DL85" s="182" t="n">
        <f aca="false">AK85</f>
        <v>0.27</v>
      </c>
      <c r="DM85" s="182" t="n">
        <f aca="false">AL85</f>
        <v>0.324</v>
      </c>
      <c r="DO85" s="182" t="n">
        <f aca="false">AB85</f>
        <v>0.08</v>
      </c>
      <c r="DP85" s="182" t="n">
        <f aca="false">AC85</f>
        <v>0.1</v>
      </c>
      <c r="DQ85" s="182" t="n">
        <f aca="false">AD85</f>
        <v>0.12</v>
      </c>
    </row>
    <row r="86" customFormat="false" ht="12.75" hidden="false" customHeight="false" outlineLevel="0" collapsed="false">
      <c r="A86" s="133"/>
      <c r="B86" s="174" t="n">
        <v>38504</v>
      </c>
      <c r="C86" s="175" t="n">
        <v>37.3750038146973</v>
      </c>
      <c r="D86" s="175" t="n">
        <v>41.8750038146973</v>
      </c>
      <c r="E86" s="175" t="n">
        <v>46.3750038146973</v>
      </c>
      <c r="F86" s="159"/>
      <c r="G86" s="175" t="n">
        <v>22.0400009155273</v>
      </c>
      <c r="H86" s="175" t="n">
        <v>22.0400009155273</v>
      </c>
      <c r="I86" s="175" t="n">
        <v>22.0400009155273</v>
      </c>
      <c r="J86" s="140"/>
      <c r="K86" s="141" t="n">
        <v>39387</v>
      </c>
      <c r="L86" s="176" t="n">
        <v>22.2900009155273</v>
      </c>
      <c r="M86" s="176" t="n">
        <v>22.2900009155273</v>
      </c>
      <c r="N86" s="176" t="n">
        <v>22.2900009155273</v>
      </c>
      <c r="O86" s="139"/>
      <c r="P86" s="176" t="n">
        <v>14.7900009155273</v>
      </c>
      <c r="Q86" s="176" t="n">
        <v>14.7900009155273</v>
      </c>
      <c r="R86" s="176" t="n">
        <v>14.7900009155273</v>
      </c>
      <c r="S86" s="139"/>
      <c r="T86" s="176" t="n">
        <v>0</v>
      </c>
      <c r="U86" s="176" t="n">
        <v>0</v>
      </c>
      <c r="V86" s="176" t="n">
        <v>0</v>
      </c>
      <c r="W86" s="139"/>
      <c r="X86" s="176" t="n">
        <v>0.16</v>
      </c>
      <c r="Y86" s="176" t="n">
        <v>0.2</v>
      </c>
      <c r="Z86" s="176" t="n">
        <v>0.24</v>
      </c>
      <c r="AA86" s="139"/>
      <c r="AB86" s="176" t="n">
        <v>0.08</v>
      </c>
      <c r="AC86" s="176" t="n">
        <v>0.1</v>
      </c>
      <c r="AD86" s="176" t="n">
        <v>0.12</v>
      </c>
      <c r="AE86" s="139"/>
      <c r="AF86" s="176" t="n">
        <v>0.36</v>
      </c>
      <c r="AG86" s="176" t="n">
        <v>0.45</v>
      </c>
      <c r="AH86" s="176" t="n">
        <v>0.54</v>
      </c>
      <c r="AI86" s="139"/>
      <c r="AJ86" s="176" t="n">
        <v>0.216</v>
      </c>
      <c r="AK86" s="176" t="n">
        <v>0.27</v>
      </c>
      <c r="AL86" s="176" t="n">
        <v>0.324</v>
      </c>
      <c r="AM86" s="139"/>
      <c r="AN86" s="140" t="n">
        <v>26</v>
      </c>
      <c r="AO86" s="177" t="n">
        <v>0.4</v>
      </c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41" t="n">
        <v>39387</v>
      </c>
      <c r="BG86" s="179" t="n">
        <v>0.75</v>
      </c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0"/>
      <c r="CK86" s="206"/>
      <c r="CL86" s="206"/>
      <c r="CM86" s="180"/>
      <c r="CN86" s="0"/>
      <c r="CO86" s="0"/>
      <c r="CP86" s="0"/>
      <c r="CQ86" s="0"/>
      <c r="CR86" s="0"/>
      <c r="CW86" s="181" t="n">
        <f aca="false">K86</f>
        <v>39387</v>
      </c>
      <c r="CX86" s="182" t="n">
        <f aca="false">AF86</f>
        <v>0.36</v>
      </c>
      <c r="CY86" s="182" t="n">
        <f aca="false">AG86</f>
        <v>0.45</v>
      </c>
      <c r="CZ86" s="182" t="n">
        <f aca="false">AH86</f>
        <v>0.54</v>
      </c>
      <c r="DB86" s="182" t="n">
        <f aca="false">X86</f>
        <v>0.16</v>
      </c>
      <c r="DC86" s="182" t="n">
        <f aca="false">Y86</f>
        <v>0.2</v>
      </c>
      <c r="DD86" s="182" t="n">
        <f aca="false">Z86</f>
        <v>0.24</v>
      </c>
      <c r="DF86" s="181" t="n">
        <f aca="false">BF86</f>
        <v>39387</v>
      </c>
      <c r="DG86" s="133" t="n">
        <f aca="false">BG86</f>
        <v>0.75</v>
      </c>
      <c r="DJ86" s="181" t="n">
        <f aca="false">CW86</f>
        <v>39387</v>
      </c>
      <c r="DK86" s="182" t="n">
        <f aca="false">AJ86</f>
        <v>0.216</v>
      </c>
      <c r="DL86" s="182" t="n">
        <f aca="false">AK86</f>
        <v>0.27</v>
      </c>
      <c r="DM86" s="182" t="n">
        <f aca="false">AL86</f>
        <v>0.324</v>
      </c>
      <c r="DO86" s="182" t="n">
        <f aca="false">AB86</f>
        <v>0.08</v>
      </c>
      <c r="DP86" s="182" t="n">
        <f aca="false">AC86</f>
        <v>0.1</v>
      </c>
      <c r="DQ86" s="182" t="n">
        <f aca="false">AD86</f>
        <v>0.12</v>
      </c>
    </row>
    <row r="87" customFormat="false" ht="12.75" hidden="false" customHeight="false" outlineLevel="0" collapsed="false">
      <c r="A87" s="133"/>
      <c r="B87" s="174" t="n">
        <v>38534</v>
      </c>
      <c r="C87" s="175" t="n">
        <v>40.75</v>
      </c>
      <c r="D87" s="175" t="n">
        <v>48.75</v>
      </c>
      <c r="E87" s="175" t="n">
        <v>56.75</v>
      </c>
      <c r="F87" s="159"/>
      <c r="G87" s="175" t="n">
        <v>22.5400009155273</v>
      </c>
      <c r="H87" s="175" t="n">
        <v>22.5400009155273</v>
      </c>
      <c r="I87" s="175" t="n">
        <v>22.5400009155273</v>
      </c>
      <c r="J87" s="140"/>
      <c r="K87" s="141" t="n">
        <v>39417</v>
      </c>
      <c r="L87" s="176" t="n">
        <v>27.2900009155273</v>
      </c>
      <c r="M87" s="176" t="n">
        <v>27.2900009155273</v>
      </c>
      <c r="N87" s="176" t="n">
        <v>27.2900009155273</v>
      </c>
      <c r="O87" s="139"/>
      <c r="P87" s="176" t="n">
        <v>21.7900009155273</v>
      </c>
      <c r="Q87" s="176" t="n">
        <v>21.7900009155273</v>
      </c>
      <c r="R87" s="176" t="n">
        <v>21.7900009155273</v>
      </c>
      <c r="S87" s="139"/>
      <c r="T87" s="176" t="n">
        <v>0</v>
      </c>
      <c r="U87" s="176" t="n">
        <v>0</v>
      </c>
      <c r="V87" s="176" t="n">
        <v>0</v>
      </c>
      <c r="W87" s="139"/>
      <c r="X87" s="176" t="n">
        <v>0.16</v>
      </c>
      <c r="Y87" s="176" t="n">
        <v>0.2</v>
      </c>
      <c r="Z87" s="176" t="n">
        <v>0.24</v>
      </c>
      <c r="AA87" s="139"/>
      <c r="AB87" s="176" t="n">
        <v>0.08</v>
      </c>
      <c r="AC87" s="176" t="n">
        <v>0.1</v>
      </c>
      <c r="AD87" s="176" t="n">
        <v>0.12</v>
      </c>
      <c r="AE87" s="139"/>
      <c r="AF87" s="176" t="n">
        <v>0.28</v>
      </c>
      <c r="AG87" s="176" t="n">
        <v>0.35</v>
      </c>
      <c r="AH87" s="176" t="n">
        <v>0.42</v>
      </c>
      <c r="AI87" s="139"/>
      <c r="AJ87" s="176" t="n">
        <v>0.168</v>
      </c>
      <c r="AK87" s="176" t="n">
        <v>0.21</v>
      </c>
      <c r="AL87" s="176" t="n">
        <v>0.252</v>
      </c>
      <c r="AM87" s="139"/>
      <c r="AN87" s="140" t="n">
        <v>26</v>
      </c>
      <c r="AO87" s="177" t="n">
        <v>0.4</v>
      </c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41" t="n">
        <v>39417</v>
      </c>
      <c r="BG87" s="179" t="n">
        <v>0.75</v>
      </c>
      <c r="BH87" s="139"/>
      <c r="BI87" s="139"/>
      <c r="BJ87" s="139"/>
      <c r="BK87" s="139"/>
      <c r="BL87" s="139"/>
      <c r="BM87" s="139"/>
      <c r="BN87" s="139"/>
      <c r="BO87" s="139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39"/>
      <c r="CB87" s="139"/>
      <c r="CC87" s="139"/>
      <c r="CD87" s="139"/>
      <c r="CE87" s="139"/>
      <c r="CF87" s="0"/>
      <c r="CK87" s="206"/>
      <c r="CL87" s="206"/>
      <c r="CM87" s="180"/>
      <c r="CN87" s="0"/>
      <c r="CO87" s="0"/>
      <c r="CP87" s="0"/>
      <c r="CQ87" s="0"/>
      <c r="CR87" s="0"/>
      <c r="CW87" s="181" t="n">
        <f aca="false">K87</f>
        <v>39417</v>
      </c>
      <c r="CX87" s="182" t="n">
        <f aca="false">AF87</f>
        <v>0.28</v>
      </c>
      <c r="CY87" s="182" t="n">
        <f aca="false">AG87</f>
        <v>0.35</v>
      </c>
      <c r="CZ87" s="182" t="n">
        <f aca="false">AH87</f>
        <v>0.42</v>
      </c>
      <c r="DB87" s="182" t="n">
        <f aca="false">X87</f>
        <v>0.16</v>
      </c>
      <c r="DC87" s="182" t="n">
        <f aca="false">Y87</f>
        <v>0.2</v>
      </c>
      <c r="DD87" s="182" t="n">
        <f aca="false">Z87</f>
        <v>0.24</v>
      </c>
      <c r="DF87" s="181" t="n">
        <f aca="false">BF87</f>
        <v>39417</v>
      </c>
      <c r="DG87" s="133" t="n">
        <f aca="false">BG87</f>
        <v>0.75</v>
      </c>
      <c r="DJ87" s="181" t="n">
        <f aca="false">CW87</f>
        <v>39417</v>
      </c>
      <c r="DK87" s="182" t="n">
        <f aca="false">AJ87</f>
        <v>0.168</v>
      </c>
      <c r="DL87" s="182" t="n">
        <f aca="false">AK87</f>
        <v>0.21</v>
      </c>
      <c r="DM87" s="182" t="n">
        <f aca="false">AL87</f>
        <v>0.252</v>
      </c>
      <c r="DO87" s="182" t="n">
        <f aca="false">AB87</f>
        <v>0.08</v>
      </c>
      <c r="DP87" s="182" t="n">
        <f aca="false">AC87</f>
        <v>0.1</v>
      </c>
      <c r="DQ87" s="182" t="n">
        <f aca="false">AD87</f>
        <v>0.12</v>
      </c>
    </row>
    <row r="88" customFormat="false" ht="12.75" hidden="false" customHeight="false" outlineLevel="0" collapsed="false">
      <c r="A88" s="133"/>
      <c r="B88" s="174" t="n">
        <v>38565</v>
      </c>
      <c r="C88" s="175" t="n">
        <v>40.75</v>
      </c>
      <c r="D88" s="175" t="n">
        <v>48.75</v>
      </c>
      <c r="E88" s="175" t="n">
        <v>56.75</v>
      </c>
      <c r="F88" s="159"/>
      <c r="G88" s="175" t="n">
        <v>23.5400009155273</v>
      </c>
      <c r="H88" s="175" t="n">
        <v>23.5400009155273</v>
      </c>
      <c r="I88" s="175" t="n">
        <v>23.5400009155273</v>
      </c>
      <c r="J88" s="140"/>
      <c r="K88" s="141" t="n">
        <v>39448</v>
      </c>
      <c r="L88" s="176" t="n">
        <v>35.75</v>
      </c>
      <c r="M88" s="176" t="n">
        <v>35.75</v>
      </c>
      <c r="N88" s="176" t="n">
        <v>35.75</v>
      </c>
      <c r="O88" s="139"/>
      <c r="P88" s="176" t="n">
        <v>25.25</v>
      </c>
      <c r="Q88" s="176" t="n">
        <v>25.25</v>
      </c>
      <c r="R88" s="176" t="n">
        <v>25.25</v>
      </c>
      <c r="S88" s="139"/>
      <c r="T88" s="176" t="n">
        <v>0</v>
      </c>
      <c r="U88" s="176" t="n">
        <v>0</v>
      </c>
      <c r="V88" s="176" t="n">
        <v>0</v>
      </c>
      <c r="W88" s="139"/>
      <c r="X88" s="176" t="n">
        <v>0.16</v>
      </c>
      <c r="Y88" s="176" t="n">
        <v>0.2</v>
      </c>
      <c r="Z88" s="176" t="n">
        <v>0.24</v>
      </c>
      <c r="AA88" s="139"/>
      <c r="AB88" s="176" t="n">
        <v>0.08</v>
      </c>
      <c r="AC88" s="176" t="n">
        <v>0.1</v>
      </c>
      <c r="AD88" s="176" t="n">
        <v>0.12</v>
      </c>
      <c r="AE88" s="139"/>
      <c r="AF88" s="176" t="n">
        <v>0.28</v>
      </c>
      <c r="AG88" s="176" t="n">
        <v>0.35</v>
      </c>
      <c r="AH88" s="176" t="n">
        <v>0.42</v>
      </c>
      <c r="AI88" s="139"/>
      <c r="AJ88" s="176" t="n">
        <v>0.168</v>
      </c>
      <c r="AK88" s="176" t="n">
        <v>0.21</v>
      </c>
      <c r="AL88" s="176" t="n">
        <v>0.252</v>
      </c>
      <c r="AM88" s="139"/>
      <c r="AN88" s="140" t="n">
        <v>27</v>
      </c>
      <c r="AO88" s="177" t="n">
        <v>0.4</v>
      </c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41" t="n">
        <v>39448</v>
      </c>
      <c r="BG88" s="179" t="n">
        <v>0.75</v>
      </c>
      <c r="BH88" s="139"/>
      <c r="BI88" s="139"/>
      <c r="BJ88" s="139"/>
      <c r="BK88" s="139"/>
      <c r="BL88" s="139"/>
      <c r="BM88" s="139"/>
      <c r="BN88" s="139"/>
      <c r="BO88" s="139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39"/>
      <c r="CB88" s="139"/>
      <c r="CC88" s="139"/>
      <c r="CD88" s="139"/>
      <c r="CE88" s="139"/>
      <c r="CF88" s="0"/>
      <c r="CK88" s="206"/>
      <c r="CL88" s="206"/>
      <c r="CM88" s="180"/>
      <c r="CN88" s="0"/>
      <c r="CO88" s="0"/>
      <c r="CP88" s="0"/>
      <c r="CQ88" s="0"/>
      <c r="CR88" s="0"/>
      <c r="CW88" s="181" t="n">
        <f aca="false">K88</f>
        <v>39448</v>
      </c>
      <c r="CX88" s="182" t="n">
        <f aca="false">AF88</f>
        <v>0.28</v>
      </c>
      <c r="CY88" s="182" t="n">
        <f aca="false">AG88</f>
        <v>0.35</v>
      </c>
      <c r="CZ88" s="182" t="n">
        <f aca="false">AH88</f>
        <v>0.42</v>
      </c>
      <c r="DB88" s="182" t="n">
        <f aca="false">X88</f>
        <v>0.16</v>
      </c>
      <c r="DC88" s="182" t="n">
        <f aca="false">Y88</f>
        <v>0.2</v>
      </c>
      <c r="DD88" s="182" t="n">
        <f aca="false">Z88</f>
        <v>0.24</v>
      </c>
      <c r="DF88" s="181" t="n">
        <f aca="false">BF88</f>
        <v>39448</v>
      </c>
      <c r="DG88" s="133" t="n">
        <f aca="false">BG88</f>
        <v>0.75</v>
      </c>
      <c r="DJ88" s="181" t="n">
        <f aca="false">CW88</f>
        <v>39448</v>
      </c>
      <c r="DK88" s="182" t="n">
        <f aca="false">AJ88</f>
        <v>0.168</v>
      </c>
      <c r="DL88" s="182" t="n">
        <f aca="false">AK88</f>
        <v>0.21</v>
      </c>
      <c r="DM88" s="182" t="n">
        <f aca="false">AL88</f>
        <v>0.252</v>
      </c>
      <c r="DO88" s="182" t="n">
        <f aca="false">AB88</f>
        <v>0.08</v>
      </c>
      <c r="DP88" s="182" t="n">
        <f aca="false">AC88</f>
        <v>0.1</v>
      </c>
      <c r="DQ88" s="182" t="n">
        <f aca="false">AD88</f>
        <v>0.12</v>
      </c>
    </row>
    <row r="89" customFormat="false" ht="12.75" hidden="false" customHeight="false" outlineLevel="0" collapsed="false">
      <c r="A89" s="133"/>
      <c r="B89" s="174" t="n">
        <v>38596</v>
      </c>
      <c r="C89" s="175" t="n">
        <v>27.9399993896484</v>
      </c>
      <c r="D89" s="175" t="n">
        <v>30.6399993896484</v>
      </c>
      <c r="E89" s="175" t="n">
        <v>33.3399993896484</v>
      </c>
      <c r="F89" s="159"/>
      <c r="G89" s="175" t="n">
        <v>17.5400009155273</v>
      </c>
      <c r="H89" s="175" t="n">
        <v>17.5400009155273</v>
      </c>
      <c r="I89" s="175" t="n">
        <v>17.5400009155273</v>
      </c>
      <c r="J89" s="140"/>
      <c r="K89" s="141" t="n">
        <v>39479</v>
      </c>
      <c r="L89" s="176" t="n">
        <v>31.2460021972656</v>
      </c>
      <c r="M89" s="176" t="n">
        <v>31.2460021972656</v>
      </c>
      <c r="N89" s="176" t="n">
        <v>31.2460021972656</v>
      </c>
      <c r="O89" s="139"/>
      <c r="P89" s="176" t="n">
        <v>22.7465019226074</v>
      </c>
      <c r="Q89" s="176" t="n">
        <v>22.7465019226074</v>
      </c>
      <c r="R89" s="176" t="n">
        <v>22.7465019226074</v>
      </c>
      <c r="S89" s="139"/>
      <c r="T89" s="176" t="n">
        <v>0</v>
      </c>
      <c r="U89" s="176" t="n">
        <v>0</v>
      </c>
      <c r="V89" s="176" t="n">
        <v>0</v>
      </c>
      <c r="W89" s="139"/>
      <c r="X89" s="176" t="n">
        <v>0.16</v>
      </c>
      <c r="Y89" s="176" t="n">
        <v>0.2</v>
      </c>
      <c r="Z89" s="176" t="n">
        <v>0.24</v>
      </c>
      <c r="AA89" s="139"/>
      <c r="AB89" s="176" t="n">
        <v>0.08</v>
      </c>
      <c r="AC89" s="176" t="n">
        <v>0.1</v>
      </c>
      <c r="AD89" s="176" t="n">
        <v>0.12</v>
      </c>
      <c r="AE89" s="139"/>
      <c r="AF89" s="176" t="n">
        <v>0.28</v>
      </c>
      <c r="AG89" s="176" t="n">
        <v>0.35</v>
      </c>
      <c r="AH89" s="176" t="n">
        <v>0.42</v>
      </c>
      <c r="AI89" s="139"/>
      <c r="AJ89" s="176" t="n">
        <v>0.168</v>
      </c>
      <c r="AK89" s="176" t="n">
        <v>0.21</v>
      </c>
      <c r="AL89" s="176" t="n">
        <v>0.252</v>
      </c>
      <c r="AM89" s="139"/>
      <c r="AN89" s="140" t="n">
        <v>27</v>
      </c>
      <c r="AO89" s="177" t="n">
        <v>0.4</v>
      </c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41" t="n">
        <v>39479</v>
      </c>
      <c r="BG89" s="179" t="n">
        <v>0.75</v>
      </c>
      <c r="BH89" s="139"/>
      <c r="BI89" s="139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39"/>
      <c r="CB89" s="139"/>
      <c r="CC89" s="139"/>
      <c r="CD89" s="139"/>
      <c r="CE89" s="139"/>
      <c r="CF89" s="0"/>
      <c r="CK89" s="206"/>
      <c r="CL89" s="206"/>
      <c r="CM89" s="180"/>
      <c r="CN89" s="0"/>
      <c r="CO89" s="0"/>
      <c r="CP89" s="0"/>
      <c r="CQ89" s="0"/>
      <c r="CR89" s="0"/>
      <c r="CW89" s="181" t="n">
        <f aca="false">K89</f>
        <v>39479</v>
      </c>
      <c r="CX89" s="182" t="n">
        <f aca="false">AF89</f>
        <v>0.28</v>
      </c>
      <c r="CY89" s="182" t="n">
        <f aca="false">AG89</f>
        <v>0.35</v>
      </c>
      <c r="CZ89" s="182" t="n">
        <f aca="false">AH89</f>
        <v>0.42</v>
      </c>
      <c r="DB89" s="182" t="n">
        <f aca="false">X89</f>
        <v>0.16</v>
      </c>
      <c r="DC89" s="182" t="n">
        <f aca="false">Y89</f>
        <v>0.2</v>
      </c>
      <c r="DD89" s="182" t="n">
        <f aca="false">Z89</f>
        <v>0.24</v>
      </c>
      <c r="DF89" s="181" t="n">
        <f aca="false">BF89</f>
        <v>39479</v>
      </c>
      <c r="DG89" s="133" t="n">
        <f aca="false">BG89</f>
        <v>0.75</v>
      </c>
      <c r="DJ89" s="181" t="n">
        <f aca="false">CW89</f>
        <v>39479</v>
      </c>
      <c r="DK89" s="182" t="n">
        <f aca="false">AJ89</f>
        <v>0.168</v>
      </c>
      <c r="DL89" s="182" t="n">
        <f aca="false">AK89</f>
        <v>0.21</v>
      </c>
      <c r="DM89" s="182" t="n">
        <f aca="false">AL89</f>
        <v>0.252</v>
      </c>
      <c r="DO89" s="182" t="n">
        <f aca="false">AB89</f>
        <v>0.08</v>
      </c>
      <c r="DP89" s="182" t="n">
        <f aca="false">AC89</f>
        <v>0.1</v>
      </c>
      <c r="DQ89" s="182" t="n">
        <f aca="false">AD89</f>
        <v>0.12</v>
      </c>
    </row>
    <row r="90" customFormat="false" ht="12.75" hidden="false" customHeight="false" outlineLevel="0" collapsed="false">
      <c r="A90" s="133"/>
      <c r="B90" s="174" t="n">
        <v>38626</v>
      </c>
      <c r="C90" s="175" t="n">
        <v>30.841561126709</v>
      </c>
      <c r="D90" s="175" t="n">
        <v>31.791561126709</v>
      </c>
      <c r="E90" s="175" t="n">
        <v>32.741561126709</v>
      </c>
      <c r="F90" s="159"/>
      <c r="G90" s="175" t="n">
        <v>17.040002822876</v>
      </c>
      <c r="H90" s="175" t="n">
        <v>17.040002822876</v>
      </c>
      <c r="I90" s="175" t="n">
        <v>17.040002822876</v>
      </c>
      <c r="J90" s="140"/>
      <c r="K90" s="141" t="n">
        <v>39508</v>
      </c>
      <c r="L90" s="176" t="n">
        <v>25.5</v>
      </c>
      <c r="M90" s="176" t="n">
        <v>25.5</v>
      </c>
      <c r="N90" s="176" t="n">
        <v>25.5</v>
      </c>
      <c r="O90" s="139"/>
      <c r="P90" s="176" t="n">
        <v>20</v>
      </c>
      <c r="Q90" s="176" t="n">
        <v>20</v>
      </c>
      <c r="R90" s="176" t="n">
        <v>20</v>
      </c>
      <c r="S90" s="139"/>
      <c r="T90" s="176" t="n">
        <v>0</v>
      </c>
      <c r="U90" s="176" t="n">
        <v>0</v>
      </c>
      <c r="V90" s="176" t="n">
        <v>0</v>
      </c>
      <c r="W90" s="139"/>
      <c r="X90" s="176" t="n">
        <v>0.16</v>
      </c>
      <c r="Y90" s="176" t="n">
        <v>0.2</v>
      </c>
      <c r="Z90" s="176" t="n">
        <v>0.24</v>
      </c>
      <c r="AA90" s="139"/>
      <c r="AB90" s="176" t="n">
        <v>0.08</v>
      </c>
      <c r="AC90" s="176" t="n">
        <v>0.1</v>
      </c>
      <c r="AD90" s="176" t="n">
        <v>0.12</v>
      </c>
      <c r="AE90" s="139"/>
      <c r="AF90" s="176" t="n">
        <v>0.28</v>
      </c>
      <c r="AG90" s="176" t="n">
        <v>0.35</v>
      </c>
      <c r="AH90" s="176" t="n">
        <v>0.42</v>
      </c>
      <c r="AI90" s="139"/>
      <c r="AJ90" s="176" t="n">
        <v>0.168</v>
      </c>
      <c r="AK90" s="176" t="n">
        <v>0.21</v>
      </c>
      <c r="AL90" s="176" t="n">
        <v>0.252</v>
      </c>
      <c r="AM90" s="139"/>
      <c r="AN90" s="140" t="n">
        <v>27</v>
      </c>
      <c r="AO90" s="177" t="n">
        <v>0.4</v>
      </c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41" t="n">
        <v>39508</v>
      </c>
      <c r="BG90" s="179" t="n">
        <v>0.75</v>
      </c>
      <c r="BH90" s="139"/>
      <c r="BI90" s="139"/>
      <c r="BJ90" s="139"/>
      <c r="BK90" s="139"/>
      <c r="BL90" s="139"/>
      <c r="BM90" s="139"/>
      <c r="BN90" s="139"/>
      <c r="BO90" s="139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39"/>
      <c r="CB90" s="139"/>
      <c r="CC90" s="139"/>
      <c r="CD90" s="139"/>
      <c r="CE90" s="139"/>
      <c r="CF90" s="0"/>
      <c r="CK90" s="206"/>
      <c r="CL90" s="206"/>
      <c r="CM90" s="180"/>
      <c r="CN90" s="0"/>
      <c r="CO90" s="0"/>
      <c r="CP90" s="0"/>
      <c r="CQ90" s="0"/>
      <c r="CR90" s="0"/>
      <c r="CW90" s="181" t="n">
        <f aca="false">K90</f>
        <v>39508</v>
      </c>
      <c r="CX90" s="182" t="n">
        <f aca="false">AF90</f>
        <v>0.28</v>
      </c>
      <c r="CY90" s="182" t="n">
        <f aca="false">AG90</f>
        <v>0.35</v>
      </c>
      <c r="CZ90" s="182" t="n">
        <f aca="false">AH90</f>
        <v>0.42</v>
      </c>
      <c r="DB90" s="182" t="n">
        <f aca="false">X90</f>
        <v>0.16</v>
      </c>
      <c r="DC90" s="182" t="n">
        <f aca="false">Y90</f>
        <v>0.2</v>
      </c>
      <c r="DD90" s="182" t="n">
        <f aca="false">Z90</f>
        <v>0.24</v>
      </c>
      <c r="DF90" s="181" t="n">
        <f aca="false">BF90</f>
        <v>39508</v>
      </c>
      <c r="DG90" s="133" t="n">
        <f aca="false">BG90</f>
        <v>0.75</v>
      </c>
      <c r="DJ90" s="181" t="n">
        <f aca="false">CW90</f>
        <v>39508</v>
      </c>
      <c r="DK90" s="182" t="n">
        <f aca="false">AJ90</f>
        <v>0.168</v>
      </c>
      <c r="DL90" s="182" t="n">
        <f aca="false">AK90</f>
        <v>0.21</v>
      </c>
      <c r="DM90" s="182" t="n">
        <f aca="false">AL90</f>
        <v>0.252</v>
      </c>
      <c r="DO90" s="182" t="n">
        <f aca="false">AB90</f>
        <v>0.08</v>
      </c>
      <c r="DP90" s="182" t="n">
        <f aca="false">AC90</f>
        <v>0.1</v>
      </c>
      <c r="DQ90" s="182" t="n">
        <f aca="false">AD90</f>
        <v>0.12</v>
      </c>
    </row>
    <row r="91" customFormat="false" ht="12.75" hidden="false" customHeight="false" outlineLevel="0" collapsed="false">
      <c r="A91" s="133"/>
      <c r="B91" s="174" t="n">
        <v>38657</v>
      </c>
      <c r="C91" s="175" t="n">
        <v>30.9415634155273</v>
      </c>
      <c r="D91" s="175" t="n">
        <v>31.8915634155273</v>
      </c>
      <c r="E91" s="175" t="n">
        <v>32.8415634155274</v>
      </c>
      <c r="F91" s="159"/>
      <c r="G91" s="175" t="n">
        <v>18.0400009155273</v>
      </c>
      <c r="H91" s="175" t="n">
        <v>18.0400009155273</v>
      </c>
      <c r="I91" s="175" t="n">
        <v>18.0400009155273</v>
      </c>
      <c r="J91" s="140"/>
      <c r="K91" s="141" t="n">
        <v>39539</v>
      </c>
      <c r="L91" s="176" t="n">
        <v>22</v>
      </c>
      <c r="M91" s="176" t="n">
        <v>22</v>
      </c>
      <c r="N91" s="176" t="n">
        <v>22</v>
      </c>
      <c r="O91" s="139"/>
      <c r="P91" s="176" t="n">
        <v>16.4950008392334</v>
      </c>
      <c r="Q91" s="176" t="n">
        <v>16.4950008392334</v>
      </c>
      <c r="R91" s="176" t="n">
        <v>16.4950008392334</v>
      </c>
      <c r="S91" s="139"/>
      <c r="T91" s="176" t="n">
        <v>0</v>
      </c>
      <c r="U91" s="176" t="n">
        <v>0</v>
      </c>
      <c r="V91" s="176" t="n">
        <v>0</v>
      </c>
      <c r="W91" s="139"/>
      <c r="X91" s="176" t="n">
        <v>0.16</v>
      </c>
      <c r="Y91" s="176" t="n">
        <v>0.2</v>
      </c>
      <c r="Z91" s="176" t="n">
        <v>0.24</v>
      </c>
      <c r="AA91" s="139"/>
      <c r="AB91" s="176" t="n">
        <v>0.08</v>
      </c>
      <c r="AC91" s="176" t="n">
        <v>0.1</v>
      </c>
      <c r="AD91" s="176" t="n">
        <v>0.12</v>
      </c>
      <c r="AE91" s="139"/>
      <c r="AF91" s="176" t="n">
        <v>0.28</v>
      </c>
      <c r="AG91" s="176" t="n">
        <v>0.35</v>
      </c>
      <c r="AH91" s="176" t="n">
        <v>0.42</v>
      </c>
      <c r="AI91" s="139"/>
      <c r="AJ91" s="176" t="n">
        <v>0.168</v>
      </c>
      <c r="AK91" s="176" t="n">
        <v>0.21</v>
      </c>
      <c r="AL91" s="176" t="n">
        <v>0.252</v>
      </c>
      <c r="AM91" s="139"/>
      <c r="AN91" s="140" t="n">
        <v>28</v>
      </c>
      <c r="AO91" s="177" t="n">
        <v>0.4</v>
      </c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41" t="n">
        <v>39539</v>
      </c>
      <c r="BG91" s="179" t="n">
        <v>0.75</v>
      </c>
      <c r="BH91" s="139"/>
      <c r="BI91" s="139"/>
      <c r="BJ91" s="139"/>
      <c r="BK91" s="139"/>
      <c r="BL91" s="139"/>
      <c r="BM91" s="139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139"/>
      <c r="CC91" s="139"/>
      <c r="CD91" s="139"/>
      <c r="CE91" s="139"/>
      <c r="CF91" s="0"/>
      <c r="CK91" s="206"/>
      <c r="CL91" s="206"/>
      <c r="CM91" s="180"/>
      <c r="CN91" s="0"/>
      <c r="CO91" s="0"/>
      <c r="CP91" s="0"/>
      <c r="CQ91" s="0"/>
      <c r="CR91" s="0"/>
      <c r="CW91" s="181" t="n">
        <f aca="false">K91</f>
        <v>39539</v>
      </c>
      <c r="CX91" s="182" t="n">
        <f aca="false">AF91</f>
        <v>0.28</v>
      </c>
      <c r="CY91" s="182" t="n">
        <f aca="false">AG91</f>
        <v>0.35</v>
      </c>
      <c r="CZ91" s="182" t="n">
        <f aca="false">AH91</f>
        <v>0.42</v>
      </c>
      <c r="DB91" s="182" t="n">
        <f aca="false">X91</f>
        <v>0.16</v>
      </c>
      <c r="DC91" s="182" t="n">
        <f aca="false">Y91</f>
        <v>0.2</v>
      </c>
      <c r="DD91" s="182" t="n">
        <f aca="false">Z91</f>
        <v>0.24</v>
      </c>
      <c r="DF91" s="181" t="n">
        <f aca="false">BF91</f>
        <v>39539</v>
      </c>
      <c r="DG91" s="133" t="n">
        <f aca="false">BG91</f>
        <v>0.75</v>
      </c>
      <c r="DJ91" s="181" t="n">
        <f aca="false">CW91</f>
        <v>39539</v>
      </c>
      <c r="DK91" s="182" t="n">
        <f aca="false">AJ91</f>
        <v>0.168</v>
      </c>
      <c r="DL91" s="182" t="n">
        <f aca="false">AK91</f>
        <v>0.21</v>
      </c>
      <c r="DM91" s="182" t="n">
        <f aca="false">AL91</f>
        <v>0.252</v>
      </c>
      <c r="DO91" s="182" t="n">
        <f aca="false">AB91</f>
        <v>0.08</v>
      </c>
      <c r="DP91" s="182" t="n">
        <f aca="false">AC91</f>
        <v>0.1</v>
      </c>
      <c r="DQ91" s="182" t="n">
        <f aca="false">AD91</f>
        <v>0.12</v>
      </c>
    </row>
    <row r="92" customFormat="false" ht="12.75" hidden="false" customHeight="false" outlineLevel="0" collapsed="false">
      <c r="A92" s="133"/>
      <c r="B92" s="174" t="n">
        <v>38687</v>
      </c>
      <c r="C92" s="175" t="n">
        <v>31.0415618896484</v>
      </c>
      <c r="D92" s="175" t="n">
        <v>31.9915618896484</v>
      </c>
      <c r="E92" s="175" t="n">
        <v>32.9415618896484</v>
      </c>
      <c r="F92" s="159"/>
      <c r="G92" s="175" t="n">
        <v>20.2900009155273</v>
      </c>
      <c r="H92" s="175" t="n">
        <v>20.2900009155273</v>
      </c>
      <c r="I92" s="175" t="n">
        <v>20.2900009155273</v>
      </c>
      <c r="J92" s="140"/>
      <c r="K92" s="141" t="n">
        <v>39569</v>
      </c>
      <c r="L92" s="176" t="n">
        <v>22.2900009155273</v>
      </c>
      <c r="M92" s="176" t="n">
        <v>22.2900009155273</v>
      </c>
      <c r="N92" s="176" t="n">
        <v>22.2900009155273</v>
      </c>
      <c r="O92" s="139"/>
      <c r="P92" s="176" t="n">
        <v>15.7950000762939</v>
      </c>
      <c r="Q92" s="176" t="n">
        <v>15.7950000762939</v>
      </c>
      <c r="R92" s="176" t="n">
        <v>15.7950000762939</v>
      </c>
      <c r="S92" s="139"/>
      <c r="T92" s="176" t="n">
        <v>0</v>
      </c>
      <c r="U92" s="176" t="n">
        <v>0</v>
      </c>
      <c r="V92" s="176" t="n">
        <v>0</v>
      </c>
      <c r="W92" s="139"/>
      <c r="X92" s="176" t="n">
        <v>0.16</v>
      </c>
      <c r="Y92" s="176" t="n">
        <v>0.2</v>
      </c>
      <c r="Z92" s="176" t="n">
        <v>0.24</v>
      </c>
      <c r="AA92" s="139"/>
      <c r="AB92" s="176" t="n">
        <v>0.08</v>
      </c>
      <c r="AC92" s="176" t="n">
        <v>0.1</v>
      </c>
      <c r="AD92" s="176" t="n">
        <v>0.12</v>
      </c>
      <c r="AE92" s="139"/>
      <c r="AF92" s="176" t="n">
        <v>0.28</v>
      </c>
      <c r="AG92" s="176" t="n">
        <v>0.35</v>
      </c>
      <c r="AH92" s="176" t="n">
        <v>0.42</v>
      </c>
      <c r="AI92" s="139"/>
      <c r="AJ92" s="176" t="n">
        <v>0.168</v>
      </c>
      <c r="AK92" s="176" t="n">
        <v>0.21</v>
      </c>
      <c r="AL92" s="176" t="n">
        <v>0.252</v>
      </c>
      <c r="AM92" s="139"/>
      <c r="AN92" s="140" t="n">
        <v>28</v>
      </c>
      <c r="AO92" s="177" t="n">
        <v>0.4</v>
      </c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41" t="n">
        <v>39569</v>
      </c>
      <c r="BG92" s="179" t="n">
        <v>0.75</v>
      </c>
      <c r="BH92" s="139"/>
      <c r="BI92" s="139"/>
      <c r="BJ92" s="139"/>
      <c r="BK92" s="139"/>
      <c r="BL92" s="139"/>
      <c r="BM92" s="139"/>
      <c r="BN92" s="139"/>
      <c r="BO92" s="139"/>
      <c r="BP92" s="139"/>
      <c r="BQ92" s="139"/>
      <c r="BR92" s="139"/>
      <c r="BS92" s="139"/>
      <c r="BT92" s="139"/>
      <c r="BU92" s="139"/>
      <c r="BV92" s="139"/>
      <c r="BW92" s="139"/>
      <c r="BX92" s="139"/>
      <c r="BY92" s="139"/>
      <c r="BZ92" s="139"/>
      <c r="CA92" s="139"/>
      <c r="CB92" s="139"/>
      <c r="CC92" s="139"/>
      <c r="CD92" s="139"/>
      <c r="CE92" s="139"/>
      <c r="CF92" s="0"/>
      <c r="CK92" s="206"/>
      <c r="CL92" s="206"/>
      <c r="CM92" s="180"/>
      <c r="CN92" s="0"/>
      <c r="CO92" s="0"/>
      <c r="CP92" s="0"/>
      <c r="CQ92" s="0"/>
      <c r="CR92" s="0"/>
      <c r="CW92" s="181" t="n">
        <f aca="false">K92</f>
        <v>39569</v>
      </c>
      <c r="CX92" s="182" t="n">
        <f aca="false">AF92</f>
        <v>0.28</v>
      </c>
      <c r="CY92" s="182" t="n">
        <f aca="false">AG92</f>
        <v>0.35</v>
      </c>
      <c r="CZ92" s="182" t="n">
        <f aca="false">AH92</f>
        <v>0.42</v>
      </c>
      <c r="DB92" s="182" t="n">
        <f aca="false">X92</f>
        <v>0.16</v>
      </c>
      <c r="DC92" s="182" t="n">
        <f aca="false">Y92</f>
        <v>0.2</v>
      </c>
      <c r="DD92" s="182" t="n">
        <f aca="false">Z92</f>
        <v>0.24</v>
      </c>
      <c r="DF92" s="181" t="n">
        <f aca="false">BF92</f>
        <v>39569</v>
      </c>
      <c r="DG92" s="133" t="n">
        <f aca="false">BG92</f>
        <v>0.75</v>
      </c>
      <c r="DJ92" s="181" t="n">
        <f aca="false">CW92</f>
        <v>39569</v>
      </c>
      <c r="DK92" s="182" t="n">
        <f aca="false">AJ92</f>
        <v>0.168</v>
      </c>
      <c r="DL92" s="182" t="n">
        <f aca="false">AK92</f>
        <v>0.21</v>
      </c>
      <c r="DM92" s="182" t="n">
        <f aca="false">AL92</f>
        <v>0.252</v>
      </c>
      <c r="DO92" s="182" t="n">
        <f aca="false">AB92</f>
        <v>0.08</v>
      </c>
      <c r="DP92" s="182" t="n">
        <f aca="false">AC92</f>
        <v>0.1</v>
      </c>
      <c r="DQ92" s="182" t="n">
        <f aca="false">AD92</f>
        <v>0.12</v>
      </c>
    </row>
    <row r="93" customFormat="false" ht="12.75" hidden="false" customHeight="false" outlineLevel="0" collapsed="false">
      <c r="A93" s="133"/>
      <c r="B93" s="174" t="n">
        <v>38718</v>
      </c>
      <c r="C93" s="175" t="n">
        <v>34.6157188415527</v>
      </c>
      <c r="D93" s="175" t="n">
        <v>35.1157188415527</v>
      </c>
      <c r="E93" s="175" t="n">
        <v>35.6157188415527</v>
      </c>
      <c r="F93" s="159"/>
      <c r="G93" s="175" t="n">
        <v>22.5</v>
      </c>
      <c r="H93" s="175" t="n">
        <v>22.5</v>
      </c>
      <c r="I93" s="175" t="n">
        <v>22.5</v>
      </c>
      <c r="J93" s="140"/>
      <c r="K93" s="141" t="n">
        <v>39600</v>
      </c>
      <c r="L93" s="176" t="n">
        <v>29.2900009155273</v>
      </c>
      <c r="M93" s="176" t="n">
        <v>29.2900009155273</v>
      </c>
      <c r="N93" s="176" t="n">
        <v>29.2900009155273</v>
      </c>
      <c r="O93" s="139"/>
      <c r="P93" s="176" t="n">
        <v>19.7900009155273</v>
      </c>
      <c r="Q93" s="176" t="n">
        <v>19.7900009155273</v>
      </c>
      <c r="R93" s="176" t="n">
        <v>19.7900009155273</v>
      </c>
      <c r="S93" s="139"/>
      <c r="T93" s="176" t="n">
        <v>0</v>
      </c>
      <c r="U93" s="176" t="n">
        <v>0</v>
      </c>
      <c r="V93" s="176" t="n">
        <v>0</v>
      </c>
      <c r="W93" s="139"/>
      <c r="X93" s="176" t="n">
        <v>0.16</v>
      </c>
      <c r="Y93" s="176" t="n">
        <v>0.2</v>
      </c>
      <c r="Z93" s="176" t="n">
        <v>0.24</v>
      </c>
      <c r="AA93" s="139"/>
      <c r="AB93" s="176" t="n">
        <v>0.08</v>
      </c>
      <c r="AC93" s="176" t="n">
        <v>0.1</v>
      </c>
      <c r="AD93" s="176" t="n">
        <v>0.12</v>
      </c>
      <c r="AE93" s="139"/>
      <c r="AF93" s="176" t="n">
        <v>0.36</v>
      </c>
      <c r="AG93" s="176" t="n">
        <v>0.45</v>
      </c>
      <c r="AH93" s="176" t="n">
        <v>0.54</v>
      </c>
      <c r="AI93" s="139"/>
      <c r="AJ93" s="176" t="n">
        <v>0.216</v>
      </c>
      <c r="AK93" s="176" t="n">
        <v>0.27</v>
      </c>
      <c r="AL93" s="176" t="n">
        <v>0.324</v>
      </c>
      <c r="AM93" s="139"/>
      <c r="AN93" s="140" t="n">
        <v>28</v>
      </c>
      <c r="AO93" s="177" t="n">
        <v>0.4</v>
      </c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41" t="n">
        <v>39600</v>
      </c>
      <c r="BG93" s="179" t="n">
        <v>0.75</v>
      </c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139"/>
      <c r="CC93" s="139"/>
      <c r="CD93" s="139"/>
      <c r="CE93" s="139"/>
      <c r="CF93" s="0"/>
      <c r="CK93" s="206"/>
      <c r="CL93" s="206"/>
      <c r="CM93" s="180"/>
      <c r="CN93" s="0"/>
      <c r="CO93" s="0"/>
      <c r="CP93" s="0"/>
      <c r="CQ93" s="0"/>
      <c r="CR93" s="0"/>
      <c r="CW93" s="181" t="n">
        <f aca="false">K93</f>
        <v>39600</v>
      </c>
      <c r="CX93" s="182" t="n">
        <f aca="false">AF93</f>
        <v>0.36</v>
      </c>
      <c r="CY93" s="182" t="n">
        <f aca="false">AG93</f>
        <v>0.45</v>
      </c>
      <c r="CZ93" s="182" t="n">
        <f aca="false">AH93</f>
        <v>0.54</v>
      </c>
      <c r="DB93" s="182" t="n">
        <f aca="false">X93</f>
        <v>0.16</v>
      </c>
      <c r="DC93" s="182" t="n">
        <f aca="false">Y93</f>
        <v>0.2</v>
      </c>
      <c r="DD93" s="182" t="n">
        <f aca="false">Z93</f>
        <v>0.24</v>
      </c>
      <c r="DF93" s="181" t="n">
        <f aca="false">BF93</f>
        <v>39600</v>
      </c>
      <c r="DG93" s="133" t="n">
        <f aca="false">BG93</f>
        <v>0.75</v>
      </c>
      <c r="DJ93" s="181" t="n">
        <f aca="false">CW93</f>
        <v>39600</v>
      </c>
      <c r="DK93" s="182" t="n">
        <f aca="false">AJ93</f>
        <v>0.216</v>
      </c>
      <c r="DL93" s="182" t="n">
        <f aca="false">AK93</f>
        <v>0.27</v>
      </c>
      <c r="DM93" s="182" t="n">
        <f aca="false">AL93</f>
        <v>0.324</v>
      </c>
      <c r="DO93" s="182" t="n">
        <f aca="false">AB93</f>
        <v>0.08</v>
      </c>
      <c r="DP93" s="182" t="n">
        <f aca="false">AC93</f>
        <v>0.1</v>
      </c>
      <c r="DQ93" s="182" t="n">
        <f aca="false">AD93</f>
        <v>0.12</v>
      </c>
    </row>
    <row r="94" customFormat="false" ht="12.75" hidden="false" customHeight="false" outlineLevel="0" collapsed="false">
      <c r="A94" s="133"/>
      <c r="B94" s="174" t="n">
        <v>38749</v>
      </c>
      <c r="C94" s="175" t="n">
        <v>34.0157165527344</v>
      </c>
      <c r="D94" s="175" t="n">
        <v>34.5157165527344</v>
      </c>
      <c r="E94" s="175" t="n">
        <v>35.0157165527344</v>
      </c>
      <c r="F94" s="159"/>
      <c r="G94" s="175" t="n">
        <v>21</v>
      </c>
      <c r="H94" s="175" t="n">
        <v>21</v>
      </c>
      <c r="I94" s="175" t="n">
        <v>21</v>
      </c>
      <c r="J94" s="140"/>
      <c r="K94" s="141" t="n">
        <v>39630</v>
      </c>
      <c r="L94" s="176" t="n">
        <v>35.2900009155273</v>
      </c>
      <c r="M94" s="176" t="n">
        <v>35.2900009155273</v>
      </c>
      <c r="N94" s="176" t="n">
        <v>35.2900009155273</v>
      </c>
      <c r="O94" s="139"/>
      <c r="P94" s="176" t="n">
        <v>25.7900009155273</v>
      </c>
      <c r="Q94" s="176" t="n">
        <v>25.7900009155273</v>
      </c>
      <c r="R94" s="176" t="n">
        <v>25.7900009155273</v>
      </c>
      <c r="S94" s="139"/>
      <c r="T94" s="176" t="n">
        <v>0</v>
      </c>
      <c r="U94" s="176" t="n">
        <v>0</v>
      </c>
      <c r="V94" s="176" t="n">
        <v>0</v>
      </c>
      <c r="W94" s="139"/>
      <c r="X94" s="176" t="n">
        <v>0.16</v>
      </c>
      <c r="Y94" s="176" t="n">
        <v>0.2</v>
      </c>
      <c r="Z94" s="176" t="n">
        <v>0.24</v>
      </c>
      <c r="AA94" s="139"/>
      <c r="AB94" s="176" t="n">
        <v>0.08</v>
      </c>
      <c r="AC94" s="176" t="n">
        <v>0.1</v>
      </c>
      <c r="AD94" s="176" t="n">
        <v>0.12</v>
      </c>
      <c r="AE94" s="139"/>
      <c r="AF94" s="176" t="n">
        <v>0.36</v>
      </c>
      <c r="AG94" s="176" t="n">
        <v>0.45</v>
      </c>
      <c r="AH94" s="176" t="n">
        <v>0.54</v>
      </c>
      <c r="AI94" s="139"/>
      <c r="AJ94" s="176" t="n">
        <v>0.216</v>
      </c>
      <c r="AK94" s="176" t="n">
        <v>0.27</v>
      </c>
      <c r="AL94" s="176" t="n">
        <v>0.324</v>
      </c>
      <c r="AM94" s="139"/>
      <c r="AN94" s="140" t="n">
        <v>29</v>
      </c>
      <c r="AO94" s="177" t="n">
        <v>0.4</v>
      </c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41" t="n">
        <v>39630</v>
      </c>
      <c r="BG94" s="179" t="n">
        <v>0.75</v>
      </c>
      <c r="BH94" s="139"/>
      <c r="BI94" s="139"/>
      <c r="BJ94" s="139"/>
      <c r="BK94" s="139"/>
      <c r="BL94" s="139"/>
      <c r="BM94" s="139"/>
      <c r="BN94" s="139"/>
      <c r="BO94" s="139"/>
      <c r="BP94" s="139"/>
      <c r="BQ94" s="139"/>
      <c r="BR94" s="139"/>
      <c r="BS94" s="139"/>
      <c r="BT94" s="139"/>
      <c r="BU94" s="139"/>
      <c r="BV94" s="139"/>
      <c r="BW94" s="139"/>
      <c r="BX94" s="139"/>
      <c r="BY94" s="139"/>
      <c r="BZ94" s="139"/>
      <c r="CA94" s="139"/>
      <c r="CB94" s="139"/>
      <c r="CC94" s="139"/>
      <c r="CD94" s="139"/>
      <c r="CE94" s="139"/>
      <c r="CF94" s="0"/>
      <c r="CK94" s="206"/>
      <c r="CL94" s="206"/>
      <c r="CM94" s="180"/>
      <c r="CN94" s="0"/>
      <c r="CO94" s="0"/>
      <c r="CP94" s="0"/>
      <c r="CQ94" s="0"/>
      <c r="CR94" s="0"/>
      <c r="CW94" s="181" t="n">
        <f aca="false">K94</f>
        <v>39630</v>
      </c>
      <c r="CX94" s="182" t="n">
        <f aca="false">AF94</f>
        <v>0.36</v>
      </c>
      <c r="CY94" s="182" t="n">
        <f aca="false">AG94</f>
        <v>0.45</v>
      </c>
      <c r="CZ94" s="182" t="n">
        <f aca="false">AH94</f>
        <v>0.54</v>
      </c>
      <c r="DB94" s="182" t="n">
        <f aca="false">X94</f>
        <v>0.16</v>
      </c>
      <c r="DC94" s="182" t="n">
        <f aca="false">Y94</f>
        <v>0.2</v>
      </c>
      <c r="DD94" s="182" t="n">
        <f aca="false">Z94</f>
        <v>0.24</v>
      </c>
      <c r="DF94" s="181" t="n">
        <f aca="false">BF94</f>
        <v>39630</v>
      </c>
      <c r="DG94" s="133" t="n">
        <f aca="false">BG94</f>
        <v>0.75</v>
      </c>
      <c r="DJ94" s="181" t="n">
        <f aca="false">CW94</f>
        <v>39630</v>
      </c>
      <c r="DK94" s="182" t="n">
        <f aca="false">AJ94</f>
        <v>0.216</v>
      </c>
      <c r="DL94" s="182" t="n">
        <f aca="false">AK94</f>
        <v>0.27</v>
      </c>
      <c r="DM94" s="182" t="n">
        <f aca="false">AL94</f>
        <v>0.324</v>
      </c>
      <c r="DO94" s="182" t="n">
        <f aca="false">AB94</f>
        <v>0.08</v>
      </c>
      <c r="DP94" s="182" t="n">
        <f aca="false">AC94</f>
        <v>0.1</v>
      </c>
      <c r="DQ94" s="182" t="n">
        <f aca="false">AD94</f>
        <v>0.12</v>
      </c>
    </row>
    <row r="95" customFormat="false" ht="12.75" hidden="false" customHeight="false" outlineLevel="0" collapsed="false">
      <c r="A95" s="133"/>
      <c r="B95" s="174" t="n">
        <v>38777</v>
      </c>
      <c r="C95" s="175" t="n">
        <v>32.5276802062988</v>
      </c>
      <c r="D95" s="175" t="n">
        <v>33.2276802062988</v>
      </c>
      <c r="E95" s="175" t="n">
        <v>33.9276802062988</v>
      </c>
      <c r="F95" s="159"/>
      <c r="G95" s="175" t="n">
        <v>22</v>
      </c>
      <c r="H95" s="175" t="n">
        <v>22</v>
      </c>
      <c r="I95" s="175" t="n">
        <v>22</v>
      </c>
      <c r="J95" s="140"/>
      <c r="K95" s="141" t="n">
        <v>39661</v>
      </c>
      <c r="L95" s="176" t="n">
        <v>33.2900047302246</v>
      </c>
      <c r="M95" s="176" t="n">
        <v>33.2900047302246</v>
      </c>
      <c r="N95" s="176" t="n">
        <v>33.2900047302246</v>
      </c>
      <c r="O95" s="139"/>
      <c r="P95" s="176" t="n">
        <v>25.7900009155273</v>
      </c>
      <c r="Q95" s="176" t="n">
        <v>25.7900009155273</v>
      </c>
      <c r="R95" s="176" t="n">
        <v>25.7900009155273</v>
      </c>
      <c r="S95" s="139"/>
      <c r="T95" s="176" t="n">
        <v>0</v>
      </c>
      <c r="U95" s="176" t="n">
        <v>0</v>
      </c>
      <c r="V95" s="176" t="n">
        <v>0</v>
      </c>
      <c r="W95" s="139"/>
      <c r="X95" s="176" t="n">
        <v>0.24</v>
      </c>
      <c r="Y95" s="176" t="n">
        <v>0.3</v>
      </c>
      <c r="Z95" s="176" t="n">
        <v>0.36</v>
      </c>
      <c r="AA95" s="139"/>
      <c r="AB95" s="176" t="n">
        <v>0.12</v>
      </c>
      <c r="AC95" s="176" t="n">
        <v>0.15</v>
      </c>
      <c r="AD95" s="176" t="n">
        <v>0.18</v>
      </c>
      <c r="AE95" s="139"/>
      <c r="AF95" s="176" t="n">
        <v>0.48</v>
      </c>
      <c r="AG95" s="176" t="n">
        <v>0.6</v>
      </c>
      <c r="AH95" s="176" t="n">
        <v>0.72</v>
      </c>
      <c r="AI95" s="139"/>
      <c r="AJ95" s="176" t="n">
        <v>0.288</v>
      </c>
      <c r="AK95" s="176" t="n">
        <v>0.36</v>
      </c>
      <c r="AL95" s="176" t="n">
        <v>0.432</v>
      </c>
      <c r="AM95" s="139"/>
      <c r="AN95" s="140" t="n">
        <v>29</v>
      </c>
      <c r="AO95" s="177" t="n">
        <v>0.4</v>
      </c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41" t="n">
        <v>39661</v>
      </c>
      <c r="BG95" s="179" t="n">
        <v>0.75</v>
      </c>
      <c r="BH95" s="139"/>
      <c r="BI95" s="139"/>
      <c r="BJ95" s="139"/>
      <c r="BK95" s="139"/>
      <c r="BL95" s="139"/>
      <c r="BM95" s="139"/>
      <c r="BN95" s="139"/>
      <c r="BO95" s="139"/>
      <c r="BP95" s="139"/>
      <c r="BQ95" s="139"/>
      <c r="BR95" s="139"/>
      <c r="BS95" s="139"/>
      <c r="BT95" s="139"/>
      <c r="BU95" s="139"/>
      <c r="BV95" s="139"/>
      <c r="BW95" s="139"/>
      <c r="BX95" s="139"/>
      <c r="BY95" s="139"/>
      <c r="BZ95" s="139"/>
      <c r="CA95" s="139"/>
      <c r="CB95" s="139"/>
      <c r="CC95" s="139"/>
      <c r="CD95" s="139"/>
      <c r="CE95" s="139"/>
      <c r="CF95" s="0"/>
      <c r="CK95" s="206"/>
      <c r="CL95" s="206"/>
      <c r="CM95" s="180"/>
      <c r="CN95" s="0"/>
      <c r="CO95" s="0"/>
      <c r="CP95" s="0"/>
      <c r="CQ95" s="0"/>
      <c r="CR95" s="0"/>
      <c r="CW95" s="181" t="n">
        <f aca="false">K95</f>
        <v>39661</v>
      </c>
      <c r="CX95" s="182" t="n">
        <f aca="false">AF95</f>
        <v>0.48</v>
      </c>
      <c r="CY95" s="182" t="n">
        <f aca="false">AG95</f>
        <v>0.6</v>
      </c>
      <c r="CZ95" s="182" t="n">
        <f aca="false">AH95</f>
        <v>0.72</v>
      </c>
      <c r="DB95" s="182" t="n">
        <f aca="false">X95</f>
        <v>0.24</v>
      </c>
      <c r="DC95" s="182" t="n">
        <f aca="false">Y95</f>
        <v>0.3</v>
      </c>
      <c r="DD95" s="182" t="n">
        <f aca="false">Z95</f>
        <v>0.36</v>
      </c>
      <c r="DF95" s="181" t="n">
        <f aca="false">BF95</f>
        <v>39661</v>
      </c>
      <c r="DG95" s="133" t="n">
        <f aca="false">BG95</f>
        <v>0.75</v>
      </c>
      <c r="DJ95" s="181" t="n">
        <f aca="false">CW95</f>
        <v>39661</v>
      </c>
      <c r="DK95" s="182" t="n">
        <f aca="false">AJ95</f>
        <v>0.288</v>
      </c>
      <c r="DL95" s="182" t="n">
        <f aca="false">AK95</f>
        <v>0.36</v>
      </c>
      <c r="DM95" s="182" t="n">
        <f aca="false">AL95</f>
        <v>0.432</v>
      </c>
      <c r="DO95" s="182" t="n">
        <f aca="false">AB95</f>
        <v>0.12</v>
      </c>
      <c r="DP95" s="182" t="n">
        <f aca="false">AC95</f>
        <v>0.15</v>
      </c>
      <c r="DQ95" s="182" t="n">
        <f aca="false">AD95</f>
        <v>0.18</v>
      </c>
    </row>
    <row r="96" customFormat="false" ht="12.75" hidden="false" customHeight="false" outlineLevel="0" collapsed="false">
      <c r="A96" s="133"/>
      <c r="B96" s="174" t="n">
        <v>38808</v>
      </c>
      <c r="C96" s="175" t="n">
        <v>32.2276809692383</v>
      </c>
      <c r="D96" s="175" t="n">
        <v>33.4276809692383</v>
      </c>
      <c r="E96" s="175" t="n">
        <v>34.6276809692383</v>
      </c>
      <c r="F96" s="159"/>
      <c r="G96" s="175" t="n">
        <v>19</v>
      </c>
      <c r="H96" s="175" t="n">
        <v>19</v>
      </c>
      <c r="I96" s="175" t="n">
        <v>19</v>
      </c>
      <c r="J96" s="140"/>
      <c r="K96" s="141" t="n">
        <v>39692</v>
      </c>
      <c r="L96" s="176" t="n">
        <v>25.2900009155273</v>
      </c>
      <c r="M96" s="176" t="n">
        <v>25.2900009155273</v>
      </c>
      <c r="N96" s="176" t="n">
        <v>25.2900009155273</v>
      </c>
      <c r="O96" s="139"/>
      <c r="P96" s="176" t="n">
        <v>19.7900009155273</v>
      </c>
      <c r="Q96" s="176" t="n">
        <v>19.7900009155273</v>
      </c>
      <c r="R96" s="176" t="n">
        <v>19.7900009155273</v>
      </c>
      <c r="S96" s="139"/>
      <c r="T96" s="176" t="n">
        <v>0</v>
      </c>
      <c r="U96" s="176" t="n">
        <v>0</v>
      </c>
      <c r="V96" s="176" t="n">
        <v>0</v>
      </c>
      <c r="W96" s="139"/>
      <c r="X96" s="176" t="n">
        <v>0.24</v>
      </c>
      <c r="Y96" s="176" t="n">
        <v>0.3</v>
      </c>
      <c r="Z96" s="176" t="n">
        <v>0.36</v>
      </c>
      <c r="AA96" s="139"/>
      <c r="AB96" s="176" t="n">
        <v>0.12</v>
      </c>
      <c r="AC96" s="176" t="n">
        <v>0.15</v>
      </c>
      <c r="AD96" s="176" t="n">
        <v>0.18</v>
      </c>
      <c r="AE96" s="139"/>
      <c r="AF96" s="176" t="n">
        <v>0.48</v>
      </c>
      <c r="AG96" s="176" t="n">
        <v>0.6</v>
      </c>
      <c r="AH96" s="176" t="n">
        <v>0.72</v>
      </c>
      <c r="AI96" s="139"/>
      <c r="AJ96" s="176" t="n">
        <v>0.288</v>
      </c>
      <c r="AK96" s="176" t="n">
        <v>0.36</v>
      </c>
      <c r="AL96" s="176" t="n">
        <v>0.432</v>
      </c>
      <c r="AM96" s="139"/>
      <c r="AN96" s="140" t="n">
        <v>29</v>
      </c>
      <c r="AO96" s="177" t="n">
        <v>0.4</v>
      </c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41" t="n">
        <v>39692</v>
      </c>
      <c r="BG96" s="179" t="n">
        <v>0.75</v>
      </c>
      <c r="BH96" s="139"/>
      <c r="BI96" s="139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  <c r="BU96" s="139"/>
      <c r="BV96" s="139"/>
      <c r="BW96" s="139"/>
      <c r="BX96" s="139"/>
      <c r="BY96" s="139"/>
      <c r="BZ96" s="139"/>
      <c r="CA96" s="139"/>
      <c r="CB96" s="139"/>
      <c r="CC96" s="139"/>
      <c r="CD96" s="139"/>
      <c r="CE96" s="139"/>
      <c r="CF96" s="0"/>
      <c r="CK96" s="206"/>
      <c r="CL96" s="206"/>
      <c r="CM96" s="180"/>
      <c r="CN96" s="0"/>
      <c r="CO96" s="0"/>
      <c r="CP96" s="0"/>
      <c r="CQ96" s="0"/>
      <c r="CR96" s="0"/>
      <c r="CW96" s="181" t="n">
        <f aca="false">K96</f>
        <v>39692</v>
      </c>
      <c r="CX96" s="182" t="n">
        <f aca="false">AF96</f>
        <v>0.48</v>
      </c>
      <c r="CY96" s="182" t="n">
        <f aca="false">AG96</f>
        <v>0.6</v>
      </c>
      <c r="CZ96" s="182" t="n">
        <f aca="false">AH96</f>
        <v>0.72</v>
      </c>
      <c r="DB96" s="182" t="n">
        <f aca="false">X96</f>
        <v>0.24</v>
      </c>
      <c r="DC96" s="182" t="n">
        <f aca="false">Y96</f>
        <v>0.3</v>
      </c>
      <c r="DD96" s="182" t="n">
        <f aca="false">Z96</f>
        <v>0.36</v>
      </c>
      <c r="DF96" s="181" t="n">
        <f aca="false">BF96</f>
        <v>39692</v>
      </c>
      <c r="DG96" s="133" t="n">
        <f aca="false">BG96</f>
        <v>0.75</v>
      </c>
      <c r="DJ96" s="181" t="n">
        <f aca="false">CW96</f>
        <v>39692</v>
      </c>
      <c r="DK96" s="182" t="n">
        <f aca="false">AJ96</f>
        <v>0.288</v>
      </c>
      <c r="DL96" s="182" t="n">
        <f aca="false">AK96</f>
        <v>0.36</v>
      </c>
      <c r="DM96" s="182" t="n">
        <f aca="false">AL96</f>
        <v>0.432</v>
      </c>
      <c r="DO96" s="182" t="n">
        <f aca="false">AB96</f>
        <v>0.12</v>
      </c>
      <c r="DP96" s="182" t="n">
        <f aca="false">AC96</f>
        <v>0.15</v>
      </c>
      <c r="DQ96" s="182" t="n">
        <f aca="false">AD96</f>
        <v>0.18</v>
      </c>
    </row>
    <row r="97" customFormat="false" ht="12.75" hidden="false" customHeight="false" outlineLevel="0" collapsed="false">
      <c r="A97" s="133"/>
      <c r="B97" s="174" t="n">
        <v>38838</v>
      </c>
      <c r="C97" s="175" t="n">
        <v>34.0050018310547</v>
      </c>
      <c r="D97" s="175" t="n">
        <v>35.9550018310547</v>
      </c>
      <c r="E97" s="175" t="n">
        <v>37.9050018310547</v>
      </c>
      <c r="F97" s="159"/>
      <c r="G97" s="175" t="n">
        <v>19.5400009155273</v>
      </c>
      <c r="H97" s="175" t="n">
        <v>19.5400009155273</v>
      </c>
      <c r="I97" s="175" t="n">
        <v>19.5400009155273</v>
      </c>
      <c r="J97" s="140"/>
      <c r="K97" s="141" t="n">
        <v>39722</v>
      </c>
      <c r="L97" s="176" t="n">
        <v>20.2860012054443</v>
      </c>
      <c r="M97" s="176" t="n">
        <v>20.2860012054443</v>
      </c>
      <c r="N97" s="176" t="n">
        <v>20.2860012054443</v>
      </c>
      <c r="O97" s="139"/>
      <c r="P97" s="176" t="n">
        <v>14.7865009307861</v>
      </c>
      <c r="Q97" s="176" t="n">
        <v>14.7865009307861</v>
      </c>
      <c r="R97" s="176" t="n">
        <v>14.7865009307861</v>
      </c>
      <c r="S97" s="139"/>
      <c r="T97" s="176" t="n">
        <v>0</v>
      </c>
      <c r="U97" s="176" t="n">
        <v>0</v>
      </c>
      <c r="V97" s="176" t="n">
        <v>0</v>
      </c>
      <c r="W97" s="139"/>
      <c r="X97" s="176" t="n">
        <v>0.16</v>
      </c>
      <c r="Y97" s="176" t="n">
        <v>0.2</v>
      </c>
      <c r="Z97" s="176" t="n">
        <v>0.24</v>
      </c>
      <c r="AA97" s="139"/>
      <c r="AB97" s="176" t="n">
        <v>0.08</v>
      </c>
      <c r="AC97" s="176" t="n">
        <v>0.1</v>
      </c>
      <c r="AD97" s="176" t="n">
        <v>0.12</v>
      </c>
      <c r="AE97" s="139"/>
      <c r="AF97" s="176" t="n">
        <v>0.36</v>
      </c>
      <c r="AG97" s="176" t="n">
        <v>0.45</v>
      </c>
      <c r="AH97" s="176" t="n">
        <v>0.54</v>
      </c>
      <c r="AI97" s="139"/>
      <c r="AJ97" s="176" t="n">
        <v>0.216</v>
      </c>
      <c r="AK97" s="176" t="n">
        <v>0.27</v>
      </c>
      <c r="AL97" s="176" t="n">
        <v>0.324</v>
      </c>
      <c r="AM97" s="139"/>
      <c r="AN97" s="140" t="n">
        <v>30</v>
      </c>
      <c r="AO97" s="177" t="n">
        <v>0.4</v>
      </c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41" t="n">
        <v>39722</v>
      </c>
      <c r="BG97" s="179" t="n">
        <v>0.75</v>
      </c>
      <c r="BH97" s="139"/>
      <c r="BI97" s="139"/>
      <c r="BJ97" s="139"/>
      <c r="BK97" s="139"/>
      <c r="BL97" s="139"/>
      <c r="BM97" s="139"/>
      <c r="BN97" s="139"/>
      <c r="BO97" s="139"/>
      <c r="BP97" s="139"/>
      <c r="BQ97" s="139"/>
      <c r="BR97" s="139"/>
      <c r="BS97" s="139"/>
      <c r="BT97" s="139"/>
      <c r="BU97" s="139"/>
      <c r="BV97" s="139"/>
      <c r="BW97" s="139"/>
      <c r="BX97" s="139"/>
      <c r="BY97" s="139"/>
      <c r="BZ97" s="139"/>
      <c r="CA97" s="139"/>
      <c r="CB97" s="139"/>
      <c r="CC97" s="139"/>
      <c r="CD97" s="139"/>
      <c r="CE97" s="139"/>
      <c r="CF97" s="0"/>
      <c r="CK97" s="206"/>
      <c r="CL97" s="206"/>
      <c r="CM97" s="180"/>
      <c r="CN97" s="0"/>
      <c r="CO97" s="0"/>
      <c r="CP97" s="0"/>
      <c r="CQ97" s="0"/>
      <c r="CR97" s="0"/>
      <c r="CW97" s="181" t="n">
        <f aca="false">K97</f>
        <v>39722</v>
      </c>
      <c r="CX97" s="182" t="n">
        <f aca="false">AF97</f>
        <v>0.36</v>
      </c>
      <c r="CY97" s="182" t="n">
        <f aca="false">AG97</f>
        <v>0.45</v>
      </c>
      <c r="CZ97" s="182" t="n">
        <f aca="false">AH97</f>
        <v>0.54</v>
      </c>
      <c r="DB97" s="182" t="n">
        <f aca="false">X97</f>
        <v>0.16</v>
      </c>
      <c r="DC97" s="182" t="n">
        <f aca="false">Y97</f>
        <v>0.2</v>
      </c>
      <c r="DD97" s="182" t="n">
        <f aca="false">Z97</f>
        <v>0.24</v>
      </c>
      <c r="DF97" s="181" t="n">
        <f aca="false">BF97</f>
        <v>39722</v>
      </c>
      <c r="DG97" s="133" t="n">
        <f aca="false">BG97</f>
        <v>0.75</v>
      </c>
      <c r="DJ97" s="181" t="n">
        <f aca="false">CW97</f>
        <v>39722</v>
      </c>
      <c r="DK97" s="182" t="n">
        <f aca="false">AJ97</f>
        <v>0.216</v>
      </c>
      <c r="DL97" s="182" t="n">
        <f aca="false">AK97</f>
        <v>0.27</v>
      </c>
      <c r="DM97" s="182" t="n">
        <f aca="false">AL97</f>
        <v>0.324</v>
      </c>
      <c r="DO97" s="182" t="n">
        <f aca="false">AB97</f>
        <v>0.08</v>
      </c>
      <c r="DP97" s="182" t="n">
        <f aca="false">AC97</f>
        <v>0.1</v>
      </c>
      <c r="DQ97" s="182" t="n">
        <f aca="false">AD97</f>
        <v>0.12</v>
      </c>
    </row>
    <row r="98" customFormat="false" ht="12.75" hidden="false" customHeight="false" outlineLevel="0" collapsed="false">
      <c r="A98" s="133"/>
      <c r="B98" s="174" t="n">
        <v>38869</v>
      </c>
      <c r="C98" s="175" t="n">
        <v>37.3750038146973</v>
      </c>
      <c r="D98" s="175" t="n">
        <v>42.1250038146973</v>
      </c>
      <c r="E98" s="175" t="n">
        <v>46.8750038146973</v>
      </c>
      <c r="F98" s="159"/>
      <c r="G98" s="175" t="n">
        <v>22.5400009155273</v>
      </c>
      <c r="H98" s="175" t="n">
        <v>22.5400009155273</v>
      </c>
      <c r="I98" s="175" t="n">
        <v>22.5400009155273</v>
      </c>
      <c r="J98" s="140"/>
      <c r="K98" s="141" t="n">
        <v>39753</v>
      </c>
      <c r="L98" s="176" t="n">
        <v>22.2900009155273</v>
      </c>
      <c r="M98" s="176" t="n">
        <v>22.2900009155273</v>
      </c>
      <c r="N98" s="176" t="n">
        <v>22.2900009155273</v>
      </c>
      <c r="O98" s="139"/>
      <c r="P98" s="176" t="n">
        <v>14.7900009155273</v>
      </c>
      <c r="Q98" s="176" t="n">
        <v>14.7900009155273</v>
      </c>
      <c r="R98" s="176" t="n">
        <v>14.7900009155273</v>
      </c>
      <c r="S98" s="139"/>
      <c r="T98" s="176" t="n">
        <v>0</v>
      </c>
      <c r="U98" s="176" t="n">
        <v>0</v>
      </c>
      <c r="V98" s="176" t="n">
        <v>0</v>
      </c>
      <c r="W98" s="139"/>
      <c r="X98" s="176" t="n">
        <v>0.16</v>
      </c>
      <c r="Y98" s="176" t="n">
        <v>0.2</v>
      </c>
      <c r="Z98" s="176" t="n">
        <v>0.24</v>
      </c>
      <c r="AA98" s="139"/>
      <c r="AB98" s="176" t="n">
        <v>0.08</v>
      </c>
      <c r="AC98" s="176" t="n">
        <v>0.1</v>
      </c>
      <c r="AD98" s="176" t="n">
        <v>0.12</v>
      </c>
      <c r="AE98" s="139"/>
      <c r="AF98" s="176" t="n">
        <v>0.36</v>
      </c>
      <c r="AG98" s="176" t="n">
        <v>0.45</v>
      </c>
      <c r="AH98" s="176" t="n">
        <v>0.54</v>
      </c>
      <c r="AI98" s="139"/>
      <c r="AJ98" s="176" t="n">
        <v>0.216</v>
      </c>
      <c r="AK98" s="176" t="n">
        <v>0.27</v>
      </c>
      <c r="AL98" s="176" t="n">
        <v>0.324</v>
      </c>
      <c r="AM98" s="139"/>
      <c r="AN98" s="140" t="n">
        <v>30</v>
      </c>
      <c r="AO98" s="177" t="n">
        <v>0.4</v>
      </c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41" t="n">
        <v>39753</v>
      </c>
      <c r="BG98" s="179" t="n">
        <v>0.75</v>
      </c>
      <c r="BH98" s="139"/>
      <c r="BI98" s="139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  <c r="BU98" s="139"/>
      <c r="BV98" s="139"/>
      <c r="BW98" s="139"/>
      <c r="BX98" s="139"/>
      <c r="BY98" s="139"/>
      <c r="BZ98" s="139"/>
      <c r="CA98" s="139"/>
      <c r="CB98" s="139"/>
      <c r="CC98" s="139"/>
      <c r="CD98" s="139"/>
      <c r="CE98" s="139"/>
      <c r="CF98" s="0"/>
      <c r="CK98" s="206"/>
      <c r="CL98" s="206"/>
      <c r="CM98" s="180"/>
      <c r="CN98" s="0"/>
      <c r="CO98" s="0"/>
      <c r="CP98" s="0"/>
      <c r="CQ98" s="0"/>
      <c r="CR98" s="0"/>
      <c r="CW98" s="181" t="n">
        <f aca="false">K98</f>
        <v>39753</v>
      </c>
      <c r="CX98" s="182" t="n">
        <f aca="false">AF98</f>
        <v>0.36</v>
      </c>
      <c r="CY98" s="182" t="n">
        <f aca="false">AG98</f>
        <v>0.45</v>
      </c>
      <c r="CZ98" s="182" t="n">
        <f aca="false">AH98</f>
        <v>0.54</v>
      </c>
      <c r="DB98" s="182" t="n">
        <f aca="false">X98</f>
        <v>0.16</v>
      </c>
      <c r="DC98" s="182" t="n">
        <f aca="false">Y98</f>
        <v>0.2</v>
      </c>
      <c r="DD98" s="182" t="n">
        <f aca="false">Z98</f>
        <v>0.24</v>
      </c>
      <c r="DF98" s="181" t="n">
        <f aca="false">BF98</f>
        <v>39753</v>
      </c>
      <c r="DG98" s="133" t="n">
        <f aca="false">BG98</f>
        <v>0.75</v>
      </c>
      <c r="DJ98" s="181" t="n">
        <f aca="false">CW98</f>
        <v>39753</v>
      </c>
      <c r="DK98" s="182" t="n">
        <f aca="false">AJ98</f>
        <v>0.216</v>
      </c>
      <c r="DL98" s="182" t="n">
        <f aca="false">AK98</f>
        <v>0.27</v>
      </c>
      <c r="DM98" s="182" t="n">
        <f aca="false">AL98</f>
        <v>0.324</v>
      </c>
      <c r="DO98" s="182" t="n">
        <f aca="false">AB98</f>
        <v>0.08</v>
      </c>
      <c r="DP98" s="182" t="n">
        <f aca="false">AC98</f>
        <v>0.1</v>
      </c>
      <c r="DQ98" s="182" t="n">
        <f aca="false">AD98</f>
        <v>0.12</v>
      </c>
    </row>
    <row r="99" customFormat="false" ht="12.75" hidden="false" customHeight="false" outlineLevel="0" collapsed="false">
      <c r="A99" s="133"/>
      <c r="B99" s="174" t="n">
        <v>38899</v>
      </c>
      <c r="C99" s="175" t="n">
        <v>41</v>
      </c>
      <c r="D99" s="175" t="n">
        <v>50</v>
      </c>
      <c r="E99" s="175" t="n">
        <v>59</v>
      </c>
      <c r="F99" s="159"/>
      <c r="G99" s="175" t="n">
        <v>23.0400009155273</v>
      </c>
      <c r="H99" s="175" t="n">
        <v>23.0400009155273</v>
      </c>
      <c r="I99" s="175" t="n">
        <v>23.0400009155273</v>
      </c>
      <c r="J99" s="140"/>
      <c r="K99" s="141" t="n">
        <v>39783</v>
      </c>
      <c r="L99" s="176" t="n">
        <v>27.2900009155273</v>
      </c>
      <c r="M99" s="176" t="n">
        <v>27.2900009155273</v>
      </c>
      <c r="N99" s="176" t="n">
        <v>27.2900009155273</v>
      </c>
      <c r="O99" s="139"/>
      <c r="P99" s="176" t="n">
        <v>21.7900009155273</v>
      </c>
      <c r="Q99" s="176" t="n">
        <v>21.7900009155273</v>
      </c>
      <c r="R99" s="176" t="n">
        <v>21.7900009155273</v>
      </c>
      <c r="S99" s="139"/>
      <c r="T99" s="176" t="n">
        <v>0</v>
      </c>
      <c r="U99" s="176" t="n">
        <v>0</v>
      </c>
      <c r="V99" s="176" t="n">
        <v>0</v>
      </c>
      <c r="W99" s="139"/>
      <c r="X99" s="176" t="n">
        <v>0.16</v>
      </c>
      <c r="Y99" s="176" t="n">
        <v>0.2</v>
      </c>
      <c r="Z99" s="176" t="n">
        <v>0.24</v>
      </c>
      <c r="AA99" s="139"/>
      <c r="AB99" s="176" t="n">
        <v>0.08</v>
      </c>
      <c r="AC99" s="176" t="n">
        <v>0.1</v>
      </c>
      <c r="AD99" s="176" t="n">
        <v>0.12</v>
      </c>
      <c r="AE99" s="139"/>
      <c r="AF99" s="176" t="n">
        <v>0.28</v>
      </c>
      <c r="AG99" s="176" t="n">
        <v>0.35</v>
      </c>
      <c r="AH99" s="176" t="n">
        <v>0.42</v>
      </c>
      <c r="AI99" s="139"/>
      <c r="AJ99" s="176" t="n">
        <v>0.168</v>
      </c>
      <c r="AK99" s="176" t="n">
        <v>0.21</v>
      </c>
      <c r="AL99" s="176" t="n">
        <v>0.252</v>
      </c>
      <c r="AM99" s="139"/>
      <c r="AN99" s="140" t="n">
        <v>30</v>
      </c>
      <c r="AO99" s="177" t="n">
        <v>0.4</v>
      </c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41" t="n">
        <v>39783</v>
      </c>
      <c r="BG99" s="179" t="n">
        <v>0.75</v>
      </c>
      <c r="BH99" s="139"/>
      <c r="BI99" s="139"/>
      <c r="BJ99" s="139"/>
      <c r="BK99" s="139"/>
      <c r="BL99" s="139"/>
      <c r="BM99" s="139"/>
      <c r="BN99" s="139"/>
      <c r="BO99" s="139"/>
      <c r="BP99" s="139"/>
      <c r="BQ99" s="139"/>
      <c r="BR99" s="139"/>
      <c r="BS99" s="139"/>
      <c r="BT99" s="139"/>
      <c r="BU99" s="139"/>
      <c r="BV99" s="139"/>
      <c r="BW99" s="139"/>
      <c r="BX99" s="139"/>
      <c r="BY99" s="139"/>
      <c r="BZ99" s="139"/>
      <c r="CA99" s="139"/>
      <c r="CB99" s="139"/>
      <c r="CC99" s="139"/>
      <c r="CD99" s="139"/>
      <c r="CE99" s="139"/>
      <c r="CF99" s="0"/>
      <c r="CK99" s="206"/>
      <c r="CL99" s="206"/>
      <c r="CM99" s="180"/>
      <c r="CN99" s="0"/>
      <c r="CO99" s="0"/>
      <c r="CP99" s="0"/>
      <c r="CQ99" s="0"/>
      <c r="CR99" s="0"/>
      <c r="CW99" s="181" t="n">
        <f aca="false">K99</f>
        <v>39783</v>
      </c>
      <c r="CX99" s="182" t="n">
        <f aca="false">AF99</f>
        <v>0.28</v>
      </c>
      <c r="CY99" s="182" t="n">
        <f aca="false">AG99</f>
        <v>0.35</v>
      </c>
      <c r="CZ99" s="182" t="n">
        <f aca="false">AH99</f>
        <v>0.42</v>
      </c>
      <c r="DB99" s="182" t="n">
        <f aca="false">X99</f>
        <v>0.16</v>
      </c>
      <c r="DC99" s="182" t="n">
        <f aca="false">Y99</f>
        <v>0.2</v>
      </c>
      <c r="DD99" s="182" t="n">
        <f aca="false">Z99</f>
        <v>0.24</v>
      </c>
      <c r="DF99" s="181" t="n">
        <f aca="false">BF99</f>
        <v>39783</v>
      </c>
      <c r="DG99" s="133" t="n">
        <f aca="false">BG99</f>
        <v>0.75</v>
      </c>
      <c r="DJ99" s="181" t="n">
        <f aca="false">CW99</f>
        <v>39783</v>
      </c>
      <c r="DK99" s="182" t="n">
        <f aca="false">AJ99</f>
        <v>0.168</v>
      </c>
      <c r="DL99" s="182" t="n">
        <f aca="false">AK99</f>
        <v>0.21</v>
      </c>
      <c r="DM99" s="182" t="n">
        <f aca="false">AL99</f>
        <v>0.252</v>
      </c>
      <c r="DO99" s="182" t="n">
        <f aca="false">AB99</f>
        <v>0.08</v>
      </c>
      <c r="DP99" s="182" t="n">
        <f aca="false">AC99</f>
        <v>0.1</v>
      </c>
      <c r="DQ99" s="182" t="n">
        <f aca="false">AD99</f>
        <v>0.12</v>
      </c>
    </row>
    <row r="100" customFormat="false" ht="12.75" hidden="false" customHeight="false" outlineLevel="0" collapsed="false">
      <c r="A100" s="133"/>
      <c r="B100" s="174" t="n">
        <v>38930</v>
      </c>
      <c r="C100" s="175" t="n">
        <v>41</v>
      </c>
      <c r="D100" s="175" t="n">
        <v>50</v>
      </c>
      <c r="E100" s="175" t="n">
        <v>59</v>
      </c>
      <c r="F100" s="159"/>
      <c r="G100" s="175" t="n">
        <v>24.0400009155273</v>
      </c>
      <c r="H100" s="175" t="n">
        <v>24.0400009155273</v>
      </c>
      <c r="I100" s="175" t="n">
        <v>24.0400009155273</v>
      </c>
      <c r="J100" s="140"/>
      <c r="K100" s="141" t="n">
        <v>39814</v>
      </c>
      <c r="L100" s="176" t="n">
        <v>35.75</v>
      </c>
      <c r="M100" s="176" t="n">
        <v>35.75</v>
      </c>
      <c r="N100" s="176" t="n">
        <v>35.75</v>
      </c>
      <c r="O100" s="139"/>
      <c r="P100" s="176" t="n">
        <v>25.25</v>
      </c>
      <c r="Q100" s="176" t="n">
        <v>25.25</v>
      </c>
      <c r="R100" s="176" t="n">
        <v>25.25</v>
      </c>
      <c r="S100" s="139"/>
      <c r="T100" s="176" t="n">
        <v>0</v>
      </c>
      <c r="U100" s="176" t="n">
        <v>0</v>
      </c>
      <c r="V100" s="176" t="n">
        <v>0</v>
      </c>
      <c r="W100" s="139"/>
      <c r="X100" s="176" t="n">
        <v>0.16</v>
      </c>
      <c r="Y100" s="176" t="n">
        <v>0.2</v>
      </c>
      <c r="Z100" s="176" t="n">
        <v>0.24</v>
      </c>
      <c r="AA100" s="139"/>
      <c r="AB100" s="176" t="n">
        <v>0.08</v>
      </c>
      <c r="AC100" s="176" t="n">
        <v>0.1</v>
      </c>
      <c r="AD100" s="176" t="n">
        <v>0.12</v>
      </c>
      <c r="AE100" s="139"/>
      <c r="AF100" s="176" t="n">
        <v>0.28</v>
      </c>
      <c r="AG100" s="176" t="n">
        <v>0.35</v>
      </c>
      <c r="AH100" s="176" t="n">
        <v>0.42</v>
      </c>
      <c r="AI100" s="139"/>
      <c r="AJ100" s="176" t="n">
        <v>0.168</v>
      </c>
      <c r="AK100" s="176" t="n">
        <v>0.21</v>
      </c>
      <c r="AL100" s="176" t="n">
        <v>0.252</v>
      </c>
      <c r="AM100" s="139"/>
      <c r="AN100" s="140" t="n">
        <v>31</v>
      </c>
      <c r="AO100" s="177" t="n">
        <v>0.4</v>
      </c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41" t="n">
        <v>39814</v>
      </c>
      <c r="BG100" s="179" t="n">
        <v>0.75</v>
      </c>
      <c r="BH100" s="139"/>
      <c r="BI100" s="139"/>
      <c r="BJ100" s="139"/>
      <c r="BK100" s="139"/>
      <c r="BL100" s="139"/>
      <c r="BM100" s="139"/>
      <c r="BN100" s="139"/>
      <c r="BO100" s="139"/>
      <c r="BP100" s="139"/>
      <c r="BQ100" s="139"/>
      <c r="BR100" s="139"/>
      <c r="BS100" s="139"/>
      <c r="BT100" s="139"/>
      <c r="BU100" s="139"/>
      <c r="BV100" s="139"/>
      <c r="BW100" s="139"/>
      <c r="BX100" s="139"/>
      <c r="BY100" s="139"/>
      <c r="BZ100" s="139"/>
      <c r="CA100" s="139"/>
      <c r="CB100" s="139"/>
      <c r="CC100" s="139"/>
      <c r="CD100" s="139"/>
      <c r="CE100" s="139"/>
      <c r="CF100" s="0"/>
      <c r="CK100" s="206"/>
      <c r="CL100" s="206"/>
      <c r="CM100" s="180"/>
      <c r="CN100" s="0"/>
      <c r="CO100" s="0"/>
      <c r="CP100" s="0"/>
      <c r="CQ100" s="0"/>
      <c r="CR100" s="0"/>
      <c r="CW100" s="181" t="n">
        <f aca="false">K100</f>
        <v>39814</v>
      </c>
      <c r="CX100" s="182" t="n">
        <f aca="false">AF100</f>
        <v>0.28</v>
      </c>
      <c r="CY100" s="182" t="n">
        <f aca="false">AG100</f>
        <v>0.35</v>
      </c>
      <c r="CZ100" s="182" t="n">
        <f aca="false">AH100</f>
        <v>0.42</v>
      </c>
      <c r="DB100" s="182" t="n">
        <f aca="false">X100</f>
        <v>0.16</v>
      </c>
      <c r="DC100" s="182" t="n">
        <f aca="false">Y100</f>
        <v>0.2</v>
      </c>
      <c r="DD100" s="182" t="n">
        <f aca="false">Z100</f>
        <v>0.24</v>
      </c>
      <c r="DF100" s="181" t="n">
        <f aca="false">BF100</f>
        <v>39814</v>
      </c>
      <c r="DG100" s="133" t="n">
        <f aca="false">BG100</f>
        <v>0.75</v>
      </c>
      <c r="DJ100" s="181" t="n">
        <f aca="false">CW100</f>
        <v>39814</v>
      </c>
      <c r="DK100" s="182" t="n">
        <f aca="false">AJ100</f>
        <v>0.168</v>
      </c>
      <c r="DL100" s="182" t="n">
        <f aca="false">AK100</f>
        <v>0.21</v>
      </c>
      <c r="DM100" s="182" t="n">
        <f aca="false">AL100</f>
        <v>0.252</v>
      </c>
      <c r="DO100" s="182" t="n">
        <f aca="false">AB100</f>
        <v>0.08</v>
      </c>
      <c r="DP100" s="182" t="n">
        <f aca="false">AC100</f>
        <v>0.1</v>
      </c>
      <c r="DQ100" s="182" t="n">
        <f aca="false">AD100</f>
        <v>0.12</v>
      </c>
    </row>
    <row r="101" customFormat="false" ht="12.75" hidden="false" customHeight="false" outlineLevel="0" collapsed="false">
      <c r="A101" s="133"/>
      <c r="B101" s="174" t="n">
        <v>38961</v>
      </c>
      <c r="C101" s="175" t="n">
        <v>27.5799999237061</v>
      </c>
      <c r="D101" s="175" t="n">
        <v>30.3299999237061</v>
      </c>
      <c r="E101" s="175" t="n">
        <v>33.0799999237061</v>
      </c>
      <c r="F101" s="159"/>
      <c r="G101" s="175" t="n">
        <v>18.0400009155273</v>
      </c>
      <c r="H101" s="175" t="n">
        <v>18.0400009155273</v>
      </c>
      <c r="I101" s="175" t="n">
        <v>18.0400009155273</v>
      </c>
      <c r="J101" s="140"/>
      <c r="K101" s="141" t="n">
        <v>39845</v>
      </c>
      <c r="L101" s="176" t="n">
        <v>31.2460021972656</v>
      </c>
      <c r="M101" s="176" t="n">
        <v>31.2460021972656</v>
      </c>
      <c r="N101" s="176" t="n">
        <v>31.2460021972656</v>
      </c>
      <c r="O101" s="139"/>
      <c r="P101" s="176" t="n">
        <v>22.7465019226074</v>
      </c>
      <c r="Q101" s="176" t="n">
        <v>22.7465019226074</v>
      </c>
      <c r="R101" s="176" t="n">
        <v>22.7465019226074</v>
      </c>
      <c r="S101" s="139"/>
      <c r="T101" s="176" t="n">
        <v>0</v>
      </c>
      <c r="U101" s="176" t="n">
        <v>0</v>
      </c>
      <c r="V101" s="176" t="n">
        <v>0</v>
      </c>
      <c r="W101" s="139"/>
      <c r="X101" s="176" t="n">
        <v>0.16</v>
      </c>
      <c r="Y101" s="176" t="n">
        <v>0.2</v>
      </c>
      <c r="Z101" s="176" t="n">
        <v>0.24</v>
      </c>
      <c r="AA101" s="139"/>
      <c r="AB101" s="176" t="n">
        <v>0.08</v>
      </c>
      <c r="AC101" s="176" t="n">
        <v>0.1</v>
      </c>
      <c r="AD101" s="176" t="n">
        <v>0.12</v>
      </c>
      <c r="AE101" s="139"/>
      <c r="AF101" s="176" t="n">
        <v>0.28</v>
      </c>
      <c r="AG101" s="176" t="n">
        <v>0.35</v>
      </c>
      <c r="AH101" s="176" t="n">
        <v>0.42</v>
      </c>
      <c r="AI101" s="139"/>
      <c r="AJ101" s="176" t="n">
        <v>0.168</v>
      </c>
      <c r="AK101" s="176" t="n">
        <v>0.21</v>
      </c>
      <c r="AL101" s="176" t="n">
        <v>0.252</v>
      </c>
      <c r="AM101" s="139"/>
      <c r="AN101" s="140" t="n">
        <v>31</v>
      </c>
      <c r="AO101" s="177" t="n">
        <v>0.4</v>
      </c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41" t="n">
        <v>39845</v>
      </c>
      <c r="BG101" s="179" t="n">
        <v>0.75</v>
      </c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  <c r="BU101" s="139"/>
      <c r="BV101" s="139"/>
      <c r="BW101" s="139"/>
      <c r="BX101" s="139"/>
      <c r="BY101" s="139"/>
      <c r="BZ101" s="139"/>
      <c r="CA101" s="139"/>
      <c r="CB101" s="139"/>
      <c r="CC101" s="139"/>
      <c r="CD101" s="139"/>
      <c r="CE101" s="139"/>
      <c r="CF101" s="0"/>
      <c r="CK101" s="206"/>
      <c r="CL101" s="206"/>
      <c r="CM101" s="180"/>
      <c r="CN101" s="0"/>
      <c r="CO101" s="0"/>
      <c r="CP101" s="0"/>
      <c r="CQ101" s="0"/>
      <c r="CR101" s="0"/>
      <c r="CW101" s="181" t="n">
        <f aca="false">K101</f>
        <v>39845</v>
      </c>
      <c r="CX101" s="182" t="n">
        <f aca="false">AF101</f>
        <v>0.28</v>
      </c>
      <c r="CY101" s="182" t="n">
        <f aca="false">AG101</f>
        <v>0.35</v>
      </c>
      <c r="CZ101" s="182" t="n">
        <f aca="false">AH101</f>
        <v>0.42</v>
      </c>
      <c r="DB101" s="182" t="n">
        <f aca="false">X101</f>
        <v>0.16</v>
      </c>
      <c r="DC101" s="182" t="n">
        <f aca="false">Y101</f>
        <v>0.2</v>
      </c>
      <c r="DD101" s="182" t="n">
        <f aca="false">Z101</f>
        <v>0.24</v>
      </c>
      <c r="DF101" s="181" t="n">
        <f aca="false">BF101</f>
        <v>39845</v>
      </c>
      <c r="DG101" s="133" t="n">
        <f aca="false">BG101</f>
        <v>0.75</v>
      </c>
      <c r="DJ101" s="181" t="n">
        <f aca="false">CW101</f>
        <v>39845</v>
      </c>
      <c r="DK101" s="182" t="n">
        <f aca="false">AJ101</f>
        <v>0.168</v>
      </c>
      <c r="DL101" s="182" t="n">
        <f aca="false">AK101</f>
        <v>0.21</v>
      </c>
      <c r="DM101" s="182" t="n">
        <f aca="false">AL101</f>
        <v>0.252</v>
      </c>
      <c r="DO101" s="182" t="n">
        <f aca="false">AB101</f>
        <v>0.08</v>
      </c>
      <c r="DP101" s="182" t="n">
        <f aca="false">AC101</f>
        <v>0.1</v>
      </c>
      <c r="DQ101" s="182" t="n">
        <f aca="false">AD101</f>
        <v>0.12</v>
      </c>
    </row>
    <row r="102" customFormat="false" ht="12.75" hidden="false" customHeight="false" outlineLevel="0" collapsed="false">
      <c r="A102" s="133"/>
      <c r="B102" s="174" t="n">
        <v>38991</v>
      </c>
      <c r="C102" s="175" t="n">
        <v>30.7315635681152</v>
      </c>
      <c r="D102" s="175" t="n">
        <v>31.7315635681152</v>
      </c>
      <c r="E102" s="175" t="n">
        <v>32.7315635681152</v>
      </c>
      <c r="F102" s="159"/>
      <c r="G102" s="175" t="n">
        <v>17.540002822876</v>
      </c>
      <c r="H102" s="175" t="n">
        <v>17.540002822876</v>
      </c>
      <c r="I102" s="175" t="n">
        <v>17.540002822876</v>
      </c>
      <c r="J102" s="140"/>
      <c r="K102" s="141" t="n">
        <v>39873</v>
      </c>
      <c r="L102" s="176" t="n">
        <v>25.5</v>
      </c>
      <c r="M102" s="176" t="n">
        <v>25.5</v>
      </c>
      <c r="N102" s="176" t="n">
        <v>25.5</v>
      </c>
      <c r="O102" s="139"/>
      <c r="P102" s="176" t="n">
        <v>20</v>
      </c>
      <c r="Q102" s="176" t="n">
        <v>20</v>
      </c>
      <c r="R102" s="176" t="n">
        <v>20</v>
      </c>
      <c r="S102" s="139"/>
      <c r="T102" s="176" t="n">
        <v>0</v>
      </c>
      <c r="U102" s="176" t="n">
        <v>0</v>
      </c>
      <c r="V102" s="176" t="n">
        <v>0</v>
      </c>
      <c r="W102" s="139"/>
      <c r="X102" s="176" t="n">
        <v>0.16</v>
      </c>
      <c r="Y102" s="176" t="n">
        <v>0.2</v>
      </c>
      <c r="Z102" s="176" t="n">
        <v>0.24</v>
      </c>
      <c r="AA102" s="139"/>
      <c r="AB102" s="176" t="n">
        <v>0.08</v>
      </c>
      <c r="AC102" s="176" t="n">
        <v>0.1</v>
      </c>
      <c r="AD102" s="176" t="n">
        <v>0.12</v>
      </c>
      <c r="AE102" s="139"/>
      <c r="AF102" s="176" t="n">
        <v>0.28</v>
      </c>
      <c r="AG102" s="176" t="n">
        <v>0.35</v>
      </c>
      <c r="AH102" s="176" t="n">
        <v>0.42</v>
      </c>
      <c r="AI102" s="139"/>
      <c r="AJ102" s="176" t="n">
        <v>0.168</v>
      </c>
      <c r="AK102" s="176" t="n">
        <v>0.21</v>
      </c>
      <c r="AL102" s="176" t="n">
        <v>0.252</v>
      </c>
      <c r="AM102" s="139"/>
      <c r="AN102" s="140" t="n">
        <v>31</v>
      </c>
      <c r="AO102" s="177" t="n">
        <v>0.4</v>
      </c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41" t="n">
        <v>39873</v>
      </c>
      <c r="BG102" s="179" t="n">
        <v>0.75</v>
      </c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0"/>
      <c r="CK102" s="206"/>
      <c r="CL102" s="206"/>
      <c r="CM102" s="180"/>
      <c r="CN102" s="0"/>
      <c r="CO102" s="0"/>
      <c r="CP102" s="0"/>
      <c r="CQ102" s="0"/>
      <c r="CR102" s="0"/>
      <c r="CW102" s="181" t="n">
        <f aca="false">K102</f>
        <v>39873</v>
      </c>
      <c r="CX102" s="182" t="n">
        <f aca="false">AF102</f>
        <v>0.28</v>
      </c>
      <c r="CY102" s="182" t="n">
        <f aca="false">AG102</f>
        <v>0.35</v>
      </c>
      <c r="CZ102" s="182" t="n">
        <f aca="false">AH102</f>
        <v>0.42</v>
      </c>
      <c r="DB102" s="182" t="n">
        <f aca="false">X102</f>
        <v>0.16</v>
      </c>
      <c r="DC102" s="182" t="n">
        <f aca="false">Y102</f>
        <v>0.2</v>
      </c>
      <c r="DD102" s="182" t="n">
        <f aca="false">Z102</f>
        <v>0.24</v>
      </c>
      <c r="DF102" s="181" t="n">
        <f aca="false">BF102</f>
        <v>39873</v>
      </c>
      <c r="DG102" s="133" t="n">
        <f aca="false">BG102</f>
        <v>0.75</v>
      </c>
      <c r="DJ102" s="181" t="n">
        <f aca="false">CW102</f>
        <v>39873</v>
      </c>
      <c r="DK102" s="182" t="n">
        <f aca="false">AJ102</f>
        <v>0.168</v>
      </c>
      <c r="DL102" s="182" t="n">
        <f aca="false">AK102</f>
        <v>0.21</v>
      </c>
      <c r="DM102" s="182" t="n">
        <f aca="false">AL102</f>
        <v>0.252</v>
      </c>
      <c r="DO102" s="182" t="n">
        <f aca="false">AB102</f>
        <v>0.08</v>
      </c>
      <c r="DP102" s="182" t="n">
        <f aca="false">AC102</f>
        <v>0.1</v>
      </c>
      <c r="DQ102" s="182" t="n">
        <f aca="false">AD102</f>
        <v>0.12</v>
      </c>
    </row>
    <row r="103" customFormat="false" ht="12.75" hidden="false" customHeight="false" outlineLevel="0" collapsed="false">
      <c r="A103" s="133"/>
      <c r="B103" s="174" t="n">
        <v>39022</v>
      </c>
      <c r="C103" s="175" t="n">
        <v>30.8315620422363</v>
      </c>
      <c r="D103" s="175" t="n">
        <v>31.8315620422363</v>
      </c>
      <c r="E103" s="175" t="n">
        <v>32.8315620422363</v>
      </c>
      <c r="F103" s="159"/>
      <c r="G103" s="175" t="n">
        <v>18.5400009155273</v>
      </c>
      <c r="H103" s="175" t="n">
        <v>18.5400009155273</v>
      </c>
      <c r="I103" s="175" t="n">
        <v>18.5400009155273</v>
      </c>
      <c r="J103" s="140"/>
      <c r="K103" s="141" t="n">
        <v>39904</v>
      </c>
      <c r="L103" s="176" t="n">
        <v>22</v>
      </c>
      <c r="M103" s="176" t="n">
        <v>22</v>
      </c>
      <c r="N103" s="176" t="n">
        <v>22</v>
      </c>
      <c r="O103" s="139"/>
      <c r="P103" s="176" t="n">
        <v>16.4950008392334</v>
      </c>
      <c r="Q103" s="176" t="n">
        <v>16.4950008392334</v>
      </c>
      <c r="R103" s="176" t="n">
        <v>16.4950008392334</v>
      </c>
      <c r="S103" s="139"/>
      <c r="T103" s="176" t="n">
        <v>0</v>
      </c>
      <c r="U103" s="176" t="n">
        <v>0</v>
      </c>
      <c r="V103" s="176" t="n">
        <v>0</v>
      </c>
      <c r="W103" s="139"/>
      <c r="X103" s="176" t="n">
        <v>0.16</v>
      </c>
      <c r="Y103" s="176" t="n">
        <v>0.2</v>
      </c>
      <c r="Z103" s="176" t="n">
        <v>0.24</v>
      </c>
      <c r="AA103" s="139"/>
      <c r="AB103" s="176" t="n">
        <v>0.08</v>
      </c>
      <c r="AC103" s="176" t="n">
        <v>0.1</v>
      </c>
      <c r="AD103" s="176" t="n">
        <v>0.12</v>
      </c>
      <c r="AE103" s="139"/>
      <c r="AF103" s="176" t="n">
        <v>0.28</v>
      </c>
      <c r="AG103" s="176" t="n">
        <v>0.35</v>
      </c>
      <c r="AH103" s="176" t="n">
        <v>0.42</v>
      </c>
      <c r="AI103" s="139"/>
      <c r="AJ103" s="176" t="n">
        <v>0.168</v>
      </c>
      <c r="AK103" s="176" t="n">
        <v>0.21</v>
      </c>
      <c r="AL103" s="176" t="n">
        <v>0.252</v>
      </c>
      <c r="AM103" s="139"/>
      <c r="AN103" s="140" t="n">
        <v>32</v>
      </c>
      <c r="AO103" s="177" t="n">
        <v>0.4</v>
      </c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41" t="n">
        <v>39904</v>
      </c>
      <c r="BG103" s="179" t="n">
        <v>0.75</v>
      </c>
      <c r="BH103" s="139"/>
      <c r="BI103" s="139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  <c r="BU103" s="139"/>
      <c r="BV103" s="139"/>
      <c r="BW103" s="139"/>
      <c r="BX103" s="139"/>
      <c r="BY103" s="139"/>
      <c r="BZ103" s="139"/>
      <c r="CA103" s="139"/>
      <c r="CB103" s="139"/>
      <c r="CC103" s="139"/>
      <c r="CD103" s="139"/>
      <c r="CE103" s="139"/>
      <c r="CF103" s="0"/>
      <c r="CK103" s="206"/>
      <c r="CL103" s="206"/>
      <c r="CM103" s="180"/>
      <c r="CN103" s="0"/>
      <c r="CO103" s="0"/>
      <c r="CP103" s="0"/>
      <c r="CQ103" s="0"/>
      <c r="CR103" s="0"/>
      <c r="CW103" s="181" t="n">
        <f aca="false">K103</f>
        <v>39904</v>
      </c>
      <c r="CX103" s="182" t="n">
        <f aca="false">AF103</f>
        <v>0.28</v>
      </c>
      <c r="CY103" s="182" t="n">
        <f aca="false">AG103</f>
        <v>0.35</v>
      </c>
      <c r="CZ103" s="182" t="n">
        <f aca="false">AH103</f>
        <v>0.42</v>
      </c>
      <c r="DB103" s="182" t="n">
        <f aca="false">X103</f>
        <v>0.16</v>
      </c>
      <c r="DC103" s="182" t="n">
        <f aca="false">Y103</f>
        <v>0.2</v>
      </c>
      <c r="DD103" s="182" t="n">
        <f aca="false">Z103</f>
        <v>0.24</v>
      </c>
      <c r="DF103" s="181" t="n">
        <f aca="false">BF103</f>
        <v>39904</v>
      </c>
      <c r="DG103" s="133" t="n">
        <f aca="false">BG103</f>
        <v>0.75</v>
      </c>
      <c r="DJ103" s="181" t="n">
        <f aca="false">CW103</f>
        <v>39904</v>
      </c>
      <c r="DK103" s="182" t="n">
        <f aca="false">AJ103</f>
        <v>0.168</v>
      </c>
      <c r="DL103" s="182" t="n">
        <f aca="false">AK103</f>
        <v>0.21</v>
      </c>
      <c r="DM103" s="182" t="n">
        <f aca="false">AL103</f>
        <v>0.252</v>
      </c>
      <c r="DO103" s="182" t="n">
        <f aca="false">AB103</f>
        <v>0.08</v>
      </c>
      <c r="DP103" s="182" t="n">
        <f aca="false">AC103</f>
        <v>0.1</v>
      </c>
      <c r="DQ103" s="182" t="n">
        <f aca="false">AD103</f>
        <v>0.12</v>
      </c>
    </row>
    <row r="104" customFormat="false" ht="12.75" hidden="false" customHeight="false" outlineLevel="0" collapsed="false">
      <c r="A104" s="133"/>
      <c r="B104" s="174" t="n">
        <v>39052</v>
      </c>
      <c r="C104" s="175" t="n">
        <v>30.9315605163574</v>
      </c>
      <c r="D104" s="175" t="n">
        <v>31.9315605163574</v>
      </c>
      <c r="E104" s="175" t="n">
        <v>32.9315605163574</v>
      </c>
      <c r="F104" s="159"/>
      <c r="G104" s="175" t="n">
        <v>20.7900009155273</v>
      </c>
      <c r="H104" s="175" t="n">
        <v>20.7900009155273</v>
      </c>
      <c r="I104" s="175" t="n">
        <v>20.7900009155273</v>
      </c>
      <c r="J104" s="140"/>
      <c r="K104" s="141" t="n">
        <v>39934</v>
      </c>
      <c r="L104" s="176" t="n">
        <v>22.2900009155273</v>
      </c>
      <c r="M104" s="176" t="n">
        <v>22.2900009155273</v>
      </c>
      <c r="N104" s="176" t="n">
        <v>22.2900009155273</v>
      </c>
      <c r="O104" s="139"/>
      <c r="P104" s="176" t="n">
        <v>15.7950000762939</v>
      </c>
      <c r="Q104" s="176" t="n">
        <v>15.7950000762939</v>
      </c>
      <c r="R104" s="176" t="n">
        <v>15.7950000762939</v>
      </c>
      <c r="S104" s="139"/>
      <c r="T104" s="176" t="n">
        <v>0</v>
      </c>
      <c r="U104" s="176" t="n">
        <v>0</v>
      </c>
      <c r="V104" s="176" t="n">
        <v>0</v>
      </c>
      <c r="W104" s="139"/>
      <c r="X104" s="176" t="n">
        <v>0.16</v>
      </c>
      <c r="Y104" s="176" t="n">
        <v>0.2</v>
      </c>
      <c r="Z104" s="176" t="n">
        <v>0.24</v>
      </c>
      <c r="AA104" s="139"/>
      <c r="AB104" s="176" t="n">
        <v>0.08</v>
      </c>
      <c r="AC104" s="176" t="n">
        <v>0.1</v>
      </c>
      <c r="AD104" s="176" t="n">
        <v>0.12</v>
      </c>
      <c r="AE104" s="139"/>
      <c r="AF104" s="176" t="n">
        <v>0.28</v>
      </c>
      <c r="AG104" s="176" t="n">
        <v>0.35</v>
      </c>
      <c r="AH104" s="176" t="n">
        <v>0.42</v>
      </c>
      <c r="AI104" s="139"/>
      <c r="AJ104" s="176" t="n">
        <v>0.168</v>
      </c>
      <c r="AK104" s="176" t="n">
        <v>0.21</v>
      </c>
      <c r="AL104" s="176" t="n">
        <v>0.252</v>
      </c>
      <c r="AM104" s="139"/>
      <c r="AN104" s="140" t="n">
        <v>32</v>
      </c>
      <c r="AO104" s="177" t="n">
        <v>0.4</v>
      </c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41" t="n">
        <v>39934</v>
      </c>
      <c r="BG104" s="179" t="n">
        <v>0.75</v>
      </c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39"/>
      <c r="CE104" s="139"/>
      <c r="CF104" s="0"/>
      <c r="CK104" s="206"/>
      <c r="CL104" s="206"/>
      <c r="CM104" s="180"/>
      <c r="CN104" s="0"/>
      <c r="CO104" s="0"/>
      <c r="CP104" s="0"/>
      <c r="CQ104" s="0"/>
      <c r="CR104" s="0"/>
      <c r="CW104" s="181" t="n">
        <f aca="false">K104</f>
        <v>39934</v>
      </c>
      <c r="CX104" s="182" t="n">
        <f aca="false">AF104</f>
        <v>0.28</v>
      </c>
      <c r="CY104" s="182" t="n">
        <f aca="false">AG104</f>
        <v>0.35</v>
      </c>
      <c r="CZ104" s="182" t="n">
        <f aca="false">AH104</f>
        <v>0.42</v>
      </c>
      <c r="DB104" s="182" t="n">
        <f aca="false">X104</f>
        <v>0.16</v>
      </c>
      <c r="DC104" s="182" t="n">
        <f aca="false">Y104</f>
        <v>0.2</v>
      </c>
      <c r="DD104" s="182" t="n">
        <f aca="false">Z104</f>
        <v>0.24</v>
      </c>
      <c r="DF104" s="181" t="n">
        <f aca="false">BF104</f>
        <v>39934</v>
      </c>
      <c r="DG104" s="133" t="n">
        <f aca="false">BG104</f>
        <v>0.75</v>
      </c>
      <c r="DJ104" s="181" t="n">
        <f aca="false">CW104</f>
        <v>39934</v>
      </c>
      <c r="DK104" s="182" t="n">
        <f aca="false">AJ104</f>
        <v>0.168</v>
      </c>
      <c r="DL104" s="182" t="n">
        <f aca="false">AK104</f>
        <v>0.21</v>
      </c>
      <c r="DM104" s="182" t="n">
        <f aca="false">AL104</f>
        <v>0.252</v>
      </c>
      <c r="DO104" s="182" t="n">
        <f aca="false">AB104</f>
        <v>0.08</v>
      </c>
      <c r="DP104" s="182" t="n">
        <f aca="false">AC104</f>
        <v>0.1</v>
      </c>
      <c r="DQ104" s="182" t="n">
        <f aca="false">AD104</f>
        <v>0.12</v>
      </c>
    </row>
    <row r="105" customFormat="false" ht="12.75" hidden="false" customHeight="false" outlineLevel="0" collapsed="false">
      <c r="A105" s="133"/>
      <c r="B105" s="174" t="n">
        <v>39083</v>
      </c>
      <c r="C105" s="175" t="n">
        <v>34.9757148742676</v>
      </c>
      <c r="D105" s="175" t="n">
        <v>35.5257148742676</v>
      </c>
      <c r="E105" s="175" t="n">
        <v>36.0757148742676</v>
      </c>
      <c r="F105" s="159"/>
      <c r="G105" s="175" t="n">
        <v>23</v>
      </c>
      <c r="H105" s="175" t="n">
        <v>23</v>
      </c>
      <c r="I105" s="175" t="n">
        <v>23</v>
      </c>
      <c r="J105" s="140"/>
      <c r="K105" s="141" t="n">
        <v>39965</v>
      </c>
      <c r="L105" s="176" t="n">
        <v>29.2900009155273</v>
      </c>
      <c r="M105" s="176" t="n">
        <v>29.2900009155273</v>
      </c>
      <c r="N105" s="176" t="n">
        <v>29.2900009155273</v>
      </c>
      <c r="O105" s="139"/>
      <c r="P105" s="176" t="n">
        <v>19.7900009155273</v>
      </c>
      <c r="Q105" s="176" t="n">
        <v>19.7900009155273</v>
      </c>
      <c r="R105" s="176" t="n">
        <v>19.7900009155273</v>
      </c>
      <c r="S105" s="139"/>
      <c r="T105" s="176" t="n">
        <v>0</v>
      </c>
      <c r="U105" s="176" t="n">
        <v>0</v>
      </c>
      <c r="V105" s="176" t="n">
        <v>0</v>
      </c>
      <c r="W105" s="139"/>
      <c r="X105" s="176" t="n">
        <v>0.16</v>
      </c>
      <c r="Y105" s="176" t="n">
        <v>0.2</v>
      </c>
      <c r="Z105" s="176" t="n">
        <v>0.24</v>
      </c>
      <c r="AA105" s="139"/>
      <c r="AB105" s="176" t="n">
        <v>0.08</v>
      </c>
      <c r="AC105" s="176" t="n">
        <v>0.1</v>
      </c>
      <c r="AD105" s="176" t="n">
        <v>0.12</v>
      </c>
      <c r="AE105" s="139"/>
      <c r="AF105" s="176" t="n">
        <v>0.36</v>
      </c>
      <c r="AG105" s="176" t="n">
        <v>0.45</v>
      </c>
      <c r="AH105" s="176" t="n">
        <v>0.54</v>
      </c>
      <c r="AI105" s="139"/>
      <c r="AJ105" s="176" t="n">
        <v>0.216</v>
      </c>
      <c r="AK105" s="176" t="n">
        <v>0.27</v>
      </c>
      <c r="AL105" s="176" t="n">
        <v>0.324</v>
      </c>
      <c r="AM105" s="139"/>
      <c r="AN105" s="140" t="n">
        <v>32</v>
      </c>
      <c r="AO105" s="177" t="n">
        <v>0.4</v>
      </c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41" t="n">
        <v>39965</v>
      </c>
      <c r="BG105" s="179" t="n">
        <v>0.75</v>
      </c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  <c r="BU105" s="139"/>
      <c r="BV105" s="139"/>
      <c r="BW105" s="139"/>
      <c r="BX105" s="139"/>
      <c r="BY105" s="139"/>
      <c r="BZ105" s="139"/>
      <c r="CA105" s="139"/>
      <c r="CB105" s="139"/>
      <c r="CC105" s="139"/>
      <c r="CD105" s="139"/>
      <c r="CE105" s="139"/>
      <c r="CF105" s="0"/>
      <c r="CK105" s="206"/>
      <c r="CL105" s="206"/>
      <c r="CM105" s="180"/>
      <c r="CN105" s="0"/>
      <c r="CO105" s="0"/>
      <c r="CP105" s="0"/>
      <c r="CQ105" s="0"/>
      <c r="CR105" s="0"/>
      <c r="CW105" s="181" t="n">
        <f aca="false">K105</f>
        <v>39965</v>
      </c>
      <c r="CX105" s="182" t="n">
        <f aca="false">AF105</f>
        <v>0.36</v>
      </c>
      <c r="CY105" s="182" t="n">
        <f aca="false">AG105</f>
        <v>0.45</v>
      </c>
      <c r="CZ105" s="182" t="n">
        <f aca="false">AH105</f>
        <v>0.54</v>
      </c>
      <c r="DB105" s="182" t="n">
        <f aca="false">X105</f>
        <v>0.16</v>
      </c>
      <c r="DC105" s="182" t="n">
        <f aca="false">Y105</f>
        <v>0.2</v>
      </c>
      <c r="DD105" s="182" t="n">
        <f aca="false">Z105</f>
        <v>0.24</v>
      </c>
      <c r="DF105" s="181" t="n">
        <f aca="false">BF105</f>
        <v>39965</v>
      </c>
      <c r="DG105" s="133" t="n">
        <f aca="false">BG105</f>
        <v>0.75</v>
      </c>
      <c r="DJ105" s="181" t="n">
        <f aca="false">CW105</f>
        <v>39965</v>
      </c>
      <c r="DK105" s="182" t="n">
        <f aca="false">AJ105</f>
        <v>0.216</v>
      </c>
      <c r="DL105" s="182" t="n">
        <f aca="false">AK105</f>
        <v>0.27</v>
      </c>
      <c r="DM105" s="182" t="n">
        <f aca="false">AL105</f>
        <v>0.324</v>
      </c>
      <c r="DO105" s="182" t="n">
        <f aca="false">AB105</f>
        <v>0.08</v>
      </c>
      <c r="DP105" s="182" t="n">
        <f aca="false">AC105</f>
        <v>0.1</v>
      </c>
      <c r="DQ105" s="182" t="n">
        <f aca="false">AD105</f>
        <v>0.12</v>
      </c>
    </row>
    <row r="106" customFormat="false" ht="12.75" hidden="false" customHeight="false" outlineLevel="0" collapsed="false">
      <c r="A106" s="133"/>
      <c r="B106" s="174" t="n">
        <v>39114</v>
      </c>
      <c r="C106" s="175" t="n">
        <v>34.3757125854492</v>
      </c>
      <c r="D106" s="175" t="n">
        <v>34.9257125854492</v>
      </c>
      <c r="E106" s="175" t="n">
        <v>35.4757125854492</v>
      </c>
      <c r="F106" s="159"/>
      <c r="G106" s="175" t="n">
        <v>21.5</v>
      </c>
      <c r="H106" s="175" t="n">
        <v>21.5</v>
      </c>
      <c r="I106" s="175" t="n">
        <v>21.5</v>
      </c>
      <c r="J106" s="140"/>
      <c r="K106" s="141" t="n">
        <v>39995</v>
      </c>
      <c r="L106" s="176" t="n">
        <v>35.2900009155273</v>
      </c>
      <c r="M106" s="176" t="n">
        <v>35.2900009155273</v>
      </c>
      <c r="N106" s="176" t="n">
        <v>35.2900009155273</v>
      </c>
      <c r="O106" s="139"/>
      <c r="P106" s="176" t="n">
        <v>25.7900009155273</v>
      </c>
      <c r="Q106" s="176" t="n">
        <v>25.7900009155273</v>
      </c>
      <c r="R106" s="176" t="n">
        <v>25.7900009155273</v>
      </c>
      <c r="S106" s="139"/>
      <c r="T106" s="176" t="n">
        <v>0</v>
      </c>
      <c r="U106" s="176" t="n">
        <v>0</v>
      </c>
      <c r="V106" s="176" t="n">
        <v>0</v>
      </c>
      <c r="W106" s="139"/>
      <c r="X106" s="176" t="n">
        <v>0.16</v>
      </c>
      <c r="Y106" s="176" t="n">
        <v>0.2</v>
      </c>
      <c r="Z106" s="176" t="n">
        <v>0.24</v>
      </c>
      <c r="AA106" s="139"/>
      <c r="AB106" s="176" t="n">
        <v>0.08</v>
      </c>
      <c r="AC106" s="176" t="n">
        <v>0.1</v>
      </c>
      <c r="AD106" s="176" t="n">
        <v>0.12</v>
      </c>
      <c r="AE106" s="139"/>
      <c r="AF106" s="176" t="n">
        <v>0.36</v>
      </c>
      <c r="AG106" s="176" t="n">
        <v>0.45</v>
      </c>
      <c r="AH106" s="176" t="n">
        <v>0.54</v>
      </c>
      <c r="AI106" s="139"/>
      <c r="AJ106" s="176" t="n">
        <v>0.216</v>
      </c>
      <c r="AK106" s="176" t="n">
        <v>0.27</v>
      </c>
      <c r="AL106" s="176" t="n">
        <v>0.324</v>
      </c>
      <c r="AM106" s="139"/>
      <c r="AN106" s="140" t="n">
        <v>33</v>
      </c>
      <c r="AO106" s="177" t="n">
        <v>0.4</v>
      </c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41" t="n">
        <v>39995</v>
      </c>
      <c r="BG106" s="179" t="n">
        <v>0.75</v>
      </c>
      <c r="BH106" s="139"/>
      <c r="BI106" s="139"/>
      <c r="BJ106" s="139"/>
      <c r="BK106" s="139"/>
      <c r="BL106" s="139"/>
      <c r="BM106" s="139"/>
      <c r="BN106" s="139"/>
      <c r="BO106" s="139"/>
      <c r="BP106" s="139"/>
      <c r="BQ106" s="139"/>
      <c r="BR106" s="139"/>
      <c r="BS106" s="139"/>
      <c r="BT106" s="139"/>
      <c r="BU106" s="139"/>
      <c r="BV106" s="139"/>
      <c r="BW106" s="139"/>
      <c r="BX106" s="139"/>
      <c r="BY106" s="139"/>
      <c r="BZ106" s="139"/>
      <c r="CA106" s="139"/>
      <c r="CB106" s="139"/>
      <c r="CC106" s="139"/>
      <c r="CD106" s="139"/>
      <c r="CE106" s="139"/>
      <c r="CF106" s="0"/>
      <c r="CK106" s="206"/>
      <c r="CL106" s="206"/>
      <c r="CM106" s="180"/>
      <c r="CN106" s="0"/>
      <c r="CO106" s="0"/>
      <c r="CP106" s="0"/>
      <c r="CQ106" s="0"/>
      <c r="CR106" s="0"/>
      <c r="CW106" s="181" t="n">
        <f aca="false">K106</f>
        <v>39995</v>
      </c>
      <c r="CX106" s="182" t="n">
        <f aca="false">AF106</f>
        <v>0.36</v>
      </c>
      <c r="CY106" s="182" t="n">
        <f aca="false">AG106</f>
        <v>0.45</v>
      </c>
      <c r="CZ106" s="182" t="n">
        <f aca="false">AH106</f>
        <v>0.54</v>
      </c>
      <c r="DB106" s="182" t="n">
        <f aca="false">X106</f>
        <v>0.16</v>
      </c>
      <c r="DC106" s="182" t="n">
        <f aca="false">Y106</f>
        <v>0.2</v>
      </c>
      <c r="DD106" s="182" t="n">
        <f aca="false">Z106</f>
        <v>0.24</v>
      </c>
      <c r="DF106" s="181" t="n">
        <f aca="false">BF106</f>
        <v>39995</v>
      </c>
      <c r="DG106" s="133" t="n">
        <f aca="false">BG106</f>
        <v>0.75</v>
      </c>
      <c r="DJ106" s="181" t="n">
        <f aca="false">CW106</f>
        <v>39995</v>
      </c>
      <c r="DK106" s="182" t="n">
        <f aca="false">AJ106</f>
        <v>0.216</v>
      </c>
      <c r="DL106" s="182" t="n">
        <f aca="false">AK106</f>
        <v>0.27</v>
      </c>
      <c r="DM106" s="182" t="n">
        <f aca="false">AL106</f>
        <v>0.324</v>
      </c>
      <c r="DO106" s="182" t="n">
        <f aca="false">AB106</f>
        <v>0.08</v>
      </c>
      <c r="DP106" s="182" t="n">
        <f aca="false">AC106</f>
        <v>0.1</v>
      </c>
      <c r="DQ106" s="182" t="n">
        <f aca="false">AD106</f>
        <v>0.12</v>
      </c>
    </row>
    <row r="107" customFormat="false" ht="12.75" hidden="false" customHeight="false" outlineLevel="0" collapsed="false">
      <c r="A107" s="133"/>
      <c r="B107" s="174" t="n">
        <v>39142</v>
      </c>
      <c r="C107" s="175" t="n">
        <v>32.8876800537109</v>
      </c>
      <c r="D107" s="175" t="n">
        <v>33.6376800537109</v>
      </c>
      <c r="E107" s="175" t="n">
        <v>34.3876800537109</v>
      </c>
      <c r="F107" s="159"/>
      <c r="G107" s="175" t="n">
        <v>22.5</v>
      </c>
      <c r="H107" s="175" t="n">
        <v>22.5</v>
      </c>
      <c r="I107" s="175" t="n">
        <v>22.5</v>
      </c>
      <c r="J107" s="140"/>
      <c r="K107" s="141" t="n">
        <v>40026</v>
      </c>
      <c r="L107" s="176" t="n">
        <v>33.2900047302246</v>
      </c>
      <c r="M107" s="176" t="n">
        <v>33.2900047302246</v>
      </c>
      <c r="N107" s="176" t="n">
        <v>33.2900047302246</v>
      </c>
      <c r="O107" s="139"/>
      <c r="P107" s="176" t="n">
        <v>25.7900009155273</v>
      </c>
      <c r="Q107" s="176" t="n">
        <v>25.7900009155273</v>
      </c>
      <c r="R107" s="176" t="n">
        <v>25.7900009155273</v>
      </c>
      <c r="S107" s="139"/>
      <c r="T107" s="176" t="n">
        <v>0</v>
      </c>
      <c r="U107" s="176" t="n">
        <v>0</v>
      </c>
      <c r="V107" s="176" t="n">
        <v>0</v>
      </c>
      <c r="W107" s="139"/>
      <c r="X107" s="176" t="n">
        <v>0.24</v>
      </c>
      <c r="Y107" s="176" t="n">
        <v>0.3</v>
      </c>
      <c r="Z107" s="176" t="n">
        <v>0.36</v>
      </c>
      <c r="AA107" s="139"/>
      <c r="AB107" s="176" t="n">
        <v>0.12</v>
      </c>
      <c r="AC107" s="176" t="n">
        <v>0.15</v>
      </c>
      <c r="AD107" s="176" t="n">
        <v>0.18</v>
      </c>
      <c r="AE107" s="139"/>
      <c r="AF107" s="176" t="n">
        <v>0.48</v>
      </c>
      <c r="AG107" s="176" t="n">
        <v>0.6</v>
      </c>
      <c r="AH107" s="176" t="n">
        <v>0.72</v>
      </c>
      <c r="AI107" s="139"/>
      <c r="AJ107" s="176" t="n">
        <v>0.288</v>
      </c>
      <c r="AK107" s="176" t="n">
        <v>0.36</v>
      </c>
      <c r="AL107" s="176" t="n">
        <v>0.432</v>
      </c>
      <c r="AM107" s="139"/>
      <c r="AN107" s="140" t="n">
        <v>33</v>
      </c>
      <c r="AO107" s="177" t="n">
        <v>0.4</v>
      </c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41" t="n">
        <v>40026</v>
      </c>
      <c r="BG107" s="179" t="n">
        <v>0.75</v>
      </c>
      <c r="BH107" s="139"/>
      <c r="BI107" s="139"/>
      <c r="BJ107" s="139"/>
      <c r="BK107" s="139"/>
      <c r="BL107" s="139"/>
      <c r="BM107" s="139"/>
      <c r="BN107" s="139"/>
      <c r="BO107" s="139"/>
      <c r="BP107" s="139"/>
      <c r="BQ107" s="139"/>
      <c r="BR107" s="139"/>
      <c r="BS107" s="139"/>
      <c r="BT107" s="139"/>
      <c r="BU107" s="139"/>
      <c r="BV107" s="139"/>
      <c r="BW107" s="139"/>
      <c r="BX107" s="139"/>
      <c r="BY107" s="139"/>
      <c r="BZ107" s="139"/>
      <c r="CA107" s="139"/>
      <c r="CB107" s="139"/>
      <c r="CC107" s="139"/>
      <c r="CD107" s="139"/>
      <c r="CE107" s="139"/>
      <c r="CF107" s="0"/>
      <c r="CK107" s="206"/>
      <c r="CL107" s="206"/>
      <c r="CM107" s="180"/>
      <c r="CN107" s="0"/>
      <c r="CO107" s="0"/>
      <c r="CP107" s="0"/>
      <c r="CQ107" s="0"/>
      <c r="CR107" s="0"/>
      <c r="CW107" s="181" t="n">
        <f aca="false">K107</f>
        <v>40026</v>
      </c>
      <c r="CX107" s="182" t="n">
        <f aca="false">AF107</f>
        <v>0.48</v>
      </c>
      <c r="CY107" s="182" t="n">
        <f aca="false">AG107</f>
        <v>0.6</v>
      </c>
      <c r="CZ107" s="182" t="n">
        <f aca="false">AH107</f>
        <v>0.72</v>
      </c>
      <c r="DB107" s="182" t="n">
        <f aca="false">X107</f>
        <v>0.24</v>
      </c>
      <c r="DC107" s="182" t="n">
        <f aca="false">Y107</f>
        <v>0.3</v>
      </c>
      <c r="DD107" s="182" t="n">
        <f aca="false">Z107</f>
        <v>0.36</v>
      </c>
      <c r="DF107" s="181" t="n">
        <f aca="false">BF107</f>
        <v>40026</v>
      </c>
      <c r="DG107" s="133" t="n">
        <f aca="false">BG107</f>
        <v>0.75</v>
      </c>
      <c r="DJ107" s="181" t="n">
        <f aca="false">CW107</f>
        <v>40026</v>
      </c>
      <c r="DK107" s="182" t="n">
        <f aca="false">AJ107</f>
        <v>0.288</v>
      </c>
      <c r="DL107" s="182" t="n">
        <f aca="false">AK107</f>
        <v>0.36</v>
      </c>
      <c r="DM107" s="182" t="n">
        <f aca="false">AL107</f>
        <v>0.432</v>
      </c>
      <c r="DO107" s="182" t="n">
        <f aca="false">AB107</f>
        <v>0.12</v>
      </c>
      <c r="DP107" s="182" t="n">
        <f aca="false">AC107</f>
        <v>0.15</v>
      </c>
      <c r="DQ107" s="182" t="n">
        <f aca="false">AD107</f>
        <v>0.18</v>
      </c>
    </row>
    <row r="108" customFormat="false" ht="12.75" hidden="false" customHeight="false" outlineLevel="0" collapsed="false">
      <c r="A108" s="133"/>
      <c r="B108" s="174" t="n">
        <v>39173</v>
      </c>
      <c r="C108" s="175" t="n">
        <v>32.5876808166504</v>
      </c>
      <c r="D108" s="175" t="n">
        <v>33.8376808166504</v>
      </c>
      <c r="E108" s="175" t="n">
        <v>35.0876808166504</v>
      </c>
      <c r="F108" s="159"/>
      <c r="G108" s="175" t="n">
        <v>19.5</v>
      </c>
      <c r="H108" s="175" t="n">
        <v>19.5</v>
      </c>
      <c r="I108" s="175" t="n">
        <v>19.5</v>
      </c>
      <c r="J108" s="140"/>
      <c r="K108" s="141" t="n">
        <v>40057</v>
      </c>
      <c r="L108" s="176" t="n">
        <v>25.2900009155273</v>
      </c>
      <c r="M108" s="176" t="n">
        <v>25.2900009155273</v>
      </c>
      <c r="N108" s="176" t="n">
        <v>25.2900009155273</v>
      </c>
      <c r="O108" s="139"/>
      <c r="P108" s="176" t="n">
        <v>19.7900009155273</v>
      </c>
      <c r="Q108" s="176" t="n">
        <v>19.7900009155273</v>
      </c>
      <c r="R108" s="176" t="n">
        <v>19.7900009155273</v>
      </c>
      <c r="S108" s="139"/>
      <c r="T108" s="176" t="n">
        <v>0</v>
      </c>
      <c r="U108" s="176" t="n">
        <v>0</v>
      </c>
      <c r="V108" s="176" t="n">
        <v>0</v>
      </c>
      <c r="W108" s="139"/>
      <c r="X108" s="176" t="n">
        <v>0.24</v>
      </c>
      <c r="Y108" s="176" t="n">
        <v>0.3</v>
      </c>
      <c r="Z108" s="176" t="n">
        <v>0.36</v>
      </c>
      <c r="AA108" s="139"/>
      <c r="AB108" s="176" t="n">
        <v>0.12</v>
      </c>
      <c r="AC108" s="176" t="n">
        <v>0.15</v>
      </c>
      <c r="AD108" s="176" t="n">
        <v>0.18</v>
      </c>
      <c r="AE108" s="139"/>
      <c r="AF108" s="176" t="n">
        <v>0.48</v>
      </c>
      <c r="AG108" s="176" t="n">
        <v>0.6</v>
      </c>
      <c r="AH108" s="176" t="n">
        <v>0.72</v>
      </c>
      <c r="AI108" s="139"/>
      <c r="AJ108" s="176" t="n">
        <v>0.288</v>
      </c>
      <c r="AK108" s="176" t="n">
        <v>0.36</v>
      </c>
      <c r="AL108" s="176" t="n">
        <v>0.432</v>
      </c>
      <c r="AM108" s="139"/>
      <c r="AN108" s="140" t="n">
        <v>33</v>
      </c>
      <c r="AO108" s="177" t="n">
        <v>0.4</v>
      </c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41" t="n">
        <v>40057</v>
      </c>
      <c r="BG108" s="179" t="n">
        <v>0.75</v>
      </c>
      <c r="BH108" s="139"/>
      <c r="BI108" s="139"/>
      <c r="BJ108" s="139"/>
      <c r="BK108" s="139"/>
      <c r="BL108" s="139"/>
      <c r="BM108" s="139"/>
      <c r="BN108" s="139"/>
      <c r="BO108" s="139"/>
      <c r="BP108" s="139"/>
      <c r="BQ108" s="139"/>
      <c r="BR108" s="139"/>
      <c r="BS108" s="139"/>
      <c r="BT108" s="139"/>
      <c r="BU108" s="139"/>
      <c r="BV108" s="139"/>
      <c r="BW108" s="139"/>
      <c r="BX108" s="139"/>
      <c r="BY108" s="139"/>
      <c r="BZ108" s="139"/>
      <c r="CA108" s="139"/>
      <c r="CB108" s="139"/>
      <c r="CC108" s="139"/>
      <c r="CD108" s="139"/>
      <c r="CE108" s="139"/>
      <c r="CF108" s="0"/>
      <c r="CK108" s="206"/>
      <c r="CL108" s="206"/>
      <c r="CM108" s="180"/>
      <c r="CN108" s="0"/>
      <c r="CO108" s="0"/>
      <c r="CP108" s="0"/>
      <c r="CQ108" s="0"/>
      <c r="CR108" s="0"/>
      <c r="CW108" s="181" t="n">
        <f aca="false">K108</f>
        <v>40057</v>
      </c>
      <c r="CX108" s="182" t="n">
        <f aca="false">AF108</f>
        <v>0.48</v>
      </c>
      <c r="CY108" s="182" t="n">
        <f aca="false">AG108</f>
        <v>0.6</v>
      </c>
      <c r="CZ108" s="182" t="n">
        <f aca="false">AH108</f>
        <v>0.72</v>
      </c>
      <c r="DB108" s="182" t="n">
        <f aca="false">X108</f>
        <v>0.24</v>
      </c>
      <c r="DC108" s="182" t="n">
        <f aca="false">Y108</f>
        <v>0.3</v>
      </c>
      <c r="DD108" s="182" t="n">
        <f aca="false">Z108</f>
        <v>0.36</v>
      </c>
      <c r="DF108" s="181" t="n">
        <f aca="false">BF108</f>
        <v>40057</v>
      </c>
      <c r="DG108" s="133" t="n">
        <f aca="false">BG108</f>
        <v>0.75</v>
      </c>
      <c r="DJ108" s="181" t="n">
        <f aca="false">CW108</f>
        <v>40057</v>
      </c>
      <c r="DK108" s="182" t="n">
        <f aca="false">AJ108</f>
        <v>0.288</v>
      </c>
      <c r="DL108" s="182" t="n">
        <f aca="false">AK108</f>
        <v>0.36</v>
      </c>
      <c r="DM108" s="182" t="n">
        <f aca="false">AL108</f>
        <v>0.432</v>
      </c>
      <c r="DO108" s="182" t="n">
        <f aca="false">AB108</f>
        <v>0.12</v>
      </c>
      <c r="DP108" s="182" t="n">
        <f aca="false">AC108</f>
        <v>0.15</v>
      </c>
      <c r="DQ108" s="182" t="n">
        <f aca="false">AD108</f>
        <v>0.18</v>
      </c>
    </row>
    <row r="109" customFormat="false" ht="12.75" hidden="false" customHeight="false" outlineLevel="0" collapsed="false">
      <c r="A109" s="133"/>
      <c r="B109" s="174" t="n">
        <v>39203</v>
      </c>
      <c r="C109" s="175" t="n">
        <v>34.8650016784668</v>
      </c>
      <c r="D109" s="175" t="n">
        <v>36.8650016784668</v>
      </c>
      <c r="E109" s="175" t="n">
        <v>38.8650016784668</v>
      </c>
      <c r="F109" s="159"/>
      <c r="G109" s="175" t="n">
        <v>20.0400009155273</v>
      </c>
      <c r="H109" s="175" t="n">
        <v>20.0400009155273</v>
      </c>
      <c r="I109" s="175" t="n">
        <v>20.0400009155273</v>
      </c>
      <c r="J109" s="140"/>
      <c r="K109" s="141" t="n">
        <v>40087</v>
      </c>
      <c r="L109" s="176" t="n">
        <v>20.2860012054443</v>
      </c>
      <c r="M109" s="176" t="n">
        <v>20.2860012054443</v>
      </c>
      <c r="N109" s="176" t="n">
        <v>20.2860012054443</v>
      </c>
      <c r="O109" s="139"/>
      <c r="P109" s="176" t="n">
        <v>14.7865009307861</v>
      </c>
      <c r="Q109" s="176" t="n">
        <v>14.7865009307861</v>
      </c>
      <c r="R109" s="176" t="n">
        <v>14.7865009307861</v>
      </c>
      <c r="S109" s="139"/>
      <c r="T109" s="176" t="n">
        <v>0</v>
      </c>
      <c r="U109" s="176" t="n">
        <v>0</v>
      </c>
      <c r="V109" s="176" t="n">
        <v>0</v>
      </c>
      <c r="W109" s="139"/>
      <c r="X109" s="176" t="n">
        <v>0.16</v>
      </c>
      <c r="Y109" s="176" t="n">
        <v>0.2</v>
      </c>
      <c r="Z109" s="176" t="n">
        <v>0.24</v>
      </c>
      <c r="AA109" s="139"/>
      <c r="AB109" s="176" t="n">
        <v>0.08</v>
      </c>
      <c r="AC109" s="176" t="n">
        <v>0.1</v>
      </c>
      <c r="AD109" s="176" t="n">
        <v>0.12</v>
      </c>
      <c r="AE109" s="139"/>
      <c r="AF109" s="176" t="n">
        <v>0.36</v>
      </c>
      <c r="AG109" s="176" t="n">
        <v>0.45</v>
      </c>
      <c r="AH109" s="176" t="n">
        <v>0.54</v>
      </c>
      <c r="AI109" s="139"/>
      <c r="AJ109" s="176" t="n">
        <v>0.216</v>
      </c>
      <c r="AK109" s="176" t="n">
        <v>0.27</v>
      </c>
      <c r="AL109" s="176" t="n">
        <v>0.324</v>
      </c>
      <c r="AM109" s="139"/>
      <c r="AN109" s="140" t="n">
        <v>34</v>
      </c>
      <c r="AO109" s="177" t="n">
        <v>0.4</v>
      </c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41" t="n">
        <v>40087</v>
      </c>
      <c r="BG109" s="179" t="n">
        <v>0.75</v>
      </c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39"/>
      <c r="BR109" s="139"/>
      <c r="BS109" s="139"/>
      <c r="BT109" s="139"/>
      <c r="BU109" s="139"/>
      <c r="BV109" s="139"/>
      <c r="BW109" s="139"/>
      <c r="BX109" s="139"/>
      <c r="BY109" s="139"/>
      <c r="BZ109" s="139"/>
      <c r="CA109" s="139"/>
      <c r="CB109" s="139"/>
      <c r="CC109" s="139"/>
      <c r="CD109" s="139"/>
      <c r="CE109" s="139"/>
      <c r="CF109" s="0"/>
      <c r="CK109" s="206"/>
      <c r="CL109" s="206"/>
      <c r="CM109" s="180"/>
      <c r="CN109" s="0"/>
      <c r="CO109" s="0"/>
      <c r="CP109" s="0"/>
      <c r="CQ109" s="0"/>
      <c r="CR109" s="0"/>
      <c r="CW109" s="181" t="n">
        <f aca="false">K109</f>
        <v>40087</v>
      </c>
      <c r="CX109" s="182" t="n">
        <f aca="false">AF109</f>
        <v>0.36</v>
      </c>
      <c r="CY109" s="182" t="n">
        <f aca="false">AG109</f>
        <v>0.45</v>
      </c>
      <c r="CZ109" s="182" t="n">
        <f aca="false">AH109</f>
        <v>0.54</v>
      </c>
      <c r="DB109" s="182" t="n">
        <f aca="false">X109</f>
        <v>0.16</v>
      </c>
      <c r="DC109" s="182" t="n">
        <f aca="false">Y109</f>
        <v>0.2</v>
      </c>
      <c r="DD109" s="182" t="n">
        <f aca="false">Z109</f>
        <v>0.24</v>
      </c>
      <c r="DF109" s="181" t="n">
        <f aca="false">BF109</f>
        <v>40087</v>
      </c>
      <c r="DG109" s="133" t="n">
        <f aca="false">BG109</f>
        <v>0.75</v>
      </c>
      <c r="DJ109" s="181" t="n">
        <f aca="false">CW109</f>
        <v>40087</v>
      </c>
      <c r="DK109" s="182" t="n">
        <f aca="false">AJ109</f>
        <v>0.216</v>
      </c>
      <c r="DL109" s="182" t="n">
        <f aca="false">AK109</f>
        <v>0.27</v>
      </c>
      <c r="DM109" s="182" t="n">
        <f aca="false">AL109</f>
        <v>0.324</v>
      </c>
      <c r="DO109" s="182" t="n">
        <f aca="false">AB109</f>
        <v>0.08</v>
      </c>
      <c r="DP109" s="182" t="n">
        <f aca="false">AC109</f>
        <v>0.1</v>
      </c>
      <c r="DQ109" s="182" t="n">
        <f aca="false">AD109</f>
        <v>0.12</v>
      </c>
    </row>
    <row r="110" customFormat="false" ht="12.75" hidden="false" customHeight="false" outlineLevel="0" collapsed="false">
      <c r="A110" s="133"/>
      <c r="B110" s="174" t="n">
        <v>39234</v>
      </c>
      <c r="C110" s="175" t="n">
        <v>37.875</v>
      </c>
      <c r="D110" s="175" t="n">
        <v>42.875</v>
      </c>
      <c r="E110" s="175" t="n">
        <v>47.875</v>
      </c>
      <c r="F110" s="159"/>
      <c r="G110" s="175" t="n">
        <v>23.0400009155273</v>
      </c>
      <c r="H110" s="175" t="n">
        <v>23.0400009155273</v>
      </c>
      <c r="I110" s="175" t="n">
        <v>23.0400009155273</v>
      </c>
      <c r="J110" s="140"/>
      <c r="K110" s="141" t="n">
        <v>40118</v>
      </c>
      <c r="L110" s="176" t="n">
        <v>22.2900009155273</v>
      </c>
      <c r="M110" s="176" t="n">
        <v>22.2900009155273</v>
      </c>
      <c r="N110" s="176" t="n">
        <v>22.2900009155273</v>
      </c>
      <c r="O110" s="139"/>
      <c r="P110" s="176" t="n">
        <v>14.7900009155273</v>
      </c>
      <c r="Q110" s="176" t="n">
        <v>14.7900009155273</v>
      </c>
      <c r="R110" s="176" t="n">
        <v>14.7900009155273</v>
      </c>
      <c r="S110" s="139"/>
      <c r="T110" s="176" t="n">
        <v>0</v>
      </c>
      <c r="U110" s="176" t="n">
        <v>0</v>
      </c>
      <c r="V110" s="176" t="n">
        <v>0</v>
      </c>
      <c r="W110" s="139"/>
      <c r="X110" s="176" t="n">
        <v>0.16</v>
      </c>
      <c r="Y110" s="176" t="n">
        <v>0.2</v>
      </c>
      <c r="Z110" s="176" t="n">
        <v>0.24</v>
      </c>
      <c r="AA110" s="139"/>
      <c r="AB110" s="176" t="n">
        <v>0.08</v>
      </c>
      <c r="AC110" s="176" t="n">
        <v>0.1</v>
      </c>
      <c r="AD110" s="176" t="n">
        <v>0.12</v>
      </c>
      <c r="AE110" s="139"/>
      <c r="AF110" s="176" t="n">
        <v>0.36</v>
      </c>
      <c r="AG110" s="176" t="n">
        <v>0.45</v>
      </c>
      <c r="AH110" s="176" t="n">
        <v>0.54</v>
      </c>
      <c r="AI110" s="139"/>
      <c r="AJ110" s="176" t="n">
        <v>0.216</v>
      </c>
      <c r="AK110" s="176" t="n">
        <v>0.27</v>
      </c>
      <c r="AL110" s="176" t="n">
        <v>0.324</v>
      </c>
      <c r="AM110" s="139"/>
      <c r="AN110" s="140" t="n">
        <v>34</v>
      </c>
      <c r="AO110" s="177" t="n">
        <v>0.4</v>
      </c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41" t="n">
        <v>40118</v>
      </c>
      <c r="BG110" s="179" t="n">
        <v>0.75</v>
      </c>
      <c r="BH110" s="139"/>
      <c r="BI110" s="139"/>
      <c r="BJ110" s="139"/>
      <c r="BK110" s="139"/>
      <c r="BL110" s="139"/>
      <c r="BM110" s="139"/>
      <c r="BN110" s="139"/>
      <c r="BO110" s="139"/>
      <c r="BP110" s="139"/>
      <c r="BQ110" s="139"/>
      <c r="BR110" s="139"/>
      <c r="BS110" s="139"/>
      <c r="BT110" s="139"/>
      <c r="BU110" s="139"/>
      <c r="BV110" s="139"/>
      <c r="BW110" s="139"/>
      <c r="BX110" s="139"/>
      <c r="BY110" s="139"/>
      <c r="BZ110" s="139"/>
      <c r="CA110" s="139"/>
      <c r="CB110" s="139"/>
      <c r="CC110" s="139"/>
      <c r="CD110" s="139"/>
      <c r="CE110" s="139"/>
      <c r="CF110" s="0"/>
      <c r="CK110" s="206"/>
      <c r="CL110" s="206"/>
      <c r="CM110" s="180"/>
      <c r="CN110" s="0"/>
      <c r="CO110" s="0"/>
      <c r="CP110" s="0"/>
      <c r="CQ110" s="0"/>
      <c r="CR110" s="0"/>
      <c r="CW110" s="181" t="n">
        <f aca="false">K110</f>
        <v>40118</v>
      </c>
      <c r="CX110" s="182" t="n">
        <f aca="false">AF110</f>
        <v>0.36</v>
      </c>
      <c r="CY110" s="182" t="n">
        <f aca="false">AG110</f>
        <v>0.45</v>
      </c>
      <c r="CZ110" s="182" t="n">
        <f aca="false">AH110</f>
        <v>0.54</v>
      </c>
      <c r="DB110" s="182" t="n">
        <f aca="false">X110</f>
        <v>0.16</v>
      </c>
      <c r="DC110" s="182" t="n">
        <f aca="false">Y110</f>
        <v>0.2</v>
      </c>
      <c r="DD110" s="182" t="n">
        <f aca="false">Z110</f>
        <v>0.24</v>
      </c>
      <c r="DF110" s="181" t="n">
        <f aca="false">BF110</f>
        <v>40118</v>
      </c>
      <c r="DG110" s="133" t="n">
        <f aca="false">BG110</f>
        <v>0.75</v>
      </c>
      <c r="DJ110" s="181" t="n">
        <f aca="false">CW110</f>
        <v>40118</v>
      </c>
      <c r="DK110" s="182" t="n">
        <f aca="false">AJ110</f>
        <v>0.216</v>
      </c>
      <c r="DL110" s="182" t="n">
        <f aca="false">AK110</f>
        <v>0.27</v>
      </c>
      <c r="DM110" s="182" t="n">
        <f aca="false">AL110</f>
        <v>0.324</v>
      </c>
      <c r="DO110" s="182" t="n">
        <f aca="false">AB110</f>
        <v>0.08</v>
      </c>
      <c r="DP110" s="182" t="n">
        <f aca="false">AC110</f>
        <v>0.1</v>
      </c>
      <c r="DQ110" s="182" t="n">
        <f aca="false">AD110</f>
        <v>0.12</v>
      </c>
    </row>
    <row r="111" customFormat="false" ht="12.75" hidden="false" customHeight="false" outlineLevel="0" collapsed="false">
      <c r="A111" s="133"/>
      <c r="B111" s="174" t="n">
        <v>39264</v>
      </c>
      <c r="C111" s="175" t="n">
        <v>41</v>
      </c>
      <c r="D111" s="175" t="n">
        <v>51</v>
      </c>
      <c r="E111" s="175" t="n">
        <v>61</v>
      </c>
      <c r="F111" s="159"/>
      <c r="G111" s="175" t="n">
        <v>23.5400009155273</v>
      </c>
      <c r="H111" s="175" t="n">
        <v>23.5400009155273</v>
      </c>
      <c r="I111" s="175" t="n">
        <v>23.5400009155273</v>
      </c>
      <c r="J111" s="140"/>
      <c r="K111" s="141" t="n">
        <v>40148</v>
      </c>
      <c r="L111" s="176" t="n">
        <v>27.2900009155273</v>
      </c>
      <c r="M111" s="176" t="n">
        <v>27.2900009155273</v>
      </c>
      <c r="N111" s="176" t="n">
        <v>27.2900009155273</v>
      </c>
      <c r="O111" s="139"/>
      <c r="P111" s="176" t="n">
        <v>21.7900009155273</v>
      </c>
      <c r="Q111" s="176" t="n">
        <v>21.7900009155273</v>
      </c>
      <c r="R111" s="176" t="n">
        <v>21.7900009155273</v>
      </c>
      <c r="S111" s="139"/>
      <c r="T111" s="176" t="n">
        <v>0</v>
      </c>
      <c r="U111" s="176" t="n">
        <v>0</v>
      </c>
      <c r="V111" s="176" t="n">
        <v>0</v>
      </c>
      <c r="W111" s="139"/>
      <c r="X111" s="176" t="n">
        <v>0.16</v>
      </c>
      <c r="Y111" s="176" t="n">
        <v>0.2</v>
      </c>
      <c r="Z111" s="176" t="n">
        <v>0.24</v>
      </c>
      <c r="AA111" s="139"/>
      <c r="AB111" s="176" t="n">
        <v>0.08</v>
      </c>
      <c r="AC111" s="176" t="n">
        <v>0.1</v>
      </c>
      <c r="AD111" s="176" t="n">
        <v>0.12</v>
      </c>
      <c r="AE111" s="139"/>
      <c r="AF111" s="176" t="n">
        <v>0.28</v>
      </c>
      <c r="AG111" s="176" t="n">
        <v>0.35</v>
      </c>
      <c r="AH111" s="176" t="n">
        <v>0.42</v>
      </c>
      <c r="AI111" s="139"/>
      <c r="AJ111" s="176" t="n">
        <v>0.168</v>
      </c>
      <c r="AK111" s="176" t="n">
        <v>0.21</v>
      </c>
      <c r="AL111" s="176" t="n">
        <v>0.252</v>
      </c>
      <c r="AM111" s="139"/>
      <c r="AN111" s="140" t="n">
        <v>34</v>
      </c>
      <c r="AO111" s="177" t="n">
        <v>0.4</v>
      </c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41" t="n">
        <v>40148</v>
      </c>
      <c r="BG111" s="179" t="n">
        <v>0.75</v>
      </c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0"/>
      <c r="CK111" s="206"/>
      <c r="CL111" s="206"/>
      <c r="CM111" s="180"/>
      <c r="CN111" s="0"/>
      <c r="CO111" s="0"/>
      <c r="CP111" s="0"/>
      <c r="CQ111" s="0"/>
      <c r="CR111" s="0"/>
      <c r="CW111" s="181" t="n">
        <f aca="false">K111</f>
        <v>40148</v>
      </c>
      <c r="CX111" s="182" t="n">
        <f aca="false">AF111</f>
        <v>0.28</v>
      </c>
      <c r="CY111" s="182" t="n">
        <f aca="false">AG111</f>
        <v>0.35</v>
      </c>
      <c r="CZ111" s="182" t="n">
        <f aca="false">AH111</f>
        <v>0.42</v>
      </c>
      <c r="DB111" s="182" t="n">
        <f aca="false">X111</f>
        <v>0.16</v>
      </c>
      <c r="DC111" s="182" t="n">
        <f aca="false">Y111</f>
        <v>0.2</v>
      </c>
      <c r="DD111" s="182" t="n">
        <f aca="false">Z111</f>
        <v>0.24</v>
      </c>
      <c r="DF111" s="181" t="n">
        <f aca="false">BF111</f>
        <v>40148</v>
      </c>
      <c r="DG111" s="133" t="n">
        <f aca="false">BG111</f>
        <v>0.75</v>
      </c>
      <c r="DJ111" s="181" t="n">
        <f aca="false">CW111</f>
        <v>40148</v>
      </c>
      <c r="DK111" s="182" t="n">
        <f aca="false">AJ111</f>
        <v>0.168</v>
      </c>
      <c r="DL111" s="182" t="n">
        <f aca="false">AK111</f>
        <v>0.21</v>
      </c>
      <c r="DM111" s="182" t="n">
        <f aca="false">AL111</f>
        <v>0.252</v>
      </c>
      <c r="DO111" s="182" t="n">
        <f aca="false">AB111</f>
        <v>0.08</v>
      </c>
      <c r="DP111" s="182" t="n">
        <f aca="false">AC111</f>
        <v>0.1</v>
      </c>
      <c r="DQ111" s="182" t="n">
        <f aca="false">AD111</f>
        <v>0.12</v>
      </c>
    </row>
    <row r="112" customFormat="false" ht="12.75" hidden="false" customHeight="false" outlineLevel="0" collapsed="false">
      <c r="A112" s="133"/>
      <c r="B112" s="174" t="n">
        <v>39295</v>
      </c>
      <c r="C112" s="175" t="n">
        <v>41</v>
      </c>
      <c r="D112" s="175" t="n">
        <v>51</v>
      </c>
      <c r="E112" s="175" t="n">
        <v>61</v>
      </c>
      <c r="F112" s="159"/>
      <c r="G112" s="175" t="n">
        <v>24.5400009155273</v>
      </c>
      <c r="H112" s="175" t="n">
        <v>24.5400009155273</v>
      </c>
      <c r="I112" s="175" t="n">
        <v>24.5400009155273</v>
      </c>
      <c r="J112" s="140"/>
      <c r="K112" s="141" t="n">
        <v>40179</v>
      </c>
      <c r="L112" s="176" t="n">
        <v>35.75</v>
      </c>
      <c r="M112" s="176" t="n">
        <v>35.75</v>
      </c>
      <c r="N112" s="176" t="n">
        <v>35.75</v>
      </c>
      <c r="O112" s="139"/>
      <c r="P112" s="176" t="n">
        <v>25.25</v>
      </c>
      <c r="Q112" s="176" t="n">
        <v>25.25</v>
      </c>
      <c r="R112" s="176" t="n">
        <v>25.25</v>
      </c>
      <c r="S112" s="139"/>
      <c r="T112" s="176" t="n">
        <v>0</v>
      </c>
      <c r="U112" s="176" t="n">
        <v>0</v>
      </c>
      <c r="V112" s="176" t="n">
        <v>0</v>
      </c>
      <c r="W112" s="139"/>
      <c r="X112" s="176" t="n">
        <v>0.16</v>
      </c>
      <c r="Y112" s="176" t="n">
        <v>0.2</v>
      </c>
      <c r="Z112" s="176" t="n">
        <v>0.24</v>
      </c>
      <c r="AA112" s="139"/>
      <c r="AB112" s="176" t="n">
        <v>0.08</v>
      </c>
      <c r="AC112" s="176" t="n">
        <v>0.1</v>
      </c>
      <c r="AD112" s="176" t="n">
        <v>0.12</v>
      </c>
      <c r="AE112" s="139"/>
      <c r="AF112" s="176" t="n">
        <v>0.28</v>
      </c>
      <c r="AG112" s="176" t="n">
        <v>0.35</v>
      </c>
      <c r="AH112" s="176" t="n">
        <v>0.42</v>
      </c>
      <c r="AI112" s="139"/>
      <c r="AJ112" s="176" t="n">
        <v>0.168</v>
      </c>
      <c r="AK112" s="176" t="n">
        <v>0.21</v>
      </c>
      <c r="AL112" s="176" t="n">
        <v>0.252</v>
      </c>
      <c r="AM112" s="139"/>
      <c r="AN112" s="140" t="n">
        <v>35</v>
      </c>
      <c r="AO112" s="177" t="n">
        <v>0.4</v>
      </c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41" t="n">
        <v>40179</v>
      </c>
      <c r="BG112" s="179" t="n">
        <v>0.75</v>
      </c>
      <c r="BH112" s="139"/>
      <c r="BI112" s="139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  <c r="BU112" s="139"/>
      <c r="BV112" s="139"/>
      <c r="BW112" s="139"/>
      <c r="BX112" s="139"/>
      <c r="BY112" s="139"/>
      <c r="BZ112" s="139"/>
      <c r="CA112" s="139"/>
      <c r="CB112" s="139"/>
      <c r="CC112" s="139"/>
      <c r="CD112" s="139"/>
      <c r="CE112" s="139"/>
      <c r="CF112" s="0"/>
      <c r="CK112" s="206"/>
      <c r="CL112" s="206"/>
      <c r="CM112" s="180"/>
      <c r="CN112" s="0"/>
      <c r="CO112" s="0"/>
      <c r="CP112" s="0"/>
      <c r="CQ112" s="0"/>
      <c r="CR112" s="0"/>
      <c r="CW112" s="181" t="n">
        <f aca="false">K112</f>
        <v>40179</v>
      </c>
      <c r="CX112" s="182" t="n">
        <f aca="false">AF112</f>
        <v>0.28</v>
      </c>
      <c r="CY112" s="182" t="n">
        <f aca="false">AG112</f>
        <v>0.35</v>
      </c>
      <c r="CZ112" s="182" t="n">
        <f aca="false">AH112</f>
        <v>0.42</v>
      </c>
      <c r="DB112" s="182" t="n">
        <f aca="false">X112</f>
        <v>0.16</v>
      </c>
      <c r="DC112" s="182" t="n">
        <f aca="false">Y112</f>
        <v>0.2</v>
      </c>
      <c r="DD112" s="182" t="n">
        <f aca="false">Z112</f>
        <v>0.24</v>
      </c>
      <c r="DF112" s="181" t="n">
        <f aca="false">BF112</f>
        <v>40179</v>
      </c>
      <c r="DG112" s="133" t="n">
        <f aca="false">BG112</f>
        <v>0.75</v>
      </c>
      <c r="DJ112" s="181" t="n">
        <f aca="false">CW112</f>
        <v>40179</v>
      </c>
      <c r="DK112" s="182" t="n">
        <f aca="false">AJ112</f>
        <v>0.168</v>
      </c>
      <c r="DL112" s="182" t="n">
        <f aca="false">AK112</f>
        <v>0.21</v>
      </c>
      <c r="DM112" s="182" t="n">
        <f aca="false">AL112</f>
        <v>0.252</v>
      </c>
      <c r="DO112" s="182" t="n">
        <f aca="false">AB112</f>
        <v>0.08</v>
      </c>
      <c r="DP112" s="182" t="n">
        <f aca="false">AC112</f>
        <v>0.1</v>
      </c>
      <c r="DQ112" s="182" t="n">
        <f aca="false">AD112</f>
        <v>0.12</v>
      </c>
    </row>
    <row r="113" customFormat="false" ht="12.75" hidden="false" customHeight="false" outlineLevel="0" collapsed="false">
      <c r="A113" s="133"/>
      <c r="B113" s="174" t="n">
        <v>39326</v>
      </c>
      <c r="C113" s="175" t="n">
        <v>27.6899978637695</v>
      </c>
      <c r="D113" s="175" t="n">
        <v>30.4899978637695</v>
      </c>
      <c r="E113" s="175" t="n">
        <v>33.2899978637695</v>
      </c>
      <c r="F113" s="159"/>
      <c r="G113" s="175" t="n">
        <v>18.5400009155273</v>
      </c>
      <c r="H113" s="175" t="n">
        <v>18.5400009155273</v>
      </c>
      <c r="I113" s="175" t="n">
        <v>18.5400009155273</v>
      </c>
      <c r="J113" s="140"/>
      <c r="K113" s="141" t="n">
        <v>40210</v>
      </c>
      <c r="L113" s="176" t="n">
        <v>31.2460021972656</v>
      </c>
      <c r="M113" s="176" t="n">
        <v>31.2460021972656</v>
      </c>
      <c r="N113" s="176" t="n">
        <v>31.2460021972656</v>
      </c>
      <c r="O113" s="139"/>
      <c r="P113" s="176" t="n">
        <v>22.7465019226074</v>
      </c>
      <c r="Q113" s="176" t="n">
        <v>22.7465019226074</v>
      </c>
      <c r="R113" s="176" t="n">
        <v>22.7465019226074</v>
      </c>
      <c r="S113" s="139"/>
      <c r="T113" s="176" t="n">
        <v>0</v>
      </c>
      <c r="U113" s="176" t="n">
        <v>0</v>
      </c>
      <c r="V113" s="176" t="n">
        <v>0</v>
      </c>
      <c r="W113" s="139"/>
      <c r="X113" s="176" t="n">
        <v>0.16</v>
      </c>
      <c r="Y113" s="176" t="n">
        <v>0.2</v>
      </c>
      <c r="Z113" s="176" t="n">
        <v>0.24</v>
      </c>
      <c r="AA113" s="139"/>
      <c r="AB113" s="176" t="n">
        <v>0.08</v>
      </c>
      <c r="AC113" s="176" t="n">
        <v>0.1</v>
      </c>
      <c r="AD113" s="176" t="n">
        <v>0.12</v>
      </c>
      <c r="AE113" s="139"/>
      <c r="AF113" s="176" t="n">
        <v>0.2</v>
      </c>
      <c r="AG113" s="176" t="n">
        <v>0.25</v>
      </c>
      <c r="AH113" s="176" t="n">
        <v>0.3</v>
      </c>
      <c r="AI113" s="139"/>
      <c r="AJ113" s="176" t="n">
        <v>0.12</v>
      </c>
      <c r="AK113" s="176" t="n">
        <v>0.15</v>
      </c>
      <c r="AL113" s="176" t="n">
        <v>0.18</v>
      </c>
      <c r="AM113" s="139"/>
      <c r="AN113" s="140" t="n">
        <v>35</v>
      </c>
      <c r="AO113" s="177" t="n">
        <v>0.4</v>
      </c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41" t="n">
        <v>40210</v>
      </c>
      <c r="BG113" s="179" t="n">
        <v>0.75</v>
      </c>
      <c r="BH113" s="139"/>
      <c r="BI113" s="139"/>
      <c r="BJ113" s="139"/>
      <c r="BK113" s="139"/>
      <c r="BL113" s="139"/>
      <c r="BM113" s="139"/>
      <c r="BN113" s="139"/>
      <c r="BO113" s="139"/>
      <c r="BP113" s="139"/>
      <c r="BQ113" s="139"/>
      <c r="BR113" s="139"/>
      <c r="BS113" s="139"/>
      <c r="BT113" s="139"/>
      <c r="BU113" s="139"/>
      <c r="BV113" s="139"/>
      <c r="BW113" s="139"/>
      <c r="BX113" s="139"/>
      <c r="BY113" s="139"/>
      <c r="BZ113" s="139"/>
      <c r="CA113" s="139"/>
      <c r="CB113" s="139"/>
      <c r="CC113" s="139"/>
      <c r="CD113" s="139"/>
      <c r="CE113" s="139"/>
      <c r="CF113" s="0"/>
      <c r="CK113" s="206"/>
      <c r="CL113" s="206"/>
      <c r="CM113" s="180"/>
      <c r="CN113" s="0"/>
      <c r="CO113" s="0"/>
      <c r="CP113" s="0"/>
      <c r="CQ113" s="0"/>
      <c r="CR113" s="0"/>
      <c r="CW113" s="181" t="n">
        <f aca="false">K113</f>
        <v>40210</v>
      </c>
      <c r="CX113" s="182" t="n">
        <f aca="false">AF113</f>
        <v>0.2</v>
      </c>
      <c r="CY113" s="182" t="n">
        <f aca="false">AG113</f>
        <v>0.25</v>
      </c>
      <c r="CZ113" s="182" t="n">
        <f aca="false">AH113</f>
        <v>0.3</v>
      </c>
      <c r="DB113" s="182" t="n">
        <f aca="false">X113</f>
        <v>0.16</v>
      </c>
      <c r="DC113" s="182" t="n">
        <f aca="false">Y113</f>
        <v>0.2</v>
      </c>
      <c r="DD113" s="182" t="n">
        <f aca="false">Z113</f>
        <v>0.24</v>
      </c>
      <c r="DF113" s="181" t="n">
        <f aca="false">BF113</f>
        <v>40210</v>
      </c>
      <c r="DG113" s="133" t="n">
        <f aca="false">BG113</f>
        <v>0.75</v>
      </c>
      <c r="DJ113" s="181" t="n">
        <f aca="false">CW113</f>
        <v>40210</v>
      </c>
      <c r="DK113" s="182" t="n">
        <f aca="false">AJ113</f>
        <v>0.12</v>
      </c>
      <c r="DL113" s="182" t="n">
        <f aca="false">AK113</f>
        <v>0.15</v>
      </c>
      <c r="DM113" s="182" t="n">
        <f aca="false">AL113</f>
        <v>0.18</v>
      </c>
      <c r="DO113" s="182" t="n">
        <f aca="false">AB113</f>
        <v>0.08</v>
      </c>
      <c r="DP113" s="182" t="n">
        <f aca="false">AC113</f>
        <v>0.1</v>
      </c>
      <c r="DQ113" s="182" t="n">
        <f aca="false">AD113</f>
        <v>0.12</v>
      </c>
    </row>
    <row r="114" customFormat="false" ht="12.75" hidden="false" customHeight="false" outlineLevel="0" collapsed="false">
      <c r="A114" s="133"/>
      <c r="B114" s="174" t="n">
        <v>39356</v>
      </c>
      <c r="C114" s="175" t="n">
        <v>31.0915672302246</v>
      </c>
      <c r="D114" s="175" t="n">
        <v>32.1415672302246</v>
      </c>
      <c r="E114" s="175" t="n">
        <v>33.1915672302246</v>
      </c>
      <c r="F114" s="159"/>
      <c r="G114" s="175" t="n">
        <v>18.040002822876</v>
      </c>
      <c r="H114" s="175" t="n">
        <v>18.040002822876</v>
      </c>
      <c r="I114" s="175" t="n">
        <v>18.040002822876</v>
      </c>
      <c r="J114" s="140"/>
      <c r="K114" s="141" t="n">
        <v>40238</v>
      </c>
      <c r="L114" s="176" t="n">
        <v>25.5</v>
      </c>
      <c r="M114" s="176" t="n">
        <v>25.5</v>
      </c>
      <c r="N114" s="176" t="n">
        <v>25.5</v>
      </c>
      <c r="O114" s="139"/>
      <c r="P114" s="176" t="n">
        <v>20</v>
      </c>
      <c r="Q114" s="176" t="n">
        <v>20</v>
      </c>
      <c r="R114" s="176" t="n">
        <v>20</v>
      </c>
      <c r="S114" s="139"/>
      <c r="T114" s="176" t="n">
        <v>0</v>
      </c>
      <c r="U114" s="176" t="n">
        <v>0</v>
      </c>
      <c r="V114" s="176" t="n">
        <v>0</v>
      </c>
      <c r="W114" s="139"/>
      <c r="X114" s="176" t="n">
        <v>0.16</v>
      </c>
      <c r="Y114" s="176" t="n">
        <v>0.2</v>
      </c>
      <c r="Z114" s="176" t="n">
        <v>0.24</v>
      </c>
      <c r="AA114" s="139"/>
      <c r="AB114" s="176" t="n">
        <v>0.08</v>
      </c>
      <c r="AC114" s="176" t="n">
        <v>0.1</v>
      </c>
      <c r="AD114" s="176" t="n">
        <v>0.12</v>
      </c>
      <c r="AE114" s="139"/>
      <c r="AF114" s="176" t="n">
        <v>0.2</v>
      </c>
      <c r="AG114" s="176" t="n">
        <v>0.25</v>
      </c>
      <c r="AH114" s="176" t="n">
        <v>0.3</v>
      </c>
      <c r="AI114" s="139"/>
      <c r="AJ114" s="176" t="n">
        <v>0.12</v>
      </c>
      <c r="AK114" s="176" t="n">
        <v>0.15</v>
      </c>
      <c r="AL114" s="176" t="n">
        <v>0.18</v>
      </c>
      <c r="AM114" s="139"/>
      <c r="AN114" s="140" t="n">
        <v>35</v>
      </c>
      <c r="AO114" s="177" t="n">
        <v>0.4</v>
      </c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41" t="n">
        <v>40238</v>
      </c>
      <c r="BG114" s="179" t="n">
        <v>0.75</v>
      </c>
      <c r="BH114" s="139"/>
      <c r="BI114" s="139"/>
      <c r="BJ114" s="139"/>
      <c r="BK114" s="139"/>
      <c r="BL114" s="139"/>
      <c r="BM114" s="139"/>
      <c r="BN114" s="139"/>
      <c r="BO114" s="139"/>
      <c r="BP114" s="139"/>
      <c r="BQ114" s="139"/>
      <c r="BR114" s="139"/>
      <c r="BS114" s="139"/>
      <c r="BT114" s="139"/>
      <c r="BU114" s="139"/>
      <c r="BV114" s="139"/>
      <c r="BW114" s="139"/>
      <c r="BX114" s="139"/>
      <c r="BY114" s="139"/>
      <c r="BZ114" s="139"/>
      <c r="CA114" s="139"/>
      <c r="CB114" s="139"/>
      <c r="CC114" s="139"/>
      <c r="CD114" s="139"/>
      <c r="CE114" s="139"/>
      <c r="CF114" s="0"/>
      <c r="CK114" s="206"/>
      <c r="CL114" s="206"/>
      <c r="CM114" s="180"/>
      <c r="CN114" s="0"/>
      <c r="CO114" s="0"/>
      <c r="CP114" s="0"/>
      <c r="CQ114" s="0"/>
      <c r="CR114" s="0"/>
      <c r="CW114" s="181" t="n">
        <f aca="false">K114</f>
        <v>40238</v>
      </c>
      <c r="CX114" s="182" t="n">
        <f aca="false">AF114</f>
        <v>0.2</v>
      </c>
      <c r="CY114" s="182" t="n">
        <f aca="false">AG114</f>
        <v>0.25</v>
      </c>
      <c r="CZ114" s="182" t="n">
        <f aca="false">AH114</f>
        <v>0.3</v>
      </c>
      <c r="DB114" s="182" t="n">
        <f aca="false">X114</f>
        <v>0.16</v>
      </c>
      <c r="DC114" s="182" t="n">
        <f aca="false">Y114</f>
        <v>0.2</v>
      </c>
      <c r="DD114" s="182" t="n">
        <f aca="false">Z114</f>
        <v>0.24</v>
      </c>
      <c r="DF114" s="181" t="n">
        <f aca="false">BF114</f>
        <v>40238</v>
      </c>
      <c r="DG114" s="133" t="n">
        <f aca="false">BG114</f>
        <v>0.75</v>
      </c>
      <c r="DJ114" s="181" t="n">
        <f aca="false">CW114</f>
        <v>40238</v>
      </c>
      <c r="DK114" s="182" t="n">
        <f aca="false">AJ114</f>
        <v>0.12</v>
      </c>
      <c r="DL114" s="182" t="n">
        <f aca="false">AK114</f>
        <v>0.15</v>
      </c>
      <c r="DM114" s="182" t="n">
        <f aca="false">AL114</f>
        <v>0.18</v>
      </c>
      <c r="DO114" s="182" t="n">
        <f aca="false">AB114</f>
        <v>0.08</v>
      </c>
      <c r="DP114" s="182" t="n">
        <f aca="false">AC114</f>
        <v>0.1</v>
      </c>
      <c r="DQ114" s="182" t="n">
        <f aca="false">AD114</f>
        <v>0.12</v>
      </c>
    </row>
    <row r="115" customFormat="false" ht="12.75" hidden="false" customHeight="false" outlineLevel="0" collapsed="false">
      <c r="A115" s="133"/>
      <c r="B115" s="174" t="n">
        <v>39387</v>
      </c>
      <c r="C115" s="175" t="n">
        <v>31.1915657043457</v>
      </c>
      <c r="D115" s="175" t="n">
        <v>32.2415657043457</v>
      </c>
      <c r="E115" s="175" t="n">
        <v>33.2915657043457</v>
      </c>
      <c r="F115" s="159"/>
      <c r="G115" s="175" t="n">
        <v>19.0400009155273</v>
      </c>
      <c r="H115" s="175" t="n">
        <v>19.0400009155273</v>
      </c>
      <c r="I115" s="175" t="n">
        <v>19.0400009155273</v>
      </c>
      <c r="J115" s="140"/>
      <c r="K115" s="141" t="n">
        <v>40269</v>
      </c>
      <c r="L115" s="176" t="n">
        <v>22</v>
      </c>
      <c r="M115" s="176" t="n">
        <v>22</v>
      </c>
      <c r="N115" s="176" t="n">
        <v>22</v>
      </c>
      <c r="O115" s="139"/>
      <c r="P115" s="176" t="n">
        <v>16.4950008392334</v>
      </c>
      <c r="Q115" s="176" t="n">
        <v>16.4950008392334</v>
      </c>
      <c r="R115" s="176" t="n">
        <v>16.4950008392334</v>
      </c>
      <c r="S115" s="139"/>
      <c r="T115" s="176" t="n">
        <v>0</v>
      </c>
      <c r="U115" s="176" t="n">
        <v>0</v>
      </c>
      <c r="V115" s="176" t="n">
        <v>0</v>
      </c>
      <c r="W115" s="139"/>
      <c r="X115" s="176" t="n">
        <v>0.16</v>
      </c>
      <c r="Y115" s="176" t="n">
        <v>0.2</v>
      </c>
      <c r="Z115" s="176" t="n">
        <v>0.24</v>
      </c>
      <c r="AA115" s="139"/>
      <c r="AB115" s="176" t="n">
        <v>0.08</v>
      </c>
      <c r="AC115" s="176" t="n">
        <v>0.1</v>
      </c>
      <c r="AD115" s="176" t="n">
        <v>0.12</v>
      </c>
      <c r="AE115" s="139"/>
      <c r="AF115" s="176" t="n">
        <v>0.2</v>
      </c>
      <c r="AG115" s="176" t="n">
        <v>0.25</v>
      </c>
      <c r="AH115" s="176" t="n">
        <v>0.3</v>
      </c>
      <c r="AI115" s="139"/>
      <c r="AJ115" s="176" t="n">
        <v>0.12</v>
      </c>
      <c r="AK115" s="176" t="n">
        <v>0.15</v>
      </c>
      <c r="AL115" s="176" t="n">
        <v>0.18</v>
      </c>
      <c r="AM115" s="139"/>
      <c r="AN115" s="140" t="n">
        <v>36</v>
      </c>
      <c r="AO115" s="177" t="n">
        <v>0.4</v>
      </c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41" t="n">
        <v>40269</v>
      </c>
      <c r="BG115" s="179" t="n">
        <v>0.75</v>
      </c>
      <c r="BH115" s="139"/>
      <c r="BI115" s="139"/>
      <c r="BJ115" s="139"/>
      <c r="BK115" s="139"/>
      <c r="BL115" s="139"/>
      <c r="BM115" s="139"/>
      <c r="BN115" s="139"/>
      <c r="BO115" s="139"/>
      <c r="BP115" s="139"/>
      <c r="BQ115" s="139"/>
      <c r="BR115" s="139"/>
      <c r="BS115" s="139"/>
      <c r="BT115" s="139"/>
      <c r="BU115" s="139"/>
      <c r="BV115" s="139"/>
      <c r="BW115" s="139"/>
      <c r="BX115" s="139"/>
      <c r="BY115" s="139"/>
      <c r="BZ115" s="139"/>
      <c r="CA115" s="139"/>
      <c r="CB115" s="139"/>
      <c r="CC115" s="139"/>
      <c r="CD115" s="139"/>
      <c r="CE115" s="139"/>
      <c r="CF115" s="0"/>
      <c r="CK115" s="206"/>
      <c r="CL115" s="206"/>
      <c r="CM115" s="180"/>
      <c r="CN115" s="0"/>
      <c r="CO115" s="0"/>
      <c r="CP115" s="0"/>
      <c r="CQ115" s="0"/>
      <c r="CR115" s="0"/>
      <c r="CW115" s="181" t="n">
        <f aca="false">K115</f>
        <v>40269</v>
      </c>
      <c r="CX115" s="182" t="n">
        <f aca="false">AF115</f>
        <v>0.2</v>
      </c>
      <c r="CY115" s="182" t="n">
        <f aca="false">AG115</f>
        <v>0.25</v>
      </c>
      <c r="CZ115" s="182" t="n">
        <f aca="false">AH115</f>
        <v>0.3</v>
      </c>
      <c r="DB115" s="182" t="n">
        <f aca="false">X115</f>
        <v>0.16</v>
      </c>
      <c r="DC115" s="182" t="n">
        <f aca="false">Y115</f>
        <v>0.2</v>
      </c>
      <c r="DD115" s="182" t="n">
        <f aca="false">Z115</f>
        <v>0.24</v>
      </c>
      <c r="DF115" s="181" t="n">
        <f aca="false">BF115</f>
        <v>40269</v>
      </c>
      <c r="DG115" s="133" t="n">
        <f aca="false">BG115</f>
        <v>0.75</v>
      </c>
      <c r="DJ115" s="181" t="n">
        <f aca="false">CW115</f>
        <v>40269</v>
      </c>
      <c r="DK115" s="182" t="n">
        <f aca="false">AJ115</f>
        <v>0.12</v>
      </c>
      <c r="DL115" s="182" t="n">
        <f aca="false">AK115</f>
        <v>0.15</v>
      </c>
      <c r="DM115" s="182" t="n">
        <f aca="false">AL115</f>
        <v>0.18</v>
      </c>
      <c r="DO115" s="182" t="n">
        <f aca="false">AB115</f>
        <v>0.08</v>
      </c>
      <c r="DP115" s="182" t="n">
        <f aca="false">AC115</f>
        <v>0.1</v>
      </c>
      <c r="DQ115" s="182" t="n">
        <f aca="false">AD115</f>
        <v>0.12</v>
      </c>
    </row>
    <row r="116" customFormat="false" ht="12.75" hidden="false" customHeight="false" outlineLevel="0" collapsed="false">
      <c r="A116" s="133"/>
      <c r="B116" s="174" t="n">
        <v>39417</v>
      </c>
      <c r="C116" s="175" t="n">
        <v>31.2915641784668</v>
      </c>
      <c r="D116" s="175" t="n">
        <v>32.3415641784668</v>
      </c>
      <c r="E116" s="175" t="n">
        <v>33.3915641784668</v>
      </c>
      <c r="F116" s="159"/>
      <c r="G116" s="175" t="n">
        <v>21.2900009155273</v>
      </c>
      <c r="H116" s="175" t="n">
        <v>21.2900009155273</v>
      </c>
      <c r="I116" s="175" t="n">
        <v>21.2900009155273</v>
      </c>
      <c r="J116" s="140"/>
      <c r="K116" s="141" t="n">
        <v>40299</v>
      </c>
      <c r="L116" s="176" t="n">
        <v>22.2900009155273</v>
      </c>
      <c r="M116" s="176" t="n">
        <v>22.2900009155273</v>
      </c>
      <c r="N116" s="176" t="n">
        <v>22.2900009155273</v>
      </c>
      <c r="O116" s="139"/>
      <c r="P116" s="176" t="n">
        <v>15.7950000762939</v>
      </c>
      <c r="Q116" s="176" t="n">
        <v>15.7950000762939</v>
      </c>
      <c r="R116" s="176" t="n">
        <v>15.7950000762939</v>
      </c>
      <c r="S116" s="139"/>
      <c r="T116" s="176" t="n">
        <v>0</v>
      </c>
      <c r="U116" s="176" t="n">
        <v>0</v>
      </c>
      <c r="V116" s="176" t="n">
        <v>0</v>
      </c>
      <c r="W116" s="139"/>
      <c r="X116" s="176" t="n">
        <v>0.16</v>
      </c>
      <c r="Y116" s="176" t="n">
        <v>0.2</v>
      </c>
      <c r="Z116" s="176" t="n">
        <v>0.24</v>
      </c>
      <c r="AA116" s="139"/>
      <c r="AB116" s="176" t="n">
        <v>0.08</v>
      </c>
      <c r="AC116" s="176" t="n">
        <v>0.1</v>
      </c>
      <c r="AD116" s="176" t="n">
        <v>0.12</v>
      </c>
      <c r="AE116" s="139"/>
      <c r="AF116" s="176" t="n">
        <v>0.2</v>
      </c>
      <c r="AG116" s="176" t="n">
        <v>0.25</v>
      </c>
      <c r="AH116" s="176" t="n">
        <v>0.3</v>
      </c>
      <c r="AI116" s="139"/>
      <c r="AJ116" s="176" t="n">
        <v>0.12</v>
      </c>
      <c r="AK116" s="176" t="n">
        <v>0.15</v>
      </c>
      <c r="AL116" s="176" t="n">
        <v>0.18</v>
      </c>
      <c r="AM116" s="139"/>
      <c r="AN116" s="140" t="n">
        <v>36</v>
      </c>
      <c r="AO116" s="177" t="n">
        <v>0.4</v>
      </c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41" t="n">
        <v>40299</v>
      </c>
      <c r="BG116" s="179" t="n">
        <v>0.75</v>
      </c>
      <c r="BH116" s="139"/>
      <c r="BI116" s="139"/>
      <c r="BJ116" s="139"/>
      <c r="BK116" s="139"/>
      <c r="BL116" s="139"/>
      <c r="BM116" s="139"/>
      <c r="BN116" s="139"/>
      <c r="BO116" s="139"/>
      <c r="BP116" s="139"/>
      <c r="BQ116" s="139"/>
      <c r="BR116" s="139"/>
      <c r="BS116" s="139"/>
      <c r="BT116" s="139"/>
      <c r="BU116" s="139"/>
      <c r="BV116" s="139"/>
      <c r="BW116" s="139"/>
      <c r="BX116" s="139"/>
      <c r="BY116" s="139"/>
      <c r="BZ116" s="139"/>
      <c r="CA116" s="139"/>
      <c r="CB116" s="139"/>
      <c r="CC116" s="139"/>
      <c r="CD116" s="139"/>
      <c r="CE116" s="139"/>
      <c r="CF116" s="0"/>
      <c r="CK116" s="206"/>
      <c r="CL116" s="206"/>
      <c r="CM116" s="180"/>
      <c r="CN116" s="0"/>
      <c r="CO116" s="0"/>
      <c r="CP116" s="0"/>
      <c r="CQ116" s="0"/>
      <c r="CR116" s="0"/>
      <c r="CW116" s="181" t="n">
        <f aca="false">K116</f>
        <v>40299</v>
      </c>
      <c r="CX116" s="182" t="n">
        <f aca="false">AF116</f>
        <v>0.2</v>
      </c>
      <c r="CY116" s="182" t="n">
        <f aca="false">AG116</f>
        <v>0.25</v>
      </c>
      <c r="CZ116" s="182" t="n">
        <f aca="false">AH116</f>
        <v>0.3</v>
      </c>
      <c r="DB116" s="182" t="n">
        <f aca="false">X116</f>
        <v>0.16</v>
      </c>
      <c r="DC116" s="182" t="n">
        <f aca="false">Y116</f>
        <v>0.2</v>
      </c>
      <c r="DD116" s="182" t="n">
        <f aca="false">Z116</f>
        <v>0.24</v>
      </c>
      <c r="DF116" s="181" t="n">
        <f aca="false">BF116</f>
        <v>40299</v>
      </c>
      <c r="DG116" s="133" t="n">
        <f aca="false">BG116</f>
        <v>0.75</v>
      </c>
      <c r="DJ116" s="181" t="n">
        <f aca="false">CW116</f>
        <v>40299</v>
      </c>
      <c r="DK116" s="182" t="n">
        <f aca="false">AJ116</f>
        <v>0.12</v>
      </c>
      <c r="DL116" s="182" t="n">
        <f aca="false">AK116</f>
        <v>0.15</v>
      </c>
      <c r="DM116" s="182" t="n">
        <f aca="false">AL116</f>
        <v>0.18</v>
      </c>
      <c r="DO116" s="182" t="n">
        <f aca="false">AB116</f>
        <v>0.08</v>
      </c>
      <c r="DP116" s="182" t="n">
        <f aca="false">AC116</f>
        <v>0.1</v>
      </c>
      <c r="DQ116" s="182" t="n">
        <f aca="false">AD116</f>
        <v>0.12</v>
      </c>
    </row>
    <row r="117" customFormat="false" ht="12.75" hidden="false" customHeight="false" outlineLevel="0" collapsed="false">
      <c r="A117" s="133"/>
      <c r="B117" s="174" t="n">
        <v>39448</v>
      </c>
      <c r="C117" s="175" t="n">
        <v>34.3557167053223</v>
      </c>
      <c r="D117" s="175" t="n">
        <v>35.8557167053223</v>
      </c>
      <c r="E117" s="175" t="n">
        <v>37.3557167053223</v>
      </c>
      <c r="F117" s="159"/>
      <c r="G117" s="175" t="n">
        <v>23.5</v>
      </c>
      <c r="H117" s="175" t="n">
        <v>23.5</v>
      </c>
      <c r="I117" s="175" t="n">
        <v>23.5</v>
      </c>
      <c r="J117" s="140"/>
      <c r="K117" s="141" t="n">
        <v>40330</v>
      </c>
      <c r="L117" s="176" t="n">
        <v>29.2900009155273</v>
      </c>
      <c r="M117" s="176" t="n">
        <v>29.2900009155273</v>
      </c>
      <c r="N117" s="176" t="n">
        <v>29.2900009155273</v>
      </c>
      <c r="O117" s="139"/>
      <c r="P117" s="176" t="n">
        <v>19.7900009155273</v>
      </c>
      <c r="Q117" s="176" t="n">
        <v>19.7900009155273</v>
      </c>
      <c r="R117" s="176" t="n">
        <v>19.7900009155273</v>
      </c>
      <c r="S117" s="139"/>
      <c r="T117" s="176" t="n">
        <v>0</v>
      </c>
      <c r="U117" s="176" t="n">
        <v>0</v>
      </c>
      <c r="V117" s="176" t="n">
        <v>0</v>
      </c>
      <c r="W117" s="139"/>
      <c r="X117" s="176" t="n">
        <v>0.16</v>
      </c>
      <c r="Y117" s="176" t="n">
        <v>0.2</v>
      </c>
      <c r="Z117" s="176" t="n">
        <v>0.24</v>
      </c>
      <c r="AA117" s="139"/>
      <c r="AB117" s="176" t="n">
        <v>0.08</v>
      </c>
      <c r="AC117" s="176" t="n">
        <v>0.1</v>
      </c>
      <c r="AD117" s="176" t="n">
        <v>0.12</v>
      </c>
      <c r="AE117" s="139"/>
      <c r="AF117" s="176" t="n">
        <v>0.2</v>
      </c>
      <c r="AG117" s="176" t="n">
        <v>0.25</v>
      </c>
      <c r="AH117" s="176" t="n">
        <v>0.3</v>
      </c>
      <c r="AI117" s="139"/>
      <c r="AJ117" s="176" t="n">
        <v>0.12</v>
      </c>
      <c r="AK117" s="176" t="n">
        <v>0.15</v>
      </c>
      <c r="AL117" s="176" t="n">
        <v>0.18</v>
      </c>
      <c r="AM117" s="139"/>
      <c r="AN117" s="140" t="n">
        <v>36</v>
      </c>
      <c r="AO117" s="177" t="n">
        <v>0.4</v>
      </c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41" t="n">
        <v>40330</v>
      </c>
      <c r="BG117" s="179" t="n">
        <v>0.75</v>
      </c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39"/>
      <c r="CF117" s="0"/>
      <c r="CK117" s="206"/>
      <c r="CL117" s="206"/>
      <c r="CM117" s="180"/>
      <c r="CN117" s="0"/>
      <c r="CO117" s="0"/>
      <c r="CP117" s="0"/>
      <c r="CQ117" s="0"/>
      <c r="CR117" s="0"/>
      <c r="CW117" s="181" t="n">
        <f aca="false">K117</f>
        <v>40330</v>
      </c>
      <c r="CX117" s="182" t="n">
        <f aca="false">AF117</f>
        <v>0.2</v>
      </c>
      <c r="CY117" s="182" t="n">
        <f aca="false">AG117</f>
        <v>0.25</v>
      </c>
      <c r="CZ117" s="182" t="n">
        <f aca="false">AH117</f>
        <v>0.3</v>
      </c>
      <c r="DB117" s="182" t="n">
        <f aca="false">X117</f>
        <v>0.16</v>
      </c>
      <c r="DC117" s="182" t="n">
        <f aca="false">Y117</f>
        <v>0.2</v>
      </c>
      <c r="DD117" s="182" t="n">
        <f aca="false">Z117</f>
        <v>0.24</v>
      </c>
      <c r="DF117" s="181" t="n">
        <f aca="false">BF117</f>
        <v>40330</v>
      </c>
      <c r="DG117" s="133" t="n">
        <f aca="false">BG117</f>
        <v>0.75</v>
      </c>
      <c r="DJ117" s="181" t="n">
        <f aca="false">CW117</f>
        <v>40330</v>
      </c>
      <c r="DK117" s="182" t="n">
        <f aca="false">AJ117</f>
        <v>0.12</v>
      </c>
      <c r="DL117" s="182" t="n">
        <f aca="false">AK117</f>
        <v>0.15</v>
      </c>
      <c r="DM117" s="182" t="n">
        <f aca="false">AL117</f>
        <v>0.18</v>
      </c>
      <c r="DO117" s="182" t="n">
        <f aca="false">AB117</f>
        <v>0.08</v>
      </c>
      <c r="DP117" s="182" t="n">
        <f aca="false">AC117</f>
        <v>0.1</v>
      </c>
      <c r="DQ117" s="182" t="n">
        <f aca="false">AD117</f>
        <v>0.12</v>
      </c>
    </row>
    <row r="118" customFormat="false" ht="12.75" hidden="false" customHeight="false" outlineLevel="0" collapsed="false">
      <c r="A118" s="133"/>
      <c r="B118" s="174" t="n">
        <v>39479</v>
      </c>
      <c r="C118" s="175" t="n">
        <v>33.7557144165039</v>
      </c>
      <c r="D118" s="175" t="n">
        <v>35.2557144165039</v>
      </c>
      <c r="E118" s="175" t="n">
        <v>36.7557144165039</v>
      </c>
      <c r="F118" s="159"/>
      <c r="G118" s="175" t="n">
        <v>22</v>
      </c>
      <c r="H118" s="175" t="n">
        <v>22</v>
      </c>
      <c r="I118" s="175" t="n">
        <v>22</v>
      </c>
      <c r="J118" s="140"/>
      <c r="K118" s="141" t="n">
        <v>40360</v>
      </c>
      <c r="L118" s="176" t="n">
        <v>35.2900009155273</v>
      </c>
      <c r="M118" s="176" t="n">
        <v>35.2900009155273</v>
      </c>
      <c r="N118" s="176" t="n">
        <v>35.2900009155273</v>
      </c>
      <c r="O118" s="139"/>
      <c r="P118" s="176" t="n">
        <v>25.7900009155273</v>
      </c>
      <c r="Q118" s="176" t="n">
        <v>25.7900009155273</v>
      </c>
      <c r="R118" s="176" t="n">
        <v>25.7900009155273</v>
      </c>
      <c r="S118" s="139"/>
      <c r="T118" s="176" t="n">
        <v>0</v>
      </c>
      <c r="U118" s="176" t="n">
        <v>0</v>
      </c>
      <c r="V118" s="176" t="n">
        <v>0</v>
      </c>
      <c r="W118" s="139"/>
      <c r="X118" s="176" t="n">
        <v>0.16</v>
      </c>
      <c r="Y118" s="176" t="n">
        <v>0.2</v>
      </c>
      <c r="Z118" s="176" t="n">
        <v>0.24</v>
      </c>
      <c r="AA118" s="139"/>
      <c r="AB118" s="176" t="n">
        <v>0.08</v>
      </c>
      <c r="AC118" s="176" t="n">
        <v>0.1</v>
      </c>
      <c r="AD118" s="176" t="n">
        <v>0.12</v>
      </c>
      <c r="AE118" s="139"/>
      <c r="AF118" s="176" t="n">
        <v>0.2</v>
      </c>
      <c r="AG118" s="176" t="n">
        <v>0.25</v>
      </c>
      <c r="AH118" s="176" t="n">
        <v>0.3</v>
      </c>
      <c r="AI118" s="139"/>
      <c r="AJ118" s="176" t="n">
        <v>0.12</v>
      </c>
      <c r="AK118" s="176" t="n">
        <v>0.15</v>
      </c>
      <c r="AL118" s="176" t="n">
        <v>0.18</v>
      </c>
      <c r="AM118" s="139"/>
      <c r="AN118" s="140" t="n">
        <v>37</v>
      </c>
      <c r="AO118" s="177" t="n">
        <v>0.4</v>
      </c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41" t="n">
        <v>40360</v>
      </c>
      <c r="BG118" s="179" t="n">
        <v>0.75</v>
      </c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0"/>
      <c r="CK118" s="206"/>
      <c r="CL118" s="206"/>
      <c r="CM118" s="180"/>
      <c r="CN118" s="0"/>
      <c r="CO118" s="0"/>
      <c r="CP118" s="0"/>
      <c r="CQ118" s="0"/>
      <c r="CR118" s="0"/>
      <c r="CW118" s="181" t="n">
        <f aca="false">K118</f>
        <v>40360</v>
      </c>
      <c r="CX118" s="182" t="n">
        <f aca="false">AF118</f>
        <v>0.2</v>
      </c>
      <c r="CY118" s="182" t="n">
        <f aca="false">AG118</f>
        <v>0.25</v>
      </c>
      <c r="CZ118" s="182" t="n">
        <f aca="false">AH118</f>
        <v>0.3</v>
      </c>
      <c r="DB118" s="182" t="n">
        <f aca="false">X118</f>
        <v>0.16</v>
      </c>
      <c r="DC118" s="182" t="n">
        <f aca="false">Y118</f>
        <v>0.2</v>
      </c>
      <c r="DD118" s="182" t="n">
        <f aca="false">Z118</f>
        <v>0.24</v>
      </c>
      <c r="DF118" s="181" t="n">
        <f aca="false">BF118</f>
        <v>40360</v>
      </c>
      <c r="DG118" s="133" t="n">
        <f aca="false">BG118</f>
        <v>0.75</v>
      </c>
      <c r="DJ118" s="181" t="n">
        <f aca="false">CW118</f>
        <v>40360</v>
      </c>
      <c r="DK118" s="182" t="n">
        <f aca="false">AJ118</f>
        <v>0.12</v>
      </c>
      <c r="DL118" s="182" t="n">
        <f aca="false">AK118</f>
        <v>0.15</v>
      </c>
      <c r="DM118" s="182" t="n">
        <f aca="false">AL118</f>
        <v>0.18</v>
      </c>
      <c r="DO118" s="182" t="n">
        <f aca="false">AB118</f>
        <v>0.08</v>
      </c>
      <c r="DP118" s="182" t="n">
        <f aca="false">AC118</f>
        <v>0.1</v>
      </c>
      <c r="DQ118" s="182" t="n">
        <f aca="false">AD118</f>
        <v>0.12</v>
      </c>
    </row>
    <row r="119" customFormat="false" ht="12.75" hidden="false" customHeight="false" outlineLevel="0" collapsed="false">
      <c r="A119" s="133"/>
      <c r="B119" s="174" t="n">
        <v>39508</v>
      </c>
      <c r="C119" s="175" t="n">
        <v>32.4676818847656</v>
      </c>
      <c r="D119" s="175" t="n">
        <v>33.9676818847656</v>
      </c>
      <c r="E119" s="175" t="n">
        <v>35.4676818847656</v>
      </c>
      <c r="F119" s="159"/>
      <c r="G119" s="175" t="n">
        <v>23</v>
      </c>
      <c r="H119" s="175" t="n">
        <v>23</v>
      </c>
      <c r="I119" s="175" t="n">
        <v>23</v>
      </c>
      <c r="J119" s="140"/>
      <c r="K119" s="141" t="n">
        <v>40391</v>
      </c>
      <c r="L119" s="176" t="n">
        <v>33.2900047302246</v>
      </c>
      <c r="M119" s="176" t="n">
        <v>33.2900047302246</v>
      </c>
      <c r="N119" s="176" t="n">
        <v>33.2900047302246</v>
      </c>
      <c r="O119" s="139"/>
      <c r="P119" s="176" t="n">
        <v>25.7900009155273</v>
      </c>
      <c r="Q119" s="176" t="n">
        <v>25.7900009155273</v>
      </c>
      <c r="R119" s="176" t="n">
        <v>25.7900009155273</v>
      </c>
      <c r="S119" s="139"/>
      <c r="T119" s="176" t="n">
        <v>0</v>
      </c>
      <c r="U119" s="176" t="n">
        <v>0</v>
      </c>
      <c r="V119" s="176" t="n">
        <v>0</v>
      </c>
      <c r="W119" s="139"/>
      <c r="X119" s="176" t="n">
        <v>0.24</v>
      </c>
      <c r="Y119" s="176" t="n">
        <v>0.3</v>
      </c>
      <c r="Z119" s="176" t="n">
        <v>0.36</v>
      </c>
      <c r="AA119" s="139"/>
      <c r="AB119" s="176" t="n">
        <v>0.12</v>
      </c>
      <c r="AC119" s="176" t="n">
        <v>0.15</v>
      </c>
      <c r="AD119" s="176" t="n">
        <v>0.18</v>
      </c>
      <c r="AE119" s="139"/>
      <c r="AF119" s="176" t="n">
        <v>0.32</v>
      </c>
      <c r="AG119" s="176" t="n">
        <v>0.4</v>
      </c>
      <c r="AH119" s="176" t="n">
        <v>0.48</v>
      </c>
      <c r="AI119" s="139"/>
      <c r="AJ119" s="176" t="n">
        <v>0.192</v>
      </c>
      <c r="AK119" s="176" t="n">
        <v>0.24</v>
      </c>
      <c r="AL119" s="176" t="n">
        <v>0.288</v>
      </c>
      <c r="AM119" s="139"/>
      <c r="AN119" s="140" t="n">
        <v>37</v>
      </c>
      <c r="AO119" s="177" t="n">
        <v>0.4</v>
      </c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41" t="n">
        <v>40391</v>
      </c>
      <c r="BG119" s="179" t="n">
        <v>0.75</v>
      </c>
      <c r="BH119" s="139"/>
      <c r="BI119" s="139"/>
      <c r="BJ119" s="139"/>
      <c r="BK119" s="139"/>
      <c r="BL119" s="139"/>
      <c r="BM119" s="139"/>
      <c r="BN119" s="139"/>
      <c r="BO119" s="139"/>
      <c r="BP119" s="139"/>
      <c r="BQ119" s="139"/>
      <c r="BR119" s="139"/>
      <c r="BS119" s="139"/>
      <c r="BT119" s="139"/>
      <c r="BU119" s="139"/>
      <c r="BV119" s="139"/>
      <c r="BW119" s="139"/>
      <c r="BX119" s="139"/>
      <c r="BY119" s="139"/>
      <c r="BZ119" s="139"/>
      <c r="CA119" s="139"/>
      <c r="CB119" s="139"/>
      <c r="CC119" s="139"/>
      <c r="CD119" s="139"/>
      <c r="CE119" s="139"/>
      <c r="CF119" s="0"/>
      <c r="CK119" s="206"/>
      <c r="CL119" s="206"/>
      <c r="CM119" s="180"/>
      <c r="CN119" s="0"/>
      <c r="CO119" s="0"/>
      <c r="CP119" s="0"/>
      <c r="CQ119" s="0"/>
      <c r="CR119" s="0"/>
      <c r="CW119" s="181" t="n">
        <f aca="false">K119</f>
        <v>40391</v>
      </c>
      <c r="CX119" s="182" t="n">
        <f aca="false">AF119</f>
        <v>0.32</v>
      </c>
      <c r="CY119" s="182" t="n">
        <f aca="false">AG119</f>
        <v>0.4</v>
      </c>
      <c r="CZ119" s="182" t="n">
        <f aca="false">AH119</f>
        <v>0.48</v>
      </c>
      <c r="DB119" s="182" t="n">
        <f aca="false">X119</f>
        <v>0.24</v>
      </c>
      <c r="DC119" s="182" t="n">
        <f aca="false">Y119</f>
        <v>0.3</v>
      </c>
      <c r="DD119" s="182" t="n">
        <f aca="false">Z119</f>
        <v>0.36</v>
      </c>
      <c r="DF119" s="181" t="n">
        <f aca="false">BF119</f>
        <v>40391</v>
      </c>
      <c r="DG119" s="133" t="n">
        <f aca="false">BG119</f>
        <v>0.75</v>
      </c>
      <c r="DJ119" s="181" t="n">
        <f aca="false">CW119</f>
        <v>40391</v>
      </c>
      <c r="DK119" s="182" t="n">
        <f aca="false">AJ119</f>
        <v>0.192</v>
      </c>
      <c r="DL119" s="182" t="n">
        <f aca="false">AK119</f>
        <v>0.24</v>
      </c>
      <c r="DM119" s="182" t="n">
        <f aca="false">AL119</f>
        <v>0.288</v>
      </c>
      <c r="DO119" s="182" t="n">
        <f aca="false">AB119</f>
        <v>0.12</v>
      </c>
      <c r="DP119" s="182" t="n">
        <f aca="false">AC119</f>
        <v>0.15</v>
      </c>
      <c r="DQ119" s="182" t="n">
        <f aca="false">AD119</f>
        <v>0.18</v>
      </c>
    </row>
    <row r="120" customFormat="false" ht="12.75" hidden="false" customHeight="false" outlineLevel="0" collapsed="false">
      <c r="A120" s="133"/>
      <c r="B120" s="174" t="n">
        <v>39539</v>
      </c>
      <c r="C120" s="175" t="n">
        <v>32.6676826477051</v>
      </c>
      <c r="D120" s="175" t="n">
        <v>34.1676826477051</v>
      </c>
      <c r="E120" s="175" t="n">
        <v>35.6676826477051</v>
      </c>
      <c r="F120" s="159"/>
      <c r="G120" s="175" t="n">
        <v>20</v>
      </c>
      <c r="H120" s="175" t="n">
        <v>20</v>
      </c>
      <c r="I120" s="175" t="n">
        <v>20</v>
      </c>
      <c r="J120" s="140"/>
      <c r="K120" s="141" t="n">
        <v>40422</v>
      </c>
      <c r="L120" s="176" t="n">
        <v>25.2900009155273</v>
      </c>
      <c r="M120" s="176" t="n">
        <v>25.2900009155273</v>
      </c>
      <c r="N120" s="176" t="n">
        <v>25.2900009155273</v>
      </c>
      <c r="O120" s="139"/>
      <c r="P120" s="176" t="n">
        <v>19.7900009155273</v>
      </c>
      <c r="Q120" s="176" t="n">
        <v>19.7900009155273</v>
      </c>
      <c r="R120" s="176" t="n">
        <v>19.7900009155273</v>
      </c>
      <c r="S120" s="139"/>
      <c r="T120" s="176" t="n">
        <v>0</v>
      </c>
      <c r="U120" s="176" t="n">
        <v>0</v>
      </c>
      <c r="V120" s="176" t="n">
        <v>0</v>
      </c>
      <c r="W120" s="139"/>
      <c r="X120" s="176" t="n">
        <v>0.24</v>
      </c>
      <c r="Y120" s="176" t="n">
        <v>0.3</v>
      </c>
      <c r="Z120" s="176" t="n">
        <v>0.36</v>
      </c>
      <c r="AA120" s="139"/>
      <c r="AB120" s="176" t="n">
        <v>0.12</v>
      </c>
      <c r="AC120" s="176" t="n">
        <v>0.15</v>
      </c>
      <c r="AD120" s="176" t="n">
        <v>0.18</v>
      </c>
      <c r="AE120" s="139"/>
      <c r="AF120" s="176" t="n">
        <v>0.32</v>
      </c>
      <c r="AG120" s="176" t="n">
        <v>0.4</v>
      </c>
      <c r="AH120" s="176" t="n">
        <v>0.48</v>
      </c>
      <c r="AI120" s="139"/>
      <c r="AJ120" s="176" t="n">
        <v>0.192</v>
      </c>
      <c r="AK120" s="176" t="n">
        <v>0.24</v>
      </c>
      <c r="AL120" s="176" t="n">
        <v>0.288</v>
      </c>
      <c r="AM120" s="139"/>
      <c r="AN120" s="140" t="n">
        <v>37</v>
      </c>
      <c r="AO120" s="177" t="n">
        <v>0.4</v>
      </c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41" t="n">
        <v>40422</v>
      </c>
      <c r="BG120" s="179" t="n">
        <v>0.75</v>
      </c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0"/>
      <c r="CK120" s="206"/>
      <c r="CL120" s="206"/>
      <c r="CM120" s="180"/>
      <c r="CN120" s="0"/>
      <c r="CO120" s="0"/>
      <c r="CP120" s="0"/>
      <c r="CQ120" s="0"/>
      <c r="CR120" s="0"/>
      <c r="CW120" s="181" t="n">
        <f aca="false">K120</f>
        <v>40422</v>
      </c>
      <c r="CX120" s="182" t="n">
        <f aca="false">AF120</f>
        <v>0.32</v>
      </c>
      <c r="CY120" s="182" t="n">
        <f aca="false">AG120</f>
        <v>0.4</v>
      </c>
      <c r="CZ120" s="182" t="n">
        <f aca="false">AH120</f>
        <v>0.48</v>
      </c>
      <c r="DB120" s="182" t="n">
        <f aca="false">X120</f>
        <v>0.24</v>
      </c>
      <c r="DC120" s="182" t="n">
        <f aca="false">Y120</f>
        <v>0.3</v>
      </c>
      <c r="DD120" s="182" t="n">
        <f aca="false">Z120</f>
        <v>0.36</v>
      </c>
      <c r="DF120" s="181" t="n">
        <f aca="false">BF120</f>
        <v>40422</v>
      </c>
      <c r="DG120" s="133" t="n">
        <f aca="false">BG120</f>
        <v>0.75</v>
      </c>
      <c r="DJ120" s="181" t="n">
        <f aca="false">CW120</f>
        <v>40422</v>
      </c>
      <c r="DK120" s="182" t="n">
        <f aca="false">AJ120</f>
        <v>0.192</v>
      </c>
      <c r="DL120" s="182" t="n">
        <f aca="false">AK120</f>
        <v>0.24</v>
      </c>
      <c r="DM120" s="182" t="n">
        <f aca="false">AL120</f>
        <v>0.288</v>
      </c>
      <c r="DO120" s="182" t="n">
        <f aca="false">AB120</f>
        <v>0.12</v>
      </c>
      <c r="DP120" s="182" t="n">
        <f aca="false">AC120</f>
        <v>0.15</v>
      </c>
      <c r="DQ120" s="182" t="n">
        <f aca="false">AD120</f>
        <v>0.18</v>
      </c>
    </row>
    <row r="121" customFormat="false" ht="12.75" hidden="false" customHeight="false" outlineLevel="0" collapsed="false">
      <c r="A121" s="133"/>
      <c r="B121" s="174" t="n">
        <v>39569</v>
      </c>
      <c r="C121" s="175" t="n">
        <v>35.6450035095215</v>
      </c>
      <c r="D121" s="175" t="n">
        <v>37.6950035095215</v>
      </c>
      <c r="E121" s="175" t="n">
        <v>39.7450035095215</v>
      </c>
      <c r="F121" s="159"/>
      <c r="G121" s="175" t="n">
        <v>20.5400009155273</v>
      </c>
      <c r="H121" s="175" t="n">
        <v>20.5400009155273</v>
      </c>
      <c r="I121" s="175" t="n">
        <v>20.5400009155273</v>
      </c>
      <c r="J121" s="140"/>
      <c r="K121" s="141" t="n">
        <v>40452</v>
      </c>
      <c r="L121" s="176" t="n">
        <v>20.2860012054443</v>
      </c>
      <c r="M121" s="176" t="n">
        <v>20.2860012054443</v>
      </c>
      <c r="N121" s="176" t="n">
        <v>20.2860012054443</v>
      </c>
      <c r="O121" s="139"/>
      <c r="P121" s="176" t="n">
        <v>14.7865009307861</v>
      </c>
      <c r="Q121" s="176" t="n">
        <v>14.7865009307861</v>
      </c>
      <c r="R121" s="176" t="n">
        <v>14.7865009307861</v>
      </c>
      <c r="S121" s="139"/>
      <c r="T121" s="176" t="n">
        <v>0</v>
      </c>
      <c r="U121" s="176" t="n">
        <v>0</v>
      </c>
      <c r="V121" s="176" t="n">
        <v>0</v>
      </c>
      <c r="W121" s="139"/>
      <c r="X121" s="176" t="n">
        <v>0.16</v>
      </c>
      <c r="Y121" s="176" t="n">
        <v>0.2</v>
      </c>
      <c r="Z121" s="176" t="n">
        <v>0.24</v>
      </c>
      <c r="AA121" s="139"/>
      <c r="AB121" s="176" t="n">
        <v>0.08</v>
      </c>
      <c r="AC121" s="176" t="n">
        <v>0.1</v>
      </c>
      <c r="AD121" s="176" t="n">
        <v>0.12</v>
      </c>
      <c r="AE121" s="139"/>
      <c r="AF121" s="176" t="n">
        <v>0.2</v>
      </c>
      <c r="AG121" s="176" t="n">
        <v>0.25</v>
      </c>
      <c r="AH121" s="176" t="n">
        <v>0.3</v>
      </c>
      <c r="AI121" s="139"/>
      <c r="AJ121" s="176" t="n">
        <v>0.12</v>
      </c>
      <c r="AK121" s="176" t="n">
        <v>0.15</v>
      </c>
      <c r="AL121" s="176" t="n">
        <v>0.18</v>
      </c>
      <c r="AM121" s="139"/>
      <c r="AN121" s="140" t="n">
        <v>38</v>
      </c>
      <c r="AO121" s="177" t="n">
        <v>0.4</v>
      </c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41" t="n">
        <v>40452</v>
      </c>
      <c r="BG121" s="179" t="n">
        <v>0.75</v>
      </c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39"/>
      <c r="BS121" s="139"/>
      <c r="BT121" s="139"/>
      <c r="BU121" s="139"/>
      <c r="BV121" s="139"/>
      <c r="BW121" s="139"/>
      <c r="BX121" s="139"/>
      <c r="BY121" s="139"/>
      <c r="BZ121" s="139"/>
      <c r="CA121" s="139"/>
      <c r="CB121" s="139"/>
      <c r="CC121" s="139"/>
      <c r="CD121" s="139"/>
      <c r="CE121" s="139"/>
      <c r="CF121" s="0"/>
      <c r="CK121" s="206"/>
      <c r="CL121" s="206"/>
      <c r="CM121" s="180"/>
      <c r="CN121" s="0"/>
      <c r="CO121" s="0"/>
      <c r="CP121" s="0"/>
      <c r="CQ121" s="0"/>
      <c r="CR121" s="0"/>
      <c r="CW121" s="181" t="n">
        <f aca="false">K121</f>
        <v>40452</v>
      </c>
      <c r="CX121" s="182" t="n">
        <f aca="false">AF121</f>
        <v>0.2</v>
      </c>
      <c r="CY121" s="182" t="n">
        <f aca="false">AG121</f>
        <v>0.25</v>
      </c>
      <c r="CZ121" s="182" t="n">
        <f aca="false">AH121</f>
        <v>0.3</v>
      </c>
      <c r="DB121" s="182" t="n">
        <f aca="false">X121</f>
        <v>0.16</v>
      </c>
      <c r="DC121" s="182" t="n">
        <f aca="false">Y121</f>
        <v>0.2</v>
      </c>
      <c r="DD121" s="182" t="n">
        <f aca="false">Z121</f>
        <v>0.24</v>
      </c>
      <c r="DF121" s="181" t="n">
        <f aca="false">BF121</f>
        <v>40452</v>
      </c>
      <c r="DG121" s="133" t="n">
        <f aca="false">BG121</f>
        <v>0.75</v>
      </c>
      <c r="DJ121" s="181" t="n">
        <f aca="false">CW121</f>
        <v>40452</v>
      </c>
      <c r="DK121" s="182" t="n">
        <f aca="false">AJ121</f>
        <v>0.12</v>
      </c>
      <c r="DL121" s="182" t="n">
        <f aca="false">AK121</f>
        <v>0.15</v>
      </c>
      <c r="DM121" s="182" t="n">
        <f aca="false">AL121</f>
        <v>0.18</v>
      </c>
      <c r="DO121" s="182" t="n">
        <f aca="false">AB121</f>
        <v>0.08</v>
      </c>
      <c r="DP121" s="182" t="n">
        <f aca="false">AC121</f>
        <v>0.1</v>
      </c>
      <c r="DQ121" s="182" t="n">
        <f aca="false">AD121</f>
        <v>0.12</v>
      </c>
    </row>
    <row r="122" customFormat="false" ht="12.75" hidden="false" customHeight="false" outlineLevel="0" collapsed="false">
      <c r="A122" s="133"/>
      <c r="B122" s="174" t="n">
        <v>39600</v>
      </c>
      <c r="C122" s="175" t="n">
        <v>38.6250038146973</v>
      </c>
      <c r="D122" s="175" t="n">
        <v>43.6250038146973</v>
      </c>
      <c r="E122" s="175" t="n">
        <v>48.6250038146973</v>
      </c>
      <c r="F122" s="159"/>
      <c r="G122" s="175" t="n">
        <v>23.5400009155273</v>
      </c>
      <c r="H122" s="175" t="n">
        <v>23.5400009155273</v>
      </c>
      <c r="I122" s="175" t="n">
        <v>23.5400009155273</v>
      </c>
      <c r="J122" s="140"/>
      <c r="K122" s="141" t="n">
        <v>40483</v>
      </c>
      <c r="L122" s="176" t="n">
        <v>22.2900009155273</v>
      </c>
      <c r="M122" s="176" t="n">
        <v>22.2900009155273</v>
      </c>
      <c r="N122" s="176" t="n">
        <v>22.2900009155273</v>
      </c>
      <c r="O122" s="139"/>
      <c r="P122" s="176" t="n">
        <v>14.7900009155273</v>
      </c>
      <c r="Q122" s="176" t="n">
        <v>14.7900009155273</v>
      </c>
      <c r="R122" s="176" t="n">
        <v>14.7900009155273</v>
      </c>
      <c r="S122" s="139"/>
      <c r="T122" s="176" t="n">
        <v>0</v>
      </c>
      <c r="U122" s="176" t="n">
        <v>0</v>
      </c>
      <c r="V122" s="176" t="n">
        <v>0</v>
      </c>
      <c r="W122" s="139"/>
      <c r="X122" s="176" t="n">
        <v>0.16</v>
      </c>
      <c r="Y122" s="176" t="n">
        <v>0.2</v>
      </c>
      <c r="Z122" s="176" t="n">
        <v>0.24</v>
      </c>
      <c r="AA122" s="139"/>
      <c r="AB122" s="176" t="n">
        <v>0.08</v>
      </c>
      <c r="AC122" s="176" t="n">
        <v>0.1</v>
      </c>
      <c r="AD122" s="176" t="n">
        <v>0.12</v>
      </c>
      <c r="AE122" s="139"/>
      <c r="AF122" s="176" t="n">
        <v>0.2</v>
      </c>
      <c r="AG122" s="176" t="n">
        <v>0.25</v>
      </c>
      <c r="AH122" s="176" t="n">
        <v>0.3</v>
      </c>
      <c r="AI122" s="139"/>
      <c r="AJ122" s="176" t="n">
        <v>0.12</v>
      </c>
      <c r="AK122" s="176" t="n">
        <v>0.15</v>
      </c>
      <c r="AL122" s="176" t="n">
        <v>0.18</v>
      </c>
      <c r="AM122" s="139"/>
      <c r="AN122" s="140" t="n">
        <v>38</v>
      </c>
      <c r="AO122" s="177" t="n">
        <v>0.4</v>
      </c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41" t="n">
        <v>40483</v>
      </c>
      <c r="BG122" s="179" t="n">
        <v>0.75</v>
      </c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  <c r="BU122" s="139"/>
      <c r="BV122" s="139"/>
      <c r="BW122" s="139"/>
      <c r="BX122" s="139"/>
      <c r="BY122" s="139"/>
      <c r="BZ122" s="139"/>
      <c r="CA122" s="139"/>
      <c r="CB122" s="139"/>
      <c r="CC122" s="139"/>
      <c r="CD122" s="139"/>
      <c r="CE122" s="139"/>
      <c r="CF122" s="0"/>
      <c r="CK122" s="206"/>
      <c r="CL122" s="206"/>
      <c r="CM122" s="180"/>
      <c r="CN122" s="0"/>
      <c r="CO122" s="0"/>
      <c r="CP122" s="0"/>
      <c r="CQ122" s="0"/>
      <c r="CR122" s="0"/>
      <c r="CW122" s="181" t="n">
        <f aca="false">K122</f>
        <v>40483</v>
      </c>
      <c r="CX122" s="182" t="n">
        <f aca="false">AF122</f>
        <v>0.2</v>
      </c>
      <c r="CY122" s="182" t="n">
        <f aca="false">AG122</f>
        <v>0.25</v>
      </c>
      <c r="CZ122" s="182" t="n">
        <f aca="false">AH122</f>
        <v>0.3</v>
      </c>
      <c r="DB122" s="182" t="n">
        <f aca="false">X122</f>
        <v>0.16</v>
      </c>
      <c r="DC122" s="182" t="n">
        <f aca="false">Y122</f>
        <v>0.2</v>
      </c>
      <c r="DD122" s="182" t="n">
        <f aca="false">Z122</f>
        <v>0.24</v>
      </c>
      <c r="DF122" s="181" t="n">
        <f aca="false">BF122</f>
        <v>40483</v>
      </c>
      <c r="DG122" s="133" t="n">
        <f aca="false">BG122</f>
        <v>0.75</v>
      </c>
      <c r="DJ122" s="181" t="n">
        <f aca="false">CW122</f>
        <v>40483</v>
      </c>
      <c r="DK122" s="182" t="n">
        <f aca="false">AJ122</f>
        <v>0.12</v>
      </c>
      <c r="DL122" s="182" t="n">
        <f aca="false">AK122</f>
        <v>0.15</v>
      </c>
      <c r="DM122" s="182" t="n">
        <f aca="false">AL122</f>
        <v>0.18</v>
      </c>
      <c r="DO122" s="182" t="n">
        <f aca="false">AB122</f>
        <v>0.08</v>
      </c>
      <c r="DP122" s="182" t="n">
        <f aca="false">AC122</f>
        <v>0.1</v>
      </c>
      <c r="DQ122" s="182" t="n">
        <f aca="false">AD122</f>
        <v>0.12</v>
      </c>
    </row>
    <row r="123" customFormat="false" ht="12.75" hidden="false" customHeight="false" outlineLevel="0" collapsed="false">
      <c r="A123" s="133"/>
      <c r="B123" s="174" t="n">
        <v>39630</v>
      </c>
      <c r="C123" s="175" t="n">
        <v>43</v>
      </c>
      <c r="D123" s="175" t="n">
        <v>53</v>
      </c>
      <c r="E123" s="175" t="n">
        <v>63</v>
      </c>
      <c r="F123" s="159"/>
      <c r="G123" s="175" t="n">
        <v>24.0400009155273</v>
      </c>
      <c r="H123" s="175" t="n">
        <v>24.0400009155273</v>
      </c>
      <c r="I123" s="175" t="n">
        <v>24.0400009155273</v>
      </c>
      <c r="J123" s="140"/>
      <c r="K123" s="141" t="n">
        <v>40513</v>
      </c>
      <c r="L123" s="176" t="n">
        <v>27.2900009155273</v>
      </c>
      <c r="M123" s="176" t="n">
        <v>27.2900009155273</v>
      </c>
      <c r="N123" s="176" t="n">
        <v>27.2900009155273</v>
      </c>
      <c r="O123" s="139"/>
      <c r="P123" s="176" t="n">
        <v>21.7900009155273</v>
      </c>
      <c r="Q123" s="176" t="n">
        <v>21.7900009155273</v>
      </c>
      <c r="R123" s="176" t="n">
        <v>21.7900009155273</v>
      </c>
      <c r="S123" s="139"/>
      <c r="T123" s="176" t="n">
        <v>0</v>
      </c>
      <c r="U123" s="176" t="n">
        <v>0</v>
      </c>
      <c r="V123" s="176" t="n">
        <v>0</v>
      </c>
      <c r="W123" s="139"/>
      <c r="X123" s="176" t="n">
        <v>0.16</v>
      </c>
      <c r="Y123" s="176" t="n">
        <v>0.2</v>
      </c>
      <c r="Z123" s="176" t="n">
        <v>0.24</v>
      </c>
      <c r="AA123" s="139"/>
      <c r="AB123" s="176" t="n">
        <v>0.08</v>
      </c>
      <c r="AC123" s="176" t="n">
        <v>0.1</v>
      </c>
      <c r="AD123" s="176" t="n">
        <v>0.12</v>
      </c>
      <c r="AE123" s="139"/>
      <c r="AF123" s="176" t="n">
        <v>0.2</v>
      </c>
      <c r="AG123" s="176" t="n">
        <v>0.25</v>
      </c>
      <c r="AH123" s="176" t="n">
        <v>0.3</v>
      </c>
      <c r="AI123" s="139"/>
      <c r="AJ123" s="176" t="n">
        <v>0.12</v>
      </c>
      <c r="AK123" s="176" t="n">
        <v>0.15</v>
      </c>
      <c r="AL123" s="176" t="n">
        <v>0.18</v>
      </c>
      <c r="AM123" s="139"/>
      <c r="AN123" s="140" t="n">
        <v>38</v>
      </c>
      <c r="AO123" s="177" t="n">
        <v>0.4</v>
      </c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41" t="n">
        <v>40513</v>
      </c>
      <c r="BG123" s="179" t="n">
        <v>0.75</v>
      </c>
      <c r="BH123" s="139"/>
      <c r="BI123" s="139"/>
      <c r="BJ123" s="139"/>
      <c r="BK123" s="139"/>
      <c r="BL123" s="139"/>
      <c r="BM123" s="139"/>
      <c r="BN123" s="139"/>
      <c r="BO123" s="139"/>
      <c r="BP123" s="139"/>
      <c r="BQ123" s="139"/>
      <c r="BR123" s="139"/>
      <c r="BS123" s="139"/>
      <c r="BT123" s="139"/>
      <c r="BU123" s="139"/>
      <c r="BV123" s="139"/>
      <c r="BW123" s="139"/>
      <c r="BX123" s="139"/>
      <c r="BY123" s="139"/>
      <c r="BZ123" s="139"/>
      <c r="CA123" s="139"/>
      <c r="CB123" s="139"/>
      <c r="CC123" s="139"/>
      <c r="CD123" s="139"/>
      <c r="CE123" s="139"/>
      <c r="CF123" s="0"/>
      <c r="CK123" s="206"/>
      <c r="CL123" s="206"/>
      <c r="CM123" s="180"/>
      <c r="CN123" s="0"/>
      <c r="CO123" s="0"/>
      <c r="CP123" s="0"/>
      <c r="CQ123" s="0"/>
      <c r="CR123" s="0"/>
      <c r="CW123" s="181" t="n">
        <f aca="false">K123</f>
        <v>40513</v>
      </c>
      <c r="CX123" s="182" t="n">
        <f aca="false">AF123</f>
        <v>0.2</v>
      </c>
      <c r="CY123" s="182" t="n">
        <f aca="false">AG123</f>
        <v>0.25</v>
      </c>
      <c r="CZ123" s="182" t="n">
        <f aca="false">AH123</f>
        <v>0.3</v>
      </c>
      <c r="DB123" s="182" t="n">
        <f aca="false">X123</f>
        <v>0.16</v>
      </c>
      <c r="DC123" s="182" t="n">
        <f aca="false">Y123</f>
        <v>0.2</v>
      </c>
      <c r="DD123" s="182" t="n">
        <f aca="false">Z123</f>
        <v>0.24</v>
      </c>
      <c r="DF123" s="181" t="n">
        <f aca="false">BF123</f>
        <v>40513</v>
      </c>
      <c r="DG123" s="133" t="n">
        <f aca="false">BG123</f>
        <v>0.75</v>
      </c>
      <c r="DJ123" s="181" t="n">
        <f aca="false">CW123</f>
        <v>40513</v>
      </c>
      <c r="DK123" s="182" t="n">
        <f aca="false">AJ123</f>
        <v>0.12</v>
      </c>
      <c r="DL123" s="182" t="n">
        <f aca="false">AK123</f>
        <v>0.15</v>
      </c>
      <c r="DM123" s="182" t="n">
        <f aca="false">AL123</f>
        <v>0.18</v>
      </c>
      <c r="DO123" s="182" t="n">
        <f aca="false">AB123</f>
        <v>0.08</v>
      </c>
      <c r="DP123" s="182" t="n">
        <f aca="false">AC123</f>
        <v>0.1</v>
      </c>
      <c r="DQ123" s="182" t="n">
        <f aca="false">AD123</f>
        <v>0.12</v>
      </c>
    </row>
    <row r="124" customFormat="false" ht="12.75" hidden="false" customHeight="false" outlineLevel="0" collapsed="false">
      <c r="A124" s="133"/>
      <c r="B124" s="174" t="n">
        <v>39661</v>
      </c>
      <c r="C124" s="175" t="n">
        <v>43</v>
      </c>
      <c r="D124" s="175" t="n">
        <v>53</v>
      </c>
      <c r="E124" s="175" t="n">
        <v>63</v>
      </c>
      <c r="F124" s="159"/>
      <c r="G124" s="175" t="n">
        <v>25.0400009155273</v>
      </c>
      <c r="H124" s="175" t="n">
        <v>25.0400009155273</v>
      </c>
      <c r="I124" s="175" t="n">
        <v>25.0400009155273</v>
      </c>
      <c r="J124" s="140"/>
      <c r="K124" s="141" t="n">
        <v>40544</v>
      </c>
      <c r="L124" s="176" t="n">
        <v>35.75</v>
      </c>
      <c r="M124" s="176" t="n">
        <v>35.75</v>
      </c>
      <c r="N124" s="176" t="n">
        <v>35.75</v>
      </c>
      <c r="O124" s="139"/>
      <c r="P124" s="176" t="n">
        <v>25.25</v>
      </c>
      <c r="Q124" s="176" t="n">
        <v>25.25</v>
      </c>
      <c r="R124" s="176" t="n">
        <v>25.25</v>
      </c>
      <c r="S124" s="139"/>
      <c r="T124" s="176" t="n">
        <v>0</v>
      </c>
      <c r="U124" s="176" t="n">
        <v>0</v>
      </c>
      <c r="V124" s="176" t="n">
        <v>0</v>
      </c>
      <c r="W124" s="139"/>
      <c r="X124" s="176" t="n">
        <v>0.16</v>
      </c>
      <c r="Y124" s="176" t="n">
        <v>0.2</v>
      </c>
      <c r="Z124" s="176" t="n">
        <v>0.24</v>
      </c>
      <c r="AA124" s="139"/>
      <c r="AB124" s="176" t="n">
        <v>0.08</v>
      </c>
      <c r="AC124" s="176" t="n">
        <v>0.1</v>
      </c>
      <c r="AD124" s="176" t="n">
        <v>0.12</v>
      </c>
      <c r="AE124" s="139"/>
      <c r="AF124" s="176" t="n">
        <v>0.2</v>
      </c>
      <c r="AG124" s="176" t="n">
        <v>0.25</v>
      </c>
      <c r="AH124" s="176" t="n">
        <v>0.3</v>
      </c>
      <c r="AI124" s="139"/>
      <c r="AJ124" s="176" t="n">
        <v>0.12</v>
      </c>
      <c r="AK124" s="176" t="n">
        <v>0.15</v>
      </c>
      <c r="AL124" s="176" t="n">
        <v>0.18</v>
      </c>
      <c r="AM124" s="139"/>
      <c r="AN124" s="140" t="n">
        <v>39</v>
      </c>
      <c r="AO124" s="177" t="n">
        <v>0.4</v>
      </c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41" t="n">
        <v>40544</v>
      </c>
      <c r="BG124" s="179" t="n">
        <v>0.75</v>
      </c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39"/>
      <c r="BR124" s="139"/>
      <c r="BS124" s="139"/>
      <c r="BT124" s="139"/>
      <c r="BU124" s="139"/>
      <c r="BV124" s="139"/>
      <c r="BW124" s="139"/>
      <c r="BX124" s="139"/>
      <c r="BY124" s="139"/>
      <c r="BZ124" s="139"/>
      <c r="CA124" s="139"/>
      <c r="CB124" s="139"/>
      <c r="CC124" s="139"/>
      <c r="CD124" s="139"/>
      <c r="CE124" s="139"/>
      <c r="CF124" s="0"/>
      <c r="CK124" s="206"/>
      <c r="CL124" s="206"/>
      <c r="CM124" s="180"/>
      <c r="CN124" s="0"/>
      <c r="CO124" s="0"/>
      <c r="CP124" s="0"/>
      <c r="CQ124" s="0"/>
      <c r="CR124" s="0"/>
      <c r="CW124" s="181" t="n">
        <f aca="false">K124</f>
        <v>40544</v>
      </c>
      <c r="CX124" s="182" t="n">
        <f aca="false">AF124</f>
        <v>0.2</v>
      </c>
      <c r="CY124" s="182" t="n">
        <f aca="false">AG124</f>
        <v>0.25</v>
      </c>
      <c r="CZ124" s="182" t="n">
        <f aca="false">AH124</f>
        <v>0.3</v>
      </c>
      <c r="DB124" s="182" t="n">
        <f aca="false">X124</f>
        <v>0.16</v>
      </c>
      <c r="DC124" s="182" t="n">
        <f aca="false">Y124</f>
        <v>0.2</v>
      </c>
      <c r="DD124" s="182" t="n">
        <f aca="false">Z124</f>
        <v>0.24</v>
      </c>
      <c r="DF124" s="181" t="n">
        <f aca="false">BF124</f>
        <v>40544</v>
      </c>
      <c r="DG124" s="133" t="n">
        <f aca="false">BG124</f>
        <v>0.75</v>
      </c>
      <c r="DJ124" s="181" t="n">
        <f aca="false">CW124</f>
        <v>40544</v>
      </c>
      <c r="DK124" s="182" t="n">
        <f aca="false">AJ124</f>
        <v>0.12</v>
      </c>
      <c r="DL124" s="182" t="n">
        <f aca="false">AK124</f>
        <v>0.15</v>
      </c>
      <c r="DM124" s="182" t="n">
        <f aca="false">AL124</f>
        <v>0.18</v>
      </c>
      <c r="DO124" s="182" t="n">
        <f aca="false">AB124</f>
        <v>0.08</v>
      </c>
      <c r="DP124" s="182" t="n">
        <f aca="false">AC124</f>
        <v>0.1</v>
      </c>
      <c r="DQ124" s="182" t="n">
        <f aca="false">AD124</f>
        <v>0.12</v>
      </c>
    </row>
    <row r="125" customFormat="false" ht="12.75" hidden="false" customHeight="false" outlineLevel="0" collapsed="false">
      <c r="A125" s="133"/>
      <c r="B125" s="174" t="n">
        <v>39692</v>
      </c>
      <c r="C125" s="175" t="n">
        <v>29.0699996948242</v>
      </c>
      <c r="D125" s="175" t="n">
        <v>30.5699996948242</v>
      </c>
      <c r="E125" s="175" t="n">
        <v>32.0699996948242</v>
      </c>
      <c r="F125" s="159"/>
      <c r="G125" s="175" t="n">
        <v>19.0400009155273</v>
      </c>
      <c r="H125" s="175" t="n">
        <v>19.0400009155273</v>
      </c>
      <c r="I125" s="175" t="n">
        <v>19.0400009155273</v>
      </c>
      <c r="J125" s="140"/>
      <c r="K125" s="141" t="n">
        <v>40575</v>
      </c>
      <c r="L125" s="176" t="n">
        <v>31.2460021972656</v>
      </c>
      <c r="M125" s="176" t="n">
        <v>31.2460021972656</v>
      </c>
      <c r="N125" s="176" t="n">
        <v>31.2460021972656</v>
      </c>
      <c r="O125" s="139"/>
      <c r="P125" s="176" t="n">
        <v>22.7465019226074</v>
      </c>
      <c r="Q125" s="176" t="n">
        <v>22.7465019226074</v>
      </c>
      <c r="R125" s="176" t="n">
        <v>22.7465019226074</v>
      </c>
      <c r="S125" s="139"/>
      <c r="T125" s="176" t="n">
        <v>0</v>
      </c>
      <c r="U125" s="176" t="n">
        <v>0</v>
      </c>
      <c r="V125" s="176" t="n">
        <v>0</v>
      </c>
      <c r="W125" s="139"/>
      <c r="X125" s="176" t="n">
        <v>0.16</v>
      </c>
      <c r="Y125" s="176" t="n">
        <v>0.2</v>
      </c>
      <c r="Z125" s="176" t="n">
        <v>0.24</v>
      </c>
      <c r="AA125" s="139"/>
      <c r="AB125" s="176" t="n">
        <v>0.08</v>
      </c>
      <c r="AC125" s="176" t="n">
        <v>0.1</v>
      </c>
      <c r="AD125" s="176" t="n">
        <v>0.12</v>
      </c>
      <c r="AE125" s="139"/>
      <c r="AF125" s="176" t="n">
        <v>0.2</v>
      </c>
      <c r="AG125" s="176" t="n">
        <v>0.25</v>
      </c>
      <c r="AH125" s="176" t="n">
        <v>0.3</v>
      </c>
      <c r="AI125" s="139"/>
      <c r="AJ125" s="176" t="n">
        <v>0.12</v>
      </c>
      <c r="AK125" s="176" t="n">
        <v>0.15</v>
      </c>
      <c r="AL125" s="176" t="n">
        <v>0.18</v>
      </c>
      <c r="AM125" s="139"/>
      <c r="AN125" s="140" t="n">
        <v>39</v>
      </c>
      <c r="AO125" s="177" t="n">
        <v>0.4</v>
      </c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41" t="n">
        <v>40575</v>
      </c>
      <c r="BG125" s="179" t="n">
        <v>0.75</v>
      </c>
      <c r="BH125" s="139"/>
      <c r="BI125" s="139"/>
      <c r="BJ125" s="139"/>
      <c r="BK125" s="139"/>
      <c r="BL125" s="139"/>
      <c r="BM125" s="139"/>
      <c r="BN125" s="139"/>
      <c r="BO125" s="139"/>
      <c r="BP125" s="139"/>
      <c r="BQ125" s="139"/>
      <c r="BR125" s="139"/>
      <c r="BS125" s="139"/>
      <c r="BT125" s="139"/>
      <c r="BU125" s="139"/>
      <c r="BV125" s="139"/>
      <c r="BW125" s="139"/>
      <c r="BX125" s="139"/>
      <c r="BY125" s="139"/>
      <c r="BZ125" s="139"/>
      <c r="CA125" s="139"/>
      <c r="CB125" s="139"/>
      <c r="CC125" s="139"/>
      <c r="CD125" s="139"/>
      <c r="CE125" s="139"/>
      <c r="CF125" s="0"/>
      <c r="CK125" s="206"/>
      <c r="CL125" s="206"/>
      <c r="CM125" s="180"/>
      <c r="CN125" s="0"/>
      <c r="CO125" s="0"/>
      <c r="CP125" s="0"/>
      <c r="CQ125" s="0"/>
      <c r="CR125" s="0"/>
      <c r="CW125" s="181" t="n">
        <f aca="false">K125</f>
        <v>40575</v>
      </c>
      <c r="CX125" s="182" t="n">
        <f aca="false">AF125</f>
        <v>0.2</v>
      </c>
      <c r="CY125" s="182" t="n">
        <f aca="false">AG125</f>
        <v>0.25</v>
      </c>
      <c r="CZ125" s="182" t="n">
        <f aca="false">AH125</f>
        <v>0.3</v>
      </c>
      <c r="DB125" s="182" t="n">
        <f aca="false">X125</f>
        <v>0.16</v>
      </c>
      <c r="DC125" s="182" t="n">
        <f aca="false">Y125</f>
        <v>0.2</v>
      </c>
      <c r="DD125" s="182" t="n">
        <f aca="false">Z125</f>
        <v>0.24</v>
      </c>
      <c r="DF125" s="181" t="n">
        <f aca="false">BF125</f>
        <v>40575</v>
      </c>
      <c r="DG125" s="133" t="n">
        <f aca="false">BG125</f>
        <v>0.75</v>
      </c>
      <c r="DJ125" s="181" t="n">
        <f aca="false">CW125</f>
        <v>40575</v>
      </c>
      <c r="DK125" s="182" t="n">
        <f aca="false">AJ125</f>
        <v>0.12</v>
      </c>
      <c r="DL125" s="182" t="n">
        <f aca="false">AK125</f>
        <v>0.15</v>
      </c>
      <c r="DM125" s="182" t="n">
        <f aca="false">AL125</f>
        <v>0.18</v>
      </c>
      <c r="DO125" s="182" t="n">
        <f aca="false">AB125</f>
        <v>0.08</v>
      </c>
      <c r="DP125" s="182" t="n">
        <f aca="false">AC125</f>
        <v>0.1</v>
      </c>
      <c r="DQ125" s="182" t="n">
        <f aca="false">AD125</f>
        <v>0.12</v>
      </c>
    </row>
    <row r="126" customFormat="false" ht="12.75" hidden="false" customHeight="false" outlineLevel="0" collapsed="false">
      <c r="A126" s="133"/>
      <c r="B126" s="174" t="n">
        <v>39722</v>
      </c>
      <c r="C126" s="175" t="n">
        <v>30.9715690612793</v>
      </c>
      <c r="D126" s="175" t="n">
        <v>32.4715690612793</v>
      </c>
      <c r="E126" s="175" t="n">
        <v>33.9715690612793</v>
      </c>
      <c r="F126" s="159"/>
      <c r="G126" s="175" t="n">
        <v>18.540002822876</v>
      </c>
      <c r="H126" s="175" t="n">
        <v>18.540002822876</v>
      </c>
      <c r="I126" s="175" t="n">
        <v>18.540002822876</v>
      </c>
      <c r="J126" s="140"/>
      <c r="K126" s="141" t="n">
        <v>40603</v>
      </c>
      <c r="L126" s="176" t="n">
        <v>25.5</v>
      </c>
      <c r="M126" s="176" t="n">
        <v>25.5</v>
      </c>
      <c r="N126" s="176" t="n">
        <v>25.5</v>
      </c>
      <c r="O126" s="139"/>
      <c r="P126" s="176" t="n">
        <v>20</v>
      </c>
      <c r="Q126" s="176" t="n">
        <v>20</v>
      </c>
      <c r="R126" s="176" t="n">
        <v>20</v>
      </c>
      <c r="S126" s="139"/>
      <c r="T126" s="176" t="n">
        <v>0</v>
      </c>
      <c r="U126" s="176" t="n">
        <v>0</v>
      </c>
      <c r="V126" s="176" t="n">
        <v>0</v>
      </c>
      <c r="W126" s="139"/>
      <c r="X126" s="176" t="n">
        <v>0.16</v>
      </c>
      <c r="Y126" s="176" t="n">
        <v>0.2</v>
      </c>
      <c r="Z126" s="176" t="n">
        <v>0.24</v>
      </c>
      <c r="AA126" s="139"/>
      <c r="AB126" s="176" t="n">
        <v>0.08</v>
      </c>
      <c r="AC126" s="176" t="n">
        <v>0.1</v>
      </c>
      <c r="AD126" s="176" t="n">
        <v>0.12</v>
      </c>
      <c r="AE126" s="139"/>
      <c r="AF126" s="176" t="n">
        <v>0.2</v>
      </c>
      <c r="AG126" s="176" t="n">
        <v>0.25</v>
      </c>
      <c r="AH126" s="176" t="n">
        <v>0.3</v>
      </c>
      <c r="AI126" s="139"/>
      <c r="AJ126" s="176" t="n">
        <v>0.12</v>
      </c>
      <c r="AK126" s="176" t="n">
        <v>0.15</v>
      </c>
      <c r="AL126" s="176" t="n">
        <v>0.18</v>
      </c>
      <c r="AM126" s="139"/>
      <c r="AN126" s="140" t="n">
        <v>39</v>
      </c>
      <c r="AO126" s="177" t="n">
        <v>0.4</v>
      </c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41" t="n">
        <v>40603</v>
      </c>
      <c r="BG126" s="179" t="n">
        <v>0.75</v>
      </c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0"/>
      <c r="CK126" s="206"/>
      <c r="CL126" s="206"/>
      <c r="CM126" s="180"/>
      <c r="CN126" s="0"/>
      <c r="CO126" s="0"/>
      <c r="CP126" s="0"/>
      <c r="CQ126" s="0"/>
      <c r="CR126" s="0"/>
      <c r="CW126" s="181" t="n">
        <f aca="false">K126</f>
        <v>40603</v>
      </c>
      <c r="CX126" s="182" t="n">
        <f aca="false">AF126</f>
        <v>0.2</v>
      </c>
      <c r="CY126" s="182" t="n">
        <f aca="false">AG126</f>
        <v>0.25</v>
      </c>
      <c r="CZ126" s="182" t="n">
        <f aca="false">AH126</f>
        <v>0.3</v>
      </c>
      <c r="DB126" s="182" t="n">
        <f aca="false">X126</f>
        <v>0.16</v>
      </c>
      <c r="DC126" s="182" t="n">
        <f aca="false">Y126</f>
        <v>0.2</v>
      </c>
      <c r="DD126" s="182" t="n">
        <f aca="false">Z126</f>
        <v>0.24</v>
      </c>
      <c r="DF126" s="181" t="n">
        <f aca="false">BF126</f>
        <v>40603</v>
      </c>
      <c r="DG126" s="133" t="n">
        <f aca="false">BG126</f>
        <v>0.75</v>
      </c>
      <c r="DJ126" s="181" t="n">
        <f aca="false">CW126</f>
        <v>40603</v>
      </c>
      <c r="DK126" s="182" t="n">
        <f aca="false">AJ126</f>
        <v>0.12</v>
      </c>
      <c r="DL126" s="182" t="n">
        <f aca="false">AK126</f>
        <v>0.15</v>
      </c>
      <c r="DM126" s="182" t="n">
        <f aca="false">AL126</f>
        <v>0.18</v>
      </c>
      <c r="DO126" s="182" t="n">
        <f aca="false">AB126</f>
        <v>0.08</v>
      </c>
      <c r="DP126" s="182" t="n">
        <f aca="false">AC126</f>
        <v>0.1</v>
      </c>
      <c r="DQ126" s="182" t="n">
        <f aca="false">AD126</f>
        <v>0.12</v>
      </c>
    </row>
    <row r="127" customFormat="false" ht="12.75" hidden="false" customHeight="false" outlineLevel="0" collapsed="false">
      <c r="A127" s="133"/>
      <c r="B127" s="174" t="n">
        <v>39753</v>
      </c>
      <c r="C127" s="175" t="n">
        <v>31.0715675354004</v>
      </c>
      <c r="D127" s="175" t="n">
        <v>32.5715675354004</v>
      </c>
      <c r="E127" s="175" t="n">
        <v>34.0715675354004</v>
      </c>
      <c r="F127" s="159"/>
      <c r="G127" s="175" t="n">
        <v>19.5400009155273</v>
      </c>
      <c r="H127" s="175" t="n">
        <v>19.5400009155273</v>
      </c>
      <c r="I127" s="175" t="n">
        <v>19.5400009155273</v>
      </c>
      <c r="J127" s="140"/>
      <c r="K127" s="141" t="n">
        <v>40634</v>
      </c>
      <c r="L127" s="176" t="n">
        <v>22</v>
      </c>
      <c r="M127" s="176" t="n">
        <v>22</v>
      </c>
      <c r="N127" s="176" t="n">
        <v>22</v>
      </c>
      <c r="O127" s="139"/>
      <c r="P127" s="176" t="n">
        <v>16.4950008392334</v>
      </c>
      <c r="Q127" s="176" t="n">
        <v>16.4950008392334</v>
      </c>
      <c r="R127" s="176" t="n">
        <v>16.4950008392334</v>
      </c>
      <c r="S127" s="139"/>
      <c r="T127" s="176" t="n">
        <v>0</v>
      </c>
      <c r="U127" s="176" t="n">
        <v>0</v>
      </c>
      <c r="V127" s="176" t="n">
        <v>0</v>
      </c>
      <c r="W127" s="139"/>
      <c r="X127" s="176" t="n">
        <v>0.16</v>
      </c>
      <c r="Y127" s="176" t="n">
        <v>0.2</v>
      </c>
      <c r="Z127" s="176" t="n">
        <v>0.24</v>
      </c>
      <c r="AA127" s="139"/>
      <c r="AB127" s="176" t="n">
        <v>0.08</v>
      </c>
      <c r="AC127" s="176" t="n">
        <v>0.1</v>
      </c>
      <c r="AD127" s="176" t="n">
        <v>0.12</v>
      </c>
      <c r="AE127" s="139"/>
      <c r="AF127" s="176" t="n">
        <v>0.2</v>
      </c>
      <c r="AG127" s="176" t="n">
        <v>0.25</v>
      </c>
      <c r="AH127" s="176" t="n">
        <v>0.3</v>
      </c>
      <c r="AI127" s="139"/>
      <c r="AJ127" s="176" t="n">
        <v>0.12</v>
      </c>
      <c r="AK127" s="176" t="n">
        <v>0.15</v>
      </c>
      <c r="AL127" s="176" t="n">
        <v>0.18</v>
      </c>
      <c r="AM127" s="139"/>
      <c r="AN127" s="140" t="n">
        <v>40</v>
      </c>
      <c r="AO127" s="177" t="n">
        <v>0.4</v>
      </c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41" t="n">
        <v>40634</v>
      </c>
      <c r="BG127" s="179" t="n">
        <v>0.75</v>
      </c>
      <c r="BH127" s="139"/>
      <c r="BI127" s="139"/>
      <c r="BJ127" s="139"/>
      <c r="BK127" s="139"/>
      <c r="BL127" s="139"/>
      <c r="BM127" s="139"/>
      <c r="BN127" s="139"/>
      <c r="BO127" s="139"/>
      <c r="BP127" s="139"/>
      <c r="BQ127" s="139"/>
      <c r="BR127" s="139"/>
      <c r="BS127" s="139"/>
      <c r="BT127" s="139"/>
      <c r="BU127" s="139"/>
      <c r="BV127" s="139"/>
      <c r="BW127" s="139"/>
      <c r="BX127" s="139"/>
      <c r="BY127" s="139"/>
      <c r="BZ127" s="139"/>
      <c r="CA127" s="139"/>
      <c r="CB127" s="139"/>
      <c r="CC127" s="139"/>
      <c r="CD127" s="139"/>
      <c r="CE127" s="139"/>
      <c r="CF127" s="0"/>
      <c r="CK127" s="206"/>
      <c r="CL127" s="206"/>
      <c r="CM127" s="180"/>
      <c r="CN127" s="0"/>
      <c r="CO127" s="0"/>
      <c r="CP127" s="0"/>
      <c r="CQ127" s="0"/>
      <c r="CR127" s="0"/>
      <c r="CW127" s="181" t="n">
        <f aca="false">K127</f>
        <v>40634</v>
      </c>
      <c r="CX127" s="182" t="n">
        <f aca="false">AF127</f>
        <v>0.2</v>
      </c>
      <c r="CY127" s="182" t="n">
        <f aca="false">AG127</f>
        <v>0.25</v>
      </c>
      <c r="CZ127" s="182" t="n">
        <f aca="false">AH127</f>
        <v>0.3</v>
      </c>
      <c r="DB127" s="182" t="n">
        <f aca="false">X127</f>
        <v>0.16</v>
      </c>
      <c r="DC127" s="182" t="n">
        <f aca="false">Y127</f>
        <v>0.2</v>
      </c>
      <c r="DD127" s="182" t="n">
        <f aca="false">Z127</f>
        <v>0.24</v>
      </c>
      <c r="DF127" s="181" t="n">
        <f aca="false">BF127</f>
        <v>40634</v>
      </c>
      <c r="DG127" s="133" t="n">
        <f aca="false">BG127</f>
        <v>0.75</v>
      </c>
      <c r="DJ127" s="181" t="n">
        <f aca="false">CW127</f>
        <v>40634</v>
      </c>
      <c r="DK127" s="182" t="n">
        <f aca="false">AJ127</f>
        <v>0.12</v>
      </c>
      <c r="DL127" s="182" t="n">
        <f aca="false">AK127</f>
        <v>0.15</v>
      </c>
      <c r="DM127" s="182" t="n">
        <f aca="false">AL127</f>
        <v>0.18</v>
      </c>
      <c r="DO127" s="182" t="n">
        <f aca="false">AB127</f>
        <v>0.08</v>
      </c>
      <c r="DP127" s="182" t="n">
        <f aca="false">AC127</f>
        <v>0.1</v>
      </c>
      <c r="DQ127" s="182" t="n">
        <f aca="false">AD127</f>
        <v>0.12</v>
      </c>
    </row>
    <row r="128" customFormat="false" ht="12.75" hidden="false" customHeight="false" outlineLevel="0" collapsed="false">
      <c r="A128" s="133"/>
      <c r="B128" s="174" t="n">
        <v>39783</v>
      </c>
      <c r="C128" s="175" t="n">
        <v>31.1715660095215</v>
      </c>
      <c r="D128" s="175" t="n">
        <v>32.6715660095215</v>
      </c>
      <c r="E128" s="175" t="n">
        <v>34.1715660095215</v>
      </c>
      <c r="F128" s="159"/>
      <c r="G128" s="175" t="n">
        <v>21.7900009155273</v>
      </c>
      <c r="H128" s="175" t="n">
        <v>21.7900009155273</v>
      </c>
      <c r="I128" s="175" t="n">
        <v>21.7900009155273</v>
      </c>
      <c r="J128" s="140"/>
      <c r="K128" s="141" t="n">
        <v>40664</v>
      </c>
      <c r="L128" s="176" t="n">
        <v>22.2900009155273</v>
      </c>
      <c r="M128" s="176" t="n">
        <v>22.2900009155273</v>
      </c>
      <c r="N128" s="176" t="n">
        <v>22.2900009155273</v>
      </c>
      <c r="O128" s="139"/>
      <c r="P128" s="176" t="n">
        <v>15.7950000762939</v>
      </c>
      <c r="Q128" s="176" t="n">
        <v>15.7950000762939</v>
      </c>
      <c r="R128" s="176" t="n">
        <v>15.7950000762939</v>
      </c>
      <c r="S128" s="139"/>
      <c r="T128" s="176" t="n">
        <v>0</v>
      </c>
      <c r="U128" s="176" t="n">
        <v>0</v>
      </c>
      <c r="V128" s="176" t="n">
        <v>0</v>
      </c>
      <c r="W128" s="139"/>
      <c r="X128" s="176" t="n">
        <v>0.16</v>
      </c>
      <c r="Y128" s="176" t="n">
        <v>0.2</v>
      </c>
      <c r="Z128" s="176" t="n">
        <v>0.24</v>
      </c>
      <c r="AA128" s="139"/>
      <c r="AB128" s="176" t="n">
        <v>0.08</v>
      </c>
      <c r="AC128" s="176" t="n">
        <v>0.1</v>
      </c>
      <c r="AD128" s="176" t="n">
        <v>0.12</v>
      </c>
      <c r="AE128" s="139"/>
      <c r="AF128" s="176" t="n">
        <v>0.2</v>
      </c>
      <c r="AG128" s="176" t="n">
        <v>0.25</v>
      </c>
      <c r="AH128" s="176" t="n">
        <v>0.3</v>
      </c>
      <c r="AI128" s="139"/>
      <c r="AJ128" s="176" t="n">
        <v>0.12</v>
      </c>
      <c r="AK128" s="176" t="n">
        <v>0.15</v>
      </c>
      <c r="AL128" s="176" t="n">
        <v>0.18</v>
      </c>
      <c r="AM128" s="139"/>
      <c r="AN128" s="140" t="n">
        <v>40</v>
      </c>
      <c r="AO128" s="177" t="n">
        <v>0.4</v>
      </c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41" t="n">
        <v>40664</v>
      </c>
      <c r="BG128" s="179" t="n">
        <v>0.75</v>
      </c>
      <c r="BH128" s="139"/>
      <c r="BI128" s="139"/>
      <c r="BJ128" s="139"/>
      <c r="BK128" s="139"/>
      <c r="BL128" s="139"/>
      <c r="BM128" s="139"/>
      <c r="BN128" s="139"/>
      <c r="BO128" s="139"/>
      <c r="BP128" s="139"/>
      <c r="BQ128" s="139"/>
      <c r="BR128" s="139"/>
      <c r="BS128" s="139"/>
      <c r="BT128" s="139"/>
      <c r="BU128" s="139"/>
      <c r="BV128" s="139"/>
      <c r="BW128" s="139"/>
      <c r="BX128" s="139"/>
      <c r="BY128" s="139"/>
      <c r="BZ128" s="139"/>
      <c r="CA128" s="139"/>
      <c r="CB128" s="139"/>
      <c r="CC128" s="139"/>
      <c r="CD128" s="139"/>
      <c r="CE128" s="139"/>
      <c r="CF128" s="0"/>
      <c r="CK128" s="206"/>
      <c r="CL128" s="206"/>
      <c r="CM128" s="180"/>
      <c r="CN128" s="0"/>
      <c r="CO128" s="0"/>
      <c r="CP128" s="0"/>
      <c r="CQ128" s="0"/>
      <c r="CR128" s="0"/>
      <c r="CW128" s="181" t="n">
        <f aca="false">K128</f>
        <v>40664</v>
      </c>
      <c r="CX128" s="182" t="n">
        <f aca="false">AF128</f>
        <v>0.2</v>
      </c>
      <c r="CY128" s="182" t="n">
        <f aca="false">AG128</f>
        <v>0.25</v>
      </c>
      <c r="CZ128" s="182" t="n">
        <f aca="false">AH128</f>
        <v>0.3</v>
      </c>
      <c r="DB128" s="182" t="n">
        <f aca="false">X128</f>
        <v>0.16</v>
      </c>
      <c r="DC128" s="182" t="n">
        <f aca="false">Y128</f>
        <v>0.2</v>
      </c>
      <c r="DD128" s="182" t="n">
        <f aca="false">Z128</f>
        <v>0.24</v>
      </c>
      <c r="DF128" s="181" t="n">
        <f aca="false">BF128</f>
        <v>40664</v>
      </c>
      <c r="DG128" s="133" t="n">
        <f aca="false">BG128</f>
        <v>0.75</v>
      </c>
      <c r="DJ128" s="181" t="n">
        <f aca="false">CW128</f>
        <v>40664</v>
      </c>
      <c r="DK128" s="182" t="n">
        <f aca="false">AJ128</f>
        <v>0.12</v>
      </c>
      <c r="DL128" s="182" t="n">
        <f aca="false">AK128</f>
        <v>0.15</v>
      </c>
      <c r="DM128" s="182" t="n">
        <f aca="false">AL128</f>
        <v>0.18</v>
      </c>
      <c r="DO128" s="182" t="n">
        <f aca="false">AB128</f>
        <v>0.08</v>
      </c>
      <c r="DP128" s="182" t="n">
        <f aca="false">AC128</f>
        <v>0.1</v>
      </c>
      <c r="DQ128" s="182" t="n">
        <f aca="false">AD128</f>
        <v>0.12</v>
      </c>
    </row>
    <row r="129" customFormat="false" ht="12.75" hidden="false" customHeight="false" outlineLevel="0" collapsed="false">
      <c r="A129" s="133"/>
      <c r="B129" s="174" t="n">
        <v>39814</v>
      </c>
      <c r="C129" s="175" t="n">
        <v>34.5957145690918</v>
      </c>
      <c r="D129" s="175" t="n">
        <v>36.0957145690918</v>
      </c>
      <c r="E129" s="175" t="n">
        <v>37.5957145690918</v>
      </c>
      <c r="F129" s="159"/>
      <c r="G129" s="175" t="n">
        <v>24</v>
      </c>
      <c r="H129" s="175" t="n">
        <v>24</v>
      </c>
      <c r="I129" s="175" t="n">
        <v>24</v>
      </c>
      <c r="J129" s="140"/>
      <c r="K129" s="141" t="n">
        <v>40695</v>
      </c>
      <c r="L129" s="176" t="n">
        <v>29.2900009155273</v>
      </c>
      <c r="M129" s="176" t="n">
        <v>29.2900009155273</v>
      </c>
      <c r="N129" s="176" t="n">
        <v>29.2900009155273</v>
      </c>
      <c r="O129" s="139"/>
      <c r="P129" s="176" t="n">
        <v>19.7900009155273</v>
      </c>
      <c r="Q129" s="176" t="n">
        <v>19.7900009155273</v>
      </c>
      <c r="R129" s="176" t="n">
        <v>19.7900009155273</v>
      </c>
      <c r="S129" s="139"/>
      <c r="T129" s="176" t="n">
        <v>0</v>
      </c>
      <c r="U129" s="176" t="n">
        <v>0</v>
      </c>
      <c r="V129" s="176" t="n">
        <v>0</v>
      </c>
      <c r="W129" s="139"/>
      <c r="X129" s="176" t="n">
        <v>0.16</v>
      </c>
      <c r="Y129" s="176" t="n">
        <v>0.2</v>
      </c>
      <c r="Z129" s="176" t="n">
        <v>0.24</v>
      </c>
      <c r="AA129" s="139"/>
      <c r="AB129" s="176" t="n">
        <v>0.08</v>
      </c>
      <c r="AC129" s="176" t="n">
        <v>0.1</v>
      </c>
      <c r="AD129" s="176" t="n">
        <v>0.12</v>
      </c>
      <c r="AE129" s="139"/>
      <c r="AF129" s="176" t="n">
        <v>0.2</v>
      </c>
      <c r="AG129" s="176" t="n">
        <v>0.25</v>
      </c>
      <c r="AH129" s="176" t="n">
        <v>0.3</v>
      </c>
      <c r="AI129" s="139"/>
      <c r="AJ129" s="176" t="n">
        <v>0.12</v>
      </c>
      <c r="AK129" s="176" t="n">
        <v>0.15</v>
      </c>
      <c r="AL129" s="176" t="n">
        <v>0.18</v>
      </c>
      <c r="AM129" s="139"/>
      <c r="AN129" s="140" t="n">
        <v>40</v>
      </c>
      <c r="AO129" s="177" t="n">
        <v>0.4</v>
      </c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41" t="n">
        <v>40695</v>
      </c>
      <c r="BG129" s="179" t="n">
        <v>0.75</v>
      </c>
      <c r="BH129" s="139"/>
      <c r="BI129" s="139"/>
      <c r="BJ129" s="139"/>
      <c r="BK129" s="139"/>
      <c r="BL129" s="139"/>
      <c r="BM129" s="139"/>
      <c r="BN129" s="139"/>
      <c r="BO129" s="139"/>
      <c r="BP129" s="139"/>
      <c r="BQ129" s="139"/>
      <c r="BR129" s="139"/>
      <c r="BS129" s="139"/>
      <c r="BT129" s="139"/>
      <c r="BU129" s="139"/>
      <c r="BV129" s="139"/>
      <c r="BW129" s="139"/>
      <c r="BX129" s="139"/>
      <c r="BY129" s="139"/>
      <c r="BZ129" s="139"/>
      <c r="CA129" s="139"/>
      <c r="CB129" s="139"/>
      <c r="CC129" s="139"/>
      <c r="CD129" s="139"/>
      <c r="CE129" s="139"/>
      <c r="CF129" s="0"/>
      <c r="CK129" s="206"/>
      <c r="CL129" s="206"/>
      <c r="CM129" s="180"/>
      <c r="CN129" s="0"/>
      <c r="CO129" s="0"/>
      <c r="CP129" s="0"/>
      <c r="CQ129" s="0"/>
      <c r="CR129" s="0"/>
      <c r="CW129" s="181" t="n">
        <f aca="false">K129</f>
        <v>40695</v>
      </c>
      <c r="CX129" s="182" t="n">
        <f aca="false">AF129</f>
        <v>0.2</v>
      </c>
      <c r="CY129" s="182" t="n">
        <f aca="false">AG129</f>
        <v>0.25</v>
      </c>
      <c r="CZ129" s="182" t="n">
        <f aca="false">AH129</f>
        <v>0.3</v>
      </c>
      <c r="DB129" s="182" t="n">
        <f aca="false">X129</f>
        <v>0.16</v>
      </c>
      <c r="DC129" s="182" t="n">
        <f aca="false">Y129</f>
        <v>0.2</v>
      </c>
      <c r="DD129" s="182" t="n">
        <f aca="false">Z129</f>
        <v>0.24</v>
      </c>
      <c r="DF129" s="181" t="n">
        <f aca="false">BF129</f>
        <v>40695</v>
      </c>
      <c r="DG129" s="133" t="n">
        <f aca="false">BG129</f>
        <v>0.75</v>
      </c>
      <c r="DJ129" s="181" t="n">
        <f aca="false">CW129</f>
        <v>40695</v>
      </c>
      <c r="DK129" s="182" t="n">
        <f aca="false">AJ129</f>
        <v>0.12</v>
      </c>
      <c r="DL129" s="182" t="n">
        <f aca="false">AK129</f>
        <v>0.15</v>
      </c>
      <c r="DM129" s="182" t="n">
        <f aca="false">AL129</f>
        <v>0.18</v>
      </c>
      <c r="DO129" s="182" t="n">
        <f aca="false">AB129</f>
        <v>0.08</v>
      </c>
      <c r="DP129" s="182" t="n">
        <f aca="false">AC129</f>
        <v>0.1</v>
      </c>
      <c r="DQ129" s="182" t="n">
        <f aca="false">AD129</f>
        <v>0.12</v>
      </c>
    </row>
    <row r="130" customFormat="false" ht="12.75" hidden="false" customHeight="false" outlineLevel="0" collapsed="false">
      <c r="A130" s="133"/>
      <c r="B130" s="174" t="n">
        <v>39845</v>
      </c>
      <c r="C130" s="175" t="n">
        <v>33.9957122802734</v>
      </c>
      <c r="D130" s="175" t="n">
        <v>35.4957122802734</v>
      </c>
      <c r="E130" s="175" t="n">
        <v>36.9957122802734</v>
      </c>
      <c r="F130" s="159"/>
      <c r="G130" s="175" t="n">
        <v>22.5</v>
      </c>
      <c r="H130" s="175" t="n">
        <v>22.5</v>
      </c>
      <c r="I130" s="175" t="n">
        <v>22.5</v>
      </c>
      <c r="J130" s="140"/>
      <c r="K130" s="141" t="n">
        <v>40725</v>
      </c>
      <c r="L130" s="176" t="n">
        <v>35.2900009155273</v>
      </c>
      <c r="M130" s="176" t="n">
        <v>35.2900009155273</v>
      </c>
      <c r="N130" s="176" t="n">
        <v>35.2900009155273</v>
      </c>
      <c r="O130" s="139"/>
      <c r="P130" s="176" t="n">
        <v>25.7900009155273</v>
      </c>
      <c r="Q130" s="176" t="n">
        <v>25.7900009155273</v>
      </c>
      <c r="R130" s="176" t="n">
        <v>25.7900009155273</v>
      </c>
      <c r="S130" s="139"/>
      <c r="T130" s="176" t="n">
        <v>0</v>
      </c>
      <c r="U130" s="176" t="n">
        <v>0</v>
      </c>
      <c r="V130" s="176" t="n">
        <v>0</v>
      </c>
      <c r="W130" s="139"/>
      <c r="X130" s="176" t="n">
        <v>0.16</v>
      </c>
      <c r="Y130" s="176" t="n">
        <v>0.2</v>
      </c>
      <c r="Z130" s="176" t="n">
        <v>0.24</v>
      </c>
      <c r="AA130" s="139"/>
      <c r="AB130" s="176" t="n">
        <v>0.08</v>
      </c>
      <c r="AC130" s="176" t="n">
        <v>0.1</v>
      </c>
      <c r="AD130" s="176" t="n">
        <v>0.12</v>
      </c>
      <c r="AE130" s="139"/>
      <c r="AF130" s="176" t="n">
        <v>0.2</v>
      </c>
      <c r="AG130" s="176" t="n">
        <v>0.25</v>
      </c>
      <c r="AH130" s="176" t="n">
        <v>0.3</v>
      </c>
      <c r="AI130" s="139"/>
      <c r="AJ130" s="176" t="n">
        <v>0.12</v>
      </c>
      <c r="AK130" s="176" t="n">
        <v>0.15</v>
      </c>
      <c r="AL130" s="176" t="n">
        <v>0.18</v>
      </c>
      <c r="AM130" s="139"/>
      <c r="AN130" s="140" t="n">
        <v>41</v>
      </c>
      <c r="AO130" s="177" t="n">
        <v>0.4</v>
      </c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41" t="n">
        <v>40725</v>
      </c>
      <c r="BG130" s="179" t="n">
        <v>0.75</v>
      </c>
      <c r="BH130" s="139"/>
      <c r="BI130" s="139"/>
      <c r="BJ130" s="139"/>
      <c r="BK130" s="139"/>
      <c r="BL130" s="139"/>
      <c r="BM130" s="139"/>
      <c r="BN130" s="139"/>
      <c r="BO130" s="139"/>
      <c r="BP130" s="139"/>
      <c r="BQ130" s="139"/>
      <c r="BR130" s="139"/>
      <c r="BS130" s="139"/>
      <c r="BT130" s="139"/>
      <c r="BU130" s="139"/>
      <c r="BV130" s="139"/>
      <c r="BW130" s="139"/>
      <c r="BX130" s="139"/>
      <c r="BY130" s="139"/>
      <c r="BZ130" s="139"/>
      <c r="CA130" s="139"/>
      <c r="CB130" s="139"/>
      <c r="CC130" s="139"/>
      <c r="CD130" s="139"/>
      <c r="CE130" s="139"/>
      <c r="CF130" s="0"/>
      <c r="CK130" s="206"/>
      <c r="CL130" s="206"/>
      <c r="CM130" s="180"/>
      <c r="CN130" s="0"/>
      <c r="CO130" s="0"/>
      <c r="CP130" s="0"/>
      <c r="CQ130" s="0"/>
      <c r="CR130" s="0"/>
      <c r="CW130" s="181" t="n">
        <f aca="false">K130</f>
        <v>40725</v>
      </c>
      <c r="CX130" s="182" t="n">
        <f aca="false">AF130</f>
        <v>0.2</v>
      </c>
      <c r="CY130" s="182" t="n">
        <f aca="false">AG130</f>
        <v>0.25</v>
      </c>
      <c r="CZ130" s="182" t="n">
        <f aca="false">AH130</f>
        <v>0.3</v>
      </c>
      <c r="DB130" s="182" t="n">
        <f aca="false">X130</f>
        <v>0.16</v>
      </c>
      <c r="DC130" s="182" t="n">
        <f aca="false">Y130</f>
        <v>0.2</v>
      </c>
      <c r="DD130" s="182" t="n">
        <f aca="false">Z130</f>
        <v>0.24</v>
      </c>
      <c r="DF130" s="181" t="n">
        <f aca="false">BF130</f>
        <v>40725</v>
      </c>
      <c r="DG130" s="133" t="n">
        <f aca="false">BG130</f>
        <v>0.75</v>
      </c>
      <c r="DJ130" s="181" t="n">
        <f aca="false">CW130</f>
        <v>40725</v>
      </c>
      <c r="DK130" s="182" t="n">
        <f aca="false">AJ130</f>
        <v>0.12</v>
      </c>
      <c r="DL130" s="182" t="n">
        <f aca="false">AK130</f>
        <v>0.15</v>
      </c>
      <c r="DM130" s="182" t="n">
        <f aca="false">AL130</f>
        <v>0.18</v>
      </c>
      <c r="DO130" s="182" t="n">
        <f aca="false">AB130</f>
        <v>0.08</v>
      </c>
      <c r="DP130" s="182" t="n">
        <f aca="false">AC130</f>
        <v>0.1</v>
      </c>
      <c r="DQ130" s="182" t="n">
        <f aca="false">AD130</f>
        <v>0.12</v>
      </c>
    </row>
    <row r="131" customFormat="false" ht="12.75" hidden="false" customHeight="false" outlineLevel="0" collapsed="false">
      <c r="A131" s="133"/>
      <c r="B131" s="174" t="n">
        <v>39873</v>
      </c>
      <c r="C131" s="175" t="n">
        <v>32.7076797485352</v>
      </c>
      <c r="D131" s="175" t="n">
        <v>34.2076797485352</v>
      </c>
      <c r="E131" s="175" t="n">
        <v>35.7076797485352</v>
      </c>
      <c r="F131" s="159"/>
      <c r="G131" s="175" t="n">
        <v>23.5</v>
      </c>
      <c r="H131" s="175" t="n">
        <v>23.5</v>
      </c>
      <c r="I131" s="175" t="n">
        <v>23.5</v>
      </c>
      <c r="J131" s="140"/>
      <c r="K131" s="141" t="n">
        <v>40756</v>
      </c>
      <c r="L131" s="176" t="n">
        <v>33.2900047302246</v>
      </c>
      <c r="M131" s="176" t="n">
        <v>33.2900047302246</v>
      </c>
      <c r="N131" s="176" t="n">
        <v>33.2900047302246</v>
      </c>
      <c r="O131" s="139"/>
      <c r="P131" s="176" t="n">
        <v>25.7900009155273</v>
      </c>
      <c r="Q131" s="176" t="n">
        <v>25.7900009155273</v>
      </c>
      <c r="R131" s="176" t="n">
        <v>25.7900009155273</v>
      </c>
      <c r="S131" s="139"/>
      <c r="T131" s="176" t="n">
        <v>0</v>
      </c>
      <c r="U131" s="176" t="n">
        <v>0</v>
      </c>
      <c r="V131" s="176" t="n">
        <v>0</v>
      </c>
      <c r="W131" s="139"/>
      <c r="X131" s="176" t="n">
        <v>0.24</v>
      </c>
      <c r="Y131" s="176" t="n">
        <v>0.3</v>
      </c>
      <c r="Z131" s="176" t="n">
        <v>0.36</v>
      </c>
      <c r="AA131" s="139"/>
      <c r="AB131" s="176" t="n">
        <v>0.12</v>
      </c>
      <c r="AC131" s="176" t="n">
        <v>0.15</v>
      </c>
      <c r="AD131" s="176" t="n">
        <v>0.18</v>
      </c>
      <c r="AE131" s="139"/>
      <c r="AF131" s="176" t="n">
        <v>0.32</v>
      </c>
      <c r="AG131" s="176" t="n">
        <v>0.4</v>
      </c>
      <c r="AH131" s="176" t="n">
        <v>0.48</v>
      </c>
      <c r="AI131" s="139"/>
      <c r="AJ131" s="176" t="n">
        <v>0.192</v>
      </c>
      <c r="AK131" s="176" t="n">
        <v>0.24</v>
      </c>
      <c r="AL131" s="176" t="n">
        <v>0.288</v>
      </c>
      <c r="AM131" s="139"/>
      <c r="AN131" s="140" t="n">
        <v>41</v>
      </c>
      <c r="AO131" s="177" t="n">
        <v>0.4</v>
      </c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41" t="n">
        <v>40756</v>
      </c>
      <c r="BG131" s="179" t="n">
        <v>0.75</v>
      </c>
      <c r="BH131" s="139"/>
      <c r="BI131" s="139"/>
      <c r="BJ131" s="139"/>
      <c r="BK131" s="139"/>
      <c r="BL131" s="139"/>
      <c r="BM131" s="139"/>
      <c r="BN131" s="139"/>
      <c r="BO131" s="139"/>
      <c r="BP131" s="139"/>
      <c r="BQ131" s="139"/>
      <c r="BR131" s="139"/>
      <c r="BS131" s="139"/>
      <c r="BT131" s="139"/>
      <c r="BU131" s="139"/>
      <c r="BV131" s="139"/>
      <c r="BW131" s="139"/>
      <c r="BX131" s="139"/>
      <c r="BY131" s="139"/>
      <c r="BZ131" s="139"/>
      <c r="CA131" s="139"/>
      <c r="CB131" s="139"/>
      <c r="CC131" s="139"/>
      <c r="CD131" s="139"/>
      <c r="CE131" s="139"/>
      <c r="CF131" s="0"/>
      <c r="CK131" s="206"/>
      <c r="CL131" s="206"/>
      <c r="CM131" s="180"/>
      <c r="CN131" s="0"/>
      <c r="CO131" s="0"/>
      <c r="CP131" s="0"/>
      <c r="CQ131" s="0"/>
      <c r="CR131" s="0"/>
      <c r="CW131" s="181" t="n">
        <f aca="false">K131</f>
        <v>40756</v>
      </c>
      <c r="CX131" s="182" t="n">
        <f aca="false">AF131</f>
        <v>0.32</v>
      </c>
      <c r="CY131" s="182" t="n">
        <f aca="false">AG131</f>
        <v>0.4</v>
      </c>
      <c r="CZ131" s="182" t="n">
        <f aca="false">AH131</f>
        <v>0.48</v>
      </c>
      <c r="DB131" s="182" t="n">
        <f aca="false">X131</f>
        <v>0.24</v>
      </c>
      <c r="DC131" s="182" t="n">
        <f aca="false">Y131</f>
        <v>0.3</v>
      </c>
      <c r="DD131" s="182" t="n">
        <f aca="false">Z131</f>
        <v>0.36</v>
      </c>
      <c r="DF131" s="181" t="n">
        <f aca="false">BF131</f>
        <v>40756</v>
      </c>
      <c r="DG131" s="133" t="n">
        <f aca="false">BG131</f>
        <v>0.75</v>
      </c>
      <c r="DJ131" s="181" t="n">
        <f aca="false">CW131</f>
        <v>40756</v>
      </c>
      <c r="DK131" s="182" t="n">
        <f aca="false">AJ131</f>
        <v>0.192</v>
      </c>
      <c r="DL131" s="182" t="n">
        <f aca="false">AK131</f>
        <v>0.24</v>
      </c>
      <c r="DM131" s="182" t="n">
        <f aca="false">AL131</f>
        <v>0.288</v>
      </c>
      <c r="DO131" s="182" t="n">
        <f aca="false">AB131</f>
        <v>0.12</v>
      </c>
      <c r="DP131" s="182" t="n">
        <f aca="false">AC131</f>
        <v>0.15</v>
      </c>
      <c r="DQ131" s="182" t="n">
        <f aca="false">AD131</f>
        <v>0.18</v>
      </c>
    </row>
    <row r="132" customFormat="false" ht="12.75" hidden="false" customHeight="false" outlineLevel="0" collapsed="false">
      <c r="A132" s="133"/>
      <c r="B132" s="174" t="n">
        <v>39904</v>
      </c>
      <c r="C132" s="175" t="n">
        <v>32.9076805114746</v>
      </c>
      <c r="D132" s="175" t="n">
        <v>34.4076805114746</v>
      </c>
      <c r="E132" s="175" t="n">
        <v>35.9076805114746</v>
      </c>
      <c r="F132" s="159"/>
      <c r="G132" s="175" t="n">
        <v>20.5</v>
      </c>
      <c r="H132" s="175" t="n">
        <v>20.5</v>
      </c>
      <c r="I132" s="175" t="n">
        <v>20.5</v>
      </c>
      <c r="J132" s="140"/>
      <c r="K132" s="141" t="n">
        <v>40787</v>
      </c>
      <c r="L132" s="176" t="n">
        <v>25.2900009155273</v>
      </c>
      <c r="M132" s="176" t="n">
        <v>25.2900009155273</v>
      </c>
      <c r="N132" s="176" t="n">
        <v>25.2900009155273</v>
      </c>
      <c r="O132" s="139"/>
      <c r="P132" s="176" t="n">
        <v>19.7900009155273</v>
      </c>
      <c r="Q132" s="176" t="n">
        <v>19.7900009155273</v>
      </c>
      <c r="R132" s="176" t="n">
        <v>19.7900009155273</v>
      </c>
      <c r="S132" s="139"/>
      <c r="T132" s="176" t="n">
        <v>0</v>
      </c>
      <c r="U132" s="176" t="n">
        <v>0</v>
      </c>
      <c r="V132" s="176" t="n">
        <v>0</v>
      </c>
      <c r="W132" s="139"/>
      <c r="X132" s="176" t="n">
        <v>0.24</v>
      </c>
      <c r="Y132" s="176" t="n">
        <v>0.3</v>
      </c>
      <c r="Z132" s="176" t="n">
        <v>0.36</v>
      </c>
      <c r="AA132" s="139"/>
      <c r="AB132" s="176" t="n">
        <v>0.12</v>
      </c>
      <c r="AC132" s="176" t="n">
        <v>0.15</v>
      </c>
      <c r="AD132" s="176" t="n">
        <v>0.18</v>
      </c>
      <c r="AE132" s="139"/>
      <c r="AF132" s="176" t="n">
        <v>0.32</v>
      </c>
      <c r="AG132" s="176" t="n">
        <v>0.4</v>
      </c>
      <c r="AH132" s="176" t="n">
        <v>0.48</v>
      </c>
      <c r="AI132" s="139"/>
      <c r="AJ132" s="176" t="n">
        <v>0.192</v>
      </c>
      <c r="AK132" s="176" t="n">
        <v>0.24</v>
      </c>
      <c r="AL132" s="176" t="n">
        <v>0.288</v>
      </c>
      <c r="AM132" s="139"/>
      <c r="AN132" s="140" t="n">
        <v>41</v>
      </c>
      <c r="AO132" s="177" t="n">
        <v>0.4</v>
      </c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41" t="n">
        <v>40787</v>
      </c>
      <c r="BG132" s="179" t="n">
        <v>0.75</v>
      </c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39"/>
      <c r="BR132" s="139"/>
      <c r="BS132" s="139"/>
      <c r="BT132" s="139"/>
      <c r="BU132" s="139"/>
      <c r="BV132" s="139"/>
      <c r="BW132" s="139"/>
      <c r="BX132" s="139"/>
      <c r="BY132" s="139"/>
      <c r="BZ132" s="139"/>
      <c r="CA132" s="139"/>
      <c r="CB132" s="139"/>
      <c r="CC132" s="139"/>
      <c r="CD132" s="139"/>
      <c r="CE132" s="139"/>
      <c r="CF132" s="0"/>
      <c r="CK132" s="206"/>
      <c r="CL132" s="206"/>
      <c r="CM132" s="180"/>
      <c r="CN132" s="0"/>
      <c r="CO132" s="0"/>
      <c r="CP132" s="0"/>
      <c r="CQ132" s="0"/>
      <c r="CR132" s="0"/>
      <c r="CW132" s="181" t="n">
        <f aca="false">K132</f>
        <v>40787</v>
      </c>
      <c r="CX132" s="182" t="n">
        <f aca="false">AF132</f>
        <v>0.32</v>
      </c>
      <c r="CY132" s="182" t="n">
        <f aca="false">AG132</f>
        <v>0.4</v>
      </c>
      <c r="CZ132" s="182" t="n">
        <f aca="false">AH132</f>
        <v>0.48</v>
      </c>
      <c r="DB132" s="182" t="n">
        <f aca="false">X132</f>
        <v>0.24</v>
      </c>
      <c r="DC132" s="182" t="n">
        <f aca="false">Y132</f>
        <v>0.3</v>
      </c>
      <c r="DD132" s="182" t="n">
        <f aca="false">Z132</f>
        <v>0.36</v>
      </c>
      <c r="DF132" s="181" t="n">
        <f aca="false">BF132</f>
        <v>40787</v>
      </c>
      <c r="DG132" s="133" t="n">
        <f aca="false">BG132</f>
        <v>0.75</v>
      </c>
      <c r="DJ132" s="181" t="n">
        <f aca="false">CW132</f>
        <v>40787</v>
      </c>
      <c r="DK132" s="182" t="n">
        <f aca="false">AJ132</f>
        <v>0.192</v>
      </c>
      <c r="DL132" s="182" t="n">
        <f aca="false">AK132</f>
        <v>0.24</v>
      </c>
      <c r="DM132" s="182" t="n">
        <f aca="false">AL132</f>
        <v>0.288</v>
      </c>
      <c r="DO132" s="182" t="n">
        <f aca="false">AB132</f>
        <v>0.12</v>
      </c>
      <c r="DP132" s="182" t="n">
        <f aca="false">AC132</f>
        <v>0.15</v>
      </c>
      <c r="DQ132" s="182" t="n">
        <f aca="false">AD132</f>
        <v>0.18</v>
      </c>
    </row>
    <row r="133" customFormat="false" ht="12.75" hidden="false" customHeight="false" outlineLevel="0" collapsed="false">
      <c r="A133" s="133"/>
      <c r="B133" s="174" t="n">
        <v>39934</v>
      </c>
      <c r="C133" s="175" t="n">
        <v>36.335001373291</v>
      </c>
      <c r="D133" s="175" t="n">
        <v>38.435001373291</v>
      </c>
      <c r="E133" s="175" t="n">
        <v>40.535001373291</v>
      </c>
      <c r="F133" s="159"/>
      <c r="G133" s="175" t="n">
        <v>21.0400009155273</v>
      </c>
      <c r="H133" s="175" t="n">
        <v>21.0400009155273</v>
      </c>
      <c r="I133" s="175" t="n">
        <v>21.0400009155273</v>
      </c>
      <c r="J133" s="140"/>
      <c r="K133" s="141" t="n">
        <v>40817</v>
      </c>
      <c r="L133" s="176" t="n">
        <v>20.2860012054443</v>
      </c>
      <c r="M133" s="176" t="n">
        <v>20.2860012054443</v>
      </c>
      <c r="N133" s="176" t="n">
        <v>20.2860012054443</v>
      </c>
      <c r="O133" s="139"/>
      <c r="P133" s="176" t="n">
        <v>14.7865009307861</v>
      </c>
      <c r="Q133" s="176" t="n">
        <v>14.7865009307861</v>
      </c>
      <c r="R133" s="176" t="n">
        <v>14.7865009307861</v>
      </c>
      <c r="S133" s="139"/>
      <c r="T133" s="176" t="n">
        <v>0</v>
      </c>
      <c r="U133" s="176" t="n">
        <v>0</v>
      </c>
      <c r="V133" s="176" t="n">
        <v>0</v>
      </c>
      <c r="W133" s="139"/>
      <c r="X133" s="176" t="n">
        <v>0.16</v>
      </c>
      <c r="Y133" s="176" t="n">
        <v>0.2</v>
      </c>
      <c r="Z133" s="176" t="n">
        <v>0.24</v>
      </c>
      <c r="AA133" s="139"/>
      <c r="AB133" s="176" t="n">
        <v>0.08</v>
      </c>
      <c r="AC133" s="176" t="n">
        <v>0.1</v>
      </c>
      <c r="AD133" s="176" t="n">
        <v>0.12</v>
      </c>
      <c r="AE133" s="139"/>
      <c r="AF133" s="176" t="n">
        <v>0.2</v>
      </c>
      <c r="AG133" s="176" t="n">
        <v>0.25</v>
      </c>
      <c r="AH133" s="176" t="n">
        <v>0.3</v>
      </c>
      <c r="AI133" s="139"/>
      <c r="AJ133" s="176" t="n">
        <v>0.12</v>
      </c>
      <c r="AK133" s="176" t="n">
        <v>0.15</v>
      </c>
      <c r="AL133" s="176" t="n">
        <v>0.18</v>
      </c>
      <c r="AM133" s="139"/>
      <c r="AN133" s="140" t="n">
        <v>42</v>
      </c>
      <c r="AO133" s="177" t="n">
        <v>0.4</v>
      </c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41" t="n">
        <v>40817</v>
      </c>
      <c r="BG133" s="179" t="n">
        <v>0.75</v>
      </c>
      <c r="BH133" s="139"/>
      <c r="BI133" s="139"/>
      <c r="BJ133" s="139"/>
      <c r="BK133" s="139"/>
      <c r="BL133" s="139"/>
      <c r="BM133" s="139"/>
      <c r="BN133" s="139"/>
      <c r="BO133" s="139"/>
      <c r="BP133" s="139"/>
      <c r="BQ133" s="139"/>
      <c r="BR133" s="139"/>
      <c r="BS133" s="139"/>
      <c r="BT133" s="139"/>
      <c r="BU133" s="139"/>
      <c r="BV133" s="139"/>
      <c r="BW133" s="139"/>
      <c r="BX133" s="139"/>
      <c r="BY133" s="139"/>
      <c r="BZ133" s="139"/>
      <c r="CA133" s="139"/>
      <c r="CB133" s="139"/>
      <c r="CC133" s="139"/>
      <c r="CD133" s="139"/>
      <c r="CE133" s="139"/>
      <c r="CF133" s="0"/>
      <c r="CK133" s="206"/>
      <c r="CL133" s="206"/>
      <c r="CM133" s="180"/>
      <c r="CN133" s="0"/>
      <c r="CO133" s="0"/>
      <c r="CP133" s="0"/>
      <c r="CQ133" s="0"/>
      <c r="CR133" s="0"/>
      <c r="CW133" s="181" t="n">
        <f aca="false">K133</f>
        <v>40817</v>
      </c>
      <c r="CX133" s="182" t="n">
        <f aca="false">AF133</f>
        <v>0.2</v>
      </c>
      <c r="CY133" s="182" t="n">
        <f aca="false">AG133</f>
        <v>0.25</v>
      </c>
      <c r="CZ133" s="182" t="n">
        <f aca="false">AH133</f>
        <v>0.3</v>
      </c>
      <c r="DB133" s="182" t="n">
        <f aca="false">X133</f>
        <v>0.16</v>
      </c>
      <c r="DC133" s="182" t="n">
        <f aca="false">Y133</f>
        <v>0.2</v>
      </c>
      <c r="DD133" s="182" t="n">
        <f aca="false">Z133</f>
        <v>0.24</v>
      </c>
      <c r="DF133" s="181" t="n">
        <f aca="false">BF133</f>
        <v>40817</v>
      </c>
      <c r="DG133" s="133" t="n">
        <f aca="false">BG133</f>
        <v>0.75</v>
      </c>
      <c r="DJ133" s="181" t="n">
        <f aca="false">CW133</f>
        <v>40817</v>
      </c>
      <c r="DK133" s="182" t="n">
        <f aca="false">AJ133</f>
        <v>0.12</v>
      </c>
      <c r="DL133" s="182" t="n">
        <f aca="false">AK133</f>
        <v>0.15</v>
      </c>
      <c r="DM133" s="182" t="n">
        <f aca="false">AL133</f>
        <v>0.18</v>
      </c>
      <c r="DO133" s="182" t="n">
        <f aca="false">AB133</f>
        <v>0.08</v>
      </c>
      <c r="DP133" s="182" t="n">
        <f aca="false">AC133</f>
        <v>0.1</v>
      </c>
      <c r="DQ133" s="182" t="n">
        <f aca="false">AD133</f>
        <v>0.12</v>
      </c>
    </row>
    <row r="134" customFormat="false" ht="12.75" hidden="false" customHeight="false" outlineLevel="0" collapsed="false">
      <c r="A134" s="133"/>
      <c r="B134" s="174" t="n">
        <v>39965</v>
      </c>
      <c r="C134" s="175" t="n">
        <v>40.125</v>
      </c>
      <c r="D134" s="175" t="n">
        <v>45.125</v>
      </c>
      <c r="E134" s="175" t="n">
        <v>50.125</v>
      </c>
      <c r="F134" s="159"/>
      <c r="G134" s="175" t="n">
        <v>24.0400009155273</v>
      </c>
      <c r="H134" s="175" t="n">
        <v>24.0400009155273</v>
      </c>
      <c r="I134" s="175" t="n">
        <v>24.0400009155273</v>
      </c>
      <c r="J134" s="140"/>
      <c r="K134" s="141" t="n">
        <v>40848</v>
      </c>
      <c r="L134" s="176" t="n">
        <v>22.2900009155273</v>
      </c>
      <c r="M134" s="176" t="n">
        <v>22.2900009155273</v>
      </c>
      <c r="N134" s="176" t="n">
        <v>22.2900009155273</v>
      </c>
      <c r="O134" s="139"/>
      <c r="P134" s="176" t="n">
        <v>14.7900009155273</v>
      </c>
      <c r="Q134" s="176" t="n">
        <v>14.7900009155273</v>
      </c>
      <c r="R134" s="176" t="n">
        <v>14.7900009155273</v>
      </c>
      <c r="S134" s="139"/>
      <c r="T134" s="176" t="n">
        <v>0</v>
      </c>
      <c r="U134" s="176" t="n">
        <v>0</v>
      </c>
      <c r="V134" s="176" t="n">
        <v>0</v>
      </c>
      <c r="W134" s="139"/>
      <c r="X134" s="176" t="n">
        <v>0.16</v>
      </c>
      <c r="Y134" s="176" t="n">
        <v>0.2</v>
      </c>
      <c r="Z134" s="176" t="n">
        <v>0.24</v>
      </c>
      <c r="AA134" s="139"/>
      <c r="AB134" s="176" t="n">
        <v>0.08</v>
      </c>
      <c r="AC134" s="176" t="n">
        <v>0.1</v>
      </c>
      <c r="AD134" s="176" t="n">
        <v>0.12</v>
      </c>
      <c r="AE134" s="139"/>
      <c r="AF134" s="176" t="n">
        <v>0.2</v>
      </c>
      <c r="AG134" s="176" t="n">
        <v>0.25</v>
      </c>
      <c r="AH134" s="176" t="n">
        <v>0.3</v>
      </c>
      <c r="AI134" s="139"/>
      <c r="AJ134" s="176" t="n">
        <v>0.12</v>
      </c>
      <c r="AK134" s="176" t="n">
        <v>0.15</v>
      </c>
      <c r="AL134" s="176" t="n">
        <v>0.18</v>
      </c>
      <c r="AM134" s="139"/>
      <c r="AN134" s="140" t="n">
        <v>42</v>
      </c>
      <c r="AO134" s="177" t="n">
        <v>0.4</v>
      </c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41" t="n">
        <v>40848</v>
      </c>
      <c r="BG134" s="179" t="n">
        <v>0.75</v>
      </c>
      <c r="BH134" s="139"/>
      <c r="BI134" s="139"/>
      <c r="BJ134" s="139"/>
      <c r="BK134" s="139"/>
      <c r="BL134" s="139"/>
      <c r="BM134" s="139"/>
      <c r="BN134" s="139"/>
      <c r="BO134" s="139"/>
      <c r="BP134" s="139"/>
      <c r="BQ134" s="139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0"/>
      <c r="CK134" s="206"/>
      <c r="CL134" s="206"/>
      <c r="CM134" s="180"/>
      <c r="CN134" s="0"/>
      <c r="CO134" s="0"/>
      <c r="CP134" s="0"/>
      <c r="CQ134" s="0"/>
      <c r="CR134" s="0"/>
      <c r="CW134" s="181" t="n">
        <f aca="false">K134</f>
        <v>40848</v>
      </c>
      <c r="CX134" s="182" t="n">
        <f aca="false">AF134</f>
        <v>0.2</v>
      </c>
      <c r="CY134" s="182" t="n">
        <f aca="false">AG134</f>
        <v>0.25</v>
      </c>
      <c r="CZ134" s="182" t="n">
        <f aca="false">AH134</f>
        <v>0.3</v>
      </c>
      <c r="DB134" s="182" t="n">
        <f aca="false">X134</f>
        <v>0.16</v>
      </c>
      <c r="DC134" s="182" t="n">
        <f aca="false">Y134</f>
        <v>0.2</v>
      </c>
      <c r="DD134" s="182" t="n">
        <f aca="false">Z134</f>
        <v>0.24</v>
      </c>
      <c r="DF134" s="181" t="n">
        <f aca="false">BF134</f>
        <v>40848</v>
      </c>
      <c r="DG134" s="133" t="n">
        <f aca="false">BG134</f>
        <v>0.75</v>
      </c>
      <c r="DJ134" s="181" t="n">
        <f aca="false">CW134</f>
        <v>40848</v>
      </c>
      <c r="DK134" s="182" t="n">
        <f aca="false">AJ134</f>
        <v>0.12</v>
      </c>
      <c r="DL134" s="182" t="n">
        <f aca="false">AK134</f>
        <v>0.15</v>
      </c>
      <c r="DM134" s="182" t="n">
        <f aca="false">AL134</f>
        <v>0.18</v>
      </c>
      <c r="DO134" s="182" t="n">
        <f aca="false">AB134</f>
        <v>0.08</v>
      </c>
      <c r="DP134" s="182" t="n">
        <f aca="false">AC134</f>
        <v>0.1</v>
      </c>
      <c r="DQ134" s="182" t="n">
        <f aca="false">AD134</f>
        <v>0.12</v>
      </c>
    </row>
    <row r="135" customFormat="false" ht="12.75" hidden="false" customHeight="false" outlineLevel="0" collapsed="false">
      <c r="A135" s="133"/>
      <c r="B135" s="174" t="n">
        <v>39995</v>
      </c>
      <c r="C135" s="175" t="n">
        <v>44.4999961853027</v>
      </c>
      <c r="D135" s="175" t="n">
        <v>54.4999961853027</v>
      </c>
      <c r="E135" s="175" t="n">
        <v>64.4999961853027</v>
      </c>
      <c r="F135" s="159"/>
      <c r="G135" s="175" t="n">
        <v>24.5400009155273</v>
      </c>
      <c r="H135" s="175" t="n">
        <v>24.5400009155273</v>
      </c>
      <c r="I135" s="175" t="n">
        <v>24.5400009155273</v>
      </c>
      <c r="J135" s="140"/>
      <c r="K135" s="141" t="n">
        <v>40878</v>
      </c>
      <c r="L135" s="176" t="n">
        <v>27.2900009155273</v>
      </c>
      <c r="M135" s="176" t="n">
        <v>27.2900009155273</v>
      </c>
      <c r="N135" s="176" t="n">
        <v>27.2900009155273</v>
      </c>
      <c r="O135" s="139"/>
      <c r="P135" s="176" t="n">
        <v>21.7900009155273</v>
      </c>
      <c r="Q135" s="176" t="n">
        <v>21.7900009155273</v>
      </c>
      <c r="R135" s="176" t="n">
        <v>21.7900009155273</v>
      </c>
      <c r="S135" s="139"/>
      <c r="T135" s="176" t="n">
        <v>0</v>
      </c>
      <c r="U135" s="176" t="n">
        <v>0</v>
      </c>
      <c r="V135" s="176" t="n">
        <v>0</v>
      </c>
      <c r="W135" s="139"/>
      <c r="X135" s="176" t="n">
        <v>0.16</v>
      </c>
      <c r="Y135" s="176" t="n">
        <v>0.2</v>
      </c>
      <c r="Z135" s="176" t="n">
        <v>0.24</v>
      </c>
      <c r="AA135" s="139"/>
      <c r="AB135" s="176" t="n">
        <v>0.08</v>
      </c>
      <c r="AC135" s="176" t="n">
        <v>0.1</v>
      </c>
      <c r="AD135" s="176" t="n">
        <v>0.12</v>
      </c>
      <c r="AE135" s="139"/>
      <c r="AF135" s="176" t="n">
        <v>0.2</v>
      </c>
      <c r="AG135" s="176" t="n">
        <v>0.25</v>
      </c>
      <c r="AH135" s="176" t="n">
        <v>0.3</v>
      </c>
      <c r="AI135" s="139"/>
      <c r="AJ135" s="176" t="n">
        <v>0.12</v>
      </c>
      <c r="AK135" s="176" t="n">
        <v>0.15</v>
      </c>
      <c r="AL135" s="176" t="n">
        <v>0.18</v>
      </c>
      <c r="AM135" s="139"/>
      <c r="AN135" s="140" t="n">
        <v>42</v>
      </c>
      <c r="AO135" s="177" t="n">
        <v>0.4</v>
      </c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41" t="n">
        <v>40878</v>
      </c>
      <c r="BG135" s="179" t="n">
        <v>0.75</v>
      </c>
      <c r="BH135" s="139"/>
      <c r="BI135" s="139"/>
      <c r="BJ135" s="139"/>
      <c r="BK135" s="139"/>
      <c r="BL135" s="139"/>
      <c r="BM135" s="139"/>
      <c r="BN135" s="139"/>
      <c r="BO135" s="139"/>
      <c r="BP135" s="139"/>
      <c r="BQ135" s="139"/>
      <c r="BR135" s="139"/>
      <c r="BS135" s="139"/>
      <c r="BT135" s="139"/>
      <c r="BU135" s="139"/>
      <c r="BV135" s="139"/>
      <c r="BW135" s="139"/>
      <c r="BX135" s="139"/>
      <c r="BY135" s="139"/>
      <c r="BZ135" s="139"/>
      <c r="CA135" s="139"/>
      <c r="CB135" s="139"/>
      <c r="CC135" s="139"/>
      <c r="CD135" s="139"/>
      <c r="CE135" s="139"/>
      <c r="CF135" s="0"/>
      <c r="CK135" s="206"/>
      <c r="CL135" s="206"/>
      <c r="CM135" s="180"/>
      <c r="CN135" s="0"/>
      <c r="CO135" s="0"/>
      <c r="CP135" s="0"/>
      <c r="CQ135" s="0"/>
      <c r="CR135" s="0"/>
      <c r="CW135" s="181" t="n">
        <f aca="false">K135</f>
        <v>40878</v>
      </c>
      <c r="CX135" s="182" t="n">
        <f aca="false">AF135</f>
        <v>0.2</v>
      </c>
      <c r="CY135" s="182" t="n">
        <f aca="false">AG135</f>
        <v>0.25</v>
      </c>
      <c r="CZ135" s="182" t="n">
        <f aca="false">AH135</f>
        <v>0.3</v>
      </c>
      <c r="DB135" s="182" t="n">
        <f aca="false">X135</f>
        <v>0.16</v>
      </c>
      <c r="DC135" s="182" t="n">
        <f aca="false">Y135</f>
        <v>0.2</v>
      </c>
      <c r="DD135" s="182" t="n">
        <f aca="false">Z135</f>
        <v>0.24</v>
      </c>
      <c r="DF135" s="181" t="n">
        <f aca="false">BF135</f>
        <v>40878</v>
      </c>
      <c r="DG135" s="133" t="n">
        <f aca="false">BG135</f>
        <v>0.75</v>
      </c>
      <c r="DJ135" s="181" t="n">
        <f aca="false">CW135</f>
        <v>40878</v>
      </c>
      <c r="DK135" s="182" t="n">
        <f aca="false">AJ135</f>
        <v>0.12</v>
      </c>
      <c r="DL135" s="182" t="n">
        <f aca="false">AK135</f>
        <v>0.15</v>
      </c>
      <c r="DM135" s="182" t="n">
        <f aca="false">AL135</f>
        <v>0.18</v>
      </c>
      <c r="DO135" s="182" t="n">
        <f aca="false">AB135</f>
        <v>0.08</v>
      </c>
      <c r="DP135" s="182" t="n">
        <f aca="false">AC135</f>
        <v>0.1</v>
      </c>
      <c r="DQ135" s="182" t="n">
        <f aca="false">AD135</f>
        <v>0.12</v>
      </c>
    </row>
    <row r="136" customFormat="false" ht="12.75" hidden="false" customHeight="false" outlineLevel="0" collapsed="false">
      <c r="A136" s="133"/>
      <c r="B136" s="174" t="n">
        <v>40026</v>
      </c>
      <c r="C136" s="175" t="n">
        <v>44.4999961853027</v>
      </c>
      <c r="D136" s="175" t="n">
        <v>54.4999961853027</v>
      </c>
      <c r="E136" s="175" t="n">
        <v>64.4999961853027</v>
      </c>
      <c r="F136" s="159"/>
      <c r="G136" s="175" t="n">
        <v>25.5400009155273</v>
      </c>
      <c r="H136" s="175" t="n">
        <v>25.5400009155273</v>
      </c>
      <c r="I136" s="175" t="n">
        <v>25.5400009155273</v>
      </c>
      <c r="J136" s="140"/>
      <c r="K136" s="141" t="n">
        <v>40909</v>
      </c>
      <c r="L136" s="176" t="n">
        <v>35.75</v>
      </c>
      <c r="M136" s="176" t="n">
        <v>35.75</v>
      </c>
      <c r="N136" s="176" t="n">
        <v>35.75</v>
      </c>
      <c r="O136" s="139"/>
      <c r="P136" s="176" t="n">
        <v>25.25</v>
      </c>
      <c r="Q136" s="176" t="n">
        <v>25.25</v>
      </c>
      <c r="R136" s="176" t="n">
        <v>25.25</v>
      </c>
      <c r="S136" s="139"/>
      <c r="T136" s="176" t="n">
        <v>0</v>
      </c>
      <c r="U136" s="176" t="n">
        <v>0</v>
      </c>
      <c r="V136" s="176" t="n">
        <v>0</v>
      </c>
      <c r="W136" s="139"/>
      <c r="X136" s="176" t="n">
        <v>0.16</v>
      </c>
      <c r="Y136" s="176" t="n">
        <v>0.2</v>
      </c>
      <c r="Z136" s="176" t="n">
        <v>0.24</v>
      </c>
      <c r="AA136" s="139"/>
      <c r="AB136" s="176" t="n">
        <v>0.08</v>
      </c>
      <c r="AC136" s="176" t="n">
        <v>0.1</v>
      </c>
      <c r="AD136" s="176" t="n">
        <v>0.12</v>
      </c>
      <c r="AE136" s="139"/>
      <c r="AF136" s="176" t="n">
        <v>0.2</v>
      </c>
      <c r="AG136" s="176" t="n">
        <v>0.25</v>
      </c>
      <c r="AH136" s="176" t="n">
        <v>0.3</v>
      </c>
      <c r="AI136" s="139"/>
      <c r="AJ136" s="176" t="n">
        <v>0.12</v>
      </c>
      <c r="AK136" s="176" t="n">
        <v>0.15</v>
      </c>
      <c r="AL136" s="176" t="n">
        <v>0.18</v>
      </c>
      <c r="AM136" s="139"/>
      <c r="AN136" s="140" t="n">
        <v>43</v>
      </c>
      <c r="AO136" s="177" t="n">
        <v>0.4</v>
      </c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41" t="n">
        <v>40909</v>
      </c>
      <c r="BG136" s="179" t="n">
        <v>0.75</v>
      </c>
      <c r="BH136" s="139"/>
      <c r="BI136" s="139"/>
      <c r="BJ136" s="139"/>
      <c r="BK136" s="139"/>
      <c r="BL136" s="139"/>
      <c r="BM136" s="139"/>
      <c r="BN136" s="139"/>
      <c r="BO136" s="139"/>
      <c r="BP136" s="139"/>
      <c r="BQ136" s="139"/>
      <c r="BR136" s="139"/>
      <c r="BS136" s="139"/>
      <c r="BT136" s="139"/>
      <c r="BU136" s="139"/>
      <c r="BV136" s="139"/>
      <c r="BW136" s="139"/>
      <c r="BX136" s="139"/>
      <c r="BY136" s="139"/>
      <c r="BZ136" s="139"/>
      <c r="CA136" s="139"/>
      <c r="CB136" s="139"/>
      <c r="CC136" s="139"/>
      <c r="CD136" s="139"/>
      <c r="CE136" s="139"/>
      <c r="CF136" s="0"/>
      <c r="CK136" s="206"/>
      <c r="CL136" s="206"/>
      <c r="CM136" s="180"/>
      <c r="CN136" s="0"/>
      <c r="CO136" s="0"/>
      <c r="CP136" s="0"/>
      <c r="CQ136" s="0"/>
      <c r="CR136" s="0"/>
      <c r="CW136" s="181" t="n">
        <f aca="false">K136</f>
        <v>40909</v>
      </c>
      <c r="CX136" s="182" t="n">
        <f aca="false">AF136</f>
        <v>0.2</v>
      </c>
      <c r="CY136" s="182" t="n">
        <f aca="false">AG136</f>
        <v>0.25</v>
      </c>
      <c r="CZ136" s="182" t="n">
        <f aca="false">AH136</f>
        <v>0.3</v>
      </c>
      <c r="DB136" s="182" t="n">
        <f aca="false">X136</f>
        <v>0.16</v>
      </c>
      <c r="DC136" s="182" t="n">
        <f aca="false">Y136</f>
        <v>0.2</v>
      </c>
      <c r="DD136" s="182" t="n">
        <f aca="false">Z136</f>
        <v>0.24</v>
      </c>
      <c r="DF136" s="181" t="n">
        <f aca="false">BF136</f>
        <v>40909</v>
      </c>
      <c r="DG136" s="133" t="n">
        <f aca="false">BG136</f>
        <v>0.75</v>
      </c>
      <c r="DJ136" s="181" t="n">
        <f aca="false">CW136</f>
        <v>40909</v>
      </c>
      <c r="DK136" s="182" t="n">
        <f aca="false">AJ136</f>
        <v>0.12</v>
      </c>
      <c r="DL136" s="182" t="n">
        <f aca="false">AK136</f>
        <v>0.15</v>
      </c>
      <c r="DM136" s="182" t="n">
        <f aca="false">AL136</f>
        <v>0.18</v>
      </c>
      <c r="DO136" s="182" t="n">
        <f aca="false">AB136</f>
        <v>0.08</v>
      </c>
      <c r="DP136" s="182" t="n">
        <f aca="false">AC136</f>
        <v>0.1</v>
      </c>
      <c r="DQ136" s="182" t="n">
        <f aca="false">AD136</f>
        <v>0.12</v>
      </c>
    </row>
    <row r="137" customFormat="false" ht="12.75" hidden="false" customHeight="false" outlineLevel="0" collapsed="false">
      <c r="A137" s="133"/>
      <c r="B137" s="174" t="n">
        <v>40057</v>
      </c>
      <c r="C137" s="175" t="n">
        <v>29.0599975585938</v>
      </c>
      <c r="D137" s="175" t="n">
        <v>30.5599975585938</v>
      </c>
      <c r="E137" s="175" t="n">
        <v>32.0599975585938</v>
      </c>
      <c r="F137" s="159"/>
      <c r="G137" s="175" t="n">
        <v>19.5400009155273</v>
      </c>
      <c r="H137" s="175" t="n">
        <v>19.5400009155273</v>
      </c>
      <c r="I137" s="175" t="n">
        <v>19.5400009155273</v>
      </c>
      <c r="J137" s="140"/>
      <c r="K137" s="141" t="n">
        <v>40940</v>
      </c>
      <c r="L137" s="176" t="n">
        <v>31.2460021972656</v>
      </c>
      <c r="M137" s="176" t="n">
        <v>31.2460021972656</v>
      </c>
      <c r="N137" s="176" t="n">
        <v>31.2460021972656</v>
      </c>
      <c r="O137" s="139"/>
      <c r="P137" s="176" t="n">
        <v>22.7465019226074</v>
      </c>
      <c r="Q137" s="176" t="n">
        <v>22.7465019226074</v>
      </c>
      <c r="R137" s="176" t="n">
        <v>22.7465019226074</v>
      </c>
      <c r="S137" s="139"/>
      <c r="T137" s="176" t="n">
        <v>0</v>
      </c>
      <c r="U137" s="176" t="n">
        <v>0</v>
      </c>
      <c r="V137" s="176" t="n">
        <v>0</v>
      </c>
      <c r="W137" s="139"/>
      <c r="X137" s="176" t="n">
        <v>0.16</v>
      </c>
      <c r="Y137" s="176" t="n">
        <v>0.2</v>
      </c>
      <c r="Z137" s="176" t="n">
        <v>0.24</v>
      </c>
      <c r="AA137" s="139"/>
      <c r="AB137" s="176" t="n">
        <v>0.08</v>
      </c>
      <c r="AC137" s="176" t="n">
        <v>0.1</v>
      </c>
      <c r="AD137" s="176" t="n">
        <v>0.12</v>
      </c>
      <c r="AE137" s="139"/>
      <c r="AF137" s="176" t="n">
        <v>0.2</v>
      </c>
      <c r="AG137" s="176" t="n">
        <v>0.25</v>
      </c>
      <c r="AH137" s="176" t="n">
        <v>0.3</v>
      </c>
      <c r="AI137" s="139"/>
      <c r="AJ137" s="176" t="n">
        <v>0.12</v>
      </c>
      <c r="AK137" s="176" t="n">
        <v>0.15</v>
      </c>
      <c r="AL137" s="176" t="n">
        <v>0.18</v>
      </c>
      <c r="AM137" s="139"/>
      <c r="AN137" s="140" t="n">
        <v>43</v>
      </c>
      <c r="AO137" s="177" t="n">
        <v>0.4</v>
      </c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41" t="n">
        <v>40940</v>
      </c>
      <c r="BG137" s="179" t="n">
        <v>0.75</v>
      </c>
      <c r="BH137" s="139"/>
      <c r="BI137" s="139"/>
      <c r="BJ137" s="139"/>
      <c r="BK137" s="139"/>
      <c r="BL137" s="139"/>
      <c r="BM137" s="139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39"/>
      <c r="CC137" s="139"/>
      <c r="CD137" s="139"/>
      <c r="CE137" s="139"/>
      <c r="CF137" s="0"/>
      <c r="CK137" s="206"/>
      <c r="CL137" s="206"/>
      <c r="CM137" s="180"/>
      <c r="CN137" s="0"/>
      <c r="CO137" s="0"/>
      <c r="CP137" s="0"/>
      <c r="CQ137" s="0"/>
      <c r="CR137" s="0"/>
      <c r="CW137" s="181" t="n">
        <f aca="false">K137</f>
        <v>40940</v>
      </c>
      <c r="CX137" s="182" t="n">
        <f aca="false">AF137</f>
        <v>0.2</v>
      </c>
      <c r="CY137" s="182" t="n">
        <f aca="false">AG137</f>
        <v>0.25</v>
      </c>
      <c r="CZ137" s="182" t="n">
        <f aca="false">AH137</f>
        <v>0.3</v>
      </c>
      <c r="DB137" s="182" t="n">
        <f aca="false">X137</f>
        <v>0.16</v>
      </c>
      <c r="DC137" s="182" t="n">
        <f aca="false">Y137</f>
        <v>0.2</v>
      </c>
      <c r="DD137" s="182" t="n">
        <f aca="false">Z137</f>
        <v>0.24</v>
      </c>
      <c r="DF137" s="181" t="n">
        <f aca="false">BF137</f>
        <v>40940</v>
      </c>
      <c r="DG137" s="133" t="n">
        <f aca="false">BG137</f>
        <v>0.75</v>
      </c>
      <c r="DJ137" s="181" t="n">
        <f aca="false">CW137</f>
        <v>40940</v>
      </c>
      <c r="DK137" s="182" t="n">
        <f aca="false">AJ137</f>
        <v>0.12</v>
      </c>
      <c r="DL137" s="182" t="n">
        <f aca="false">AK137</f>
        <v>0.15</v>
      </c>
      <c r="DM137" s="182" t="n">
        <f aca="false">AL137</f>
        <v>0.18</v>
      </c>
      <c r="DO137" s="182" t="n">
        <f aca="false">AB137</f>
        <v>0.08</v>
      </c>
      <c r="DP137" s="182" t="n">
        <f aca="false">AC137</f>
        <v>0.1</v>
      </c>
      <c r="DQ137" s="182" t="n">
        <f aca="false">AD137</f>
        <v>0.12</v>
      </c>
    </row>
    <row r="138" customFormat="false" ht="12.75" hidden="false" customHeight="false" outlineLevel="0" collapsed="false">
      <c r="A138" s="133"/>
      <c r="B138" s="174" t="n">
        <v>40087</v>
      </c>
      <c r="C138" s="175" t="n">
        <v>31.2115669250488</v>
      </c>
      <c r="D138" s="175" t="n">
        <v>32.7115669250488</v>
      </c>
      <c r="E138" s="175" t="n">
        <v>34.2115669250488</v>
      </c>
      <c r="F138" s="159"/>
      <c r="G138" s="175" t="n">
        <v>19.040002822876</v>
      </c>
      <c r="H138" s="175" t="n">
        <v>19.040002822876</v>
      </c>
      <c r="I138" s="175" t="n">
        <v>19.040002822876</v>
      </c>
      <c r="J138" s="140"/>
      <c r="K138" s="141" t="n">
        <v>40969</v>
      </c>
      <c r="L138" s="176" t="n">
        <v>25.5</v>
      </c>
      <c r="M138" s="176" t="n">
        <v>25.5</v>
      </c>
      <c r="N138" s="176" t="n">
        <v>25.5</v>
      </c>
      <c r="O138" s="139"/>
      <c r="P138" s="176" t="n">
        <v>20</v>
      </c>
      <c r="Q138" s="176" t="n">
        <v>20</v>
      </c>
      <c r="R138" s="176" t="n">
        <v>20</v>
      </c>
      <c r="S138" s="139"/>
      <c r="T138" s="176" t="n">
        <v>0</v>
      </c>
      <c r="U138" s="176" t="n">
        <v>0</v>
      </c>
      <c r="V138" s="176" t="n">
        <v>0</v>
      </c>
      <c r="W138" s="139"/>
      <c r="X138" s="176" t="n">
        <v>0.16</v>
      </c>
      <c r="Y138" s="176" t="n">
        <v>0.2</v>
      </c>
      <c r="Z138" s="176" t="n">
        <v>0.24</v>
      </c>
      <c r="AA138" s="139"/>
      <c r="AB138" s="176" t="n">
        <v>0.08</v>
      </c>
      <c r="AC138" s="176" t="n">
        <v>0.1</v>
      </c>
      <c r="AD138" s="176" t="n">
        <v>0.12</v>
      </c>
      <c r="AE138" s="139"/>
      <c r="AF138" s="176" t="n">
        <v>0.2</v>
      </c>
      <c r="AG138" s="176" t="n">
        <v>0.25</v>
      </c>
      <c r="AH138" s="176" t="n">
        <v>0.3</v>
      </c>
      <c r="AI138" s="139"/>
      <c r="AJ138" s="176" t="n">
        <v>0.12</v>
      </c>
      <c r="AK138" s="176" t="n">
        <v>0.15</v>
      </c>
      <c r="AL138" s="176" t="n">
        <v>0.18</v>
      </c>
      <c r="AM138" s="139"/>
      <c r="AN138" s="140" t="n">
        <v>43</v>
      </c>
      <c r="AO138" s="177" t="n">
        <v>0.4</v>
      </c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41" t="n">
        <v>40969</v>
      </c>
      <c r="BG138" s="179" t="n">
        <v>0.75</v>
      </c>
      <c r="BH138" s="139"/>
      <c r="BI138" s="139"/>
      <c r="BJ138" s="139"/>
      <c r="BK138" s="139"/>
      <c r="BL138" s="139"/>
      <c r="BM138" s="139"/>
      <c r="BN138" s="139"/>
      <c r="BO138" s="139"/>
      <c r="BP138" s="139"/>
      <c r="BQ138" s="139"/>
      <c r="BR138" s="139"/>
      <c r="BS138" s="139"/>
      <c r="BT138" s="139"/>
      <c r="BU138" s="139"/>
      <c r="BV138" s="139"/>
      <c r="BW138" s="139"/>
      <c r="BX138" s="139"/>
      <c r="BY138" s="139"/>
      <c r="BZ138" s="139"/>
      <c r="CA138" s="139"/>
      <c r="CB138" s="139"/>
      <c r="CC138" s="139"/>
      <c r="CD138" s="139"/>
      <c r="CE138" s="139"/>
      <c r="CF138" s="0"/>
      <c r="CK138" s="206"/>
      <c r="CL138" s="206"/>
      <c r="CM138" s="180"/>
      <c r="CN138" s="0"/>
      <c r="CO138" s="0"/>
      <c r="CP138" s="0"/>
      <c r="CQ138" s="0"/>
      <c r="CR138" s="0"/>
      <c r="CW138" s="181" t="n">
        <f aca="false">K138</f>
        <v>40969</v>
      </c>
      <c r="CX138" s="182" t="n">
        <f aca="false">AF138</f>
        <v>0.2</v>
      </c>
      <c r="CY138" s="182" t="n">
        <f aca="false">AG138</f>
        <v>0.25</v>
      </c>
      <c r="CZ138" s="182" t="n">
        <f aca="false">AH138</f>
        <v>0.3</v>
      </c>
      <c r="DB138" s="182" t="n">
        <f aca="false">X138</f>
        <v>0.16</v>
      </c>
      <c r="DC138" s="182" t="n">
        <f aca="false">Y138</f>
        <v>0.2</v>
      </c>
      <c r="DD138" s="182" t="n">
        <f aca="false">Z138</f>
        <v>0.24</v>
      </c>
      <c r="DF138" s="181" t="n">
        <f aca="false">BF138</f>
        <v>40969</v>
      </c>
      <c r="DG138" s="133" t="n">
        <f aca="false">BG138</f>
        <v>0.75</v>
      </c>
      <c r="DJ138" s="181" t="n">
        <f aca="false">CW138</f>
        <v>40969</v>
      </c>
      <c r="DK138" s="182" t="n">
        <f aca="false">AJ138</f>
        <v>0.12</v>
      </c>
      <c r="DL138" s="182" t="n">
        <f aca="false">AK138</f>
        <v>0.15</v>
      </c>
      <c r="DM138" s="182" t="n">
        <f aca="false">AL138</f>
        <v>0.18</v>
      </c>
      <c r="DO138" s="182" t="n">
        <f aca="false">AB138</f>
        <v>0.08</v>
      </c>
      <c r="DP138" s="182" t="n">
        <f aca="false">AC138</f>
        <v>0.1</v>
      </c>
      <c r="DQ138" s="182" t="n">
        <f aca="false">AD138</f>
        <v>0.12</v>
      </c>
    </row>
    <row r="139" customFormat="false" ht="12.75" hidden="false" customHeight="false" outlineLevel="0" collapsed="false">
      <c r="A139" s="133"/>
      <c r="B139" s="174" t="n">
        <v>40118</v>
      </c>
      <c r="C139" s="175" t="n">
        <v>31.3115653991699</v>
      </c>
      <c r="D139" s="175" t="n">
        <v>32.8115653991699</v>
      </c>
      <c r="E139" s="175" t="n">
        <v>34.3115653991699</v>
      </c>
      <c r="F139" s="159"/>
      <c r="G139" s="175" t="n">
        <v>20.0400009155273</v>
      </c>
      <c r="H139" s="175" t="n">
        <v>20.0400009155273</v>
      </c>
      <c r="I139" s="175" t="n">
        <v>20.0400009155273</v>
      </c>
      <c r="J139" s="140"/>
      <c r="K139" s="141" t="n">
        <v>41000</v>
      </c>
      <c r="L139" s="176" t="n">
        <v>22</v>
      </c>
      <c r="M139" s="176" t="n">
        <v>22</v>
      </c>
      <c r="N139" s="176" t="n">
        <v>22</v>
      </c>
      <c r="O139" s="139"/>
      <c r="P139" s="176" t="n">
        <v>16.4950008392334</v>
      </c>
      <c r="Q139" s="176" t="n">
        <v>16.4950008392334</v>
      </c>
      <c r="R139" s="176" t="n">
        <v>16.4950008392334</v>
      </c>
      <c r="S139" s="139"/>
      <c r="T139" s="176" t="n">
        <v>0</v>
      </c>
      <c r="U139" s="176" t="n">
        <v>0</v>
      </c>
      <c r="V139" s="176" t="n">
        <v>0</v>
      </c>
      <c r="W139" s="139"/>
      <c r="X139" s="176" t="n">
        <v>0.16</v>
      </c>
      <c r="Y139" s="176" t="n">
        <v>0.2</v>
      </c>
      <c r="Z139" s="176" t="n">
        <v>0.24</v>
      </c>
      <c r="AA139" s="139"/>
      <c r="AB139" s="176" t="n">
        <v>0.08</v>
      </c>
      <c r="AC139" s="176" t="n">
        <v>0.1</v>
      </c>
      <c r="AD139" s="176" t="n">
        <v>0.12</v>
      </c>
      <c r="AE139" s="139"/>
      <c r="AF139" s="176" t="n">
        <v>0.2</v>
      </c>
      <c r="AG139" s="176" t="n">
        <v>0.25</v>
      </c>
      <c r="AH139" s="176" t="n">
        <v>0.3</v>
      </c>
      <c r="AI139" s="139"/>
      <c r="AJ139" s="176" t="n">
        <v>0.12</v>
      </c>
      <c r="AK139" s="176" t="n">
        <v>0.15</v>
      </c>
      <c r="AL139" s="176" t="n">
        <v>0.18</v>
      </c>
      <c r="AM139" s="139"/>
      <c r="AN139" s="140" t="n">
        <v>44</v>
      </c>
      <c r="AO139" s="177" t="n">
        <v>0.4</v>
      </c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41" t="n">
        <v>41000</v>
      </c>
      <c r="BG139" s="179" t="n">
        <v>0.75</v>
      </c>
      <c r="BH139" s="139"/>
      <c r="BI139" s="139"/>
      <c r="BJ139" s="139"/>
      <c r="BK139" s="139"/>
      <c r="BL139" s="139"/>
      <c r="BM139" s="139"/>
      <c r="BN139" s="139"/>
      <c r="BO139" s="139"/>
      <c r="BP139" s="139"/>
      <c r="BQ139" s="139"/>
      <c r="BR139" s="139"/>
      <c r="BS139" s="139"/>
      <c r="BT139" s="139"/>
      <c r="BU139" s="139"/>
      <c r="BV139" s="139"/>
      <c r="BW139" s="139"/>
      <c r="BX139" s="139"/>
      <c r="BY139" s="139"/>
      <c r="BZ139" s="139"/>
      <c r="CA139" s="139"/>
      <c r="CB139" s="139"/>
      <c r="CC139" s="139"/>
      <c r="CD139" s="139"/>
      <c r="CE139" s="139"/>
      <c r="CF139" s="0"/>
      <c r="CK139" s="206"/>
      <c r="CL139" s="206"/>
      <c r="CM139" s="180"/>
      <c r="CN139" s="0"/>
      <c r="CO139" s="0"/>
      <c r="CP139" s="0"/>
      <c r="CQ139" s="0"/>
      <c r="CR139" s="0"/>
      <c r="CW139" s="181" t="n">
        <f aca="false">K139</f>
        <v>41000</v>
      </c>
      <c r="CX139" s="182" t="n">
        <f aca="false">AF139</f>
        <v>0.2</v>
      </c>
      <c r="CY139" s="182" t="n">
        <f aca="false">AG139</f>
        <v>0.25</v>
      </c>
      <c r="CZ139" s="182" t="n">
        <f aca="false">AH139</f>
        <v>0.3</v>
      </c>
      <c r="DB139" s="182" t="n">
        <f aca="false">X139</f>
        <v>0.16</v>
      </c>
      <c r="DC139" s="182" t="n">
        <f aca="false">Y139</f>
        <v>0.2</v>
      </c>
      <c r="DD139" s="182" t="n">
        <f aca="false">Z139</f>
        <v>0.24</v>
      </c>
      <c r="DF139" s="181" t="n">
        <f aca="false">BF139</f>
        <v>41000</v>
      </c>
      <c r="DG139" s="133" t="n">
        <f aca="false">BG139</f>
        <v>0.75</v>
      </c>
      <c r="DJ139" s="181" t="n">
        <f aca="false">CW139</f>
        <v>41000</v>
      </c>
      <c r="DK139" s="182" t="n">
        <f aca="false">AJ139</f>
        <v>0.12</v>
      </c>
      <c r="DL139" s="182" t="n">
        <f aca="false">AK139</f>
        <v>0.15</v>
      </c>
      <c r="DM139" s="182" t="n">
        <f aca="false">AL139</f>
        <v>0.18</v>
      </c>
      <c r="DO139" s="182" t="n">
        <f aca="false">AB139</f>
        <v>0.08</v>
      </c>
      <c r="DP139" s="182" t="n">
        <f aca="false">AC139</f>
        <v>0.1</v>
      </c>
      <c r="DQ139" s="182" t="n">
        <f aca="false">AD139</f>
        <v>0.12</v>
      </c>
    </row>
    <row r="140" customFormat="false" ht="12.75" hidden="false" customHeight="false" outlineLevel="0" collapsed="false">
      <c r="A140" s="133"/>
      <c r="B140" s="174" t="n">
        <v>40148</v>
      </c>
      <c r="C140" s="175" t="n">
        <v>31.411563873291</v>
      </c>
      <c r="D140" s="175" t="n">
        <v>32.911563873291</v>
      </c>
      <c r="E140" s="175" t="n">
        <v>34.411563873291</v>
      </c>
      <c r="F140" s="159"/>
      <c r="G140" s="175" t="n">
        <v>22.2900009155273</v>
      </c>
      <c r="H140" s="175" t="n">
        <v>22.2900009155273</v>
      </c>
      <c r="I140" s="175" t="n">
        <v>22.2900009155273</v>
      </c>
      <c r="J140" s="140"/>
      <c r="K140" s="141" t="n">
        <v>41030</v>
      </c>
      <c r="L140" s="176" t="n">
        <v>22.2900009155273</v>
      </c>
      <c r="M140" s="176" t="n">
        <v>22.2900009155273</v>
      </c>
      <c r="N140" s="176" t="n">
        <v>22.2900009155273</v>
      </c>
      <c r="O140" s="139"/>
      <c r="P140" s="176" t="n">
        <v>15.7950000762939</v>
      </c>
      <c r="Q140" s="176" t="n">
        <v>15.7950000762939</v>
      </c>
      <c r="R140" s="176" t="n">
        <v>15.7950000762939</v>
      </c>
      <c r="S140" s="139"/>
      <c r="T140" s="176" t="n">
        <v>0</v>
      </c>
      <c r="U140" s="176" t="n">
        <v>0</v>
      </c>
      <c r="V140" s="176" t="n">
        <v>0</v>
      </c>
      <c r="W140" s="139"/>
      <c r="X140" s="176" t="n">
        <v>0.16</v>
      </c>
      <c r="Y140" s="176" t="n">
        <v>0.2</v>
      </c>
      <c r="Z140" s="176" t="n">
        <v>0.24</v>
      </c>
      <c r="AA140" s="139"/>
      <c r="AB140" s="176" t="n">
        <v>0.08</v>
      </c>
      <c r="AC140" s="176" t="n">
        <v>0.1</v>
      </c>
      <c r="AD140" s="176" t="n">
        <v>0.12</v>
      </c>
      <c r="AE140" s="139"/>
      <c r="AF140" s="176" t="n">
        <v>0.2</v>
      </c>
      <c r="AG140" s="176" t="n">
        <v>0.25</v>
      </c>
      <c r="AH140" s="176" t="n">
        <v>0.3</v>
      </c>
      <c r="AI140" s="139"/>
      <c r="AJ140" s="176" t="n">
        <v>0.12</v>
      </c>
      <c r="AK140" s="176" t="n">
        <v>0.15</v>
      </c>
      <c r="AL140" s="176" t="n">
        <v>0.18</v>
      </c>
      <c r="AM140" s="139"/>
      <c r="AN140" s="140" t="n">
        <v>44</v>
      </c>
      <c r="AO140" s="177" t="n">
        <v>0.4</v>
      </c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41" t="n">
        <v>41030</v>
      </c>
      <c r="BG140" s="179" t="n">
        <v>0.75</v>
      </c>
      <c r="BH140" s="139"/>
      <c r="BI140" s="139"/>
      <c r="BJ140" s="139"/>
      <c r="BK140" s="139"/>
      <c r="BL140" s="139"/>
      <c r="BM140" s="139"/>
      <c r="BN140" s="139"/>
      <c r="BO140" s="139"/>
      <c r="BP140" s="139"/>
      <c r="BQ140" s="139"/>
      <c r="BR140" s="139"/>
      <c r="BS140" s="139"/>
      <c r="BT140" s="139"/>
      <c r="BU140" s="139"/>
      <c r="BV140" s="139"/>
      <c r="BW140" s="139"/>
      <c r="BX140" s="139"/>
      <c r="BY140" s="139"/>
      <c r="BZ140" s="139"/>
      <c r="CA140" s="139"/>
      <c r="CB140" s="139"/>
      <c r="CC140" s="139"/>
      <c r="CD140" s="139"/>
      <c r="CE140" s="139"/>
      <c r="CF140" s="0"/>
      <c r="CK140" s="206"/>
      <c r="CL140" s="206"/>
      <c r="CM140" s="180"/>
      <c r="CN140" s="0"/>
      <c r="CO140" s="0"/>
      <c r="CP140" s="0"/>
      <c r="CQ140" s="0"/>
      <c r="CR140" s="0"/>
      <c r="CW140" s="181" t="n">
        <f aca="false">K140</f>
        <v>41030</v>
      </c>
      <c r="CX140" s="182" t="n">
        <f aca="false">AF140</f>
        <v>0.2</v>
      </c>
      <c r="CY140" s="182" t="n">
        <f aca="false">AG140</f>
        <v>0.25</v>
      </c>
      <c r="CZ140" s="182" t="n">
        <f aca="false">AH140</f>
        <v>0.3</v>
      </c>
      <c r="DB140" s="182" t="n">
        <f aca="false">X140</f>
        <v>0.16</v>
      </c>
      <c r="DC140" s="182" t="n">
        <f aca="false">Y140</f>
        <v>0.2</v>
      </c>
      <c r="DD140" s="182" t="n">
        <f aca="false">Z140</f>
        <v>0.24</v>
      </c>
      <c r="DF140" s="181" t="n">
        <f aca="false">BF140</f>
        <v>41030</v>
      </c>
      <c r="DG140" s="133" t="n">
        <f aca="false">BG140</f>
        <v>0.75</v>
      </c>
      <c r="DJ140" s="181" t="n">
        <f aca="false">CW140</f>
        <v>41030</v>
      </c>
      <c r="DK140" s="182" t="n">
        <f aca="false">AJ140</f>
        <v>0.12</v>
      </c>
      <c r="DL140" s="182" t="n">
        <f aca="false">AK140</f>
        <v>0.15</v>
      </c>
      <c r="DM140" s="182" t="n">
        <f aca="false">AL140</f>
        <v>0.18</v>
      </c>
      <c r="DO140" s="182" t="n">
        <f aca="false">AB140</f>
        <v>0.08</v>
      </c>
      <c r="DP140" s="182" t="n">
        <f aca="false">AC140</f>
        <v>0.1</v>
      </c>
      <c r="DQ140" s="182" t="n">
        <f aca="false">AD140</f>
        <v>0.12</v>
      </c>
    </row>
    <row r="141" customFormat="false" ht="12.75" hidden="false" customHeight="false" outlineLevel="0" collapsed="false">
      <c r="A141" s="133"/>
      <c r="B141" s="174" t="n">
        <v>40179</v>
      </c>
      <c r="C141" s="175" t="n">
        <v>34.9957160949707</v>
      </c>
      <c r="D141" s="175" t="n">
        <v>36.4957160949707</v>
      </c>
      <c r="E141" s="175" t="n">
        <v>37.9957160949707</v>
      </c>
      <c r="F141" s="159"/>
      <c r="G141" s="175" t="n">
        <v>24.5</v>
      </c>
      <c r="H141" s="175" t="n">
        <v>24.5</v>
      </c>
      <c r="I141" s="175" t="n">
        <v>24.5</v>
      </c>
      <c r="J141" s="140"/>
      <c r="K141" s="141" t="n">
        <v>41061</v>
      </c>
      <c r="L141" s="176" t="n">
        <v>29.2900009155273</v>
      </c>
      <c r="M141" s="176" t="n">
        <v>29.2900009155273</v>
      </c>
      <c r="N141" s="176" t="n">
        <v>29.2900009155273</v>
      </c>
      <c r="O141" s="139"/>
      <c r="P141" s="176" t="n">
        <v>19.7900009155273</v>
      </c>
      <c r="Q141" s="176" t="n">
        <v>19.7900009155273</v>
      </c>
      <c r="R141" s="176" t="n">
        <v>19.7900009155273</v>
      </c>
      <c r="S141" s="139"/>
      <c r="T141" s="176" t="n">
        <v>0</v>
      </c>
      <c r="U141" s="176" t="n">
        <v>0</v>
      </c>
      <c r="V141" s="176" t="n">
        <v>0</v>
      </c>
      <c r="W141" s="139"/>
      <c r="X141" s="176" t="n">
        <v>0.16</v>
      </c>
      <c r="Y141" s="176" t="n">
        <v>0.2</v>
      </c>
      <c r="Z141" s="176" t="n">
        <v>0.24</v>
      </c>
      <c r="AA141" s="139"/>
      <c r="AB141" s="176" t="n">
        <v>0.08</v>
      </c>
      <c r="AC141" s="176" t="n">
        <v>0.1</v>
      </c>
      <c r="AD141" s="176" t="n">
        <v>0.12</v>
      </c>
      <c r="AE141" s="139"/>
      <c r="AF141" s="176" t="n">
        <v>0.2</v>
      </c>
      <c r="AG141" s="176" t="n">
        <v>0.25</v>
      </c>
      <c r="AH141" s="176" t="n">
        <v>0.3</v>
      </c>
      <c r="AI141" s="139"/>
      <c r="AJ141" s="176" t="n">
        <v>0.12</v>
      </c>
      <c r="AK141" s="176" t="n">
        <v>0.15</v>
      </c>
      <c r="AL141" s="176" t="n">
        <v>0.18</v>
      </c>
      <c r="AM141" s="139"/>
      <c r="AN141" s="140" t="n">
        <v>44</v>
      </c>
      <c r="AO141" s="177" t="n">
        <v>0.4</v>
      </c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41" t="n">
        <v>41061</v>
      </c>
      <c r="BG141" s="179" t="n">
        <v>0.75</v>
      </c>
      <c r="BH141" s="139"/>
      <c r="BI141" s="139"/>
      <c r="BJ141" s="139"/>
      <c r="BK141" s="139"/>
      <c r="BL141" s="139"/>
      <c r="BM141" s="139"/>
      <c r="BN141" s="139"/>
      <c r="BO141" s="139"/>
      <c r="BP141" s="139"/>
      <c r="BQ141" s="139"/>
      <c r="BR141" s="139"/>
      <c r="BS141" s="139"/>
      <c r="BT141" s="139"/>
      <c r="BU141" s="139"/>
      <c r="BV141" s="139"/>
      <c r="BW141" s="139"/>
      <c r="BX141" s="139"/>
      <c r="BY141" s="139"/>
      <c r="BZ141" s="139"/>
      <c r="CA141" s="139"/>
      <c r="CB141" s="139"/>
      <c r="CC141" s="139"/>
      <c r="CD141" s="139"/>
      <c r="CE141" s="139"/>
      <c r="CF141" s="0"/>
      <c r="CK141" s="206"/>
      <c r="CL141" s="206"/>
      <c r="CM141" s="180"/>
      <c r="CN141" s="0"/>
      <c r="CO141" s="0"/>
      <c r="CP141" s="0"/>
      <c r="CQ141" s="0"/>
      <c r="CR141" s="0"/>
      <c r="CW141" s="181" t="n">
        <f aca="false">K141</f>
        <v>41061</v>
      </c>
      <c r="CX141" s="182" t="n">
        <f aca="false">AF141</f>
        <v>0.2</v>
      </c>
      <c r="CY141" s="182" t="n">
        <f aca="false">AG141</f>
        <v>0.25</v>
      </c>
      <c r="CZ141" s="182" t="n">
        <f aca="false">AH141</f>
        <v>0.3</v>
      </c>
      <c r="DB141" s="182" t="n">
        <f aca="false">X141</f>
        <v>0.16</v>
      </c>
      <c r="DC141" s="182" t="n">
        <f aca="false">Y141</f>
        <v>0.2</v>
      </c>
      <c r="DD141" s="182" t="n">
        <f aca="false">Z141</f>
        <v>0.24</v>
      </c>
      <c r="DF141" s="181" t="n">
        <f aca="false">BF141</f>
        <v>41061</v>
      </c>
      <c r="DG141" s="133" t="n">
        <f aca="false">BG141</f>
        <v>0.75</v>
      </c>
      <c r="DJ141" s="181" t="n">
        <f aca="false">CW141</f>
        <v>41061</v>
      </c>
      <c r="DK141" s="182" t="n">
        <f aca="false">AJ141</f>
        <v>0.12</v>
      </c>
      <c r="DL141" s="182" t="n">
        <f aca="false">AK141</f>
        <v>0.15</v>
      </c>
      <c r="DM141" s="182" t="n">
        <f aca="false">AL141</f>
        <v>0.18</v>
      </c>
      <c r="DO141" s="182" t="n">
        <f aca="false">AB141</f>
        <v>0.08</v>
      </c>
      <c r="DP141" s="182" t="n">
        <f aca="false">AC141</f>
        <v>0.1</v>
      </c>
      <c r="DQ141" s="182" t="n">
        <f aca="false">AD141</f>
        <v>0.12</v>
      </c>
    </row>
    <row r="142" customFormat="false" ht="12.75" hidden="false" customHeight="false" outlineLevel="0" collapsed="false">
      <c r="A142" s="133"/>
      <c r="B142" s="174" t="n">
        <v>40210</v>
      </c>
      <c r="C142" s="175" t="n">
        <v>34.3957138061523</v>
      </c>
      <c r="D142" s="175" t="n">
        <v>35.8957138061523</v>
      </c>
      <c r="E142" s="175" t="n">
        <v>37.3957138061523</v>
      </c>
      <c r="F142" s="159"/>
      <c r="G142" s="175" t="n">
        <v>23</v>
      </c>
      <c r="H142" s="175" t="n">
        <v>23</v>
      </c>
      <c r="I142" s="175" t="n">
        <v>23</v>
      </c>
      <c r="J142" s="140"/>
      <c r="K142" s="141" t="n">
        <v>41091</v>
      </c>
      <c r="L142" s="176" t="n">
        <v>35.2900009155273</v>
      </c>
      <c r="M142" s="176" t="n">
        <v>35.2900009155273</v>
      </c>
      <c r="N142" s="176" t="n">
        <v>35.2900009155273</v>
      </c>
      <c r="O142" s="139"/>
      <c r="P142" s="176" t="n">
        <v>25.7900009155273</v>
      </c>
      <c r="Q142" s="176" t="n">
        <v>25.7900009155273</v>
      </c>
      <c r="R142" s="176" t="n">
        <v>25.7900009155273</v>
      </c>
      <c r="S142" s="139"/>
      <c r="T142" s="176" t="n">
        <v>0</v>
      </c>
      <c r="U142" s="176" t="n">
        <v>0</v>
      </c>
      <c r="V142" s="176" t="n">
        <v>0</v>
      </c>
      <c r="W142" s="139"/>
      <c r="X142" s="176" t="n">
        <v>0.16</v>
      </c>
      <c r="Y142" s="176" t="n">
        <v>0.2</v>
      </c>
      <c r="Z142" s="176" t="n">
        <v>0.24</v>
      </c>
      <c r="AA142" s="139"/>
      <c r="AB142" s="176" t="n">
        <v>0.08</v>
      </c>
      <c r="AC142" s="176" t="n">
        <v>0.1</v>
      </c>
      <c r="AD142" s="176" t="n">
        <v>0.12</v>
      </c>
      <c r="AE142" s="139"/>
      <c r="AF142" s="176" t="n">
        <v>0.2</v>
      </c>
      <c r="AG142" s="176" t="n">
        <v>0.25</v>
      </c>
      <c r="AH142" s="176" t="n">
        <v>0.3</v>
      </c>
      <c r="AI142" s="139"/>
      <c r="AJ142" s="176" t="n">
        <v>0.12</v>
      </c>
      <c r="AK142" s="176" t="n">
        <v>0.15</v>
      </c>
      <c r="AL142" s="176" t="n">
        <v>0.18</v>
      </c>
      <c r="AM142" s="139"/>
      <c r="AN142" s="140" t="n">
        <v>45</v>
      </c>
      <c r="AO142" s="177" t="n">
        <v>0.4</v>
      </c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41" t="n">
        <v>41091</v>
      </c>
      <c r="BG142" s="179" t="n">
        <v>0.75</v>
      </c>
      <c r="BH142" s="139"/>
      <c r="BI142" s="139"/>
      <c r="BJ142" s="139"/>
      <c r="BK142" s="139"/>
      <c r="BL142" s="139"/>
      <c r="BM142" s="139"/>
      <c r="BN142" s="139"/>
      <c r="BO142" s="139"/>
      <c r="BP142" s="139"/>
      <c r="BQ142" s="139"/>
      <c r="BR142" s="139"/>
      <c r="BS142" s="139"/>
      <c r="BT142" s="139"/>
      <c r="BU142" s="139"/>
      <c r="BV142" s="139"/>
      <c r="BW142" s="139"/>
      <c r="BX142" s="139"/>
      <c r="BY142" s="139"/>
      <c r="BZ142" s="139"/>
      <c r="CA142" s="139"/>
      <c r="CB142" s="139"/>
      <c r="CC142" s="139"/>
      <c r="CD142" s="139"/>
      <c r="CE142" s="139"/>
      <c r="CF142" s="0"/>
      <c r="CK142" s="206"/>
      <c r="CL142" s="206"/>
      <c r="CM142" s="180"/>
      <c r="CN142" s="0"/>
      <c r="CO142" s="0"/>
      <c r="CP142" s="0"/>
      <c r="CQ142" s="0"/>
      <c r="CR142" s="0"/>
      <c r="CW142" s="181" t="n">
        <f aca="false">K142</f>
        <v>41091</v>
      </c>
      <c r="CX142" s="182" t="n">
        <f aca="false">AF142</f>
        <v>0.2</v>
      </c>
      <c r="CY142" s="182" t="n">
        <f aca="false">AG142</f>
        <v>0.25</v>
      </c>
      <c r="CZ142" s="182" t="n">
        <f aca="false">AH142</f>
        <v>0.3</v>
      </c>
      <c r="DB142" s="182" t="n">
        <f aca="false">X142</f>
        <v>0.16</v>
      </c>
      <c r="DC142" s="182" t="n">
        <f aca="false">Y142</f>
        <v>0.2</v>
      </c>
      <c r="DD142" s="182" t="n">
        <f aca="false">Z142</f>
        <v>0.24</v>
      </c>
      <c r="DF142" s="181" t="n">
        <f aca="false">BF142</f>
        <v>41091</v>
      </c>
      <c r="DG142" s="133" t="n">
        <f aca="false">BG142</f>
        <v>0.75</v>
      </c>
      <c r="DJ142" s="181" t="n">
        <f aca="false">CW142</f>
        <v>41091</v>
      </c>
      <c r="DK142" s="182" t="n">
        <f aca="false">AJ142</f>
        <v>0.12</v>
      </c>
      <c r="DL142" s="182" t="n">
        <f aca="false">AK142</f>
        <v>0.15</v>
      </c>
      <c r="DM142" s="182" t="n">
        <f aca="false">AL142</f>
        <v>0.18</v>
      </c>
      <c r="DO142" s="182" t="n">
        <f aca="false">AB142</f>
        <v>0.08</v>
      </c>
      <c r="DP142" s="182" t="n">
        <f aca="false">AC142</f>
        <v>0.1</v>
      </c>
      <c r="DQ142" s="182" t="n">
        <f aca="false">AD142</f>
        <v>0.12</v>
      </c>
    </row>
    <row r="143" customFormat="false" ht="12.75" hidden="false" customHeight="false" outlineLevel="0" collapsed="false">
      <c r="A143" s="133"/>
      <c r="B143" s="174" t="n">
        <v>40238</v>
      </c>
      <c r="C143" s="175" t="n">
        <v>33.1076812744141</v>
      </c>
      <c r="D143" s="175" t="n">
        <v>34.6076812744141</v>
      </c>
      <c r="E143" s="175" t="n">
        <v>36.1076812744141</v>
      </c>
      <c r="F143" s="159"/>
      <c r="G143" s="175" t="n">
        <v>24</v>
      </c>
      <c r="H143" s="175" t="n">
        <v>24</v>
      </c>
      <c r="I143" s="175" t="n">
        <v>24</v>
      </c>
      <c r="J143" s="140"/>
      <c r="K143" s="141" t="n">
        <v>41122</v>
      </c>
      <c r="L143" s="176" t="n">
        <v>33.2900047302246</v>
      </c>
      <c r="M143" s="176" t="n">
        <v>33.2900047302246</v>
      </c>
      <c r="N143" s="176" t="n">
        <v>33.2900047302246</v>
      </c>
      <c r="O143" s="139"/>
      <c r="P143" s="176" t="n">
        <v>25.7900009155273</v>
      </c>
      <c r="Q143" s="176" t="n">
        <v>25.7900009155273</v>
      </c>
      <c r="R143" s="176" t="n">
        <v>25.7900009155273</v>
      </c>
      <c r="S143" s="139"/>
      <c r="T143" s="176" t="n">
        <v>0</v>
      </c>
      <c r="U143" s="176" t="n">
        <v>0</v>
      </c>
      <c r="V143" s="176" t="n">
        <v>0</v>
      </c>
      <c r="W143" s="139"/>
      <c r="X143" s="176" t="n">
        <v>0.24</v>
      </c>
      <c r="Y143" s="176" t="n">
        <v>0.3</v>
      </c>
      <c r="Z143" s="176" t="n">
        <v>0.36</v>
      </c>
      <c r="AA143" s="139"/>
      <c r="AB143" s="176" t="n">
        <v>0.12</v>
      </c>
      <c r="AC143" s="176" t="n">
        <v>0.15</v>
      </c>
      <c r="AD143" s="176" t="n">
        <v>0.18</v>
      </c>
      <c r="AE143" s="139"/>
      <c r="AF143" s="176" t="n">
        <v>0.32</v>
      </c>
      <c r="AG143" s="176" t="n">
        <v>0.4</v>
      </c>
      <c r="AH143" s="176" t="n">
        <v>0.48</v>
      </c>
      <c r="AI143" s="139"/>
      <c r="AJ143" s="176" t="n">
        <v>0.192</v>
      </c>
      <c r="AK143" s="176" t="n">
        <v>0.24</v>
      </c>
      <c r="AL143" s="176" t="n">
        <v>0.288</v>
      </c>
      <c r="AM143" s="139"/>
      <c r="AN143" s="140" t="n">
        <v>45</v>
      </c>
      <c r="AO143" s="177" t="n">
        <v>0.4</v>
      </c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41" t="n">
        <v>41122</v>
      </c>
      <c r="BG143" s="179" t="n">
        <v>0.75</v>
      </c>
      <c r="BH143" s="139"/>
      <c r="BI143" s="139"/>
      <c r="BJ143" s="139"/>
      <c r="BK143" s="139"/>
      <c r="BL143" s="139"/>
      <c r="BM143" s="139"/>
      <c r="BN143" s="139"/>
      <c r="BO143" s="139"/>
      <c r="BP143" s="139"/>
      <c r="BQ143" s="139"/>
      <c r="BR143" s="139"/>
      <c r="BS143" s="139"/>
      <c r="BT143" s="139"/>
      <c r="BU143" s="139"/>
      <c r="BV143" s="139"/>
      <c r="BW143" s="139"/>
      <c r="BX143" s="139"/>
      <c r="BY143" s="139"/>
      <c r="BZ143" s="139"/>
      <c r="CA143" s="139"/>
      <c r="CB143" s="139"/>
      <c r="CC143" s="139"/>
      <c r="CD143" s="139"/>
      <c r="CE143" s="139"/>
      <c r="CF143" s="0"/>
      <c r="CK143" s="206"/>
      <c r="CL143" s="206"/>
      <c r="CM143" s="180"/>
      <c r="CN143" s="0"/>
      <c r="CO143" s="0"/>
      <c r="CP143" s="0"/>
      <c r="CQ143" s="0"/>
      <c r="CR143" s="0"/>
      <c r="CW143" s="181" t="n">
        <f aca="false">K143</f>
        <v>41122</v>
      </c>
      <c r="CX143" s="182" t="n">
        <f aca="false">AF143</f>
        <v>0.32</v>
      </c>
      <c r="CY143" s="182" t="n">
        <f aca="false">AG143</f>
        <v>0.4</v>
      </c>
      <c r="CZ143" s="182" t="n">
        <f aca="false">AH143</f>
        <v>0.48</v>
      </c>
      <c r="DB143" s="182" t="n">
        <f aca="false">X143</f>
        <v>0.24</v>
      </c>
      <c r="DC143" s="182" t="n">
        <f aca="false">Y143</f>
        <v>0.3</v>
      </c>
      <c r="DD143" s="182" t="n">
        <f aca="false">Z143</f>
        <v>0.36</v>
      </c>
      <c r="DF143" s="181" t="n">
        <f aca="false">BF143</f>
        <v>41122</v>
      </c>
      <c r="DG143" s="133" t="n">
        <f aca="false">BG143</f>
        <v>0.75</v>
      </c>
      <c r="DJ143" s="181" t="n">
        <f aca="false">CW143</f>
        <v>41122</v>
      </c>
      <c r="DK143" s="182" t="n">
        <f aca="false">AJ143</f>
        <v>0.192</v>
      </c>
      <c r="DL143" s="182" t="n">
        <f aca="false">AK143</f>
        <v>0.24</v>
      </c>
      <c r="DM143" s="182" t="n">
        <f aca="false">AL143</f>
        <v>0.288</v>
      </c>
      <c r="DO143" s="182" t="n">
        <f aca="false">AB143</f>
        <v>0.12</v>
      </c>
      <c r="DP143" s="182" t="n">
        <f aca="false">AC143</f>
        <v>0.15</v>
      </c>
      <c r="DQ143" s="182" t="n">
        <f aca="false">AD143</f>
        <v>0.18</v>
      </c>
    </row>
    <row r="144" customFormat="false" ht="12.75" hidden="false" customHeight="false" outlineLevel="0" collapsed="false">
      <c r="A144" s="133"/>
      <c r="B144" s="174" t="n">
        <v>40269</v>
      </c>
      <c r="C144" s="175" t="n">
        <v>33.3076820373535</v>
      </c>
      <c r="D144" s="175" t="n">
        <v>34.8076820373535</v>
      </c>
      <c r="E144" s="175" t="n">
        <v>36.3076820373535</v>
      </c>
      <c r="F144" s="159"/>
      <c r="G144" s="175" t="n">
        <v>21</v>
      </c>
      <c r="H144" s="175" t="n">
        <v>21</v>
      </c>
      <c r="I144" s="175" t="n">
        <v>21</v>
      </c>
      <c r="J144" s="140"/>
      <c r="K144" s="141" t="n">
        <v>41153</v>
      </c>
      <c r="L144" s="176" t="n">
        <v>25.2900009155273</v>
      </c>
      <c r="M144" s="176" t="n">
        <v>25.2900009155273</v>
      </c>
      <c r="N144" s="176" t="n">
        <v>25.2900009155273</v>
      </c>
      <c r="O144" s="139"/>
      <c r="P144" s="176" t="n">
        <v>19.7900009155273</v>
      </c>
      <c r="Q144" s="176" t="n">
        <v>19.7900009155273</v>
      </c>
      <c r="R144" s="176" t="n">
        <v>19.7900009155273</v>
      </c>
      <c r="S144" s="139"/>
      <c r="T144" s="176" t="n">
        <v>0</v>
      </c>
      <c r="U144" s="176" t="n">
        <v>0</v>
      </c>
      <c r="V144" s="176" t="n">
        <v>0</v>
      </c>
      <c r="W144" s="139"/>
      <c r="X144" s="176" t="n">
        <v>0.24</v>
      </c>
      <c r="Y144" s="176" t="n">
        <v>0.3</v>
      </c>
      <c r="Z144" s="176" t="n">
        <v>0.36</v>
      </c>
      <c r="AA144" s="139"/>
      <c r="AB144" s="176" t="n">
        <v>0.12</v>
      </c>
      <c r="AC144" s="176" t="n">
        <v>0.15</v>
      </c>
      <c r="AD144" s="176" t="n">
        <v>0.18</v>
      </c>
      <c r="AE144" s="139"/>
      <c r="AF144" s="176" t="n">
        <v>0.32</v>
      </c>
      <c r="AG144" s="176" t="n">
        <v>0.4</v>
      </c>
      <c r="AH144" s="176" t="n">
        <v>0.48</v>
      </c>
      <c r="AI144" s="139"/>
      <c r="AJ144" s="176" t="n">
        <v>0.192</v>
      </c>
      <c r="AK144" s="176" t="n">
        <v>0.24</v>
      </c>
      <c r="AL144" s="176" t="n">
        <v>0.288</v>
      </c>
      <c r="AM144" s="139"/>
      <c r="AN144" s="140" t="n">
        <v>45</v>
      </c>
      <c r="AO144" s="177" t="n">
        <v>0.4</v>
      </c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41" t="n">
        <v>41153</v>
      </c>
      <c r="BG144" s="179" t="n">
        <v>0.75</v>
      </c>
      <c r="BH144" s="139"/>
      <c r="BI144" s="139"/>
      <c r="BJ144" s="139"/>
      <c r="BK144" s="139"/>
      <c r="BL144" s="139"/>
      <c r="BM144" s="139"/>
      <c r="BN144" s="139"/>
      <c r="BO144" s="139"/>
      <c r="BP144" s="139"/>
      <c r="BQ144" s="139"/>
      <c r="BR144" s="139"/>
      <c r="BS144" s="139"/>
      <c r="BT144" s="139"/>
      <c r="BU144" s="139"/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0"/>
      <c r="CK144" s="206"/>
      <c r="CL144" s="206"/>
      <c r="CM144" s="180"/>
      <c r="CN144" s="0"/>
      <c r="CO144" s="0"/>
      <c r="CP144" s="0"/>
      <c r="CQ144" s="0"/>
      <c r="CR144" s="0"/>
      <c r="CW144" s="181" t="n">
        <f aca="false">K144</f>
        <v>41153</v>
      </c>
      <c r="CX144" s="182" t="n">
        <f aca="false">AF144</f>
        <v>0.32</v>
      </c>
      <c r="CY144" s="182" t="n">
        <f aca="false">AG144</f>
        <v>0.4</v>
      </c>
      <c r="CZ144" s="182" t="n">
        <f aca="false">AH144</f>
        <v>0.48</v>
      </c>
      <c r="DB144" s="182" t="n">
        <f aca="false">X144</f>
        <v>0.24</v>
      </c>
      <c r="DC144" s="182" t="n">
        <f aca="false">Y144</f>
        <v>0.3</v>
      </c>
      <c r="DD144" s="182" t="n">
        <f aca="false">Z144</f>
        <v>0.36</v>
      </c>
      <c r="DF144" s="181" t="n">
        <f aca="false">BF144</f>
        <v>41153</v>
      </c>
      <c r="DG144" s="133" t="n">
        <f aca="false">BG144</f>
        <v>0.75</v>
      </c>
      <c r="DJ144" s="181" t="n">
        <f aca="false">CW144</f>
        <v>41153</v>
      </c>
      <c r="DK144" s="182" t="n">
        <f aca="false">AJ144</f>
        <v>0.192</v>
      </c>
      <c r="DL144" s="182" t="n">
        <f aca="false">AK144</f>
        <v>0.24</v>
      </c>
      <c r="DM144" s="182" t="n">
        <f aca="false">AL144</f>
        <v>0.288</v>
      </c>
      <c r="DO144" s="182" t="n">
        <f aca="false">AB144</f>
        <v>0.12</v>
      </c>
      <c r="DP144" s="182" t="n">
        <f aca="false">AC144</f>
        <v>0.15</v>
      </c>
      <c r="DQ144" s="182" t="n">
        <f aca="false">AD144</f>
        <v>0.18</v>
      </c>
    </row>
    <row r="145" customFormat="false" ht="12.75" hidden="false" customHeight="false" outlineLevel="0" collapsed="false">
      <c r="A145" s="133"/>
      <c r="B145" s="174" t="n">
        <v>40299</v>
      </c>
      <c r="C145" s="175" t="n">
        <v>37.1850028991699</v>
      </c>
      <c r="D145" s="175" t="n">
        <v>39.3350028991699</v>
      </c>
      <c r="E145" s="175" t="n">
        <v>41.4850028991699</v>
      </c>
      <c r="F145" s="159"/>
      <c r="G145" s="175" t="n">
        <v>21.5400009155273</v>
      </c>
      <c r="H145" s="175" t="n">
        <v>21.5400009155273</v>
      </c>
      <c r="I145" s="175" t="n">
        <v>21.5400009155273</v>
      </c>
      <c r="J145" s="140"/>
      <c r="K145" s="141" t="n">
        <v>41183</v>
      </c>
      <c r="L145" s="176" t="n">
        <v>20.2860012054443</v>
      </c>
      <c r="M145" s="176" t="n">
        <v>20.2860012054443</v>
      </c>
      <c r="N145" s="176" t="n">
        <v>20.2860012054443</v>
      </c>
      <c r="O145" s="139"/>
      <c r="P145" s="176" t="n">
        <v>14.7865009307861</v>
      </c>
      <c r="Q145" s="176" t="n">
        <v>14.7865009307861</v>
      </c>
      <c r="R145" s="176" t="n">
        <v>14.7865009307861</v>
      </c>
      <c r="S145" s="139"/>
      <c r="T145" s="176" t="n">
        <v>0</v>
      </c>
      <c r="U145" s="176" t="n">
        <v>0</v>
      </c>
      <c r="V145" s="176" t="n">
        <v>0</v>
      </c>
      <c r="W145" s="139"/>
      <c r="X145" s="176" t="n">
        <v>0.16</v>
      </c>
      <c r="Y145" s="176" t="n">
        <v>0.2</v>
      </c>
      <c r="Z145" s="176" t="n">
        <v>0.24</v>
      </c>
      <c r="AA145" s="139"/>
      <c r="AB145" s="176" t="n">
        <v>0.08</v>
      </c>
      <c r="AC145" s="176" t="n">
        <v>0.1</v>
      </c>
      <c r="AD145" s="176" t="n">
        <v>0.12</v>
      </c>
      <c r="AE145" s="139"/>
      <c r="AF145" s="176" t="n">
        <v>0.2</v>
      </c>
      <c r="AG145" s="176" t="n">
        <v>0.25</v>
      </c>
      <c r="AH145" s="176" t="n">
        <v>0.3</v>
      </c>
      <c r="AI145" s="139"/>
      <c r="AJ145" s="176" t="n">
        <v>0.12</v>
      </c>
      <c r="AK145" s="176" t="n">
        <v>0.15</v>
      </c>
      <c r="AL145" s="176" t="n">
        <v>0.18</v>
      </c>
      <c r="AM145" s="139"/>
      <c r="AN145" s="140" t="n">
        <v>46</v>
      </c>
      <c r="AO145" s="177" t="n">
        <v>0.4</v>
      </c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41" t="n">
        <v>41183</v>
      </c>
      <c r="BG145" s="179" t="n">
        <v>0.75</v>
      </c>
      <c r="BH145" s="139"/>
      <c r="BI145" s="139"/>
      <c r="BJ145" s="139"/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  <c r="BU145" s="139"/>
      <c r="BV145" s="139"/>
      <c r="BW145" s="139"/>
      <c r="BX145" s="139"/>
      <c r="BY145" s="139"/>
      <c r="BZ145" s="139"/>
      <c r="CA145" s="139"/>
      <c r="CB145" s="139"/>
      <c r="CC145" s="139"/>
      <c r="CD145" s="139"/>
      <c r="CE145" s="139"/>
      <c r="CF145" s="0"/>
      <c r="CK145" s="206"/>
      <c r="CL145" s="206"/>
      <c r="CM145" s="180"/>
      <c r="CN145" s="0"/>
      <c r="CO145" s="0"/>
      <c r="CP145" s="0"/>
      <c r="CQ145" s="0"/>
      <c r="CR145" s="0"/>
      <c r="CW145" s="181" t="n">
        <f aca="false">K145</f>
        <v>41183</v>
      </c>
      <c r="CX145" s="182" t="n">
        <f aca="false">AF145</f>
        <v>0.2</v>
      </c>
      <c r="CY145" s="182" t="n">
        <f aca="false">AG145</f>
        <v>0.25</v>
      </c>
      <c r="CZ145" s="182" t="n">
        <f aca="false">AH145</f>
        <v>0.3</v>
      </c>
      <c r="DB145" s="182" t="n">
        <f aca="false">X145</f>
        <v>0.16</v>
      </c>
      <c r="DC145" s="182" t="n">
        <f aca="false">Y145</f>
        <v>0.2</v>
      </c>
      <c r="DD145" s="182" t="n">
        <f aca="false">Z145</f>
        <v>0.24</v>
      </c>
      <c r="DF145" s="181" t="n">
        <f aca="false">BF145</f>
        <v>41183</v>
      </c>
      <c r="DG145" s="133" t="n">
        <f aca="false">BG145</f>
        <v>0.75</v>
      </c>
      <c r="DJ145" s="181" t="n">
        <f aca="false">CW145</f>
        <v>41183</v>
      </c>
      <c r="DK145" s="182" t="n">
        <f aca="false">AJ145</f>
        <v>0.12</v>
      </c>
      <c r="DL145" s="182" t="n">
        <f aca="false">AK145</f>
        <v>0.15</v>
      </c>
      <c r="DM145" s="182" t="n">
        <f aca="false">AL145</f>
        <v>0.18</v>
      </c>
      <c r="DO145" s="182" t="n">
        <f aca="false">AB145</f>
        <v>0.08</v>
      </c>
      <c r="DP145" s="182" t="n">
        <f aca="false">AC145</f>
        <v>0.1</v>
      </c>
      <c r="DQ145" s="182" t="n">
        <f aca="false">AD145</f>
        <v>0.12</v>
      </c>
    </row>
    <row r="146" customFormat="false" ht="12.75" hidden="false" customHeight="false" outlineLevel="0" collapsed="false">
      <c r="A146" s="133"/>
      <c r="B146" s="174" t="n">
        <v>40330</v>
      </c>
      <c r="C146" s="175" t="n">
        <v>42.1250038146973</v>
      </c>
      <c r="D146" s="175" t="n">
        <v>47.1250038146973</v>
      </c>
      <c r="E146" s="175" t="n">
        <v>52.1250038146973</v>
      </c>
      <c r="F146" s="159"/>
      <c r="G146" s="175" t="n">
        <v>24.5400009155273</v>
      </c>
      <c r="H146" s="175" t="n">
        <v>24.5400009155273</v>
      </c>
      <c r="I146" s="175" t="n">
        <v>24.5400009155273</v>
      </c>
      <c r="J146" s="140"/>
      <c r="K146" s="141" t="n">
        <v>41214</v>
      </c>
      <c r="L146" s="176" t="n">
        <v>22.2900009155273</v>
      </c>
      <c r="M146" s="176" t="n">
        <v>22.2900009155273</v>
      </c>
      <c r="N146" s="176" t="n">
        <v>22.2900009155273</v>
      </c>
      <c r="O146" s="139"/>
      <c r="P146" s="176" t="n">
        <v>14.7900009155273</v>
      </c>
      <c r="Q146" s="176" t="n">
        <v>14.7900009155273</v>
      </c>
      <c r="R146" s="176" t="n">
        <v>14.7900009155273</v>
      </c>
      <c r="S146" s="139"/>
      <c r="T146" s="176" t="n">
        <v>0</v>
      </c>
      <c r="U146" s="176" t="n">
        <v>0</v>
      </c>
      <c r="V146" s="176" t="n">
        <v>0</v>
      </c>
      <c r="W146" s="139"/>
      <c r="X146" s="176" t="n">
        <v>0.16</v>
      </c>
      <c r="Y146" s="176" t="n">
        <v>0.2</v>
      </c>
      <c r="Z146" s="176" t="n">
        <v>0.24</v>
      </c>
      <c r="AA146" s="139"/>
      <c r="AB146" s="176" t="n">
        <v>0.08</v>
      </c>
      <c r="AC146" s="176" t="n">
        <v>0.1</v>
      </c>
      <c r="AD146" s="176" t="n">
        <v>0.12</v>
      </c>
      <c r="AE146" s="139"/>
      <c r="AF146" s="176" t="n">
        <v>0.2</v>
      </c>
      <c r="AG146" s="176" t="n">
        <v>0.25</v>
      </c>
      <c r="AH146" s="176" t="n">
        <v>0.3</v>
      </c>
      <c r="AI146" s="139"/>
      <c r="AJ146" s="176" t="n">
        <v>0.12</v>
      </c>
      <c r="AK146" s="176" t="n">
        <v>0.15</v>
      </c>
      <c r="AL146" s="176" t="n">
        <v>0.18</v>
      </c>
      <c r="AM146" s="139"/>
      <c r="AN146" s="140" t="n">
        <v>46</v>
      </c>
      <c r="AO146" s="177" t="n">
        <v>0.4</v>
      </c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41" t="n">
        <v>41214</v>
      </c>
      <c r="BG146" s="179" t="n">
        <v>0.75</v>
      </c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  <c r="BU146" s="139"/>
      <c r="BV146" s="139"/>
      <c r="BW146" s="139"/>
      <c r="BX146" s="139"/>
      <c r="BY146" s="139"/>
      <c r="BZ146" s="139"/>
      <c r="CA146" s="139"/>
      <c r="CB146" s="139"/>
      <c r="CC146" s="139"/>
      <c r="CD146" s="139"/>
      <c r="CE146" s="139"/>
      <c r="CF146" s="0"/>
      <c r="CK146" s="206"/>
      <c r="CL146" s="206"/>
      <c r="CM146" s="180"/>
      <c r="CN146" s="0"/>
      <c r="CO146" s="0"/>
      <c r="CP146" s="0"/>
      <c r="CQ146" s="0"/>
      <c r="CR146" s="0"/>
      <c r="CW146" s="181" t="n">
        <f aca="false">K146</f>
        <v>41214</v>
      </c>
      <c r="CX146" s="182" t="n">
        <f aca="false">AF146</f>
        <v>0.2</v>
      </c>
      <c r="CY146" s="182" t="n">
        <f aca="false">AG146</f>
        <v>0.25</v>
      </c>
      <c r="CZ146" s="182" t="n">
        <f aca="false">AH146</f>
        <v>0.3</v>
      </c>
      <c r="DB146" s="182" t="n">
        <f aca="false">X146</f>
        <v>0.16</v>
      </c>
      <c r="DC146" s="182" t="n">
        <f aca="false">Y146</f>
        <v>0.2</v>
      </c>
      <c r="DD146" s="182" t="n">
        <f aca="false">Z146</f>
        <v>0.24</v>
      </c>
      <c r="DF146" s="181" t="n">
        <f aca="false">BF146</f>
        <v>41214</v>
      </c>
      <c r="DG146" s="133" t="n">
        <f aca="false">BG146</f>
        <v>0.75</v>
      </c>
      <c r="DJ146" s="181" t="n">
        <f aca="false">CW146</f>
        <v>41214</v>
      </c>
      <c r="DK146" s="182" t="n">
        <f aca="false">AJ146</f>
        <v>0.12</v>
      </c>
      <c r="DL146" s="182" t="n">
        <f aca="false">AK146</f>
        <v>0.15</v>
      </c>
      <c r="DM146" s="182" t="n">
        <f aca="false">AL146</f>
        <v>0.18</v>
      </c>
      <c r="DO146" s="182" t="n">
        <f aca="false">AB146</f>
        <v>0.08</v>
      </c>
      <c r="DP146" s="182" t="n">
        <f aca="false">AC146</f>
        <v>0.1</v>
      </c>
      <c r="DQ146" s="182" t="n">
        <f aca="false">AD146</f>
        <v>0.12</v>
      </c>
    </row>
    <row r="147" customFormat="false" ht="12.75" hidden="false" customHeight="false" outlineLevel="0" collapsed="false">
      <c r="A147" s="133"/>
      <c r="B147" s="174" t="n">
        <v>40360</v>
      </c>
      <c r="C147" s="175" t="n">
        <v>46.5</v>
      </c>
      <c r="D147" s="175" t="n">
        <v>56.5</v>
      </c>
      <c r="E147" s="175" t="n">
        <v>66.5</v>
      </c>
      <c r="F147" s="159"/>
      <c r="G147" s="175" t="n">
        <v>25.0400009155273</v>
      </c>
      <c r="H147" s="175" t="n">
        <v>25.0400009155273</v>
      </c>
      <c r="I147" s="175" t="n">
        <v>25.0400009155273</v>
      </c>
      <c r="J147" s="140"/>
      <c r="K147" s="141" t="n">
        <v>41244</v>
      </c>
      <c r="L147" s="176" t="n">
        <v>27.2900009155273</v>
      </c>
      <c r="M147" s="176" t="n">
        <v>27.2900009155273</v>
      </c>
      <c r="N147" s="176" t="n">
        <v>27.2900009155273</v>
      </c>
      <c r="O147" s="139"/>
      <c r="P147" s="176" t="n">
        <v>21.7900009155273</v>
      </c>
      <c r="Q147" s="176" t="n">
        <v>21.7900009155273</v>
      </c>
      <c r="R147" s="176" t="n">
        <v>21.7900009155273</v>
      </c>
      <c r="S147" s="139"/>
      <c r="T147" s="176" t="n">
        <v>0</v>
      </c>
      <c r="U147" s="176" t="n">
        <v>0</v>
      </c>
      <c r="V147" s="176" t="n">
        <v>0</v>
      </c>
      <c r="W147" s="139"/>
      <c r="X147" s="176" t="n">
        <v>0.16</v>
      </c>
      <c r="Y147" s="176" t="n">
        <v>0.2</v>
      </c>
      <c r="Z147" s="176" t="n">
        <v>0.24</v>
      </c>
      <c r="AA147" s="139"/>
      <c r="AB147" s="176" t="n">
        <v>0.08</v>
      </c>
      <c r="AC147" s="176" t="n">
        <v>0.1</v>
      </c>
      <c r="AD147" s="176" t="n">
        <v>0.12</v>
      </c>
      <c r="AE147" s="139"/>
      <c r="AF147" s="176" t="n">
        <v>0.2</v>
      </c>
      <c r="AG147" s="176" t="n">
        <v>0.25</v>
      </c>
      <c r="AH147" s="176" t="n">
        <v>0.3</v>
      </c>
      <c r="AI147" s="139"/>
      <c r="AJ147" s="176" t="n">
        <v>0.12</v>
      </c>
      <c r="AK147" s="176" t="n">
        <v>0.15</v>
      </c>
      <c r="AL147" s="176" t="n">
        <v>0.18</v>
      </c>
      <c r="AM147" s="139"/>
      <c r="AN147" s="140" t="n">
        <v>46</v>
      </c>
      <c r="AO147" s="177" t="n">
        <v>0.4</v>
      </c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41" t="n">
        <v>41244</v>
      </c>
      <c r="BG147" s="179" t="n">
        <v>0.75</v>
      </c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  <c r="BU147" s="139"/>
      <c r="BV147" s="139"/>
      <c r="BW147" s="139"/>
      <c r="BX147" s="139"/>
      <c r="BY147" s="139"/>
      <c r="BZ147" s="139"/>
      <c r="CA147" s="139"/>
      <c r="CB147" s="139"/>
      <c r="CC147" s="139"/>
      <c r="CD147" s="139"/>
      <c r="CE147" s="139"/>
      <c r="CF147" s="0"/>
      <c r="CK147" s="206"/>
      <c r="CL147" s="206"/>
      <c r="CM147" s="180"/>
      <c r="CN147" s="0"/>
      <c r="CO147" s="0"/>
      <c r="CP147" s="0"/>
      <c r="CQ147" s="0"/>
      <c r="CR147" s="0"/>
      <c r="CW147" s="181" t="n">
        <f aca="false">K147</f>
        <v>41244</v>
      </c>
      <c r="CX147" s="182" t="n">
        <f aca="false">AF147</f>
        <v>0.2</v>
      </c>
      <c r="CY147" s="182" t="n">
        <f aca="false">AG147</f>
        <v>0.25</v>
      </c>
      <c r="CZ147" s="182" t="n">
        <f aca="false">AH147</f>
        <v>0.3</v>
      </c>
      <c r="DB147" s="182" t="n">
        <f aca="false">X147</f>
        <v>0.16</v>
      </c>
      <c r="DC147" s="182" t="n">
        <f aca="false">Y147</f>
        <v>0.2</v>
      </c>
      <c r="DD147" s="182" t="n">
        <f aca="false">Z147</f>
        <v>0.24</v>
      </c>
      <c r="DF147" s="181" t="n">
        <f aca="false">BF147</f>
        <v>41244</v>
      </c>
      <c r="DG147" s="133" t="n">
        <f aca="false">BG147</f>
        <v>0.75</v>
      </c>
      <c r="DJ147" s="181" t="n">
        <f aca="false">CW147</f>
        <v>41244</v>
      </c>
      <c r="DK147" s="182" t="n">
        <f aca="false">AJ147</f>
        <v>0.12</v>
      </c>
      <c r="DL147" s="182" t="n">
        <f aca="false">AK147</f>
        <v>0.15</v>
      </c>
      <c r="DM147" s="182" t="n">
        <f aca="false">AL147</f>
        <v>0.18</v>
      </c>
      <c r="DO147" s="182" t="n">
        <f aca="false">AB147</f>
        <v>0.08</v>
      </c>
      <c r="DP147" s="182" t="n">
        <f aca="false">AC147</f>
        <v>0.1</v>
      </c>
      <c r="DQ147" s="182" t="n">
        <f aca="false">AD147</f>
        <v>0.12</v>
      </c>
    </row>
    <row r="148" customFormat="false" ht="12.75" hidden="false" customHeight="false" outlineLevel="0" collapsed="false">
      <c r="A148" s="133"/>
      <c r="B148" s="174" t="n">
        <v>40391</v>
      </c>
      <c r="C148" s="175" t="n">
        <v>46.5</v>
      </c>
      <c r="D148" s="175" t="n">
        <v>56.5</v>
      </c>
      <c r="E148" s="175" t="n">
        <v>66.5</v>
      </c>
      <c r="F148" s="159"/>
      <c r="G148" s="175" t="n">
        <v>26.0400009155273</v>
      </c>
      <c r="H148" s="175" t="n">
        <v>26.0400009155273</v>
      </c>
      <c r="I148" s="175" t="n">
        <v>26.0400009155273</v>
      </c>
      <c r="J148" s="140"/>
      <c r="K148" s="141" t="n">
        <v>41275</v>
      </c>
      <c r="L148" s="176" t="n">
        <v>35.75</v>
      </c>
      <c r="M148" s="176" t="n">
        <v>35.75</v>
      </c>
      <c r="N148" s="176" t="n">
        <v>35.75</v>
      </c>
      <c r="O148" s="139"/>
      <c r="P148" s="176" t="n">
        <v>25.25</v>
      </c>
      <c r="Q148" s="176" t="n">
        <v>25.25</v>
      </c>
      <c r="R148" s="176" t="n">
        <v>25.25</v>
      </c>
      <c r="S148" s="139"/>
      <c r="T148" s="176" t="n">
        <v>0</v>
      </c>
      <c r="U148" s="176" t="n">
        <v>0</v>
      </c>
      <c r="V148" s="176" t="n">
        <v>0</v>
      </c>
      <c r="W148" s="139"/>
      <c r="X148" s="176" t="n">
        <v>0.16</v>
      </c>
      <c r="Y148" s="176" t="n">
        <v>0.2</v>
      </c>
      <c r="Z148" s="176" t="n">
        <v>0.24</v>
      </c>
      <c r="AA148" s="139"/>
      <c r="AB148" s="176" t="n">
        <v>0.08</v>
      </c>
      <c r="AC148" s="176" t="n">
        <v>0.1</v>
      </c>
      <c r="AD148" s="176" t="n">
        <v>0.12</v>
      </c>
      <c r="AE148" s="139"/>
      <c r="AF148" s="176" t="n">
        <v>0.2</v>
      </c>
      <c r="AG148" s="176" t="n">
        <v>0.25</v>
      </c>
      <c r="AH148" s="176" t="n">
        <v>0.3</v>
      </c>
      <c r="AI148" s="139"/>
      <c r="AJ148" s="176" t="n">
        <v>0.12</v>
      </c>
      <c r="AK148" s="176" t="n">
        <v>0.15</v>
      </c>
      <c r="AL148" s="176" t="n">
        <v>0.18</v>
      </c>
      <c r="AM148" s="139"/>
      <c r="AN148" s="140" t="n">
        <v>47</v>
      </c>
      <c r="AO148" s="177" t="n">
        <v>0.4</v>
      </c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41" t="n">
        <v>41275</v>
      </c>
      <c r="BG148" s="179" t="n">
        <v>0.75</v>
      </c>
      <c r="BH148" s="139"/>
      <c r="BI148" s="139"/>
      <c r="BJ148" s="139"/>
      <c r="BK148" s="139"/>
      <c r="BL148" s="139"/>
      <c r="BM148" s="139"/>
      <c r="BN148" s="139"/>
      <c r="BO148" s="139"/>
      <c r="BP148" s="139"/>
      <c r="BQ148" s="139"/>
      <c r="BR148" s="139"/>
      <c r="BS148" s="139"/>
      <c r="BT148" s="139"/>
      <c r="BU148" s="139"/>
      <c r="BV148" s="139"/>
      <c r="BW148" s="139"/>
      <c r="BX148" s="139"/>
      <c r="BY148" s="139"/>
      <c r="BZ148" s="139"/>
      <c r="CA148" s="139"/>
      <c r="CB148" s="139"/>
      <c r="CC148" s="139"/>
      <c r="CD148" s="139"/>
      <c r="CE148" s="139"/>
      <c r="CF148" s="0"/>
      <c r="CK148" s="206"/>
      <c r="CL148" s="206"/>
      <c r="CM148" s="180"/>
      <c r="CN148" s="0"/>
      <c r="CO148" s="0"/>
      <c r="CP148" s="0"/>
      <c r="CQ148" s="0"/>
      <c r="CR148" s="0"/>
      <c r="CW148" s="181" t="n">
        <f aca="false">K148</f>
        <v>41275</v>
      </c>
      <c r="CX148" s="182" t="n">
        <f aca="false">AF148</f>
        <v>0.2</v>
      </c>
      <c r="CY148" s="182" t="n">
        <f aca="false">AG148</f>
        <v>0.25</v>
      </c>
      <c r="CZ148" s="182" t="n">
        <f aca="false">AH148</f>
        <v>0.3</v>
      </c>
      <c r="DB148" s="182" t="n">
        <f aca="false">X148</f>
        <v>0.16</v>
      </c>
      <c r="DC148" s="182" t="n">
        <f aca="false">Y148</f>
        <v>0.2</v>
      </c>
      <c r="DD148" s="182" t="n">
        <f aca="false">Z148</f>
        <v>0.24</v>
      </c>
      <c r="DF148" s="181" t="n">
        <f aca="false">BF148</f>
        <v>41275</v>
      </c>
      <c r="DG148" s="133" t="n">
        <f aca="false">BG148</f>
        <v>0.75</v>
      </c>
      <c r="DJ148" s="181" t="n">
        <f aca="false">CW148</f>
        <v>41275</v>
      </c>
      <c r="DK148" s="182" t="n">
        <f aca="false">AJ148</f>
        <v>0.12</v>
      </c>
      <c r="DL148" s="182" t="n">
        <f aca="false">AK148</f>
        <v>0.15</v>
      </c>
      <c r="DM148" s="182" t="n">
        <f aca="false">AL148</f>
        <v>0.18</v>
      </c>
      <c r="DO148" s="182" t="n">
        <f aca="false">AB148</f>
        <v>0.08</v>
      </c>
      <c r="DP148" s="182" t="n">
        <f aca="false">AC148</f>
        <v>0.1</v>
      </c>
      <c r="DQ148" s="182" t="n">
        <f aca="false">AD148</f>
        <v>0.12</v>
      </c>
    </row>
    <row r="149" customFormat="false" ht="12.75" hidden="false" customHeight="false" outlineLevel="0" collapsed="false">
      <c r="A149" s="133"/>
      <c r="B149" s="174" t="n">
        <v>40422</v>
      </c>
      <c r="C149" s="175" t="n">
        <v>29.2099990844727</v>
      </c>
      <c r="D149" s="175" t="n">
        <v>30.7099990844727</v>
      </c>
      <c r="E149" s="175" t="n">
        <v>32.2099990844727</v>
      </c>
      <c r="F149" s="159"/>
      <c r="G149" s="175" t="n">
        <v>20.0400009155273</v>
      </c>
      <c r="H149" s="175" t="n">
        <v>20.0400009155273</v>
      </c>
      <c r="I149" s="175" t="n">
        <v>20.0400009155273</v>
      </c>
      <c r="J149" s="140"/>
      <c r="K149" s="141" t="n">
        <v>41306</v>
      </c>
      <c r="L149" s="176" t="n">
        <v>31.2460021972656</v>
      </c>
      <c r="M149" s="176" t="n">
        <v>31.2460021972656</v>
      </c>
      <c r="N149" s="176" t="n">
        <v>31.2460021972656</v>
      </c>
      <c r="O149" s="139"/>
      <c r="P149" s="176" t="n">
        <v>22.7465019226074</v>
      </c>
      <c r="Q149" s="176" t="n">
        <v>22.7465019226074</v>
      </c>
      <c r="R149" s="176" t="n">
        <v>22.7465019226074</v>
      </c>
      <c r="S149" s="139"/>
      <c r="T149" s="176" t="n">
        <v>0</v>
      </c>
      <c r="U149" s="176" t="n">
        <v>0</v>
      </c>
      <c r="V149" s="176" t="n">
        <v>0</v>
      </c>
      <c r="W149" s="139"/>
      <c r="X149" s="176" t="n">
        <v>0.16</v>
      </c>
      <c r="Y149" s="176" t="n">
        <v>0.2</v>
      </c>
      <c r="Z149" s="176" t="n">
        <v>0.24</v>
      </c>
      <c r="AA149" s="139"/>
      <c r="AB149" s="176" t="n">
        <v>0.08</v>
      </c>
      <c r="AC149" s="176" t="n">
        <v>0.1</v>
      </c>
      <c r="AD149" s="176" t="n">
        <v>0.12</v>
      </c>
      <c r="AE149" s="139"/>
      <c r="AF149" s="176" t="n">
        <v>0.2</v>
      </c>
      <c r="AG149" s="176" t="n">
        <v>0.25</v>
      </c>
      <c r="AH149" s="176" t="n">
        <v>0.3</v>
      </c>
      <c r="AI149" s="139"/>
      <c r="AJ149" s="176" t="n">
        <v>0.12</v>
      </c>
      <c r="AK149" s="176" t="n">
        <v>0.15</v>
      </c>
      <c r="AL149" s="176" t="n">
        <v>0.18</v>
      </c>
      <c r="AM149" s="139"/>
      <c r="AN149" s="140" t="n">
        <v>47</v>
      </c>
      <c r="AO149" s="177" t="n">
        <v>0.4</v>
      </c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41" t="n">
        <v>41306</v>
      </c>
      <c r="BG149" s="179" t="n">
        <v>0.75</v>
      </c>
      <c r="BH149" s="139"/>
      <c r="BI149" s="139"/>
      <c r="BJ149" s="139"/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  <c r="BU149" s="139"/>
      <c r="BV149" s="139"/>
      <c r="BW149" s="139"/>
      <c r="BX149" s="139"/>
      <c r="BY149" s="139"/>
      <c r="BZ149" s="139"/>
      <c r="CA149" s="139"/>
      <c r="CB149" s="139"/>
      <c r="CC149" s="139"/>
      <c r="CD149" s="139"/>
      <c r="CE149" s="139"/>
      <c r="CF149" s="0"/>
      <c r="CK149" s="206"/>
      <c r="CL149" s="206"/>
      <c r="CM149" s="180"/>
      <c r="CN149" s="0"/>
      <c r="CO149" s="0"/>
      <c r="CP149" s="0"/>
      <c r="CQ149" s="0"/>
      <c r="CR149" s="0"/>
      <c r="CW149" s="181" t="n">
        <f aca="false">K149</f>
        <v>41306</v>
      </c>
      <c r="CX149" s="182" t="n">
        <f aca="false">AF149</f>
        <v>0.2</v>
      </c>
      <c r="CY149" s="182" t="n">
        <f aca="false">AG149</f>
        <v>0.25</v>
      </c>
      <c r="CZ149" s="182" t="n">
        <f aca="false">AH149</f>
        <v>0.3</v>
      </c>
      <c r="DB149" s="182" t="n">
        <f aca="false">X149</f>
        <v>0.16</v>
      </c>
      <c r="DC149" s="182" t="n">
        <f aca="false">Y149</f>
        <v>0.2</v>
      </c>
      <c r="DD149" s="182" t="n">
        <f aca="false">Z149</f>
        <v>0.24</v>
      </c>
      <c r="DF149" s="181" t="n">
        <f aca="false">BF149</f>
        <v>41306</v>
      </c>
      <c r="DG149" s="133" t="n">
        <f aca="false">BG149</f>
        <v>0.75</v>
      </c>
      <c r="DJ149" s="181" t="n">
        <f aca="false">CW149</f>
        <v>41306</v>
      </c>
      <c r="DK149" s="182" t="n">
        <f aca="false">AJ149</f>
        <v>0.12</v>
      </c>
      <c r="DL149" s="182" t="n">
        <f aca="false">AK149</f>
        <v>0.15</v>
      </c>
      <c r="DM149" s="182" t="n">
        <f aca="false">AL149</f>
        <v>0.18</v>
      </c>
      <c r="DO149" s="182" t="n">
        <f aca="false">AB149</f>
        <v>0.08</v>
      </c>
      <c r="DP149" s="182" t="n">
        <f aca="false">AC149</f>
        <v>0.1</v>
      </c>
      <c r="DQ149" s="182" t="n">
        <f aca="false">AD149</f>
        <v>0.12</v>
      </c>
    </row>
    <row r="150" customFormat="false" ht="12.75" hidden="false" customHeight="false" outlineLevel="0" collapsed="false">
      <c r="A150" s="133"/>
      <c r="B150" s="174" t="n">
        <v>40452</v>
      </c>
      <c r="C150" s="175" t="n">
        <v>31.6115684509277</v>
      </c>
      <c r="D150" s="175" t="n">
        <v>33.1115684509277</v>
      </c>
      <c r="E150" s="175" t="n">
        <v>34.6115684509277</v>
      </c>
      <c r="F150" s="159"/>
      <c r="G150" s="175" t="n">
        <v>19.540002822876</v>
      </c>
      <c r="H150" s="175" t="n">
        <v>19.540002822876</v>
      </c>
      <c r="I150" s="175" t="n">
        <v>19.540002822876</v>
      </c>
      <c r="J150" s="140"/>
      <c r="K150" s="141" t="n">
        <v>41334</v>
      </c>
      <c r="L150" s="176" t="n">
        <v>25.5</v>
      </c>
      <c r="M150" s="176" t="n">
        <v>25.5</v>
      </c>
      <c r="N150" s="176" t="n">
        <v>25.5</v>
      </c>
      <c r="O150" s="139"/>
      <c r="P150" s="176" t="n">
        <v>20</v>
      </c>
      <c r="Q150" s="176" t="n">
        <v>20</v>
      </c>
      <c r="R150" s="176" t="n">
        <v>20</v>
      </c>
      <c r="S150" s="139"/>
      <c r="T150" s="176" t="n">
        <v>0</v>
      </c>
      <c r="U150" s="176" t="n">
        <v>0</v>
      </c>
      <c r="V150" s="176" t="n">
        <v>0</v>
      </c>
      <c r="W150" s="139"/>
      <c r="X150" s="176" t="n">
        <v>0.16</v>
      </c>
      <c r="Y150" s="176" t="n">
        <v>0.2</v>
      </c>
      <c r="Z150" s="176" t="n">
        <v>0.24</v>
      </c>
      <c r="AA150" s="139"/>
      <c r="AB150" s="176" t="n">
        <v>0.08</v>
      </c>
      <c r="AC150" s="176" t="n">
        <v>0.1</v>
      </c>
      <c r="AD150" s="176" t="n">
        <v>0.12</v>
      </c>
      <c r="AE150" s="139"/>
      <c r="AF150" s="176" t="n">
        <v>0.2</v>
      </c>
      <c r="AG150" s="176" t="n">
        <v>0.25</v>
      </c>
      <c r="AH150" s="176" t="n">
        <v>0.3</v>
      </c>
      <c r="AI150" s="139"/>
      <c r="AJ150" s="176" t="n">
        <v>0.12</v>
      </c>
      <c r="AK150" s="176" t="n">
        <v>0.15</v>
      </c>
      <c r="AL150" s="176" t="n">
        <v>0.18</v>
      </c>
      <c r="AM150" s="139"/>
      <c r="AN150" s="140" t="n">
        <v>47</v>
      </c>
      <c r="AO150" s="177" t="n">
        <v>0.4</v>
      </c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41" t="n">
        <v>41334</v>
      </c>
      <c r="BG150" s="179" t="n">
        <v>0.75</v>
      </c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39"/>
      <c r="BR150" s="139"/>
      <c r="BS150" s="139"/>
      <c r="BT150" s="139"/>
      <c r="BU150" s="139"/>
      <c r="BV150" s="139"/>
      <c r="BW150" s="139"/>
      <c r="BX150" s="139"/>
      <c r="BY150" s="139"/>
      <c r="BZ150" s="139"/>
      <c r="CA150" s="139"/>
      <c r="CB150" s="139"/>
      <c r="CC150" s="139"/>
      <c r="CD150" s="139"/>
      <c r="CE150" s="139"/>
      <c r="CF150" s="0"/>
      <c r="CK150" s="206"/>
      <c r="CL150" s="206"/>
      <c r="CM150" s="180"/>
      <c r="CN150" s="0"/>
      <c r="CO150" s="0"/>
      <c r="CP150" s="0"/>
      <c r="CQ150" s="0"/>
      <c r="CR150" s="0"/>
      <c r="CW150" s="181" t="n">
        <f aca="false">K150</f>
        <v>41334</v>
      </c>
      <c r="CX150" s="182" t="n">
        <f aca="false">AF150</f>
        <v>0.2</v>
      </c>
      <c r="CY150" s="182" t="n">
        <f aca="false">AG150</f>
        <v>0.25</v>
      </c>
      <c r="CZ150" s="182" t="n">
        <f aca="false">AH150</f>
        <v>0.3</v>
      </c>
      <c r="DB150" s="182" t="n">
        <f aca="false">X150</f>
        <v>0.16</v>
      </c>
      <c r="DC150" s="182" t="n">
        <f aca="false">Y150</f>
        <v>0.2</v>
      </c>
      <c r="DD150" s="182" t="n">
        <f aca="false">Z150</f>
        <v>0.24</v>
      </c>
      <c r="DF150" s="181" t="n">
        <f aca="false">BF150</f>
        <v>41334</v>
      </c>
      <c r="DG150" s="133" t="n">
        <f aca="false">BG150</f>
        <v>0.75</v>
      </c>
      <c r="DJ150" s="181" t="n">
        <f aca="false">CW150</f>
        <v>41334</v>
      </c>
      <c r="DK150" s="182" t="n">
        <f aca="false">AJ150</f>
        <v>0.12</v>
      </c>
      <c r="DL150" s="182" t="n">
        <f aca="false">AK150</f>
        <v>0.15</v>
      </c>
      <c r="DM150" s="182" t="n">
        <f aca="false">AL150</f>
        <v>0.18</v>
      </c>
      <c r="DO150" s="182" t="n">
        <f aca="false">AB150</f>
        <v>0.08</v>
      </c>
      <c r="DP150" s="182" t="n">
        <f aca="false">AC150</f>
        <v>0.1</v>
      </c>
      <c r="DQ150" s="182" t="n">
        <f aca="false">AD150</f>
        <v>0.12</v>
      </c>
    </row>
    <row r="151" customFormat="false" ht="12.75" hidden="false" customHeight="false" outlineLevel="0" collapsed="false">
      <c r="A151" s="133"/>
      <c r="B151" s="174" t="n">
        <v>40483</v>
      </c>
      <c r="C151" s="175" t="n">
        <v>31.7115669250488</v>
      </c>
      <c r="D151" s="175" t="n">
        <v>33.2115669250488</v>
      </c>
      <c r="E151" s="175" t="n">
        <v>34.7115669250488</v>
      </c>
      <c r="F151" s="159"/>
      <c r="G151" s="175" t="n">
        <v>20.5400009155273</v>
      </c>
      <c r="H151" s="175" t="n">
        <v>20.5400009155273</v>
      </c>
      <c r="I151" s="175" t="n">
        <v>20.5400009155273</v>
      </c>
      <c r="J151" s="140"/>
      <c r="K151" s="141" t="n">
        <v>41365</v>
      </c>
      <c r="L151" s="176" t="n">
        <v>22</v>
      </c>
      <c r="M151" s="176" t="n">
        <v>22</v>
      </c>
      <c r="N151" s="176" t="n">
        <v>22</v>
      </c>
      <c r="O151" s="139"/>
      <c r="P151" s="176" t="n">
        <v>16.4950008392334</v>
      </c>
      <c r="Q151" s="176" t="n">
        <v>16.4950008392334</v>
      </c>
      <c r="R151" s="176" t="n">
        <v>16.4950008392334</v>
      </c>
      <c r="S151" s="139"/>
      <c r="T151" s="176" t="n">
        <v>0</v>
      </c>
      <c r="U151" s="176" t="n">
        <v>0</v>
      </c>
      <c r="V151" s="176" t="n">
        <v>0</v>
      </c>
      <c r="W151" s="139"/>
      <c r="X151" s="176" t="n">
        <v>0.16</v>
      </c>
      <c r="Y151" s="176" t="n">
        <v>0.2</v>
      </c>
      <c r="Z151" s="176" t="n">
        <v>0.24</v>
      </c>
      <c r="AA151" s="139"/>
      <c r="AB151" s="176" t="n">
        <v>0.08</v>
      </c>
      <c r="AC151" s="176" t="n">
        <v>0.1</v>
      </c>
      <c r="AD151" s="176" t="n">
        <v>0.12</v>
      </c>
      <c r="AE151" s="139"/>
      <c r="AF151" s="176" t="n">
        <v>0.2</v>
      </c>
      <c r="AG151" s="176" t="n">
        <v>0.25</v>
      </c>
      <c r="AH151" s="176" t="n">
        <v>0.3</v>
      </c>
      <c r="AI151" s="139"/>
      <c r="AJ151" s="176" t="n">
        <v>0.12</v>
      </c>
      <c r="AK151" s="176" t="n">
        <v>0.15</v>
      </c>
      <c r="AL151" s="176" t="n">
        <v>0.18</v>
      </c>
      <c r="AM151" s="139"/>
      <c r="AN151" s="140" t="n">
        <v>48</v>
      </c>
      <c r="AO151" s="177" t="n">
        <v>0.4</v>
      </c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41" t="n">
        <v>41365</v>
      </c>
      <c r="BG151" s="179" t="n">
        <v>0.75</v>
      </c>
      <c r="BH151" s="139"/>
      <c r="BI151" s="139"/>
      <c r="BJ151" s="139"/>
      <c r="BK151" s="139"/>
      <c r="BL151" s="139"/>
      <c r="BM151" s="139"/>
      <c r="BN151" s="139"/>
      <c r="BO151" s="139"/>
      <c r="BP151" s="139"/>
      <c r="BQ151" s="139"/>
      <c r="BR151" s="139"/>
      <c r="BS151" s="139"/>
      <c r="BT151" s="139"/>
      <c r="BU151" s="139"/>
      <c r="BV151" s="139"/>
      <c r="BW151" s="139"/>
      <c r="BX151" s="139"/>
      <c r="BY151" s="139"/>
      <c r="BZ151" s="139"/>
      <c r="CA151" s="139"/>
      <c r="CB151" s="139"/>
      <c r="CC151" s="139"/>
      <c r="CD151" s="139"/>
      <c r="CE151" s="139"/>
      <c r="CF151" s="0"/>
      <c r="CK151" s="206"/>
      <c r="CL151" s="206"/>
      <c r="CM151" s="180"/>
      <c r="CN151" s="0"/>
      <c r="CO151" s="0"/>
      <c r="CP151" s="0"/>
      <c r="CQ151" s="0"/>
      <c r="CR151" s="0"/>
      <c r="CW151" s="181" t="n">
        <f aca="false">K151</f>
        <v>41365</v>
      </c>
      <c r="CX151" s="182" t="n">
        <f aca="false">AF151</f>
        <v>0.2</v>
      </c>
      <c r="CY151" s="182" t="n">
        <f aca="false">AG151</f>
        <v>0.25</v>
      </c>
      <c r="CZ151" s="182" t="n">
        <f aca="false">AH151</f>
        <v>0.3</v>
      </c>
      <c r="DB151" s="182" t="n">
        <f aca="false">X151</f>
        <v>0.16</v>
      </c>
      <c r="DC151" s="182" t="n">
        <f aca="false">Y151</f>
        <v>0.2</v>
      </c>
      <c r="DD151" s="182" t="n">
        <f aca="false">Z151</f>
        <v>0.24</v>
      </c>
      <c r="DF151" s="181" t="n">
        <f aca="false">BF151</f>
        <v>41365</v>
      </c>
      <c r="DG151" s="133" t="n">
        <f aca="false">BG151</f>
        <v>0.75</v>
      </c>
      <c r="DJ151" s="181" t="n">
        <f aca="false">CW151</f>
        <v>41365</v>
      </c>
      <c r="DK151" s="182" t="n">
        <f aca="false">AJ151</f>
        <v>0.12</v>
      </c>
      <c r="DL151" s="182" t="n">
        <f aca="false">AK151</f>
        <v>0.15</v>
      </c>
      <c r="DM151" s="182" t="n">
        <f aca="false">AL151</f>
        <v>0.18</v>
      </c>
      <c r="DO151" s="182" t="n">
        <f aca="false">AB151</f>
        <v>0.08</v>
      </c>
      <c r="DP151" s="182" t="n">
        <f aca="false">AC151</f>
        <v>0.1</v>
      </c>
      <c r="DQ151" s="182" t="n">
        <f aca="false">AD151</f>
        <v>0.12</v>
      </c>
    </row>
    <row r="152" customFormat="false" ht="12.75" hidden="false" customHeight="false" outlineLevel="0" collapsed="false">
      <c r="A152" s="133"/>
      <c r="B152" s="174" t="n">
        <v>40513</v>
      </c>
      <c r="C152" s="175" t="n">
        <v>31.8115653991699</v>
      </c>
      <c r="D152" s="175" t="n">
        <v>33.3115653991699</v>
      </c>
      <c r="E152" s="175" t="n">
        <v>34.8115653991699</v>
      </c>
      <c r="F152" s="159"/>
      <c r="G152" s="175" t="n">
        <v>22.7900009155273</v>
      </c>
      <c r="H152" s="175" t="n">
        <v>22.7900009155273</v>
      </c>
      <c r="I152" s="175" t="n">
        <v>22.7900009155273</v>
      </c>
      <c r="J152" s="140"/>
      <c r="K152" s="141" t="n">
        <v>41395</v>
      </c>
      <c r="L152" s="176" t="n">
        <v>22.2900009155273</v>
      </c>
      <c r="M152" s="176" t="n">
        <v>22.2900009155273</v>
      </c>
      <c r="N152" s="176" t="n">
        <v>22.2900009155273</v>
      </c>
      <c r="O152" s="139"/>
      <c r="P152" s="176" t="n">
        <v>15.7950000762939</v>
      </c>
      <c r="Q152" s="176" t="n">
        <v>15.7950000762939</v>
      </c>
      <c r="R152" s="176" t="n">
        <v>15.7950000762939</v>
      </c>
      <c r="S152" s="139"/>
      <c r="T152" s="176" t="n">
        <v>0</v>
      </c>
      <c r="U152" s="176" t="n">
        <v>0</v>
      </c>
      <c r="V152" s="176" t="n">
        <v>0</v>
      </c>
      <c r="W152" s="139"/>
      <c r="X152" s="176" t="n">
        <v>0.16</v>
      </c>
      <c r="Y152" s="176" t="n">
        <v>0.2</v>
      </c>
      <c r="Z152" s="176" t="n">
        <v>0.24</v>
      </c>
      <c r="AA152" s="139"/>
      <c r="AB152" s="176" t="n">
        <v>0.08</v>
      </c>
      <c r="AC152" s="176" t="n">
        <v>0.1</v>
      </c>
      <c r="AD152" s="176" t="n">
        <v>0.12</v>
      </c>
      <c r="AE152" s="139"/>
      <c r="AF152" s="176" t="n">
        <v>0.2</v>
      </c>
      <c r="AG152" s="176" t="n">
        <v>0.25</v>
      </c>
      <c r="AH152" s="176" t="n">
        <v>0.3</v>
      </c>
      <c r="AI152" s="139"/>
      <c r="AJ152" s="176" t="n">
        <v>0.12</v>
      </c>
      <c r="AK152" s="176" t="n">
        <v>0.15</v>
      </c>
      <c r="AL152" s="176" t="n">
        <v>0.18</v>
      </c>
      <c r="AM152" s="139"/>
      <c r="AN152" s="140" t="n">
        <v>48</v>
      </c>
      <c r="AO152" s="177" t="n">
        <v>0.4</v>
      </c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41" t="n">
        <v>41395</v>
      </c>
      <c r="BG152" s="179" t="n">
        <v>0.75</v>
      </c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39"/>
      <c r="BR152" s="139"/>
      <c r="BS152" s="139"/>
      <c r="BT152" s="139"/>
      <c r="BU152" s="139"/>
      <c r="BV152" s="139"/>
      <c r="BW152" s="139"/>
      <c r="BX152" s="139"/>
      <c r="BY152" s="139"/>
      <c r="BZ152" s="139"/>
      <c r="CA152" s="139"/>
      <c r="CB152" s="139"/>
      <c r="CC152" s="139"/>
      <c r="CD152" s="139"/>
      <c r="CE152" s="139"/>
      <c r="CF152" s="0"/>
      <c r="CK152" s="206"/>
      <c r="CL152" s="206"/>
      <c r="CM152" s="180"/>
      <c r="CN152" s="0"/>
      <c r="CO152" s="0"/>
      <c r="CP152" s="0"/>
      <c r="CQ152" s="0"/>
      <c r="CR152" s="0"/>
      <c r="CW152" s="181" t="n">
        <f aca="false">K152</f>
        <v>41395</v>
      </c>
      <c r="CX152" s="182" t="n">
        <f aca="false">AF152</f>
        <v>0.2</v>
      </c>
      <c r="CY152" s="182" t="n">
        <f aca="false">AG152</f>
        <v>0.25</v>
      </c>
      <c r="CZ152" s="182" t="n">
        <f aca="false">AH152</f>
        <v>0.3</v>
      </c>
      <c r="DB152" s="182" t="n">
        <f aca="false">X152</f>
        <v>0.16</v>
      </c>
      <c r="DC152" s="182" t="n">
        <f aca="false">Y152</f>
        <v>0.2</v>
      </c>
      <c r="DD152" s="182" t="n">
        <f aca="false">Z152</f>
        <v>0.24</v>
      </c>
      <c r="DF152" s="181" t="n">
        <f aca="false">BF152</f>
        <v>41395</v>
      </c>
      <c r="DG152" s="133" t="n">
        <f aca="false">BG152</f>
        <v>0.75</v>
      </c>
      <c r="DJ152" s="181" t="n">
        <f aca="false">CW152</f>
        <v>41395</v>
      </c>
      <c r="DK152" s="182" t="n">
        <f aca="false">AJ152</f>
        <v>0.12</v>
      </c>
      <c r="DL152" s="182" t="n">
        <f aca="false">AK152</f>
        <v>0.15</v>
      </c>
      <c r="DM152" s="182" t="n">
        <f aca="false">AL152</f>
        <v>0.18</v>
      </c>
      <c r="DO152" s="182" t="n">
        <f aca="false">AB152</f>
        <v>0.08</v>
      </c>
      <c r="DP152" s="182" t="n">
        <f aca="false">AC152</f>
        <v>0.1</v>
      </c>
      <c r="DQ152" s="182" t="n">
        <f aca="false">AD152</f>
        <v>0.12</v>
      </c>
    </row>
    <row r="153" customFormat="false" ht="12.75" hidden="false" customHeight="false" outlineLevel="0" collapsed="false">
      <c r="A153" s="133"/>
      <c r="B153" s="174" t="n">
        <v>40544</v>
      </c>
      <c r="C153" s="175" t="n">
        <v>35.4957160949707</v>
      </c>
      <c r="D153" s="175" t="n">
        <v>36.9957160949707</v>
      </c>
      <c r="E153" s="175" t="n">
        <v>38.4957160949707</v>
      </c>
      <c r="F153" s="159"/>
      <c r="G153" s="175" t="n">
        <v>25</v>
      </c>
      <c r="H153" s="175" t="n">
        <v>25</v>
      </c>
      <c r="I153" s="175" t="n">
        <v>25</v>
      </c>
      <c r="J153" s="140"/>
      <c r="K153" s="141" t="n">
        <v>41426</v>
      </c>
      <c r="L153" s="176" t="n">
        <v>29.2900009155273</v>
      </c>
      <c r="M153" s="176" t="n">
        <v>29.2900009155273</v>
      </c>
      <c r="N153" s="176" t="n">
        <v>29.2900009155273</v>
      </c>
      <c r="O153" s="139"/>
      <c r="P153" s="176" t="n">
        <v>19.7900009155273</v>
      </c>
      <c r="Q153" s="176" t="n">
        <v>19.7900009155273</v>
      </c>
      <c r="R153" s="176" t="n">
        <v>19.7900009155273</v>
      </c>
      <c r="S153" s="139"/>
      <c r="T153" s="176" t="n">
        <v>0</v>
      </c>
      <c r="U153" s="176" t="n">
        <v>0</v>
      </c>
      <c r="V153" s="176" t="n">
        <v>0</v>
      </c>
      <c r="W153" s="139"/>
      <c r="X153" s="176" t="n">
        <v>0.16</v>
      </c>
      <c r="Y153" s="176" t="n">
        <v>0.2</v>
      </c>
      <c r="Z153" s="176" t="n">
        <v>0.24</v>
      </c>
      <c r="AA153" s="139"/>
      <c r="AB153" s="176" t="n">
        <v>0.08</v>
      </c>
      <c r="AC153" s="176" t="n">
        <v>0.1</v>
      </c>
      <c r="AD153" s="176" t="n">
        <v>0.12</v>
      </c>
      <c r="AE153" s="139"/>
      <c r="AF153" s="176" t="n">
        <v>0.2</v>
      </c>
      <c r="AG153" s="176" t="n">
        <v>0.25</v>
      </c>
      <c r="AH153" s="176" t="n">
        <v>0.3</v>
      </c>
      <c r="AI153" s="139"/>
      <c r="AJ153" s="176" t="n">
        <v>0.12</v>
      </c>
      <c r="AK153" s="176" t="n">
        <v>0.15</v>
      </c>
      <c r="AL153" s="176" t="n">
        <v>0.18</v>
      </c>
      <c r="AM153" s="139"/>
      <c r="AN153" s="140" t="n">
        <v>48</v>
      </c>
      <c r="AO153" s="177" t="n">
        <v>0.4</v>
      </c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41" t="n">
        <v>41426</v>
      </c>
      <c r="BG153" s="179" t="n">
        <v>0.75</v>
      </c>
      <c r="BH153" s="139"/>
      <c r="BI153" s="139"/>
      <c r="BJ153" s="139"/>
      <c r="BK153" s="139"/>
      <c r="BL153" s="139"/>
      <c r="BM153" s="139"/>
      <c r="BN153" s="139"/>
      <c r="BO153" s="139"/>
      <c r="BP153" s="139"/>
      <c r="BQ153" s="139"/>
      <c r="BR153" s="139"/>
      <c r="BS153" s="139"/>
      <c r="BT153" s="139"/>
      <c r="BU153" s="139"/>
      <c r="BV153" s="139"/>
      <c r="BW153" s="139"/>
      <c r="BX153" s="139"/>
      <c r="BY153" s="139"/>
      <c r="BZ153" s="139"/>
      <c r="CA153" s="139"/>
      <c r="CB153" s="139"/>
      <c r="CC153" s="139"/>
      <c r="CD153" s="139"/>
      <c r="CE153" s="139"/>
      <c r="CF153" s="0"/>
      <c r="CK153" s="206"/>
      <c r="CL153" s="206"/>
      <c r="CM153" s="180"/>
      <c r="CN153" s="0"/>
      <c r="CO153" s="0"/>
      <c r="CP153" s="0"/>
      <c r="CQ153" s="0"/>
      <c r="CR153" s="0"/>
      <c r="CW153" s="181" t="n">
        <f aca="false">K153</f>
        <v>41426</v>
      </c>
      <c r="CX153" s="182" t="n">
        <f aca="false">AF153</f>
        <v>0.2</v>
      </c>
      <c r="CY153" s="182" t="n">
        <f aca="false">AG153</f>
        <v>0.25</v>
      </c>
      <c r="CZ153" s="182" t="n">
        <f aca="false">AH153</f>
        <v>0.3</v>
      </c>
      <c r="DB153" s="182" t="n">
        <f aca="false">X153</f>
        <v>0.16</v>
      </c>
      <c r="DC153" s="182" t="n">
        <f aca="false">Y153</f>
        <v>0.2</v>
      </c>
      <c r="DD153" s="182" t="n">
        <f aca="false">Z153</f>
        <v>0.24</v>
      </c>
      <c r="DF153" s="181" t="n">
        <f aca="false">BF153</f>
        <v>41426</v>
      </c>
      <c r="DG153" s="133" t="n">
        <f aca="false">BG153</f>
        <v>0.75</v>
      </c>
      <c r="DJ153" s="181" t="n">
        <f aca="false">CW153</f>
        <v>41426</v>
      </c>
      <c r="DK153" s="182" t="n">
        <f aca="false">AJ153</f>
        <v>0.12</v>
      </c>
      <c r="DL153" s="182" t="n">
        <f aca="false">AK153</f>
        <v>0.15</v>
      </c>
      <c r="DM153" s="182" t="n">
        <f aca="false">AL153</f>
        <v>0.18</v>
      </c>
      <c r="DO153" s="182" t="n">
        <f aca="false">AB153</f>
        <v>0.08</v>
      </c>
      <c r="DP153" s="182" t="n">
        <f aca="false">AC153</f>
        <v>0.1</v>
      </c>
      <c r="DQ153" s="182" t="n">
        <f aca="false">AD153</f>
        <v>0.12</v>
      </c>
    </row>
    <row r="154" customFormat="false" ht="12.75" hidden="false" customHeight="false" outlineLevel="0" collapsed="false">
      <c r="A154" s="133"/>
      <c r="B154" s="174" t="n">
        <v>40575</v>
      </c>
      <c r="C154" s="175" t="n">
        <v>34.8957138061523</v>
      </c>
      <c r="D154" s="175" t="n">
        <v>36.3957138061523</v>
      </c>
      <c r="E154" s="175" t="n">
        <v>37.8957138061523</v>
      </c>
      <c r="F154" s="159"/>
      <c r="G154" s="175" t="n">
        <v>23.5</v>
      </c>
      <c r="H154" s="175" t="n">
        <v>23.5</v>
      </c>
      <c r="I154" s="175" t="n">
        <v>23.5</v>
      </c>
      <c r="J154" s="140"/>
      <c r="K154" s="141" t="n">
        <v>41456</v>
      </c>
      <c r="L154" s="176" t="n">
        <v>35.2900009155273</v>
      </c>
      <c r="M154" s="176" t="n">
        <v>35.2900009155273</v>
      </c>
      <c r="N154" s="176" t="n">
        <v>35.2900009155273</v>
      </c>
      <c r="O154" s="139"/>
      <c r="P154" s="176" t="n">
        <v>25.7900009155273</v>
      </c>
      <c r="Q154" s="176" t="n">
        <v>25.7900009155273</v>
      </c>
      <c r="R154" s="176" t="n">
        <v>25.7900009155273</v>
      </c>
      <c r="S154" s="139"/>
      <c r="T154" s="176" t="n">
        <v>0</v>
      </c>
      <c r="U154" s="176" t="n">
        <v>0</v>
      </c>
      <c r="V154" s="176" t="n">
        <v>0</v>
      </c>
      <c r="W154" s="139"/>
      <c r="X154" s="176" t="n">
        <v>0.16</v>
      </c>
      <c r="Y154" s="176" t="n">
        <v>0.2</v>
      </c>
      <c r="Z154" s="176" t="n">
        <v>0.24</v>
      </c>
      <c r="AA154" s="139"/>
      <c r="AB154" s="176" t="n">
        <v>0.08</v>
      </c>
      <c r="AC154" s="176" t="n">
        <v>0.1</v>
      </c>
      <c r="AD154" s="176" t="n">
        <v>0.12</v>
      </c>
      <c r="AE154" s="139"/>
      <c r="AF154" s="176" t="n">
        <v>0.2</v>
      </c>
      <c r="AG154" s="176" t="n">
        <v>0.25</v>
      </c>
      <c r="AH154" s="176" t="n">
        <v>0.3</v>
      </c>
      <c r="AI154" s="139"/>
      <c r="AJ154" s="176" t="n">
        <v>0.12</v>
      </c>
      <c r="AK154" s="176" t="n">
        <v>0.15</v>
      </c>
      <c r="AL154" s="176" t="n">
        <v>0.18</v>
      </c>
      <c r="AM154" s="139"/>
      <c r="AN154" s="140" t="n">
        <v>49</v>
      </c>
      <c r="AO154" s="177" t="n">
        <v>0.4</v>
      </c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41" t="n">
        <v>41456</v>
      </c>
      <c r="BG154" s="179" t="n">
        <v>0.75</v>
      </c>
      <c r="BH154" s="139"/>
      <c r="BI154" s="139"/>
      <c r="BJ154" s="139"/>
      <c r="BK154" s="139"/>
      <c r="BL154" s="139"/>
      <c r="BM154" s="139"/>
      <c r="BN154" s="139"/>
      <c r="BO154" s="139"/>
      <c r="BP154" s="139"/>
      <c r="BQ154" s="139"/>
      <c r="BR154" s="139"/>
      <c r="BS154" s="139"/>
      <c r="BT154" s="139"/>
      <c r="BU154" s="139"/>
      <c r="BV154" s="139"/>
      <c r="BW154" s="139"/>
      <c r="BX154" s="139"/>
      <c r="BY154" s="139"/>
      <c r="BZ154" s="139"/>
      <c r="CA154" s="139"/>
      <c r="CB154" s="139"/>
      <c r="CC154" s="139"/>
      <c r="CD154" s="139"/>
      <c r="CE154" s="139"/>
      <c r="CF154" s="0"/>
      <c r="CK154" s="206"/>
      <c r="CL154" s="206"/>
      <c r="CM154" s="180"/>
      <c r="CN154" s="0"/>
      <c r="CO154" s="0"/>
      <c r="CP154" s="0"/>
      <c r="CQ154" s="0"/>
      <c r="CR154" s="0"/>
      <c r="CW154" s="181" t="n">
        <f aca="false">K154</f>
        <v>41456</v>
      </c>
      <c r="CX154" s="182" t="n">
        <f aca="false">AF154</f>
        <v>0.2</v>
      </c>
      <c r="CY154" s="182" t="n">
        <f aca="false">AG154</f>
        <v>0.25</v>
      </c>
      <c r="CZ154" s="182" t="n">
        <f aca="false">AH154</f>
        <v>0.3</v>
      </c>
      <c r="DB154" s="182" t="n">
        <f aca="false">X154</f>
        <v>0.16</v>
      </c>
      <c r="DC154" s="182" t="n">
        <f aca="false">Y154</f>
        <v>0.2</v>
      </c>
      <c r="DD154" s="182" t="n">
        <f aca="false">Z154</f>
        <v>0.24</v>
      </c>
      <c r="DF154" s="181" t="n">
        <f aca="false">BF154</f>
        <v>41456</v>
      </c>
      <c r="DG154" s="133" t="n">
        <f aca="false">BG154</f>
        <v>0.75</v>
      </c>
      <c r="DJ154" s="181" t="n">
        <f aca="false">CW154</f>
        <v>41456</v>
      </c>
      <c r="DK154" s="182" t="n">
        <f aca="false">AJ154</f>
        <v>0.12</v>
      </c>
      <c r="DL154" s="182" t="n">
        <f aca="false">AK154</f>
        <v>0.15</v>
      </c>
      <c r="DM154" s="182" t="n">
        <f aca="false">AL154</f>
        <v>0.18</v>
      </c>
      <c r="DO154" s="182" t="n">
        <f aca="false">AB154</f>
        <v>0.08</v>
      </c>
      <c r="DP154" s="182" t="n">
        <f aca="false">AC154</f>
        <v>0.1</v>
      </c>
      <c r="DQ154" s="182" t="n">
        <f aca="false">AD154</f>
        <v>0.12</v>
      </c>
    </row>
    <row r="155" customFormat="false" ht="12.75" hidden="false" customHeight="false" outlineLevel="0" collapsed="false">
      <c r="A155" s="133"/>
      <c r="B155" s="174" t="n">
        <v>40603</v>
      </c>
      <c r="C155" s="175" t="n">
        <v>33.6076812744141</v>
      </c>
      <c r="D155" s="175" t="n">
        <v>35.1076812744141</v>
      </c>
      <c r="E155" s="175" t="n">
        <v>36.6076812744141</v>
      </c>
      <c r="F155" s="159"/>
      <c r="G155" s="175" t="n">
        <v>24.5</v>
      </c>
      <c r="H155" s="175" t="n">
        <v>24.5</v>
      </c>
      <c r="I155" s="175" t="n">
        <v>24.5</v>
      </c>
      <c r="J155" s="140"/>
      <c r="K155" s="141" t="n">
        <v>41487</v>
      </c>
      <c r="L155" s="176" t="n">
        <v>33.2900047302246</v>
      </c>
      <c r="M155" s="176" t="n">
        <v>33.2900047302246</v>
      </c>
      <c r="N155" s="176" t="n">
        <v>33.2900047302246</v>
      </c>
      <c r="O155" s="139"/>
      <c r="P155" s="176" t="n">
        <v>25.7900009155273</v>
      </c>
      <c r="Q155" s="176" t="n">
        <v>25.7900009155273</v>
      </c>
      <c r="R155" s="176" t="n">
        <v>25.7900009155273</v>
      </c>
      <c r="S155" s="139"/>
      <c r="T155" s="176" t="n">
        <v>0</v>
      </c>
      <c r="U155" s="176" t="n">
        <v>0</v>
      </c>
      <c r="V155" s="176" t="n">
        <v>0</v>
      </c>
      <c r="W155" s="139"/>
      <c r="X155" s="176" t="n">
        <v>0.24</v>
      </c>
      <c r="Y155" s="176" t="n">
        <v>0.3</v>
      </c>
      <c r="Z155" s="176" t="n">
        <v>0.36</v>
      </c>
      <c r="AA155" s="139"/>
      <c r="AB155" s="176" t="n">
        <v>0.12</v>
      </c>
      <c r="AC155" s="176" t="n">
        <v>0.15</v>
      </c>
      <c r="AD155" s="176" t="n">
        <v>0.18</v>
      </c>
      <c r="AE155" s="139"/>
      <c r="AF155" s="176" t="n">
        <v>0.32</v>
      </c>
      <c r="AG155" s="176" t="n">
        <v>0.4</v>
      </c>
      <c r="AH155" s="176" t="n">
        <v>0.48</v>
      </c>
      <c r="AI155" s="139"/>
      <c r="AJ155" s="176" t="n">
        <v>0.192</v>
      </c>
      <c r="AK155" s="176" t="n">
        <v>0.24</v>
      </c>
      <c r="AL155" s="176" t="n">
        <v>0.288</v>
      </c>
      <c r="AM155" s="139"/>
      <c r="AN155" s="140" t="n">
        <v>49</v>
      </c>
      <c r="AO155" s="177" t="n">
        <v>0.4</v>
      </c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41" t="n">
        <v>41487</v>
      </c>
      <c r="BG155" s="179" t="n">
        <v>0.75</v>
      </c>
      <c r="BH155" s="139"/>
      <c r="BI155" s="139"/>
      <c r="BJ155" s="139"/>
      <c r="BK155" s="139"/>
      <c r="BL155" s="139"/>
      <c r="BM155" s="139"/>
      <c r="BN155" s="139"/>
      <c r="BO155" s="139"/>
      <c r="BP155" s="139"/>
      <c r="BQ155" s="139"/>
      <c r="BR155" s="139"/>
      <c r="BS155" s="139"/>
      <c r="BT155" s="139"/>
      <c r="BU155" s="139"/>
      <c r="BV155" s="139"/>
      <c r="BW155" s="139"/>
      <c r="BX155" s="139"/>
      <c r="BY155" s="139"/>
      <c r="BZ155" s="139"/>
      <c r="CA155" s="139"/>
      <c r="CB155" s="139"/>
      <c r="CC155" s="139"/>
      <c r="CD155" s="139"/>
      <c r="CE155" s="139"/>
      <c r="CF155" s="0"/>
      <c r="CK155" s="206"/>
      <c r="CL155" s="206"/>
      <c r="CM155" s="180"/>
      <c r="CN155" s="0"/>
      <c r="CO155" s="0"/>
      <c r="CP155" s="0"/>
      <c r="CQ155" s="0"/>
      <c r="CR155" s="0"/>
      <c r="CW155" s="181" t="n">
        <f aca="false">K155</f>
        <v>41487</v>
      </c>
      <c r="CX155" s="182" t="n">
        <f aca="false">AF155</f>
        <v>0.32</v>
      </c>
      <c r="CY155" s="182" t="n">
        <f aca="false">AG155</f>
        <v>0.4</v>
      </c>
      <c r="CZ155" s="182" t="n">
        <f aca="false">AH155</f>
        <v>0.48</v>
      </c>
      <c r="DB155" s="182" t="n">
        <f aca="false">X155</f>
        <v>0.24</v>
      </c>
      <c r="DC155" s="182" t="n">
        <f aca="false">Y155</f>
        <v>0.3</v>
      </c>
      <c r="DD155" s="182" t="n">
        <f aca="false">Z155</f>
        <v>0.36</v>
      </c>
      <c r="DF155" s="181" t="n">
        <f aca="false">BF155</f>
        <v>41487</v>
      </c>
      <c r="DG155" s="133" t="n">
        <f aca="false">BG155</f>
        <v>0.75</v>
      </c>
      <c r="DJ155" s="181" t="n">
        <f aca="false">CW155</f>
        <v>41487</v>
      </c>
      <c r="DK155" s="182" t="n">
        <f aca="false">AJ155</f>
        <v>0.192</v>
      </c>
      <c r="DL155" s="182" t="n">
        <f aca="false">AK155</f>
        <v>0.24</v>
      </c>
      <c r="DM155" s="182" t="n">
        <f aca="false">AL155</f>
        <v>0.288</v>
      </c>
      <c r="DO155" s="182" t="n">
        <f aca="false">AB155</f>
        <v>0.12</v>
      </c>
      <c r="DP155" s="182" t="n">
        <f aca="false">AC155</f>
        <v>0.15</v>
      </c>
      <c r="DQ155" s="182" t="n">
        <f aca="false">AD155</f>
        <v>0.18</v>
      </c>
    </row>
    <row r="156" customFormat="false" ht="12.75" hidden="false" customHeight="false" outlineLevel="0" collapsed="false">
      <c r="A156" s="133"/>
      <c r="B156" s="174" t="n">
        <v>40634</v>
      </c>
      <c r="C156" s="175" t="n">
        <v>33.8076820373535</v>
      </c>
      <c r="D156" s="175" t="n">
        <v>35.3076820373535</v>
      </c>
      <c r="E156" s="175" t="n">
        <v>36.8076820373535</v>
      </c>
      <c r="F156" s="159"/>
      <c r="G156" s="175" t="n">
        <v>21.5</v>
      </c>
      <c r="H156" s="175" t="n">
        <v>21.5</v>
      </c>
      <c r="I156" s="175" t="n">
        <v>21.5</v>
      </c>
      <c r="J156" s="140"/>
      <c r="K156" s="141" t="n">
        <v>41518</v>
      </c>
      <c r="L156" s="176" t="n">
        <v>25.2900009155273</v>
      </c>
      <c r="M156" s="176" t="n">
        <v>25.2900009155273</v>
      </c>
      <c r="N156" s="176" t="n">
        <v>25.2900009155273</v>
      </c>
      <c r="O156" s="139"/>
      <c r="P156" s="176" t="n">
        <v>19.7900009155273</v>
      </c>
      <c r="Q156" s="176" t="n">
        <v>19.7900009155273</v>
      </c>
      <c r="R156" s="176" t="n">
        <v>19.7900009155273</v>
      </c>
      <c r="S156" s="139"/>
      <c r="T156" s="176" t="n">
        <v>0</v>
      </c>
      <c r="U156" s="176" t="n">
        <v>0</v>
      </c>
      <c r="V156" s="176" t="n">
        <v>0</v>
      </c>
      <c r="W156" s="139"/>
      <c r="X156" s="176" t="n">
        <v>0.24</v>
      </c>
      <c r="Y156" s="176" t="n">
        <v>0.3</v>
      </c>
      <c r="Z156" s="176" t="n">
        <v>0.36</v>
      </c>
      <c r="AA156" s="139"/>
      <c r="AB156" s="176" t="n">
        <v>0.12</v>
      </c>
      <c r="AC156" s="176" t="n">
        <v>0.15</v>
      </c>
      <c r="AD156" s="176" t="n">
        <v>0.18</v>
      </c>
      <c r="AE156" s="139"/>
      <c r="AF156" s="176" t="n">
        <v>0.32</v>
      </c>
      <c r="AG156" s="176" t="n">
        <v>0.4</v>
      </c>
      <c r="AH156" s="176" t="n">
        <v>0.48</v>
      </c>
      <c r="AI156" s="139"/>
      <c r="AJ156" s="176" t="n">
        <v>0.192</v>
      </c>
      <c r="AK156" s="176" t="n">
        <v>0.24</v>
      </c>
      <c r="AL156" s="176" t="n">
        <v>0.288</v>
      </c>
      <c r="AM156" s="139"/>
      <c r="AN156" s="140" t="n">
        <v>49</v>
      </c>
      <c r="AO156" s="177" t="n">
        <v>0.4</v>
      </c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41" t="n">
        <v>41518</v>
      </c>
      <c r="BG156" s="179" t="n">
        <v>0.75</v>
      </c>
      <c r="BH156" s="139"/>
      <c r="BI156" s="139"/>
      <c r="BJ156" s="139"/>
      <c r="BK156" s="139"/>
      <c r="BL156" s="139"/>
      <c r="BM156" s="139"/>
      <c r="BN156" s="139"/>
      <c r="BO156" s="139"/>
      <c r="BP156" s="139"/>
      <c r="BQ156" s="139"/>
      <c r="BR156" s="139"/>
      <c r="BS156" s="139"/>
      <c r="BT156" s="139"/>
      <c r="BU156" s="139"/>
      <c r="BV156" s="139"/>
      <c r="BW156" s="139"/>
      <c r="BX156" s="139"/>
      <c r="BY156" s="139"/>
      <c r="BZ156" s="139"/>
      <c r="CA156" s="139"/>
      <c r="CB156" s="139"/>
      <c r="CC156" s="139"/>
      <c r="CD156" s="139"/>
      <c r="CE156" s="139"/>
      <c r="CF156" s="0"/>
      <c r="CK156" s="206"/>
      <c r="CL156" s="206"/>
      <c r="CM156" s="180"/>
      <c r="CN156" s="0"/>
      <c r="CO156" s="0"/>
      <c r="CP156" s="0"/>
      <c r="CQ156" s="0"/>
      <c r="CR156" s="0"/>
      <c r="CW156" s="181" t="n">
        <f aca="false">K156</f>
        <v>41518</v>
      </c>
      <c r="CX156" s="182" t="n">
        <f aca="false">AF156</f>
        <v>0.32</v>
      </c>
      <c r="CY156" s="182" t="n">
        <f aca="false">AG156</f>
        <v>0.4</v>
      </c>
      <c r="CZ156" s="182" t="n">
        <f aca="false">AH156</f>
        <v>0.48</v>
      </c>
      <c r="DB156" s="182" t="n">
        <f aca="false">X156</f>
        <v>0.24</v>
      </c>
      <c r="DC156" s="182" t="n">
        <f aca="false">Y156</f>
        <v>0.3</v>
      </c>
      <c r="DD156" s="182" t="n">
        <f aca="false">Z156</f>
        <v>0.36</v>
      </c>
      <c r="DF156" s="181" t="n">
        <f aca="false">BF156</f>
        <v>41518</v>
      </c>
      <c r="DG156" s="133" t="n">
        <f aca="false">BG156</f>
        <v>0.75</v>
      </c>
      <c r="DJ156" s="181" t="n">
        <f aca="false">CW156</f>
        <v>41518</v>
      </c>
      <c r="DK156" s="182" t="n">
        <f aca="false">AJ156</f>
        <v>0.192</v>
      </c>
      <c r="DL156" s="182" t="n">
        <f aca="false">AK156</f>
        <v>0.24</v>
      </c>
      <c r="DM156" s="182" t="n">
        <f aca="false">AL156</f>
        <v>0.288</v>
      </c>
      <c r="DO156" s="182" t="n">
        <f aca="false">AB156</f>
        <v>0.12</v>
      </c>
      <c r="DP156" s="182" t="n">
        <f aca="false">AC156</f>
        <v>0.15</v>
      </c>
      <c r="DQ156" s="182" t="n">
        <f aca="false">AD156</f>
        <v>0.18</v>
      </c>
    </row>
    <row r="157" customFormat="false" ht="12.75" hidden="false" customHeight="false" outlineLevel="0" collapsed="false">
      <c r="A157" s="133"/>
      <c r="B157" s="174" t="n">
        <v>40664</v>
      </c>
      <c r="C157" s="175" t="n">
        <v>38.1350028991699</v>
      </c>
      <c r="D157" s="175" t="n">
        <v>40.3350028991699</v>
      </c>
      <c r="E157" s="175" t="n">
        <v>42.5350028991699</v>
      </c>
      <c r="F157" s="159"/>
      <c r="G157" s="175" t="n">
        <v>22.0400009155273</v>
      </c>
      <c r="H157" s="175" t="n">
        <v>22.0400009155273</v>
      </c>
      <c r="I157" s="175" t="n">
        <v>22.0400009155273</v>
      </c>
      <c r="J157" s="140"/>
      <c r="K157" s="141" t="n">
        <v>41548</v>
      </c>
      <c r="L157" s="176" t="n">
        <v>20.2860012054443</v>
      </c>
      <c r="M157" s="176" t="n">
        <v>20.2860012054443</v>
      </c>
      <c r="N157" s="176" t="n">
        <v>20.2860012054443</v>
      </c>
      <c r="O157" s="139"/>
      <c r="P157" s="176" t="n">
        <v>14.7865009307861</v>
      </c>
      <c r="Q157" s="176" t="n">
        <v>14.7865009307861</v>
      </c>
      <c r="R157" s="176" t="n">
        <v>14.7865009307861</v>
      </c>
      <c r="S157" s="139"/>
      <c r="T157" s="176" t="n">
        <v>0</v>
      </c>
      <c r="U157" s="176" t="n">
        <v>0</v>
      </c>
      <c r="V157" s="176" t="n">
        <v>0</v>
      </c>
      <c r="W157" s="139"/>
      <c r="X157" s="176" t="n">
        <v>0.16</v>
      </c>
      <c r="Y157" s="176" t="n">
        <v>0.2</v>
      </c>
      <c r="Z157" s="176" t="n">
        <v>0.24</v>
      </c>
      <c r="AA157" s="139"/>
      <c r="AB157" s="176" t="n">
        <v>0.08</v>
      </c>
      <c r="AC157" s="176" t="n">
        <v>0.1</v>
      </c>
      <c r="AD157" s="176" t="n">
        <v>0.12</v>
      </c>
      <c r="AE157" s="139"/>
      <c r="AF157" s="176" t="n">
        <v>0.2</v>
      </c>
      <c r="AG157" s="176" t="n">
        <v>0.25</v>
      </c>
      <c r="AH157" s="176" t="n">
        <v>0.3</v>
      </c>
      <c r="AI157" s="139"/>
      <c r="AJ157" s="176" t="n">
        <v>0.12</v>
      </c>
      <c r="AK157" s="176" t="n">
        <v>0.15</v>
      </c>
      <c r="AL157" s="176" t="n">
        <v>0.18</v>
      </c>
      <c r="AM157" s="139"/>
      <c r="AN157" s="140" t="n">
        <v>50</v>
      </c>
      <c r="AO157" s="177" t="n">
        <v>0.4</v>
      </c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41" t="n">
        <v>41548</v>
      </c>
      <c r="BG157" s="179" t="n">
        <v>0.75</v>
      </c>
      <c r="BH157" s="139"/>
      <c r="BI157" s="139"/>
      <c r="BJ157" s="139"/>
      <c r="BK157" s="139"/>
      <c r="BL157" s="139"/>
      <c r="BM157" s="139"/>
      <c r="BN157" s="139"/>
      <c r="BO157" s="139"/>
      <c r="BP157" s="139"/>
      <c r="BQ157" s="139"/>
      <c r="BR157" s="139"/>
      <c r="BS157" s="139"/>
      <c r="BT157" s="139"/>
      <c r="BU157" s="139"/>
      <c r="BV157" s="139"/>
      <c r="BW157" s="139"/>
      <c r="BX157" s="139"/>
      <c r="BY157" s="139"/>
      <c r="BZ157" s="139"/>
      <c r="CA157" s="139"/>
      <c r="CB157" s="139"/>
      <c r="CC157" s="139"/>
      <c r="CD157" s="139"/>
      <c r="CE157" s="139"/>
      <c r="CF157" s="0"/>
      <c r="CK157" s="206"/>
      <c r="CL157" s="206"/>
      <c r="CM157" s="180"/>
      <c r="CN157" s="0"/>
      <c r="CO157" s="0"/>
      <c r="CP157" s="0"/>
      <c r="CQ157" s="0"/>
      <c r="CR157" s="0"/>
      <c r="CW157" s="181" t="n">
        <f aca="false">K157</f>
        <v>41548</v>
      </c>
      <c r="CX157" s="182" t="n">
        <f aca="false">AF157</f>
        <v>0.2</v>
      </c>
      <c r="CY157" s="182" t="n">
        <f aca="false">AG157</f>
        <v>0.25</v>
      </c>
      <c r="CZ157" s="182" t="n">
        <f aca="false">AH157</f>
        <v>0.3</v>
      </c>
      <c r="DB157" s="182" t="n">
        <f aca="false">X157</f>
        <v>0.16</v>
      </c>
      <c r="DC157" s="182" t="n">
        <f aca="false">Y157</f>
        <v>0.2</v>
      </c>
      <c r="DD157" s="182" t="n">
        <f aca="false">Z157</f>
        <v>0.24</v>
      </c>
      <c r="DF157" s="181" t="n">
        <f aca="false">BF157</f>
        <v>41548</v>
      </c>
      <c r="DG157" s="133" t="n">
        <f aca="false">BG157</f>
        <v>0.75</v>
      </c>
      <c r="DJ157" s="181" t="n">
        <f aca="false">CW157</f>
        <v>41548</v>
      </c>
      <c r="DK157" s="182" t="n">
        <f aca="false">AJ157</f>
        <v>0.12</v>
      </c>
      <c r="DL157" s="182" t="n">
        <f aca="false">AK157</f>
        <v>0.15</v>
      </c>
      <c r="DM157" s="182" t="n">
        <f aca="false">AL157</f>
        <v>0.18</v>
      </c>
      <c r="DO157" s="182" t="n">
        <f aca="false">AB157</f>
        <v>0.08</v>
      </c>
      <c r="DP157" s="182" t="n">
        <f aca="false">AC157</f>
        <v>0.1</v>
      </c>
      <c r="DQ157" s="182" t="n">
        <f aca="false">AD157</f>
        <v>0.12</v>
      </c>
    </row>
    <row r="158" customFormat="false" ht="12.75" hidden="false" customHeight="false" outlineLevel="0" collapsed="false">
      <c r="A158" s="133"/>
      <c r="B158" s="174" t="n">
        <v>40695</v>
      </c>
      <c r="C158" s="175" t="n">
        <v>44.1250038146973</v>
      </c>
      <c r="D158" s="175" t="n">
        <v>49.1250038146973</v>
      </c>
      <c r="E158" s="175" t="n">
        <v>54.1250038146973</v>
      </c>
      <c r="F158" s="159"/>
      <c r="G158" s="175" t="n">
        <v>25.0400009155273</v>
      </c>
      <c r="H158" s="175" t="n">
        <v>25.0400009155273</v>
      </c>
      <c r="I158" s="175" t="n">
        <v>25.0400009155273</v>
      </c>
      <c r="J158" s="140"/>
      <c r="K158" s="141" t="n">
        <v>41579</v>
      </c>
      <c r="L158" s="176" t="n">
        <v>22.2900009155273</v>
      </c>
      <c r="M158" s="176" t="n">
        <v>22.2900009155273</v>
      </c>
      <c r="N158" s="176" t="n">
        <v>22.2900009155273</v>
      </c>
      <c r="O158" s="139"/>
      <c r="P158" s="176" t="n">
        <v>14.7900009155273</v>
      </c>
      <c r="Q158" s="176" t="n">
        <v>14.7900009155273</v>
      </c>
      <c r="R158" s="176" t="n">
        <v>14.7900009155273</v>
      </c>
      <c r="S158" s="139"/>
      <c r="T158" s="176" t="n">
        <v>0</v>
      </c>
      <c r="U158" s="176" t="n">
        <v>0</v>
      </c>
      <c r="V158" s="176" t="n">
        <v>0</v>
      </c>
      <c r="W158" s="139"/>
      <c r="X158" s="176" t="n">
        <v>0.16</v>
      </c>
      <c r="Y158" s="176" t="n">
        <v>0.2</v>
      </c>
      <c r="Z158" s="176" t="n">
        <v>0.24</v>
      </c>
      <c r="AA158" s="139"/>
      <c r="AB158" s="176" t="n">
        <v>0.08</v>
      </c>
      <c r="AC158" s="176" t="n">
        <v>0.1</v>
      </c>
      <c r="AD158" s="176" t="n">
        <v>0.12</v>
      </c>
      <c r="AE158" s="139"/>
      <c r="AF158" s="176" t="n">
        <v>0.2</v>
      </c>
      <c r="AG158" s="176" t="n">
        <v>0.25</v>
      </c>
      <c r="AH158" s="176" t="n">
        <v>0.3</v>
      </c>
      <c r="AI158" s="139"/>
      <c r="AJ158" s="176" t="n">
        <v>0.12</v>
      </c>
      <c r="AK158" s="176" t="n">
        <v>0.15</v>
      </c>
      <c r="AL158" s="176" t="n">
        <v>0.18</v>
      </c>
      <c r="AM158" s="139"/>
      <c r="AN158" s="140" t="n">
        <v>50</v>
      </c>
      <c r="AO158" s="177" t="n">
        <v>0.4</v>
      </c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41" t="n">
        <v>41579</v>
      </c>
      <c r="BG158" s="179" t="n">
        <v>0.75</v>
      </c>
      <c r="BH158" s="139"/>
      <c r="BI158" s="139"/>
      <c r="BJ158" s="139"/>
      <c r="BK158" s="139"/>
      <c r="BL158" s="139"/>
      <c r="BM158" s="139"/>
      <c r="BN158" s="139"/>
      <c r="BO158" s="139"/>
      <c r="BP158" s="139"/>
      <c r="BQ158" s="139"/>
      <c r="BR158" s="139"/>
      <c r="BS158" s="139"/>
      <c r="BT158" s="139"/>
      <c r="BU158" s="139"/>
      <c r="BV158" s="139"/>
      <c r="BW158" s="139"/>
      <c r="BX158" s="139"/>
      <c r="BY158" s="139"/>
      <c r="BZ158" s="139"/>
      <c r="CA158" s="139"/>
      <c r="CB158" s="139"/>
      <c r="CC158" s="139"/>
      <c r="CD158" s="139"/>
      <c r="CE158" s="139"/>
      <c r="CF158" s="0"/>
      <c r="CK158" s="206"/>
      <c r="CL158" s="206"/>
      <c r="CM158" s="180"/>
      <c r="CN158" s="0"/>
      <c r="CO158" s="0"/>
      <c r="CP158" s="0"/>
      <c r="CQ158" s="0"/>
      <c r="CR158" s="0"/>
      <c r="CW158" s="181" t="n">
        <f aca="false">K158</f>
        <v>41579</v>
      </c>
      <c r="CX158" s="182" t="n">
        <f aca="false">AF158</f>
        <v>0.2</v>
      </c>
      <c r="CY158" s="182" t="n">
        <f aca="false">AG158</f>
        <v>0.25</v>
      </c>
      <c r="CZ158" s="182" t="n">
        <f aca="false">AH158</f>
        <v>0.3</v>
      </c>
      <c r="DB158" s="182" t="n">
        <f aca="false">X158</f>
        <v>0.16</v>
      </c>
      <c r="DC158" s="182" t="n">
        <f aca="false">Y158</f>
        <v>0.2</v>
      </c>
      <c r="DD158" s="182" t="n">
        <f aca="false">Z158</f>
        <v>0.24</v>
      </c>
      <c r="DF158" s="181" t="n">
        <f aca="false">BF158</f>
        <v>41579</v>
      </c>
      <c r="DG158" s="133" t="n">
        <f aca="false">BG158</f>
        <v>0.75</v>
      </c>
      <c r="DJ158" s="181" t="n">
        <f aca="false">CW158</f>
        <v>41579</v>
      </c>
      <c r="DK158" s="182" t="n">
        <f aca="false">AJ158</f>
        <v>0.12</v>
      </c>
      <c r="DL158" s="182" t="n">
        <f aca="false">AK158</f>
        <v>0.15</v>
      </c>
      <c r="DM158" s="182" t="n">
        <f aca="false">AL158</f>
        <v>0.18</v>
      </c>
      <c r="DO158" s="182" t="n">
        <f aca="false">AB158</f>
        <v>0.08</v>
      </c>
      <c r="DP158" s="182" t="n">
        <f aca="false">AC158</f>
        <v>0.1</v>
      </c>
      <c r="DQ158" s="182" t="n">
        <f aca="false">AD158</f>
        <v>0.12</v>
      </c>
    </row>
    <row r="159" customFormat="false" ht="12.75" hidden="false" customHeight="false" outlineLevel="0" collapsed="false">
      <c r="A159" s="133"/>
      <c r="B159" s="174" t="n">
        <v>40725</v>
      </c>
      <c r="C159" s="175" t="n">
        <v>48.5</v>
      </c>
      <c r="D159" s="175" t="n">
        <v>58.5</v>
      </c>
      <c r="E159" s="175" t="n">
        <v>68.5</v>
      </c>
      <c r="F159" s="159"/>
      <c r="G159" s="175" t="n">
        <v>25.5400009155273</v>
      </c>
      <c r="H159" s="175" t="n">
        <v>25.5400009155273</v>
      </c>
      <c r="I159" s="175" t="n">
        <v>25.5400009155273</v>
      </c>
      <c r="J159" s="140"/>
      <c r="K159" s="141" t="n">
        <v>41609</v>
      </c>
      <c r="L159" s="176" t="n">
        <v>27.2900009155273</v>
      </c>
      <c r="M159" s="176" t="n">
        <v>27.2900009155273</v>
      </c>
      <c r="N159" s="176" t="n">
        <v>27.2900009155273</v>
      </c>
      <c r="O159" s="139"/>
      <c r="P159" s="176" t="n">
        <v>21.7900009155273</v>
      </c>
      <c r="Q159" s="176" t="n">
        <v>21.7900009155273</v>
      </c>
      <c r="R159" s="176" t="n">
        <v>21.7900009155273</v>
      </c>
      <c r="S159" s="139"/>
      <c r="T159" s="176" t="n">
        <v>0</v>
      </c>
      <c r="U159" s="176" t="n">
        <v>0</v>
      </c>
      <c r="V159" s="176" t="n">
        <v>0</v>
      </c>
      <c r="W159" s="139"/>
      <c r="X159" s="176" t="n">
        <v>0.16</v>
      </c>
      <c r="Y159" s="176" t="n">
        <v>0.2</v>
      </c>
      <c r="Z159" s="176" t="n">
        <v>0.24</v>
      </c>
      <c r="AA159" s="139"/>
      <c r="AB159" s="176" t="n">
        <v>0.08</v>
      </c>
      <c r="AC159" s="176" t="n">
        <v>0.1</v>
      </c>
      <c r="AD159" s="176" t="n">
        <v>0.12</v>
      </c>
      <c r="AE159" s="139"/>
      <c r="AF159" s="176" t="n">
        <v>0.2</v>
      </c>
      <c r="AG159" s="176" t="n">
        <v>0.25</v>
      </c>
      <c r="AH159" s="176" t="n">
        <v>0.3</v>
      </c>
      <c r="AI159" s="139"/>
      <c r="AJ159" s="176" t="n">
        <v>0.12</v>
      </c>
      <c r="AK159" s="176" t="n">
        <v>0.15</v>
      </c>
      <c r="AL159" s="176" t="n">
        <v>0.18</v>
      </c>
      <c r="AM159" s="139"/>
      <c r="AN159" s="140" t="n">
        <v>50</v>
      </c>
      <c r="AO159" s="177" t="n">
        <v>0.4</v>
      </c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41" t="n">
        <v>41609</v>
      </c>
      <c r="BG159" s="179" t="n">
        <v>0.75</v>
      </c>
      <c r="BH159" s="139"/>
      <c r="BI159" s="139"/>
      <c r="BJ159" s="139"/>
      <c r="BK159" s="139"/>
      <c r="BL159" s="139"/>
      <c r="BM159" s="139"/>
      <c r="BN159" s="139"/>
      <c r="BO159" s="139"/>
      <c r="BP159" s="139"/>
      <c r="BQ159" s="139"/>
      <c r="BR159" s="139"/>
      <c r="BS159" s="139"/>
      <c r="BT159" s="139"/>
      <c r="BU159" s="139"/>
      <c r="BV159" s="139"/>
      <c r="BW159" s="139"/>
      <c r="BX159" s="139"/>
      <c r="BY159" s="139"/>
      <c r="BZ159" s="139"/>
      <c r="CA159" s="139"/>
      <c r="CB159" s="139"/>
      <c r="CC159" s="139"/>
      <c r="CD159" s="139"/>
      <c r="CE159" s="139"/>
      <c r="CF159" s="0"/>
      <c r="CK159" s="206"/>
      <c r="CL159" s="206"/>
      <c r="CM159" s="180"/>
      <c r="CN159" s="0"/>
      <c r="CO159" s="0"/>
      <c r="CP159" s="0"/>
      <c r="CQ159" s="0"/>
      <c r="CR159" s="0"/>
      <c r="CW159" s="181" t="n">
        <f aca="false">K159</f>
        <v>41609</v>
      </c>
      <c r="CX159" s="182" t="n">
        <f aca="false">AF159</f>
        <v>0.2</v>
      </c>
      <c r="CY159" s="182" t="n">
        <f aca="false">AG159</f>
        <v>0.25</v>
      </c>
      <c r="CZ159" s="182" t="n">
        <f aca="false">AH159</f>
        <v>0.3</v>
      </c>
      <c r="DB159" s="182" t="n">
        <f aca="false">X159</f>
        <v>0.16</v>
      </c>
      <c r="DC159" s="182" t="n">
        <f aca="false">Y159</f>
        <v>0.2</v>
      </c>
      <c r="DD159" s="182" t="n">
        <f aca="false">Z159</f>
        <v>0.24</v>
      </c>
      <c r="DF159" s="181" t="n">
        <f aca="false">BF159</f>
        <v>41609</v>
      </c>
      <c r="DG159" s="133" t="n">
        <f aca="false">BG159</f>
        <v>0.75</v>
      </c>
      <c r="DJ159" s="181" t="n">
        <f aca="false">CW159</f>
        <v>41609</v>
      </c>
      <c r="DK159" s="182" t="n">
        <f aca="false">AJ159</f>
        <v>0.12</v>
      </c>
      <c r="DL159" s="182" t="n">
        <f aca="false">AK159</f>
        <v>0.15</v>
      </c>
      <c r="DM159" s="182" t="n">
        <f aca="false">AL159</f>
        <v>0.18</v>
      </c>
      <c r="DO159" s="182" t="n">
        <f aca="false">AB159</f>
        <v>0.08</v>
      </c>
      <c r="DP159" s="182" t="n">
        <f aca="false">AC159</f>
        <v>0.1</v>
      </c>
      <c r="DQ159" s="182" t="n">
        <f aca="false">AD159</f>
        <v>0.12</v>
      </c>
    </row>
    <row r="160" customFormat="false" ht="12.75" hidden="false" customHeight="false" outlineLevel="0" collapsed="false">
      <c r="A160" s="133"/>
      <c r="B160" s="174" t="n">
        <v>40756</v>
      </c>
      <c r="C160" s="175" t="n">
        <v>48.5</v>
      </c>
      <c r="D160" s="175" t="n">
        <v>58.5</v>
      </c>
      <c r="E160" s="175" t="n">
        <v>68.5</v>
      </c>
      <c r="F160" s="159"/>
      <c r="G160" s="175" t="n">
        <v>26.5400009155273</v>
      </c>
      <c r="H160" s="175" t="n">
        <v>26.5400009155273</v>
      </c>
      <c r="I160" s="175" t="n">
        <v>26.5400009155273</v>
      </c>
      <c r="J160" s="140"/>
      <c r="K160" s="141" t="n">
        <v>41640</v>
      </c>
      <c r="L160" s="176" t="n">
        <v>35.75</v>
      </c>
      <c r="M160" s="176" t="n">
        <v>35.75</v>
      </c>
      <c r="N160" s="176" t="n">
        <v>35.75</v>
      </c>
      <c r="O160" s="139"/>
      <c r="P160" s="176" t="n">
        <v>25.25</v>
      </c>
      <c r="Q160" s="176" t="n">
        <v>25.25</v>
      </c>
      <c r="R160" s="176" t="n">
        <v>25.25</v>
      </c>
      <c r="S160" s="139"/>
      <c r="T160" s="176" t="n">
        <v>0</v>
      </c>
      <c r="U160" s="176" t="n">
        <v>0</v>
      </c>
      <c r="V160" s="176" t="n">
        <v>0</v>
      </c>
      <c r="W160" s="139"/>
      <c r="X160" s="176" t="n">
        <v>0.16</v>
      </c>
      <c r="Y160" s="176" t="n">
        <v>0.2</v>
      </c>
      <c r="Z160" s="176" t="n">
        <v>0.24</v>
      </c>
      <c r="AA160" s="139"/>
      <c r="AB160" s="176" t="n">
        <v>0.08</v>
      </c>
      <c r="AC160" s="176" t="n">
        <v>0.1</v>
      </c>
      <c r="AD160" s="176" t="n">
        <v>0.12</v>
      </c>
      <c r="AE160" s="139"/>
      <c r="AF160" s="176" t="n">
        <v>0.2</v>
      </c>
      <c r="AG160" s="176" t="n">
        <v>0.25</v>
      </c>
      <c r="AH160" s="176" t="n">
        <v>0.3</v>
      </c>
      <c r="AI160" s="139"/>
      <c r="AJ160" s="176" t="n">
        <v>0.12</v>
      </c>
      <c r="AK160" s="176" t="n">
        <v>0.15</v>
      </c>
      <c r="AL160" s="176" t="n">
        <v>0.18</v>
      </c>
      <c r="AM160" s="139"/>
      <c r="AN160" s="140" t="n">
        <v>51</v>
      </c>
      <c r="AO160" s="177" t="n">
        <v>0.4</v>
      </c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41" t="n">
        <v>41640</v>
      </c>
      <c r="BG160" s="179" t="n">
        <v>0.75</v>
      </c>
      <c r="BH160" s="139"/>
      <c r="BI160" s="139"/>
      <c r="BJ160" s="139"/>
      <c r="BK160" s="139"/>
      <c r="BL160" s="139"/>
      <c r="BM160" s="139"/>
      <c r="BN160" s="139"/>
      <c r="BO160" s="139"/>
      <c r="BP160" s="139"/>
      <c r="BQ160" s="139"/>
      <c r="BR160" s="139"/>
      <c r="BS160" s="139"/>
      <c r="BT160" s="139"/>
      <c r="BU160" s="139"/>
      <c r="BV160" s="139"/>
      <c r="BW160" s="139"/>
      <c r="BX160" s="139"/>
      <c r="BY160" s="139"/>
      <c r="BZ160" s="139"/>
      <c r="CA160" s="139"/>
      <c r="CB160" s="139"/>
      <c r="CC160" s="139"/>
      <c r="CD160" s="139"/>
      <c r="CE160" s="139"/>
      <c r="CF160" s="0"/>
      <c r="CK160" s="206"/>
      <c r="CL160" s="206"/>
      <c r="CM160" s="180"/>
      <c r="CN160" s="0"/>
      <c r="CO160" s="0"/>
      <c r="CP160" s="0"/>
      <c r="CQ160" s="0"/>
      <c r="CR160" s="0"/>
      <c r="CW160" s="181" t="n">
        <f aca="false">K160</f>
        <v>41640</v>
      </c>
      <c r="CX160" s="182" t="n">
        <f aca="false">AF160</f>
        <v>0.2</v>
      </c>
      <c r="CY160" s="182" t="n">
        <f aca="false">AG160</f>
        <v>0.25</v>
      </c>
      <c r="CZ160" s="182" t="n">
        <f aca="false">AH160</f>
        <v>0.3</v>
      </c>
      <c r="DB160" s="182" t="n">
        <f aca="false">X160</f>
        <v>0.16</v>
      </c>
      <c r="DC160" s="182" t="n">
        <f aca="false">Y160</f>
        <v>0.2</v>
      </c>
      <c r="DD160" s="182" t="n">
        <f aca="false">Z160</f>
        <v>0.24</v>
      </c>
      <c r="DF160" s="181" t="n">
        <f aca="false">BF160</f>
        <v>41640</v>
      </c>
      <c r="DG160" s="133" t="n">
        <f aca="false">BG160</f>
        <v>0.75</v>
      </c>
      <c r="DJ160" s="181" t="n">
        <f aca="false">CW160</f>
        <v>41640</v>
      </c>
      <c r="DK160" s="182" t="n">
        <f aca="false">AJ160</f>
        <v>0.12</v>
      </c>
      <c r="DL160" s="182" t="n">
        <f aca="false">AK160</f>
        <v>0.15</v>
      </c>
      <c r="DM160" s="182" t="n">
        <f aca="false">AL160</f>
        <v>0.18</v>
      </c>
      <c r="DO160" s="182" t="n">
        <f aca="false">AB160</f>
        <v>0.08</v>
      </c>
      <c r="DP160" s="182" t="n">
        <f aca="false">AC160</f>
        <v>0.1</v>
      </c>
      <c r="DQ160" s="182" t="n">
        <f aca="false">AD160</f>
        <v>0.12</v>
      </c>
    </row>
    <row r="161" customFormat="false" ht="12.75" hidden="false" customHeight="false" outlineLevel="0" collapsed="false">
      <c r="A161" s="133"/>
      <c r="B161" s="174" t="n">
        <v>40787</v>
      </c>
      <c r="C161" s="175" t="n">
        <v>29.4600028991699</v>
      </c>
      <c r="D161" s="175" t="n">
        <v>30.9600028991699</v>
      </c>
      <c r="E161" s="175" t="n">
        <v>32.4600028991699</v>
      </c>
      <c r="F161" s="159"/>
      <c r="G161" s="175" t="n">
        <v>20.5400009155273</v>
      </c>
      <c r="H161" s="175" t="n">
        <v>20.5400009155273</v>
      </c>
      <c r="I161" s="175" t="n">
        <v>20.5400009155273</v>
      </c>
      <c r="J161" s="140"/>
      <c r="K161" s="141" t="n">
        <v>41671</v>
      </c>
      <c r="L161" s="176" t="n">
        <v>31.2460021972656</v>
      </c>
      <c r="M161" s="176" t="n">
        <v>31.2460021972656</v>
      </c>
      <c r="N161" s="176" t="n">
        <v>31.2460021972656</v>
      </c>
      <c r="O161" s="139"/>
      <c r="P161" s="176" t="n">
        <v>22.7465019226074</v>
      </c>
      <c r="Q161" s="176" t="n">
        <v>22.7465019226074</v>
      </c>
      <c r="R161" s="176" t="n">
        <v>22.7465019226074</v>
      </c>
      <c r="S161" s="139"/>
      <c r="T161" s="176" t="n">
        <v>0</v>
      </c>
      <c r="U161" s="176" t="n">
        <v>0</v>
      </c>
      <c r="V161" s="176" t="n">
        <v>0</v>
      </c>
      <c r="W161" s="139"/>
      <c r="X161" s="176" t="n">
        <v>0.16</v>
      </c>
      <c r="Y161" s="176" t="n">
        <v>0.2</v>
      </c>
      <c r="Z161" s="176" t="n">
        <v>0.24</v>
      </c>
      <c r="AA161" s="139"/>
      <c r="AB161" s="176" t="n">
        <v>0.08</v>
      </c>
      <c r="AC161" s="176" t="n">
        <v>0.1</v>
      </c>
      <c r="AD161" s="176" t="n">
        <v>0.12</v>
      </c>
      <c r="AE161" s="139"/>
      <c r="AF161" s="176" t="n">
        <v>0.2</v>
      </c>
      <c r="AG161" s="176" t="n">
        <v>0.25</v>
      </c>
      <c r="AH161" s="176" t="n">
        <v>0.3</v>
      </c>
      <c r="AI161" s="139"/>
      <c r="AJ161" s="176" t="n">
        <v>0.12</v>
      </c>
      <c r="AK161" s="176" t="n">
        <v>0.15</v>
      </c>
      <c r="AL161" s="176" t="n">
        <v>0.18</v>
      </c>
      <c r="AM161" s="139"/>
      <c r="AN161" s="140" t="n">
        <v>51</v>
      </c>
      <c r="AO161" s="177" t="n">
        <v>0.4</v>
      </c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41" t="n">
        <v>41671</v>
      </c>
      <c r="BG161" s="179" t="n">
        <v>0.75</v>
      </c>
      <c r="BH161" s="139"/>
      <c r="BI161" s="139"/>
      <c r="BJ161" s="139"/>
      <c r="BK161" s="139"/>
      <c r="BL161" s="139"/>
      <c r="BM161" s="139"/>
      <c r="BN161" s="139"/>
      <c r="BO161" s="139"/>
      <c r="BP161" s="139"/>
      <c r="BQ161" s="139"/>
      <c r="BR161" s="139"/>
      <c r="BS161" s="139"/>
      <c r="BT161" s="139"/>
      <c r="BU161" s="139"/>
      <c r="BV161" s="139"/>
      <c r="BW161" s="139"/>
      <c r="BX161" s="139"/>
      <c r="BY161" s="139"/>
      <c r="BZ161" s="139"/>
      <c r="CA161" s="139"/>
      <c r="CB161" s="139"/>
      <c r="CC161" s="139"/>
      <c r="CD161" s="139"/>
      <c r="CE161" s="139"/>
      <c r="CF161" s="0"/>
      <c r="CK161" s="206"/>
      <c r="CL161" s="206"/>
      <c r="CM161" s="180"/>
      <c r="CN161" s="0"/>
      <c r="CO161" s="0"/>
      <c r="CP161" s="0"/>
      <c r="CQ161" s="0"/>
      <c r="CR161" s="0"/>
      <c r="CW161" s="181" t="n">
        <f aca="false">K161</f>
        <v>41671</v>
      </c>
      <c r="CX161" s="182" t="n">
        <f aca="false">AF161</f>
        <v>0.2</v>
      </c>
      <c r="CY161" s="182" t="n">
        <f aca="false">AG161</f>
        <v>0.25</v>
      </c>
      <c r="CZ161" s="182" t="n">
        <f aca="false">AH161</f>
        <v>0.3</v>
      </c>
      <c r="DB161" s="182" t="n">
        <f aca="false">X161</f>
        <v>0.16</v>
      </c>
      <c r="DC161" s="182" t="n">
        <f aca="false">Y161</f>
        <v>0.2</v>
      </c>
      <c r="DD161" s="182" t="n">
        <f aca="false">Z161</f>
        <v>0.24</v>
      </c>
      <c r="DF161" s="181" t="n">
        <f aca="false">BF161</f>
        <v>41671</v>
      </c>
      <c r="DG161" s="133" t="n">
        <f aca="false">BG161</f>
        <v>0.75</v>
      </c>
      <c r="DJ161" s="181" t="n">
        <f aca="false">CW161</f>
        <v>41671</v>
      </c>
      <c r="DK161" s="182" t="n">
        <f aca="false">AJ161</f>
        <v>0.12</v>
      </c>
      <c r="DL161" s="182" t="n">
        <f aca="false">AK161</f>
        <v>0.15</v>
      </c>
      <c r="DM161" s="182" t="n">
        <f aca="false">AL161</f>
        <v>0.18</v>
      </c>
      <c r="DO161" s="182" t="n">
        <f aca="false">AB161</f>
        <v>0.08</v>
      </c>
      <c r="DP161" s="182" t="n">
        <f aca="false">AC161</f>
        <v>0.1</v>
      </c>
      <c r="DQ161" s="182" t="n">
        <f aca="false">AD161</f>
        <v>0.12</v>
      </c>
    </row>
    <row r="162" customFormat="false" ht="12.75" hidden="false" customHeight="false" outlineLevel="0" collapsed="false">
      <c r="A162" s="133"/>
      <c r="B162" s="174" t="n">
        <v>40817</v>
      </c>
      <c r="C162" s="175" t="n">
        <v>32.1115684509277</v>
      </c>
      <c r="D162" s="175" t="n">
        <v>33.6115684509277</v>
      </c>
      <c r="E162" s="175" t="n">
        <v>35.1115684509277</v>
      </c>
      <c r="F162" s="159"/>
      <c r="G162" s="175" t="n">
        <v>20.040002822876</v>
      </c>
      <c r="H162" s="175" t="n">
        <v>20.040002822876</v>
      </c>
      <c r="I162" s="175" t="n">
        <v>20.040002822876</v>
      </c>
      <c r="J162" s="140"/>
      <c r="K162" s="141" t="n">
        <v>41699</v>
      </c>
      <c r="L162" s="176" t="n">
        <v>25.5</v>
      </c>
      <c r="M162" s="176" t="n">
        <v>25.5</v>
      </c>
      <c r="N162" s="176" t="n">
        <v>25.5</v>
      </c>
      <c r="O162" s="139"/>
      <c r="P162" s="176" t="n">
        <v>20</v>
      </c>
      <c r="Q162" s="176" t="n">
        <v>20</v>
      </c>
      <c r="R162" s="176" t="n">
        <v>20</v>
      </c>
      <c r="S162" s="139"/>
      <c r="T162" s="176" t="n">
        <v>0</v>
      </c>
      <c r="U162" s="176" t="n">
        <v>0</v>
      </c>
      <c r="V162" s="176" t="n">
        <v>0</v>
      </c>
      <c r="W162" s="139"/>
      <c r="X162" s="176" t="n">
        <v>0.16</v>
      </c>
      <c r="Y162" s="176" t="n">
        <v>0.2</v>
      </c>
      <c r="Z162" s="176" t="n">
        <v>0.24</v>
      </c>
      <c r="AA162" s="139"/>
      <c r="AB162" s="176" t="n">
        <v>0.08</v>
      </c>
      <c r="AC162" s="176" t="n">
        <v>0.1</v>
      </c>
      <c r="AD162" s="176" t="n">
        <v>0.12</v>
      </c>
      <c r="AE162" s="139"/>
      <c r="AF162" s="176" t="n">
        <v>0.2</v>
      </c>
      <c r="AG162" s="176" t="n">
        <v>0.25</v>
      </c>
      <c r="AH162" s="176" t="n">
        <v>0.3</v>
      </c>
      <c r="AI162" s="139"/>
      <c r="AJ162" s="176" t="n">
        <v>0.12</v>
      </c>
      <c r="AK162" s="176" t="n">
        <v>0.15</v>
      </c>
      <c r="AL162" s="176" t="n">
        <v>0.18</v>
      </c>
      <c r="AM162" s="139"/>
      <c r="AN162" s="140" t="n">
        <v>51</v>
      </c>
      <c r="AO162" s="177" t="n">
        <v>0.4</v>
      </c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41" t="n">
        <v>41699</v>
      </c>
      <c r="BG162" s="179" t="n">
        <v>0.75</v>
      </c>
      <c r="BH162" s="139"/>
      <c r="BI162" s="139"/>
      <c r="BJ162" s="139"/>
      <c r="BK162" s="139"/>
      <c r="BL162" s="139"/>
      <c r="BM162" s="139"/>
      <c r="BN162" s="139"/>
      <c r="BO162" s="139"/>
      <c r="BP162" s="139"/>
      <c r="BQ162" s="139"/>
      <c r="BR162" s="139"/>
      <c r="BS162" s="139"/>
      <c r="BT162" s="139"/>
      <c r="BU162" s="139"/>
      <c r="BV162" s="139"/>
      <c r="BW162" s="139"/>
      <c r="BX162" s="139"/>
      <c r="BY162" s="139"/>
      <c r="BZ162" s="139"/>
      <c r="CA162" s="139"/>
      <c r="CB162" s="139"/>
      <c r="CC162" s="139"/>
      <c r="CD162" s="139"/>
      <c r="CE162" s="139"/>
      <c r="CF162" s="0"/>
      <c r="CK162" s="206"/>
      <c r="CL162" s="206"/>
      <c r="CM162" s="180"/>
      <c r="CN162" s="0"/>
      <c r="CO162" s="0"/>
      <c r="CP162" s="0"/>
      <c r="CQ162" s="0"/>
      <c r="CR162" s="0"/>
      <c r="CW162" s="181" t="n">
        <f aca="false">K162</f>
        <v>41699</v>
      </c>
      <c r="CX162" s="182" t="n">
        <f aca="false">AF162</f>
        <v>0.2</v>
      </c>
      <c r="CY162" s="182" t="n">
        <f aca="false">AG162</f>
        <v>0.25</v>
      </c>
      <c r="CZ162" s="182" t="n">
        <f aca="false">AH162</f>
        <v>0.3</v>
      </c>
      <c r="DB162" s="182" t="n">
        <f aca="false">X162</f>
        <v>0.16</v>
      </c>
      <c r="DC162" s="182" t="n">
        <f aca="false">Y162</f>
        <v>0.2</v>
      </c>
      <c r="DD162" s="182" t="n">
        <f aca="false">Z162</f>
        <v>0.24</v>
      </c>
      <c r="DF162" s="181" t="n">
        <f aca="false">BF162</f>
        <v>41699</v>
      </c>
      <c r="DG162" s="133" t="n">
        <f aca="false">BG162</f>
        <v>0.75</v>
      </c>
      <c r="DJ162" s="181" t="n">
        <f aca="false">CW162</f>
        <v>41699</v>
      </c>
      <c r="DK162" s="182" t="n">
        <f aca="false">AJ162</f>
        <v>0.12</v>
      </c>
      <c r="DL162" s="182" t="n">
        <f aca="false">AK162</f>
        <v>0.15</v>
      </c>
      <c r="DM162" s="182" t="n">
        <f aca="false">AL162</f>
        <v>0.18</v>
      </c>
      <c r="DO162" s="182" t="n">
        <f aca="false">AB162</f>
        <v>0.08</v>
      </c>
      <c r="DP162" s="182" t="n">
        <f aca="false">AC162</f>
        <v>0.1</v>
      </c>
      <c r="DQ162" s="182" t="n">
        <f aca="false">AD162</f>
        <v>0.12</v>
      </c>
    </row>
    <row r="163" customFormat="false" ht="12.75" hidden="false" customHeight="false" outlineLevel="0" collapsed="false">
      <c r="A163" s="133"/>
      <c r="B163" s="174" t="n">
        <v>40848</v>
      </c>
      <c r="C163" s="175" t="n">
        <v>32.2115669250488</v>
      </c>
      <c r="D163" s="175" t="n">
        <v>33.7115669250488</v>
      </c>
      <c r="E163" s="175" t="n">
        <v>35.2115669250488</v>
      </c>
      <c r="F163" s="159"/>
      <c r="G163" s="175" t="n">
        <v>21.0400009155273</v>
      </c>
      <c r="H163" s="175" t="n">
        <v>21.0400009155273</v>
      </c>
      <c r="I163" s="175" t="n">
        <v>21.0400009155273</v>
      </c>
      <c r="J163" s="140"/>
      <c r="K163" s="141" t="n">
        <v>41730</v>
      </c>
      <c r="L163" s="176" t="n">
        <v>22</v>
      </c>
      <c r="M163" s="176" t="n">
        <v>22</v>
      </c>
      <c r="N163" s="176" t="n">
        <v>22</v>
      </c>
      <c r="O163" s="139"/>
      <c r="P163" s="176" t="n">
        <v>16.4950008392334</v>
      </c>
      <c r="Q163" s="176" t="n">
        <v>16.4950008392334</v>
      </c>
      <c r="R163" s="176" t="n">
        <v>16.4950008392334</v>
      </c>
      <c r="S163" s="139"/>
      <c r="T163" s="176" t="n">
        <v>0</v>
      </c>
      <c r="U163" s="176" t="n">
        <v>0</v>
      </c>
      <c r="V163" s="176" t="n">
        <v>0</v>
      </c>
      <c r="W163" s="139"/>
      <c r="X163" s="176" t="n">
        <v>0.16</v>
      </c>
      <c r="Y163" s="176" t="n">
        <v>0.2</v>
      </c>
      <c r="Z163" s="176" t="n">
        <v>0.24</v>
      </c>
      <c r="AA163" s="139"/>
      <c r="AB163" s="176" t="n">
        <v>0.08</v>
      </c>
      <c r="AC163" s="176" t="n">
        <v>0.1</v>
      </c>
      <c r="AD163" s="176" t="n">
        <v>0.12</v>
      </c>
      <c r="AE163" s="139"/>
      <c r="AF163" s="176" t="n">
        <v>0.2</v>
      </c>
      <c r="AG163" s="176" t="n">
        <v>0.25</v>
      </c>
      <c r="AH163" s="176" t="n">
        <v>0.3</v>
      </c>
      <c r="AI163" s="139"/>
      <c r="AJ163" s="176" t="n">
        <v>0.12</v>
      </c>
      <c r="AK163" s="176" t="n">
        <v>0.15</v>
      </c>
      <c r="AL163" s="176" t="n">
        <v>0.18</v>
      </c>
      <c r="AM163" s="139"/>
      <c r="AN163" s="140" t="n">
        <v>52</v>
      </c>
      <c r="AO163" s="177" t="n">
        <v>0.4</v>
      </c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41" t="n">
        <v>41730</v>
      </c>
      <c r="BG163" s="179" t="n">
        <v>0.75</v>
      </c>
      <c r="BH163" s="139"/>
      <c r="BI163" s="139"/>
      <c r="BJ163" s="139"/>
      <c r="BK163" s="139"/>
      <c r="BL163" s="139"/>
      <c r="BM163" s="139"/>
      <c r="BN163" s="139"/>
      <c r="BO163" s="139"/>
      <c r="BP163" s="139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139"/>
      <c r="CE163" s="139"/>
      <c r="CF163" s="0"/>
      <c r="CK163" s="206"/>
      <c r="CL163" s="206"/>
      <c r="CM163" s="180"/>
      <c r="CN163" s="0"/>
      <c r="CO163" s="0"/>
      <c r="CP163" s="0"/>
      <c r="CQ163" s="0"/>
      <c r="CR163" s="0"/>
      <c r="CW163" s="181" t="n">
        <f aca="false">K163</f>
        <v>41730</v>
      </c>
      <c r="CX163" s="182" t="n">
        <f aca="false">AF163</f>
        <v>0.2</v>
      </c>
      <c r="CY163" s="182" t="n">
        <f aca="false">AG163</f>
        <v>0.25</v>
      </c>
      <c r="CZ163" s="182" t="n">
        <f aca="false">AH163</f>
        <v>0.3</v>
      </c>
      <c r="DB163" s="182" t="n">
        <f aca="false">X163</f>
        <v>0.16</v>
      </c>
      <c r="DC163" s="182" t="n">
        <f aca="false">Y163</f>
        <v>0.2</v>
      </c>
      <c r="DD163" s="182" t="n">
        <f aca="false">Z163</f>
        <v>0.24</v>
      </c>
      <c r="DF163" s="181" t="n">
        <f aca="false">BF163</f>
        <v>41730</v>
      </c>
      <c r="DG163" s="133" t="n">
        <f aca="false">BG163</f>
        <v>0.75</v>
      </c>
      <c r="DJ163" s="181" t="n">
        <f aca="false">CW163</f>
        <v>41730</v>
      </c>
      <c r="DK163" s="182" t="n">
        <f aca="false">AJ163</f>
        <v>0.12</v>
      </c>
      <c r="DL163" s="182" t="n">
        <f aca="false">AK163</f>
        <v>0.15</v>
      </c>
      <c r="DM163" s="182" t="n">
        <f aca="false">AL163</f>
        <v>0.18</v>
      </c>
      <c r="DO163" s="182" t="n">
        <f aca="false">AB163</f>
        <v>0.08</v>
      </c>
      <c r="DP163" s="182" t="n">
        <f aca="false">AC163</f>
        <v>0.1</v>
      </c>
      <c r="DQ163" s="182" t="n">
        <f aca="false">AD163</f>
        <v>0.12</v>
      </c>
    </row>
    <row r="164" customFormat="false" ht="12.75" hidden="false" customHeight="false" outlineLevel="0" collapsed="false">
      <c r="A164" s="133"/>
      <c r="B164" s="174" t="n">
        <v>40878</v>
      </c>
      <c r="C164" s="175" t="n">
        <v>32.3115653991699</v>
      </c>
      <c r="D164" s="175" t="n">
        <v>33.8115653991699</v>
      </c>
      <c r="E164" s="175" t="n">
        <v>35.3115653991699</v>
      </c>
      <c r="F164" s="159"/>
      <c r="G164" s="175" t="n">
        <v>23.2900009155273</v>
      </c>
      <c r="H164" s="175" t="n">
        <v>23.2900009155273</v>
      </c>
      <c r="I164" s="175" t="n">
        <v>23.2900009155273</v>
      </c>
      <c r="J164" s="140"/>
      <c r="K164" s="141" t="n">
        <v>41760</v>
      </c>
      <c r="L164" s="176" t="n">
        <v>22.2900009155273</v>
      </c>
      <c r="M164" s="176" t="n">
        <v>22.2900009155273</v>
      </c>
      <c r="N164" s="176" t="n">
        <v>22.2900009155273</v>
      </c>
      <c r="O164" s="139"/>
      <c r="P164" s="176" t="n">
        <v>15.7950000762939</v>
      </c>
      <c r="Q164" s="176" t="n">
        <v>15.7950000762939</v>
      </c>
      <c r="R164" s="176" t="n">
        <v>15.7950000762939</v>
      </c>
      <c r="S164" s="139"/>
      <c r="T164" s="176" t="n">
        <v>0</v>
      </c>
      <c r="U164" s="176" t="n">
        <v>0</v>
      </c>
      <c r="V164" s="176" t="n">
        <v>0</v>
      </c>
      <c r="W164" s="139"/>
      <c r="X164" s="176" t="n">
        <v>0.16</v>
      </c>
      <c r="Y164" s="176" t="n">
        <v>0.2</v>
      </c>
      <c r="Z164" s="176" t="n">
        <v>0.24</v>
      </c>
      <c r="AA164" s="139"/>
      <c r="AB164" s="176" t="n">
        <v>0.08</v>
      </c>
      <c r="AC164" s="176" t="n">
        <v>0.1</v>
      </c>
      <c r="AD164" s="176" t="n">
        <v>0.12</v>
      </c>
      <c r="AE164" s="139"/>
      <c r="AF164" s="176" t="n">
        <v>0.2</v>
      </c>
      <c r="AG164" s="176" t="n">
        <v>0.25</v>
      </c>
      <c r="AH164" s="176" t="n">
        <v>0.3</v>
      </c>
      <c r="AI164" s="139"/>
      <c r="AJ164" s="176" t="n">
        <v>0.12</v>
      </c>
      <c r="AK164" s="176" t="n">
        <v>0.15</v>
      </c>
      <c r="AL164" s="176" t="n">
        <v>0.18</v>
      </c>
      <c r="AM164" s="139"/>
      <c r="AN164" s="140" t="n">
        <v>52</v>
      </c>
      <c r="AO164" s="177" t="n">
        <v>0.4</v>
      </c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41" t="n">
        <v>41760</v>
      </c>
      <c r="BG164" s="179" t="n">
        <v>0.75</v>
      </c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39"/>
      <c r="BS164" s="139"/>
      <c r="BT164" s="139"/>
      <c r="BU164" s="139"/>
      <c r="BV164" s="139"/>
      <c r="BW164" s="139"/>
      <c r="BX164" s="139"/>
      <c r="BY164" s="139"/>
      <c r="BZ164" s="139"/>
      <c r="CA164" s="139"/>
      <c r="CB164" s="139"/>
      <c r="CC164" s="139"/>
      <c r="CD164" s="139"/>
      <c r="CE164" s="139"/>
      <c r="CF164" s="0"/>
      <c r="CK164" s="206"/>
      <c r="CL164" s="206"/>
      <c r="CM164" s="180"/>
      <c r="CN164" s="0"/>
      <c r="CO164" s="0"/>
      <c r="CP164" s="0"/>
      <c r="CQ164" s="0"/>
      <c r="CR164" s="0"/>
      <c r="CW164" s="181" t="n">
        <f aca="false">K164</f>
        <v>41760</v>
      </c>
      <c r="CX164" s="182" t="n">
        <f aca="false">AF164</f>
        <v>0.2</v>
      </c>
      <c r="CY164" s="182" t="n">
        <f aca="false">AG164</f>
        <v>0.25</v>
      </c>
      <c r="CZ164" s="182" t="n">
        <f aca="false">AH164</f>
        <v>0.3</v>
      </c>
      <c r="DB164" s="182" t="n">
        <f aca="false">X164</f>
        <v>0.16</v>
      </c>
      <c r="DC164" s="182" t="n">
        <f aca="false">Y164</f>
        <v>0.2</v>
      </c>
      <c r="DD164" s="182" t="n">
        <f aca="false">Z164</f>
        <v>0.24</v>
      </c>
      <c r="DF164" s="181" t="n">
        <f aca="false">BF164</f>
        <v>41760</v>
      </c>
      <c r="DG164" s="133" t="n">
        <f aca="false">BG164</f>
        <v>0.75</v>
      </c>
      <c r="DJ164" s="181" t="n">
        <f aca="false">CW164</f>
        <v>41760</v>
      </c>
      <c r="DK164" s="182" t="n">
        <f aca="false">AJ164</f>
        <v>0.12</v>
      </c>
      <c r="DL164" s="182" t="n">
        <f aca="false">AK164</f>
        <v>0.15</v>
      </c>
      <c r="DM164" s="182" t="n">
        <f aca="false">AL164</f>
        <v>0.18</v>
      </c>
      <c r="DO164" s="182" t="n">
        <f aca="false">AB164</f>
        <v>0.08</v>
      </c>
      <c r="DP164" s="182" t="n">
        <f aca="false">AC164</f>
        <v>0.1</v>
      </c>
      <c r="DQ164" s="182" t="n">
        <f aca="false">AD164</f>
        <v>0.12</v>
      </c>
    </row>
    <row r="165" customFormat="false" ht="12.75" hidden="false" customHeight="false" outlineLevel="0" collapsed="false">
      <c r="A165" s="133"/>
      <c r="B165" s="174" t="n">
        <v>40909</v>
      </c>
      <c r="C165" s="175" t="n">
        <v>35.9957160949707</v>
      </c>
      <c r="D165" s="175" t="n">
        <v>37.4957160949707</v>
      </c>
      <c r="E165" s="175" t="n">
        <v>38.9957160949707</v>
      </c>
      <c r="F165" s="159"/>
      <c r="G165" s="175" t="n">
        <v>25.5</v>
      </c>
      <c r="H165" s="175" t="n">
        <v>25.5</v>
      </c>
      <c r="I165" s="175" t="n">
        <v>25.5</v>
      </c>
      <c r="J165" s="140"/>
      <c r="K165" s="141" t="n">
        <v>41791</v>
      </c>
      <c r="L165" s="176" t="n">
        <v>29.2900009155273</v>
      </c>
      <c r="M165" s="176" t="n">
        <v>29.2900009155273</v>
      </c>
      <c r="N165" s="176" t="n">
        <v>29.2900009155273</v>
      </c>
      <c r="O165" s="139"/>
      <c r="P165" s="176" t="n">
        <v>19.7900009155273</v>
      </c>
      <c r="Q165" s="176" t="n">
        <v>19.7900009155273</v>
      </c>
      <c r="R165" s="176" t="n">
        <v>19.7900009155273</v>
      </c>
      <c r="S165" s="139"/>
      <c r="T165" s="176" t="n">
        <v>0</v>
      </c>
      <c r="U165" s="176" t="n">
        <v>0</v>
      </c>
      <c r="V165" s="176" t="n">
        <v>0</v>
      </c>
      <c r="W165" s="139"/>
      <c r="X165" s="176" t="n">
        <v>0.16</v>
      </c>
      <c r="Y165" s="176" t="n">
        <v>0.2</v>
      </c>
      <c r="Z165" s="176" t="n">
        <v>0.24</v>
      </c>
      <c r="AA165" s="139"/>
      <c r="AB165" s="176" t="n">
        <v>0.08</v>
      </c>
      <c r="AC165" s="176" t="n">
        <v>0.1</v>
      </c>
      <c r="AD165" s="176" t="n">
        <v>0.12</v>
      </c>
      <c r="AE165" s="139"/>
      <c r="AF165" s="176" t="n">
        <v>0.2</v>
      </c>
      <c r="AG165" s="176" t="n">
        <v>0.25</v>
      </c>
      <c r="AH165" s="176" t="n">
        <v>0.3</v>
      </c>
      <c r="AI165" s="139"/>
      <c r="AJ165" s="176" t="n">
        <v>0.12</v>
      </c>
      <c r="AK165" s="176" t="n">
        <v>0.15</v>
      </c>
      <c r="AL165" s="176" t="n">
        <v>0.18</v>
      </c>
      <c r="AM165" s="139"/>
      <c r="AN165" s="140" t="n">
        <v>52</v>
      </c>
      <c r="AO165" s="177" t="n">
        <v>0.4</v>
      </c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41" t="n">
        <v>41791</v>
      </c>
      <c r="BG165" s="179" t="n">
        <v>0.75</v>
      </c>
      <c r="BH165" s="139"/>
      <c r="BI165" s="139"/>
      <c r="BJ165" s="139"/>
      <c r="BK165" s="139"/>
      <c r="BL165" s="139"/>
      <c r="BM165" s="139"/>
      <c r="BN165" s="139"/>
      <c r="BO165" s="139"/>
      <c r="BP165" s="139"/>
      <c r="BQ165" s="139"/>
      <c r="BR165" s="139"/>
      <c r="BS165" s="139"/>
      <c r="BT165" s="139"/>
      <c r="BU165" s="139"/>
      <c r="BV165" s="139"/>
      <c r="BW165" s="139"/>
      <c r="BX165" s="139"/>
      <c r="BY165" s="139"/>
      <c r="BZ165" s="139"/>
      <c r="CA165" s="139"/>
      <c r="CB165" s="139"/>
      <c r="CC165" s="139"/>
      <c r="CD165" s="139"/>
      <c r="CE165" s="139"/>
      <c r="CF165" s="0"/>
      <c r="CK165" s="206"/>
      <c r="CL165" s="206"/>
      <c r="CM165" s="180"/>
      <c r="CN165" s="0"/>
      <c r="CO165" s="0"/>
      <c r="CP165" s="0"/>
      <c r="CQ165" s="0"/>
      <c r="CR165" s="0"/>
      <c r="CW165" s="181" t="n">
        <f aca="false">K165</f>
        <v>41791</v>
      </c>
      <c r="CX165" s="182" t="n">
        <f aca="false">AF165</f>
        <v>0.2</v>
      </c>
      <c r="CY165" s="182" t="n">
        <f aca="false">AG165</f>
        <v>0.25</v>
      </c>
      <c r="CZ165" s="182" t="n">
        <f aca="false">AH165</f>
        <v>0.3</v>
      </c>
      <c r="DB165" s="182" t="n">
        <f aca="false">X165</f>
        <v>0.16</v>
      </c>
      <c r="DC165" s="182" t="n">
        <f aca="false">Y165</f>
        <v>0.2</v>
      </c>
      <c r="DD165" s="182" t="n">
        <f aca="false">Z165</f>
        <v>0.24</v>
      </c>
      <c r="DF165" s="181" t="n">
        <f aca="false">BF165</f>
        <v>41791</v>
      </c>
      <c r="DG165" s="133" t="n">
        <f aca="false">BG165</f>
        <v>0.75</v>
      </c>
      <c r="DJ165" s="181" t="n">
        <f aca="false">CW165</f>
        <v>41791</v>
      </c>
      <c r="DK165" s="182" t="n">
        <f aca="false">AJ165</f>
        <v>0.12</v>
      </c>
      <c r="DL165" s="182" t="n">
        <f aca="false">AK165</f>
        <v>0.15</v>
      </c>
      <c r="DM165" s="182" t="n">
        <f aca="false">AL165</f>
        <v>0.18</v>
      </c>
      <c r="DO165" s="182" t="n">
        <f aca="false">AB165</f>
        <v>0.08</v>
      </c>
      <c r="DP165" s="182" t="n">
        <f aca="false">AC165</f>
        <v>0.1</v>
      </c>
      <c r="DQ165" s="182" t="n">
        <f aca="false">AD165</f>
        <v>0.12</v>
      </c>
    </row>
    <row r="166" customFormat="false" ht="12.75" hidden="false" customHeight="false" outlineLevel="0" collapsed="false">
      <c r="A166" s="133"/>
      <c r="B166" s="174" t="n">
        <v>40940</v>
      </c>
      <c r="C166" s="175" t="n">
        <v>35.3957138061523</v>
      </c>
      <c r="D166" s="175" t="n">
        <v>36.8957138061523</v>
      </c>
      <c r="E166" s="175" t="n">
        <v>38.3957138061523</v>
      </c>
      <c r="F166" s="159"/>
      <c r="G166" s="175" t="n">
        <v>24</v>
      </c>
      <c r="H166" s="175" t="n">
        <v>24</v>
      </c>
      <c r="I166" s="175" t="n">
        <v>24</v>
      </c>
      <c r="J166" s="140"/>
      <c r="K166" s="141" t="n">
        <v>41821</v>
      </c>
      <c r="L166" s="176" t="n">
        <v>35.2900009155273</v>
      </c>
      <c r="M166" s="176" t="n">
        <v>35.2900009155273</v>
      </c>
      <c r="N166" s="176" t="n">
        <v>35.2900009155273</v>
      </c>
      <c r="O166" s="139"/>
      <c r="P166" s="176" t="n">
        <v>25.7900009155273</v>
      </c>
      <c r="Q166" s="176" t="n">
        <v>25.7900009155273</v>
      </c>
      <c r="R166" s="176" t="n">
        <v>25.7900009155273</v>
      </c>
      <c r="S166" s="139"/>
      <c r="T166" s="176" t="n">
        <v>0</v>
      </c>
      <c r="U166" s="176" t="n">
        <v>0</v>
      </c>
      <c r="V166" s="176" t="n">
        <v>0</v>
      </c>
      <c r="W166" s="139"/>
      <c r="X166" s="176" t="n">
        <v>0.16</v>
      </c>
      <c r="Y166" s="176" t="n">
        <v>0.2</v>
      </c>
      <c r="Z166" s="176" t="n">
        <v>0.24</v>
      </c>
      <c r="AA166" s="139"/>
      <c r="AB166" s="176" t="n">
        <v>0.08</v>
      </c>
      <c r="AC166" s="176" t="n">
        <v>0.1</v>
      </c>
      <c r="AD166" s="176" t="n">
        <v>0.12</v>
      </c>
      <c r="AE166" s="139"/>
      <c r="AF166" s="176" t="n">
        <v>0.2</v>
      </c>
      <c r="AG166" s="176" t="n">
        <v>0.25</v>
      </c>
      <c r="AH166" s="176" t="n">
        <v>0.3</v>
      </c>
      <c r="AI166" s="139"/>
      <c r="AJ166" s="176" t="n">
        <v>0.12</v>
      </c>
      <c r="AK166" s="176" t="n">
        <v>0.15</v>
      </c>
      <c r="AL166" s="176" t="n">
        <v>0.18</v>
      </c>
      <c r="AM166" s="139"/>
      <c r="AN166" s="140" t="n">
        <v>53</v>
      </c>
      <c r="AO166" s="177" t="n">
        <v>0.4</v>
      </c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41" t="n">
        <v>41821</v>
      </c>
      <c r="BG166" s="179" t="n">
        <v>0.75</v>
      </c>
      <c r="BH166" s="139"/>
      <c r="BI166" s="139"/>
      <c r="BJ166" s="139"/>
      <c r="BK166" s="139"/>
      <c r="BL166" s="139"/>
      <c r="BM166" s="139"/>
      <c r="BN166" s="139"/>
      <c r="BO166" s="139"/>
      <c r="BP166" s="139"/>
      <c r="BQ166" s="139"/>
      <c r="BR166" s="139"/>
      <c r="BS166" s="139"/>
      <c r="BT166" s="139"/>
      <c r="BU166" s="139"/>
      <c r="BV166" s="139"/>
      <c r="BW166" s="139"/>
      <c r="BX166" s="139"/>
      <c r="BY166" s="139"/>
      <c r="BZ166" s="139"/>
      <c r="CA166" s="139"/>
      <c r="CB166" s="139"/>
      <c r="CC166" s="139"/>
      <c r="CD166" s="139"/>
      <c r="CE166" s="139"/>
      <c r="CF166" s="0"/>
      <c r="CK166" s="206"/>
      <c r="CL166" s="206"/>
      <c r="CM166" s="180"/>
      <c r="CN166" s="0"/>
      <c r="CO166" s="0"/>
      <c r="CP166" s="0"/>
      <c r="CQ166" s="0"/>
      <c r="CR166" s="0"/>
      <c r="CW166" s="181" t="n">
        <f aca="false">K166</f>
        <v>41821</v>
      </c>
      <c r="CX166" s="182" t="n">
        <f aca="false">AF166</f>
        <v>0.2</v>
      </c>
      <c r="CY166" s="182" t="n">
        <f aca="false">AG166</f>
        <v>0.25</v>
      </c>
      <c r="CZ166" s="182" t="n">
        <f aca="false">AH166</f>
        <v>0.3</v>
      </c>
      <c r="DB166" s="182" t="n">
        <f aca="false">X166</f>
        <v>0.16</v>
      </c>
      <c r="DC166" s="182" t="n">
        <f aca="false">Y166</f>
        <v>0.2</v>
      </c>
      <c r="DD166" s="182" t="n">
        <f aca="false">Z166</f>
        <v>0.24</v>
      </c>
      <c r="DF166" s="181" t="n">
        <f aca="false">BF166</f>
        <v>41821</v>
      </c>
      <c r="DG166" s="133" t="n">
        <f aca="false">BG166</f>
        <v>0.75</v>
      </c>
      <c r="DJ166" s="181" t="n">
        <f aca="false">CW166</f>
        <v>41821</v>
      </c>
      <c r="DK166" s="182" t="n">
        <f aca="false">AJ166</f>
        <v>0.12</v>
      </c>
      <c r="DL166" s="182" t="n">
        <f aca="false">AK166</f>
        <v>0.15</v>
      </c>
      <c r="DM166" s="182" t="n">
        <f aca="false">AL166</f>
        <v>0.18</v>
      </c>
      <c r="DO166" s="182" t="n">
        <f aca="false">AB166</f>
        <v>0.08</v>
      </c>
      <c r="DP166" s="182" t="n">
        <f aca="false">AC166</f>
        <v>0.1</v>
      </c>
      <c r="DQ166" s="182" t="n">
        <f aca="false">AD166</f>
        <v>0.12</v>
      </c>
    </row>
    <row r="167" customFormat="false" ht="12.75" hidden="false" customHeight="false" outlineLevel="0" collapsed="false">
      <c r="A167" s="133"/>
      <c r="B167" s="174" t="n">
        <v>40969</v>
      </c>
      <c r="C167" s="175" t="n">
        <v>34.1076812744141</v>
      </c>
      <c r="D167" s="175" t="n">
        <v>35.6076812744141</v>
      </c>
      <c r="E167" s="175" t="n">
        <v>37.1076812744141</v>
      </c>
      <c r="F167" s="159"/>
      <c r="G167" s="175" t="n">
        <v>25</v>
      </c>
      <c r="H167" s="175" t="n">
        <v>25</v>
      </c>
      <c r="I167" s="175" t="n">
        <v>25</v>
      </c>
      <c r="J167" s="140"/>
      <c r="K167" s="141" t="n">
        <v>41852</v>
      </c>
      <c r="L167" s="176" t="n">
        <v>33.2900047302246</v>
      </c>
      <c r="M167" s="176" t="n">
        <v>33.2900047302246</v>
      </c>
      <c r="N167" s="176" t="n">
        <v>33.2900047302246</v>
      </c>
      <c r="O167" s="139"/>
      <c r="P167" s="176" t="n">
        <v>25.7900009155273</v>
      </c>
      <c r="Q167" s="176" t="n">
        <v>25.7900009155273</v>
      </c>
      <c r="R167" s="176" t="n">
        <v>25.7900009155273</v>
      </c>
      <c r="S167" s="139"/>
      <c r="T167" s="176" t="n">
        <v>0</v>
      </c>
      <c r="U167" s="176" t="n">
        <v>0</v>
      </c>
      <c r="V167" s="176" t="n">
        <v>0</v>
      </c>
      <c r="W167" s="139"/>
      <c r="X167" s="176" t="n">
        <v>0.24</v>
      </c>
      <c r="Y167" s="176" t="n">
        <v>0.3</v>
      </c>
      <c r="Z167" s="176" t="n">
        <v>0.36</v>
      </c>
      <c r="AA167" s="139"/>
      <c r="AB167" s="176" t="n">
        <v>0.12</v>
      </c>
      <c r="AC167" s="176" t="n">
        <v>0.15</v>
      </c>
      <c r="AD167" s="176" t="n">
        <v>0.18</v>
      </c>
      <c r="AE167" s="139"/>
      <c r="AF167" s="176" t="n">
        <v>0.32</v>
      </c>
      <c r="AG167" s="176" t="n">
        <v>0.4</v>
      </c>
      <c r="AH167" s="176" t="n">
        <v>0.48</v>
      </c>
      <c r="AI167" s="139"/>
      <c r="AJ167" s="176" t="n">
        <v>0.192</v>
      </c>
      <c r="AK167" s="176" t="n">
        <v>0.24</v>
      </c>
      <c r="AL167" s="176" t="n">
        <v>0.288</v>
      </c>
      <c r="AM167" s="139"/>
      <c r="AN167" s="140" t="n">
        <v>53</v>
      </c>
      <c r="AO167" s="177" t="n">
        <v>0.4</v>
      </c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41" t="n">
        <v>41852</v>
      </c>
      <c r="BG167" s="179" t="n">
        <v>0.75</v>
      </c>
      <c r="BH167" s="139"/>
      <c r="BI167" s="139"/>
      <c r="BJ167" s="139"/>
      <c r="BK167" s="139"/>
      <c r="BL167" s="139"/>
      <c r="BM167" s="139"/>
      <c r="BN167" s="139"/>
      <c r="BO167" s="139"/>
      <c r="BP167" s="139"/>
      <c r="BQ167" s="139"/>
      <c r="BR167" s="139"/>
      <c r="BS167" s="139"/>
      <c r="BT167" s="139"/>
      <c r="BU167" s="139"/>
      <c r="BV167" s="139"/>
      <c r="BW167" s="139"/>
      <c r="BX167" s="139"/>
      <c r="BY167" s="139"/>
      <c r="BZ167" s="139"/>
      <c r="CA167" s="139"/>
      <c r="CB167" s="139"/>
      <c r="CC167" s="139"/>
      <c r="CD167" s="139"/>
      <c r="CE167" s="139"/>
      <c r="CF167" s="0"/>
      <c r="CK167" s="206"/>
      <c r="CL167" s="206"/>
      <c r="CM167" s="180"/>
      <c r="CN167" s="0"/>
      <c r="CO167" s="0"/>
      <c r="CP167" s="0"/>
      <c r="CQ167" s="0"/>
      <c r="CR167" s="0"/>
      <c r="CW167" s="181" t="n">
        <f aca="false">K167</f>
        <v>41852</v>
      </c>
      <c r="CX167" s="182" t="n">
        <f aca="false">AF167</f>
        <v>0.32</v>
      </c>
      <c r="CY167" s="182" t="n">
        <f aca="false">AG167</f>
        <v>0.4</v>
      </c>
      <c r="CZ167" s="182" t="n">
        <f aca="false">AH167</f>
        <v>0.48</v>
      </c>
      <c r="DB167" s="182" t="n">
        <f aca="false">X167</f>
        <v>0.24</v>
      </c>
      <c r="DC167" s="182" t="n">
        <f aca="false">Y167</f>
        <v>0.3</v>
      </c>
      <c r="DD167" s="182" t="n">
        <f aca="false">Z167</f>
        <v>0.36</v>
      </c>
      <c r="DF167" s="181" t="n">
        <f aca="false">BF167</f>
        <v>41852</v>
      </c>
      <c r="DG167" s="133" t="n">
        <f aca="false">BG167</f>
        <v>0.75</v>
      </c>
      <c r="DJ167" s="181" t="n">
        <f aca="false">CW167</f>
        <v>41852</v>
      </c>
      <c r="DK167" s="182" t="n">
        <f aca="false">AJ167</f>
        <v>0.192</v>
      </c>
      <c r="DL167" s="182" t="n">
        <f aca="false">AK167</f>
        <v>0.24</v>
      </c>
      <c r="DM167" s="182" t="n">
        <f aca="false">AL167</f>
        <v>0.288</v>
      </c>
      <c r="DO167" s="182" t="n">
        <f aca="false">AB167</f>
        <v>0.12</v>
      </c>
      <c r="DP167" s="182" t="n">
        <f aca="false">AC167</f>
        <v>0.15</v>
      </c>
      <c r="DQ167" s="182" t="n">
        <f aca="false">AD167</f>
        <v>0.18</v>
      </c>
    </row>
    <row r="168" customFormat="false" ht="12.75" hidden="false" customHeight="false" outlineLevel="0" collapsed="false">
      <c r="A168" s="133"/>
      <c r="B168" s="174" t="n">
        <v>41000</v>
      </c>
      <c r="C168" s="175" t="n">
        <v>34.3076820373535</v>
      </c>
      <c r="D168" s="175" t="n">
        <v>35.8076820373535</v>
      </c>
      <c r="E168" s="175" t="n">
        <v>37.3076820373535</v>
      </c>
      <c r="F168" s="159"/>
      <c r="G168" s="175" t="n">
        <v>22</v>
      </c>
      <c r="H168" s="175" t="n">
        <v>22</v>
      </c>
      <c r="I168" s="175" t="n">
        <v>22</v>
      </c>
      <c r="J168" s="140"/>
      <c r="K168" s="141" t="n">
        <v>41883</v>
      </c>
      <c r="L168" s="176" t="n">
        <v>25.2900009155273</v>
      </c>
      <c r="M168" s="176" t="n">
        <v>25.2900009155273</v>
      </c>
      <c r="N168" s="176" t="n">
        <v>25.2900009155273</v>
      </c>
      <c r="O168" s="139"/>
      <c r="P168" s="176" t="n">
        <v>19.7900009155273</v>
      </c>
      <c r="Q168" s="176" t="n">
        <v>19.7900009155273</v>
      </c>
      <c r="R168" s="176" t="n">
        <v>19.7900009155273</v>
      </c>
      <c r="S168" s="139"/>
      <c r="T168" s="176" t="n">
        <v>0</v>
      </c>
      <c r="U168" s="176" t="n">
        <v>0</v>
      </c>
      <c r="V168" s="176" t="n">
        <v>0</v>
      </c>
      <c r="W168" s="139"/>
      <c r="X168" s="176" t="n">
        <v>0.24</v>
      </c>
      <c r="Y168" s="176" t="n">
        <v>0.3</v>
      </c>
      <c r="Z168" s="176" t="n">
        <v>0.36</v>
      </c>
      <c r="AA168" s="139"/>
      <c r="AB168" s="176" t="n">
        <v>0.12</v>
      </c>
      <c r="AC168" s="176" t="n">
        <v>0.15</v>
      </c>
      <c r="AD168" s="176" t="n">
        <v>0.18</v>
      </c>
      <c r="AE168" s="139"/>
      <c r="AF168" s="176" t="n">
        <v>0.32</v>
      </c>
      <c r="AG168" s="176" t="n">
        <v>0.4</v>
      </c>
      <c r="AH168" s="176" t="n">
        <v>0.48</v>
      </c>
      <c r="AI168" s="139"/>
      <c r="AJ168" s="176" t="n">
        <v>0.192</v>
      </c>
      <c r="AK168" s="176" t="n">
        <v>0.24</v>
      </c>
      <c r="AL168" s="176" t="n">
        <v>0.288</v>
      </c>
      <c r="AM168" s="139"/>
      <c r="AN168" s="140" t="n">
        <v>53</v>
      </c>
      <c r="AO168" s="177" t="n">
        <v>0.4</v>
      </c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41" t="n">
        <v>41883</v>
      </c>
      <c r="BG168" s="179" t="n">
        <v>0.75</v>
      </c>
      <c r="BH168" s="139"/>
      <c r="BI168" s="139"/>
      <c r="BJ168" s="139"/>
      <c r="BK168" s="139"/>
      <c r="BL168" s="139"/>
      <c r="BM168" s="139"/>
      <c r="BN168" s="139"/>
      <c r="BO168" s="139"/>
      <c r="BP168" s="139"/>
      <c r="BQ168" s="139"/>
      <c r="BR168" s="139"/>
      <c r="BS168" s="139"/>
      <c r="BT168" s="139"/>
      <c r="BU168" s="139"/>
      <c r="BV168" s="139"/>
      <c r="BW168" s="139"/>
      <c r="BX168" s="139"/>
      <c r="BY168" s="139"/>
      <c r="BZ168" s="139"/>
      <c r="CA168" s="139"/>
      <c r="CB168" s="139"/>
      <c r="CC168" s="139"/>
      <c r="CD168" s="139"/>
      <c r="CE168" s="139"/>
      <c r="CF168" s="0"/>
      <c r="CK168" s="206"/>
      <c r="CL168" s="206"/>
      <c r="CM168" s="180"/>
      <c r="CN168" s="0"/>
      <c r="CO168" s="0"/>
      <c r="CP168" s="0"/>
      <c r="CQ168" s="0"/>
      <c r="CR168" s="0"/>
      <c r="CW168" s="181" t="n">
        <f aca="false">K168</f>
        <v>41883</v>
      </c>
      <c r="CX168" s="182" t="n">
        <f aca="false">AF168</f>
        <v>0.32</v>
      </c>
      <c r="CY168" s="182" t="n">
        <f aca="false">AG168</f>
        <v>0.4</v>
      </c>
      <c r="CZ168" s="182" t="n">
        <f aca="false">AH168</f>
        <v>0.48</v>
      </c>
      <c r="DB168" s="182" t="n">
        <f aca="false">X168</f>
        <v>0.24</v>
      </c>
      <c r="DC168" s="182" t="n">
        <f aca="false">Y168</f>
        <v>0.3</v>
      </c>
      <c r="DD168" s="182" t="n">
        <f aca="false">Z168</f>
        <v>0.36</v>
      </c>
      <c r="DF168" s="181" t="n">
        <f aca="false">BF168</f>
        <v>41883</v>
      </c>
      <c r="DG168" s="133" t="n">
        <f aca="false">BG168</f>
        <v>0.75</v>
      </c>
      <c r="DJ168" s="181" t="n">
        <f aca="false">CW168</f>
        <v>41883</v>
      </c>
      <c r="DK168" s="182" t="n">
        <f aca="false">AJ168</f>
        <v>0.192</v>
      </c>
      <c r="DL168" s="182" t="n">
        <f aca="false">AK168</f>
        <v>0.24</v>
      </c>
      <c r="DM168" s="182" t="n">
        <f aca="false">AL168</f>
        <v>0.288</v>
      </c>
      <c r="DO168" s="182" t="n">
        <f aca="false">AB168</f>
        <v>0.12</v>
      </c>
      <c r="DP168" s="182" t="n">
        <f aca="false">AC168</f>
        <v>0.15</v>
      </c>
      <c r="DQ168" s="182" t="n">
        <f aca="false">AD168</f>
        <v>0.18</v>
      </c>
    </row>
    <row r="169" customFormat="false" ht="12.75" hidden="false" customHeight="false" outlineLevel="0" collapsed="false">
      <c r="A169" s="133"/>
      <c r="B169" s="174" t="n">
        <v>41030</v>
      </c>
      <c r="C169" s="175" t="n">
        <v>39.0850028991699</v>
      </c>
      <c r="D169" s="175" t="n">
        <v>41.3350028991699</v>
      </c>
      <c r="E169" s="175" t="n">
        <v>43.5850028991699</v>
      </c>
      <c r="F169" s="159"/>
      <c r="G169" s="175" t="n">
        <v>22.5400009155273</v>
      </c>
      <c r="H169" s="175" t="n">
        <v>22.5400009155273</v>
      </c>
      <c r="I169" s="175" t="n">
        <v>22.5400009155273</v>
      </c>
      <c r="J169" s="140"/>
      <c r="K169" s="141" t="n">
        <v>41913</v>
      </c>
      <c r="L169" s="176" t="n">
        <v>20.2860012054443</v>
      </c>
      <c r="M169" s="176" t="n">
        <v>20.2860012054443</v>
      </c>
      <c r="N169" s="176" t="n">
        <v>20.2860012054443</v>
      </c>
      <c r="O169" s="139"/>
      <c r="P169" s="176" t="n">
        <v>14.7865009307861</v>
      </c>
      <c r="Q169" s="176" t="n">
        <v>14.7865009307861</v>
      </c>
      <c r="R169" s="176" t="n">
        <v>14.7865009307861</v>
      </c>
      <c r="S169" s="139"/>
      <c r="T169" s="176" t="n">
        <v>0</v>
      </c>
      <c r="U169" s="176" t="n">
        <v>0</v>
      </c>
      <c r="V169" s="176" t="n">
        <v>0</v>
      </c>
      <c r="W169" s="139"/>
      <c r="X169" s="176" t="n">
        <v>0.16</v>
      </c>
      <c r="Y169" s="176" t="n">
        <v>0.2</v>
      </c>
      <c r="Z169" s="176" t="n">
        <v>0.24</v>
      </c>
      <c r="AA169" s="139"/>
      <c r="AB169" s="176" t="n">
        <v>0.08</v>
      </c>
      <c r="AC169" s="176" t="n">
        <v>0.1</v>
      </c>
      <c r="AD169" s="176" t="n">
        <v>0.12</v>
      </c>
      <c r="AE169" s="139"/>
      <c r="AF169" s="176" t="n">
        <v>0.2</v>
      </c>
      <c r="AG169" s="176" t="n">
        <v>0.25</v>
      </c>
      <c r="AH169" s="176" t="n">
        <v>0.3</v>
      </c>
      <c r="AI169" s="139"/>
      <c r="AJ169" s="176" t="n">
        <v>0.12</v>
      </c>
      <c r="AK169" s="176" t="n">
        <v>0.15</v>
      </c>
      <c r="AL169" s="176" t="n">
        <v>0.18</v>
      </c>
      <c r="AM169" s="139"/>
      <c r="AN169" s="140" t="n">
        <v>54</v>
      </c>
      <c r="AO169" s="177" t="n">
        <v>0.4</v>
      </c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41" t="n">
        <v>41913</v>
      </c>
      <c r="BG169" s="179" t="n">
        <v>0.75</v>
      </c>
      <c r="BH169" s="139"/>
      <c r="BI169" s="139"/>
      <c r="BJ169" s="139"/>
      <c r="BK169" s="139"/>
      <c r="BL169" s="139"/>
      <c r="BM169" s="139"/>
      <c r="BN169" s="139"/>
      <c r="BO169" s="139"/>
      <c r="BP169" s="139"/>
      <c r="BQ169" s="139"/>
      <c r="BR169" s="139"/>
      <c r="BS169" s="139"/>
      <c r="BT169" s="139"/>
      <c r="BU169" s="139"/>
      <c r="BV169" s="139"/>
      <c r="BW169" s="139"/>
      <c r="BX169" s="139"/>
      <c r="BY169" s="139"/>
      <c r="BZ169" s="139"/>
      <c r="CA169" s="139"/>
      <c r="CB169" s="139"/>
      <c r="CC169" s="139"/>
      <c r="CD169" s="139"/>
      <c r="CE169" s="139"/>
      <c r="CF169" s="0"/>
      <c r="CK169" s="206"/>
      <c r="CL169" s="206"/>
      <c r="CM169" s="180"/>
      <c r="CN169" s="0"/>
      <c r="CO169" s="0"/>
      <c r="CP169" s="0"/>
      <c r="CQ169" s="0"/>
      <c r="CR169" s="0"/>
      <c r="CW169" s="181" t="n">
        <f aca="false">K169</f>
        <v>41913</v>
      </c>
      <c r="CX169" s="182" t="n">
        <f aca="false">AF169</f>
        <v>0.2</v>
      </c>
      <c r="CY169" s="182" t="n">
        <f aca="false">AG169</f>
        <v>0.25</v>
      </c>
      <c r="CZ169" s="182" t="n">
        <f aca="false">AH169</f>
        <v>0.3</v>
      </c>
      <c r="DB169" s="182" t="n">
        <f aca="false">X169</f>
        <v>0.16</v>
      </c>
      <c r="DC169" s="182" t="n">
        <f aca="false">Y169</f>
        <v>0.2</v>
      </c>
      <c r="DD169" s="182" t="n">
        <f aca="false">Z169</f>
        <v>0.24</v>
      </c>
      <c r="DF169" s="181" t="n">
        <f aca="false">BF169</f>
        <v>41913</v>
      </c>
      <c r="DG169" s="133" t="n">
        <f aca="false">BG169</f>
        <v>0.75</v>
      </c>
      <c r="DJ169" s="181" t="n">
        <f aca="false">CW169</f>
        <v>41913</v>
      </c>
      <c r="DK169" s="182" t="n">
        <f aca="false">AJ169</f>
        <v>0.12</v>
      </c>
      <c r="DL169" s="182" t="n">
        <f aca="false">AK169</f>
        <v>0.15</v>
      </c>
      <c r="DM169" s="182" t="n">
        <f aca="false">AL169</f>
        <v>0.18</v>
      </c>
      <c r="DO169" s="182" t="n">
        <f aca="false">AB169</f>
        <v>0.08</v>
      </c>
      <c r="DP169" s="182" t="n">
        <f aca="false">AC169</f>
        <v>0.1</v>
      </c>
      <c r="DQ169" s="182" t="n">
        <f aca="false">AD169</f>
        <v>0.12</v>
      </c>
    </row>
    <row r="170" customFormat="false" ht="12.75" hidden="false" customHeight="false" outlineLevel="0" collapsed="false">
      <c r="A170" s="133"/>
      <c r="B170" s="174" t="n">
        <v>41061</v>
      </c>
      <c r="C170" s="175" t="n">
        <v>46.1250038146973</v>
      </c>
      <c r="D170" s="175" t="n">
        <v>51.1250038146973</v>
      </c>
      <c r="E170" s="175" t="n">
        <v>56.1250038146973</v>
      </c>
      <c r="F170" s="159"/>
      <c r="G170" s="175" t="n">
        <v>25.5400009155273</v>
      </c>
      <c r="H170" s="175" t="n">
        <v>25.5400009155273</v>
      </c>
      <c r="I170" s="175" t="n">
        <v>25.5400009155273</v>
      </c>
      <c r="J170" s="140"/>
      <c r="K170" s="141" t="n">
        <v>41944</v>
      </c>
      <c r="L170" s="176" t="n">
        <v>22.2900009155273</v>
      </c>
      <c r="M170" s="176" t="n">
        <v>22.2900009155273</v>
      </c>
      <c r="N170" s="176" t="n">
        <v>22.2900009155273</v>
      </c>
      <c r="O170" s="139"/>
      <c r="P170" s="176" t="n">
        <v>14.7900009155273</v>
      </c>
      <c r="Q170" s="176" t="n">
        <v>14.7900009155273</v>
      </c>
      <c r="R170" s="176" t="n">
        <v>14.7900009155273</v>
      </c>
      <c r="S170" s="139"/>
      <c r="T170" s="176" t="n">
        <v>0</v>
      </c>
      <c r="U170" s="176" t="n">
        <v>0</v>
      </c>
      <c r="V170" s="176" t="n">
        <v>0</v>
      </c>
      <c r="W170" s="139"/>
      <c r="X170" s="176" t="n">
        <v>0.16</v>
      </c>
      <c r="Y170" s="176" t="n">
        <v>0.2</v>
      </c>
      <c r="Z170" s="176" t="n">
        <v>0.24</v>
      </c>
      <c r="AA170" s="139"/>
      <c r="AB170" s="176" t="n">
        <v>0.08</v>
      </c>
      <c r="AC170" s="176" t="n">
        <v>0.1</v>
      </c>
      <c r="AD170" s="176" t="n">
        <v>0.12</v>
      </c>
      <c r="AE170" s="139"/>
      <c r="AF170" s="176" t="n">
        <v>0.2</v>
      </c>
      <c r="AG170" s="176" t="n">
        <v>0.25</v>
      </c>
      <c r="AH170" s="176" t="n">
        <v>0.3</v>
      </c>
      <c r="AI170" s="139"/>
      <c r="AJ170" s="176" t="n">
        <v>0.12</v>
      </c>
      <c r="AK170" s="176" t="n">
        <v>0.15</v>
      </c>
      <c r="AL170" s="176" t="n">
        <v>0.18</v>
      </c>
      <c r="AM170" s="139"/>
      <c r="AN170" s="140" t="n">
        <v>54</v>
      </c>
      <c r="AO170" s="177" t="n">
        <v>0.4</v>
      </c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41" t="n">
        <v>41944</v>
      </c>
      <c r="BG170" s="179" t="n">
        <v>0.75</v>
      </c>
      <c r="BH170" s="139"/>
      <c r="BI170" s="139"/>
      <c r="BJ170" s="139"/>
      <c r="BK170" s="139"/>
      <c r="BL170" s="139"/>
      <c r="BM170" s="139"/>
      <c r="BN170" s="139"/>
      <c r="BO170" s="139"/>
      <c r="BP170" s="139"/>
      <c r="BQ170" s="139"/>
      <c r="BR170" s="139"/>
      <c r="BS170" s="139"/>
      <c r="BT170" s="139"/>
      <c r="BU170" s="139"/>
      <c r="BV170" s="139"/>
      <c r="BW170" s="139"/>
      <c r="BX170" s="139"/>
      <c r="BY170" s="139"/>
      <c r="BZ170" s="139"/>
      <c r="CA170" s="139"/>
      <c r="CB170" s="139"/>
      <c r="CC170" s="139"/>
      <c r="CD170" s="139"/>
      <c r="CE170" s="139"/>
      <c r="CF170" s="0"/>
      <c r="CK170" s="206"/>
      <c r="CL170" s="206"/>
      <c r="CM170" s="180"/>
      <c r="CN170" s="0"/>
      <c r="CO170" s="0"/>
      <c r="CP170" s="0"/>
      <c r="CQ170" s="0"/>
      <c r="CR170" s="0"/>
      <c r="CW170" s="181" t="n">
        <f aca="false">K170</f>
        <v>41944</v>
      </c>
      <c r="CX170" s="182" t="n">
        <f aca="false">AF170</f>
        <v>0.2</v>
      </c>
      <c r="CY170" s="182" t="n">
        <f aca="false">AG170</f>
        <v>0.25</v>
      </c>
      <c r="CZ170" s="182" t="n">
        <f aca="false">AH170</f>
        <v>0.3</v>
      </c>
      <c r="DB170" s="182" t="n">
        <f aca="false">X170</f>
        <v>0.16</v>
      </c>
      <c r="DC170" s="182" t="n">
        <f aca="false">Y170</f>
        <v>0.2</v>
      </c>
      <c r="DD170" s="182" t="n">
        <f aca="false">Z170</f>
        <v>0.24</v>
      </c>
      <c r="DF170" s="181" t="n">
        <f aca="false">BF170</f>
        <v>41944</v>
      </c>
      <c r="DG170" s="133" t="n">
        <f aca="false">BG170</f>
        <v>0.75</v>
      </c>
      <c r="DJ170" s="181" t="n">
        <f aca="false">CW170</f>
        <v>41944</v>
      </c>
      <c r="DK170" s="182" t="n">
        <f aca="false">AJ170</f>
        <v>0.12</v>
      </c>
      <c r="DL170" s="182" t="n">
        <f aca="false">AK170</f>
        <v>0.15</v>
      </c>
      <c r="DM170" s="182" t="n">
        <f aca="false">AL170</f>
        <v>0.18</v>
      </c>
      <c r="DO170" s="182" t="n">
        <f aca="false">AB170</f>
        <v>0.08</v>
      </c>
      <c r="DP170" s="182" t="n">
        <f aca="false">AC170</f>
        <v>0.1</v>
      </c>
      <c r="DQ170" s="182" t="n">
        <f aca="false">AD170</f>
        <v>0.12</v>
      </c>
    </row>
    <row r="171" customFormat="false" ht="12.75" hidden="false" customHeight="false" outlineLevel="0" collapsed="false">
      <c r="A171" s="133"/>
      <c r="B171" s="174" t="n">
        <v>41091</v>
      </c>
      <c r="C171" s="175" t="n">
        <v>50.5</v>
      </c>
      <c r="D171" s="175" t="n">
        <v>60.5</v>
      </c>
      <c r="E171" s="175" t="n">
        <v>70.5</v>
      </c>
      <c r="F171" s="159"/>
      <c r="G171" s="175" t="n">
        <v>26.0400009155273</v>
      </c>
      <c r="H171" s="175" t="n">
        <v>26.0400009155273</v>
      </c>
      <c r="I171" s="175" t="n">
        <v>26.0400009155273</v>
      </c>
      <c r="J171" s="140"/>
      <c r="K171" s="141" t="n">
        <v>41974</v>
      </c>
      <c r="L171" s="176" t="n">
        <v>27.2900009155273</v>
      </c>
      <c r="M171" s="176" t="n">
        <v>27.2900009155273</v>
      </c>
      <c r="N171" s="176" t="n">
        <v>27.2900009155273</v>
      </c>
      <c r="O171" s="139"/>
      <c r="P171" s="176" t="n">
        <v>21.7900009155273</v>
      </c>
      <c r="Q171" s="176" t="n">
        <v>21.7900009155273</v>
      </c>
      <c r="R171" s="176" t="n">
        <v>21.7900009155273</v>
      </c>
      <c r="S171" s="139"/>
      <c r="T171" s="176" t="n">
        <v>0</v>
      </c>
      <c r="U171" s="176" t="n">
        <v>0</v>
      </c>
      <c r="V171" s="176" t="n">
        <v>0</v>
      </c>
      <c r="W171" s="139"/>
      <c r="X171" s="176" t="n">
        <v>0.16</v>
      </c>
      <c r="Y171" s="176" t="n">
        <v>0.2</v>
      </c>
      <c r="Z171" s="176" t="n">
        <v>0.24</v>
      </c>
      <c r="AA171" s="139"/>
      <c r="AB171" s="176" t="n">
        <v>0.08</v>
      </c>
      <c r="AC171" s="176" t="n">
        <v>0.1</v>
      </c>
      <c r="AD171" s="176" t="n">
        <v>0.12</v>
      </c>
      <c r="AE171" s="139"/>
      <c r="AF171" s="176" t="n">
        <v>0.2</v>
      </c>
      <c r="AG171" s="176" t="n">
        <v>0.25</v>
      </c>
      <c r="AH171" s="176" t="n">
        <v>0.3</v>
      </c>
      <c r="AI171" s="139"/>
      <c r="AJ171" s="176" t="n">
        <v>0.12</v>
      </c>
      <c r="AK171" s="176" t="n">
        <v>0.15</v>
      </c>
      <c r="AL171" s="176" t="n">
        <v>0.18</v>
      </c>
      <c r="AM171" s="139"/>
      <c r="AN171" s="140" t="n">
        <v>54</v>
      </c>
      <c r="AO171" s="177" t="n">
        <v>0.4</v>
      </c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41" t="n">
        <v>41974</v>
      </c>
      <c r="BG171" s="179" t="n">
        <v>0.75</v>
      </c>
      <c r="BH171" s="139"/>
      <c r="BI171" s="139"/>
      <c r="BJ171" s="139"/>
      <c r="BK171" s="139"/>
      <c r="BL171" s="139"/>
      <c r="BM171" s="139"/>
      <c r="BN171" s="139"/>
      <c r="BO171" s="139"/>
      <c r="BP171" s="139"/>
      <c r="BQ171" s="139"/>
      <c r="BR171" s="139"/>
      <c r="BS171" s="139"/>
      <c r="BT171" s="139"/>
      <c r="BU171" s="139"/>
      <c r="BV171" s="139"/>
      <c r="BW171" s="139"/>
      <c r="BX171" s="139"/>
      <c r="BY171" s="139"/>
      <c r="BZ171" s="139"/>
      <c r="CA171" s="139"/>
      <c r="CB171" s="139"/>
      <c r="CC171" s="139"/>
      <c r="CD171" s="139"/>
      <c r="CE171" s="139"/>
      <c r="CF171" s="0"/>
      <c r="CK171" s="206"/>
      <c r="CL171" s="206"/>
      <c r="CM171" s="180"/>
      <c r="CN171" s="0"/>
      <c r="CO171" s="0"/>
      <c r="CP171" s="0"/>
      <c r="CQ171" s="0"/>
      <c r="CR171" s="0"/>
      <c r="CW171" s="181" t="n">
        <f aca="false">K171</f>
        <v>41974</v>
      </c>
      <c r="CX171" s="182" t="n">
        <f aca="false">AF171</f>
        <v>0.2</v>
      </c>
      <c r="CY171" s="182" t="n">
        <f aca="false">AG171</f>
        <v>0.25</v>
      </c>
      <c r="CZ171" s="182" t="n">
        <f aca="false">AH171</f>
        <v>0.3</v>
      </c>
      <c r="DB171" s="182" t="n">
        <f aca="false">X171</f>
        <v>0.16</v>
      </c>
      <c r="DC171" s="182" t="n">
        <f aca="false">Y171</f>
        <v>0.2</v>
      </c>
      <c r="DD171" s="182" t="n">
        <f aca="false">Z171</f>
        <v>0.24</v>
      </c>
      <c r="DF171" s="181" t="n">
        <f aca="false">BF171</f>
        <v>41974</v>
      </c>
      <c r="DG171" s="133" t="n">
        <f aca="false">BG171</f>
        <v>0.75</v>
      </c>
      <c r="DJ171" s="181" t="n">
        <f aca="false">CW171</f>
        <v>41974</v>
      </c>
      <c r="DK171" s="182" t="n">
        <f aca="false">AJ171</f>
        <v>0.12</v>
      </c>
      <c r="DL171" s="182" t="n">
        <f aca="false">AK171</f>
        <v>0.15</v>
      </c>
      <c r="DM171" s="182" t="n">
        <f aca="false">AL171</f>
        <v>0.18</v>
      </c>
      <c r="DO171" s="182" t="n">
        <f aca="false">AB171</f>
        <v>0.08</v>
      </c>
      <c r="DP171" s="182" t="n">
        <f aca="false">AC171</f>
        <v>0.1</v>
      </c>
      <c r="DQ171" s="182" t="n">
        <f aca="false">AD171</f>
        <v>0.12</v>
      </c>
    </row>
    <row r="172" customFormat="false" ht="12.75" hidden="false" customHeight="false" outlineLevel="0" collapsed="false">
      <c r="A172" s="133"/>
      <c r="B172" s="174" t="n">
        <v>41122</v>
      </c>
      <c r="C172" s="175" t="n">
        <v>50.5</v>
      </c>
      <c r="D172" s="175" t="n">
        <v>60.5</v>
      </c>
      <c r="E172" s="175" t="n">
        <v>70.5</v>
      </c>
      <c r="F172" s="159"/>
      <c r="G172" s="175" t="n">
        <v>27.0400009155273</v>
      </c>
      <c r="H172" s="175" t="n">
        <v>27.0400009155273</v>
      </c>
      <c r="I172" s="175" t="n">
        <v>27.0400009155273</v>
      </c>
      <c r="J172" s="140"/>
      <c r="K172" s="141" t="n">
        <v>42005</v>
      </c>
      <c r="L172" s="176" t="n">
        <v>35.75</v>
      </c>
      <c r="M172" s="176" t="n">
        <v>35.75</v>
      </c>
      <c r="N172" s="176" t="n">
        <v>35.75</v>
      </c>
      <c r="O172" s="139"/>
      <c r="P172" s="176" t="n">
        <v>25.25</v>
      </c>
      <c r="Q172" s="176" t="n">
        <v>25.25</v>
      </c>
      <c r="R172" s="176" t="n">
        <v>25.25</v>
      </c>
      <c r="S172" s="139"/>
      <c r="T172" s="176" t="n">
        <v>0</v>
      </c>
      <c r="U172" s="176" t="n">
        <v>0</v>
      </c>
      <c r="V172" s="176" t="n">
        <v>0</v>
      </c>
      <c r="W172" s="139"/>
      <c r="X172" s="176" t="n">
        <v>0.16</v>
      </c>
      <c r="Y172" s="176" t="n">
        <v>0.2</v>
      </c>
      <c r="Z172" s="176" t="n">
        <v>0.24</v>
      </c>
      <c r="AA172" s="139"/>
      <c r="AB172" s="176" t="n">
        <v>0.08</v>
      </c>
      <c r="AC172" s="176" t="n">
        <v>0.1</v>
      </c>
      <c r="AD172" s="176" t="n">
        <v>0.12</v>
      </c>
      <c r="AE172" s="139"/>
      <c r="AF172" s="176" t="n">
        <v>0.2</v>
      </c>
      <c r="AG172" s="176" t="n">
        <v>0.25</v>
      </c>
      <c r="AH172" s="176" t="n">
        <v>0.3</v>
      </c>
      <c r="AI172" s="139"/>
      <c r="AJ172" s="176" t="n">
        <v>0.12</v>
      </c>
      <c r="AK172" s="176" t="n">
        <v>0.15</v>
      </c>
      <c r="AL172" s="176" t="n">
        <v>0.18</v>
      </c>
      <c r="AM172" s="139"/>
      <c r="AN172" s="140" t="n">
        <v>55</v>
      </c>
      <c r="AO172" s="177" t="n">
        <v>0.4</v>
      </c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41" t="n">
        <v>42005</v>
      </c>
      <c r="BG172" s="179" t="n">
        <v>0.75</v>
      </c>
      <c r="BH172" s="139"/>
      <c r="BI172" s="139"/>
      <c r="BJ172" s="139"/>
      <c r="BK172" s="139"/>
      <c r="BL172" s="139"/>
      <c r="BM172" s="139"/>
      <c r="BN172" s="139"/>
      <c r="BO172" s="139"/>
      <c r="BP172" s="139"/>
      <c r="BQ172" s="139"/>
      <c r="BR172" s="139"/>
      <c r="BS172" s="139"/>
      <c r="BT172" s="139"/>
      <c r="BU172" s="139"/>
      <c r="BV172" s="139"/>
      <c r="BW172" s="139"/>
      <c r="BX172" s="139"/>
      <c r="BY172" s="139"/>
      <c r="BZ172" s="139"/>
      <c r="CA172" s="139"/>
      <c r="CB172" s="139"/>
      <c r="CC172" s="139"/>
      <c r="CD172" s="139"/>
      <c r="CE172" s="139"/>
      <c r="CF172" s="0"/>
      <c r="CK172" s="206"/>
      <c r="CL172" s="206"/>
      <c r="CM172" s="180"/>
      <c r="CN172" s="0"/>
      <c r="CO172" s="0"/>
      <c r="CP172" s="0"/>
      <c r="CQ172" s="0"/>
      <c r="CR172" s="0"/>
      <c r="CW172" s="181" t="n">
        <f aca="false">K172</f>
        <v>42005</v>
      </c>
      <c r="CX172" s="182" t="n">
        <f aca="false">AF172</f>
        <v>0.2</v>
      </c>
      <c r="CY172" s="182" t="n">
        <f aca="false">AG172</f>
        <v>0.25</v>
      </c>
      <c r="CZ172" s="182" t="n">
        <f aca="false">AH172</f>
        <v>0.3</v>
      </c>
      <c r="DB172" s="182" t="n">
        <f aca="false">X172</f>
        <v>0.16</v>
      </c>
      <c r="DC172" s="182" t="n">
        <f aca="false">Y172</f>
        <v>0.2</v>
      </c>
      <c r="DD172" s="182" t="n">
        <f aca="false">Z172</f>
        <v>0.24</v>
      </c>
      <c r="DF172" s="181" t="n">
        <f aca="false">BF172</f>
        <v>42005</v>
      </c>
      <c r="DG172" s="133" t="n">
        <f aca="false">BG172</f>
        <v>0.75</v>
      </c>
      <c r="DJ172" s="181" t="n">
        <f aca="false">CW172</f>
        <v>42005</v>
      </c>
      <c r="DK172" s="182" t="n">
        <f aca="false">AJ172</f>
        <v>0.12</v>
      </c>
      <c r="DL172" s="182" t="n">
        <f aca="false">AK172</f>
        <v>0.15</v>
      </c>
      <c r="DM172" s="182" t="n">
        <f aca="false">AL172</f>
        <v>0.18</v>
      </c>
      <c r="DO172" s="182" t="n">
        <f aca="false">AB172</f>
        <v>0.08</v>
      </c>
      <c r="DP172" s="182" t="n">
        <f aca="false">AC172</f>
        <v>0.1</v>
      </c>
      <c r="DQ172" s="182" t="n">
        <f aca="false">AD172</f>
        <v>0.12</v>
      </c>
    </row>
    <row r="173" customFormat="false" ht="12.75" hidden="false" customHeight="false" outlineLevel="0" collapsed="false">
      <c r="A173" s="133"/>
      <c r="B173" s="174" t="n">
        <v>41153</v>
      </c>
      <c r="C173" s="175" t="n">
        <v>29.7100028991699</v>
      </c>
      <c r="D173" s="175" t="n">
        <v>31.2100028991699</v>
      </c>
      <c r="E173" s="175" t="n">
        <v>32.7100028991699</v>
      </c>
      <c r="F173" s="159"/>
      <c r="G173" s="175" t="n">
        <v>21.0400009155273</v>
      </c>
      <c r="H173" s="175" t="n">
        <v>21.0400009155273</v>
      </c>
      <c r="I173" s="175" t="n">
        <v>21.0400009155273</v>
      </c>
      <c r="J173" s="140"/>
      <c r="K173" s="141" t="n">
        <v>42036</v>
      </c>
      <c r="L173" s="176" t="n">
        <v>31.2460021972656</v>
      </c>
      <c r="M173" s="176" t="n">
        <v>31.2460021972656</v>
      </c>
      <c r="N173" s="176" t="n">
        <v>31.2460021972656</v>
      </c>
      <c r="O173" s="139"/>
      <c r="P173" s="176" t="n">
        <v>22.7465019226074</v>
      </c>
      <c r="Q173" s="176" t="n">
        <v>22.7465019226074</v>
      </c>
      <c r="R173" s="176" t="n">
        <v>22.7465019226074</v>
      </c>
      <c r="S173" s="139"/>
      <c r="T173" s="176" t="n">
        <v>0</v>
      </c>
      <c r="U173" s="176" t="n">
        <v>0</v>
      </c>
      <c r="V173" s="176" t="n">
        <v>0</v>
      </c>
      <c r="W173" s="139"/>
      <c r="X173" s="176" t="n">
        <v>0.16</v>
      </c>
      <c r="Y173" s="176" t="n">
        <v>0.2</v>
      </c>
      <c r="Z173" s="176" t="n">
        <v>0.24</v>
      </c>
      <c r="AA173" s="139"/>
      <c r="AB173" s="176" t="n">
        <v>0.08</v>
      </c>
      <c r="AC173" s="176" t="n">
        <v>0.1</v>
      </c>
      <c r="AD173" s="176" t="n">
        <v>0.12</v>
      </c>
      <c r="AE173" s="139"/>
      <c r="AF173" s="176" t="n">
        <v>0.2</v>
      </c>
      <c r="AG173" s="176" t="n">
        <v>0.25</v>
      </c>
      <c r="AH173" s="176" t="n">
        <v>0.3</v>
      </c>
      <c r="AI173" s="139"/>
      <c r="AJ173" s="176" t="n">
        <v>0.12</v>
      </c>
      <c r="AK173" s="176" t="n">
        <v>0.15</v>
      </c>
      <c r="AL173" s="176" t="n">
        <v>0.18</v>
      </c>
      <c r="AM173" s="139"/>
      <c r="AN173" s="140" t="n">
        <v>55</v>
      </c>
      <c r="AO173" s="177" t="n">
        <v>0.4</v>
      </c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41" t="n">
        <v>42036</v>
      </c>
      <c r="BG173" s="179" t="n">
        <v>0.75</v>
      </c>
      <c r="BH173" s="139"/>
      <c r="BI173" s="139"/>
      <c r="BJ173" s="139"/>
      <c r="BK173" s="139"/>
      <c r="BL173" s="139"/>
      <c r="BM173" s="139"/>
      <c r="BN173" s="139"/>
      <c r="BO173" s="139"/>
      <c r="BP173" s="139"/>
      <c r="BQ173" s="139"/>
      <c r="BR173" s="139"/>
      <c r="BS173" s="139"/>
      <c r="BT173" s="139"/>
      <c r="BU173" s="139"/>
      <c r="BV173" s="139"/>
      <c r="BW173" s="139"/>
      <c r="BX173" s="139"/>
      <c r="BY173" s="139"/>
      <c r="BZ173" s="139"/>
      <c r="CA173" s="139"/>
      <c r="CB173" s="139"/>
      <c r="CC173" s="139"/>
      <c r="CD173" s="139"/>
      <c r="CE173" s="139"/>
      <c r="CF173" s="0"/>
      <c r="CK173" s="206"/>
      <c r="CL173" s="206"/>
      <c r="CM173" s="180"/>
      <c r="CN173" s="0"/>
      <c r="CO173" s="0"/>
      <c r="CP173" s="0"/>
      <c r="CQ173" s="0"/>
      <c r="CR173" s="0"/>
      <c r="CW173" s="181" t="n">
        <f aca="false">K173</f>
        <v>42036</v>
      </c>
      <c r="CX173" s="182" t="n">
        <f aca="false">AF173</f>
        <v>0.2</v>
      </c>
      <c r="CY173" s="182" t="n">
        <f aca="false">AG173</f>
        <v>0.25</v>
      </c>
      <c r="CZ173" s="182" t="n">
        <f aca="false">AH173</f>
        <v>0.3</v>
      </c>
      <c r="DB173" s="182" t="n">
        <f aca="false">X173</f>
        <v>0.16</v>
      </c>
      <c r="DC173" s="182" t="n">
        <f aca="false">Y173</f>
        <v>0.2</v>
      </c>
      <c r="DD173" s="182" t="n">
        <f aca="false">Z173</f>
        <v>0.24</v>
      </c>
      <c r="DF173" s="181" t="n">
        <f aca="false">BF173</f>
        <v>42036</v>
      </c>
      <c r="DG173" s="133" t="n">
        <f aca="false">BG173</f>
        <v>0.75</v>
      </c>
      <c r="DJ173" s="181" t="n">
        <f aca="false">CW173</f>
        <v>42036</v>
      </c>
      <c r="DK173" s="182" t="n">
        <f aca="false">AJ173</f>
        <v>0.12</v>
      </c>
      <c r="DL173" s="182" t="n">
        <f aca="false">AK173</f>
        <v>0.15</v>
      </c>
      <c r="DM173" s="182" t="n">
        <f aca="false">AL173</f>
        <v>0.18</v>
      </c>
      <c r="DO173" s="182" t="n">
        <f aca="false">AB173</f>
        <v>0.08</v>
      </c>
      <c r="DP173" s="182" t="n">
        <f aca="false">AC173</f>
        <v>0.1</v>
      </c>
      <c r="DQ173" s="182" t="n">
        <f aca="false">AD173</f>
        <v>0.12</v>
      </c>
    </row>
    <row r="174" customFormat="false" ht="12.75" hidden="false" customHeight="false" outlineLevel="0" collapsed="false">
      <c r="A174" s="133"/>
      <c r="B174" s="174" t="n">
        <v>41183</v>
      </c>
      <c r="C174" s="175" t="n">
        <v>32.6115684509277</v>
      </c>
      <c r="D174" s="175" t="n">
        <v>34.1115684509277</v>
      </c>
      <c r="E174" s="175" t="n">
        <v>35.6115684509277</v>
      </c>
      <c r="F174" s="159"/>
      <c r="G174" s="175" t="n">
        <v>20.540002822876</v>
      </c>
      <c r="H174" s="175" t="n">
        <v>20.540002822876</v>
      </c>
      <c r="I174" s="175" t="n">
        <v>20.540002822876</v>
      </c>
      <c r="J174" s="140"/>
      <c r="K174" s="141" t="n">
        <v>42064</v>
      </c>
      <c r="L174" s="176" t="n">
        <v>25.5</v>
      </c>
      <c r="M174" s="176" t="n">
        <v>25.5</v>
      </c>
      <c r="N174" s="176" t="n">
        <v>25.5</v>
      </c>
      <c r="O174" s="139"/>
      <c r="P174" s="176" t="n">
        <v>20</v>
      </c>
      <c r="Q174" s="176" t="n">
        <v>20</v>
      </c>
      <c r="R174" s="176" t="n">
        <v>20</v>
      </c>
      <c r="S174" s="139"/>
      <c r="T174" s="176" t="n">
        <v>0</v>
      </c>
      <c r="U174" s="176" t="n">
        <v>0</v>
      </c>
      <c r="V174" s="176" t="n">
        <v>0</v>
      </c>
      <c r="W174" s="139"/>
      <c r="X174" s="176" t="n">
        <v>0.16</v>
      </c>
      <c r="Y174" s="176" t="n">
        <v>0.2</v>
      </c>
      <c r="Z174" s="176" t="n">
        <v>0.24</v>
      </c>
      <c r="AA174" s="139"/>
      <c r="AB174" s="176" t="n">
        <v>0.08</v>
      </c>
      <c r="AC174" s="176" t="n">
        <v>0.1</v>
      </c>
      <c r="AD174" s="176" t="n">
        <v>0.12</v>
      </c>
      <c r="AE174" s="139"/>
      <c r="AF174" s="176" t="n">
        <v>0.2</v>
      </c>
      <c r="AG174" s="176" t="n">
        <v>0.25</v>
      </c>
      <c r="AH174" s="176" t="n">
        <v>0.3</v>
      </c>
      <c r="AI174" s="139"/>
      <c r="AJ174" s="176" t="n">
        <v>0.12</v>
      </c>
      <c r="AK174" s="176" t="n">
        <v>0.15</v>
      </c>
      <c r="AL174" s="176" t="n">
        <v>0.18</v>
      </c>
      <c r="AM174" s="139"/>
      <c r="AN174" s="140" t="n">
        <v>55</v>
      </c>
      <c r="AO174" s="177" t="n">
        <v>0.4</v>
      </c>
      <c r="AP174" s="139"/>
      <c r="AQ174" s="139"/>
      <c r="AR174" s="139"/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41" t="n">
        <v>42064</v>
      </c>
      <c r="BG174" s="179" t="n">
        <v>0.75</v>
      </c>
      <c r="BH174" s="139"/>
      <c r="BI174" s="139"/>
      <c r="BJ174" s="139"/>
      <c r="BK174" s="139"/>
      <c r="BL174" s="139"/>
      <c r="BM174" s="139"/>
      <c r="BN174" s="139"/>
      <c r="BO174" s="139"/>
      <c r="BP174" s="139"/>
      <c r="BQ174" s="139"/>
      <c r="BR174" s="139"/>
      <c r="BS174" s="139"/>
      <c r="BT174" s="139"/>
      <c r="BU174" s="139"/>
      <c r="BV174" s="139"/>
      <c r="BW174" s="139"/>
      <c r="BX174" s="139"/>
      <c r="BY174" s="139"/>
      <c r="BZ174" s="139"/>
      <c r="CA174" s="139"/>
      <c r="CB174" s="139"/>
      <c r="CC174" s="139"/>
      <c r="CD174" s="139"/>
      <c r="CE174" s="139"/>
      <c r="CF174" s="0"/>
      <c r="CK174" s="206"/>
      <c r="CL174" s="206"/>
      <c r="CM174" s="180"/>
      <c r="CN174" s="0"/>
      <c r="CO174" s="0"/>
      <c r="CP174" s="0"/>
      <c r="CQ174" s="0"/>
      <c r="CR174" s="0"/>
      <c r="CW174" s="181" t="n">
        <f aca="false">K174</f>
        <v>42064</v>
      </c>
      <c r="CX174" s="182" t="n">
        <f aca="false">AF174</f>
        <v>0.2</v>
      </c>
      <c r="CY174" s="182" t="n">
        <f aca="false">AG174</f>
        <v>0.25</v>
      </c>
      <c r="CZ174" s="182" t="n">
        <f aca="false">AH174</f>
        <v>0.3</v>
      </c>
      <c r="DB174" s="182" t="n">
        <f aca="false">X174</f>
        <v>0.16</v>
      </c>
      <c r="DC174" s="182" t="n">
        <f aca="false">Y174</f>
        <v>0.2</v>
      </c>
      <c r="DD174" s="182" t="n">
        <f aca="false">Z174</f>
        <v>0.24</v>
      </c>
      <c r="DF174" s="181" t="n">
        <f aca="false">BF174</f>
        <v>42064</v>
      </c>
      <c r="DG174" s="133" t="n">
        <f aca="false">BG174</f>
        <v>0.75</v>
      </c>
      <c r="DJ174" s="181" t="n">
        <f aca="false">CW174</f>
        <v>42064</v>
      </c>
      <c r="DK174" s="182" t="n">
        <f aca="false">AJ174</f>
        <v>0.12</v>
      </c>
      <c r="DL174" s="182" t="n">
        <f aca="false">AK174</f>
        <v>0.15</v>
      </c>
      <c r="DM174" s="182" t="n">
        <f aca="false">AL174</f>
        <v>0.18</v>
      </c>
      <c r="DO174" s="182" t="n">
        <f aca="false">AB174</f>
        <v>0.08</v>
      </c>
      <c r="DP174" s="182" t="n">
        <f aca="false">AC174</f>
        <v>0.1</v>
      </c>
      <c r="DQ174" s="182" t="n">
        <f aca="false">AD174</f>
        <v>0.12</v>
      </c>
    </row>
    <row r="175" customFormat="false" ht="12.75" hidden="false" customHeight="false" outlineLevel="0" collapsed="false">
      <c r="A175" s="133"/>
      <c r="B175" s="174" t="n">
        <v>41214</v>
      </c>
      <c r="C175" s="175" t="n">
        <v>32.7115669250488</v>
      </c>
      <c r="D175" s="175" t="n">
        <v>34.2115669250488</v>
      </c>
      <c r="E175" s="175" t="n">
        <v>35.7115669250488</v>
      </c>
      <c r="F175" s="159"/>
      <c r="G175" s="175" t="n">
        <v>21.5400009155273</v>
      </c>
      <c r="H175" s="175" t="n">
        <v>21.5400009155273</v>
      </c>
      <c r="I175" s="175" t="n">
        <v>21.5400009155273</v>
      </c>
      <c r="J175" s="140"/>
      <c r="K175" s="141" t="n">
        <v>42095</v>
      </c>
      <c r="L175" s="176" t="n">
        <v>22</v>
      </c>
      <c r="M175" s="176" t="n">
        <v>22</v>
      </c>
      <c r="N175" s="176" t="n">
        <v>22</v>
      </c>
      <c r="O175" s="139"/>
      <c r="P175" s="176" t="n">
        <v>16.4950008392334</v>
      </c>
      <c r="Q175" s="176" t="n">
        <v>16.4950008392334</v>
      </c>
      <c r="R175" s="176" t="n">
        <v>16.4950008392334</v>
      </c>
      <c r="S175" s="139"/>
      <c r="T175" s="176" t="n">
        <v>0</v>
      </c>
      <c r="U175" s="176" t="n">
        <v>0</v>
      </c>
      <c r="V175" s="176" t="n">
        <v>0</v>
      </c>
      <c r="W175" s="139"/>
      <c r="X175" s="176" t="n">
        <v>0.16</v>
      </c>
      <c r="Y175" s="176" t="n">
        <v>0.2</v>
      </c>
      <c r="Z175" s="176" t="n">
        <v>0.24</v>
      </c>
      <c r="AA175" s="139"/>
      <c r="AB175" s="176" t="n">
        <v>0.08</v>
      </c>
      <c r="AC175" s="176" t="n">
        <v>0.1</v>
      </c>
      <c r="AD175" s="176" t="n">
        <v>0.12</v>
      </c>
      <c r="AE175" s="139"/>
      <c r="AF175" s="176" t="n">
        <v>0.2</v>
      </c>
      <c r="AG175" s="176" t="n">
        <v>0.25</v>
      </c>
      <c r="AH175" s="176" t="n">
        <v>0.3</v>
      </c>
      <c r="AI175" s="139"/>
      <c r="AJ175" s="176" t="n">
        <v>0.12</v>
      </c>
      <c r="AK175" s="176" t="n">
        <v>0.15</v>
      </c>
      <c r="AL175" s="176" t="n">
        <v>0.18</v>
      </c>
      <c r="AM175" s="139"/>
      <c r="AN175" s="140" t="n">
        <v>56</v>
      </c>
      <c r="AO175" s="177" t="n">
        <v>0.4</v>
      </c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41" t="n">
        <v>42095</v>
      </c>
      <c r="BG175" s="179" t="n">
        <v>0.75</v>
      </c>
      <c r="BH175" s="139"/>
      <c r="BI175" s="139"/>
      <c r="BJ175" s="139"/>
      <c r="BK175" s="139"/>
      <c r="BL175" s="139"/>
      <c r="BM175" s="139"/>
      <c r="BN175" s="139"/>
      <c r="BO175" s="139"/>
      <c r="BP175" s="139"/>
      <c r="BQ175" s="139"/>
      <c r="BR175" s="139"/>
      <c r="BS175" s="139"/>
      <c r="BT175" s="139"/>
      <c r="BU175" s="139"/>
      <c r="BV175" s="139"/>
      <c r="BW175" s="139"/>
      <c r="BX175" s="139"/>
      <c r="BY175" s="139"/>
      <c r="BZ175" s="139"/>
      <c r="CA175" s="139"/>
      <c r="CB175" s="139"/>
      <c r="CC175" s="139"/>
      <c r="CD175" s="139"/>
      <c r="CE175" s="139"/>
      <c r="CF175" s="0"/>
      <c r="CK175" s="206"/>
      <c r="CL175" s="206"/>
      <c r="CM175" s="180"/>
      <c r="CN175" s="0"/>
      <c r="CO175" s="0"/>
      <c r="CP175" s="0"/>
      <c r="CQ175" s="0"/>
      <c r="CR175" s="0"/>
      <c r="CW175" s="181" t="n">
        <f aca="false">K175</f>
        <v>42095</v>
      </c>
      <c r="CX175" s="182" t="n">
        <f aca="false">AF175</f>
        <v>0.2</v>
      </c>
      <c r="CY175" s="182" t="n">
        <f aca="false">AG175</f>
        <v>0.25</v>
      </c>
      <c r="CZ175" s="182" t="n">
        <f aca="false">AH175</f>
        <v>0.3</v>
      </c>
      <c r="DB175" s="182" t="n">
        <f aca="false">X175</f>
        <v>0.16</v>
      </c>
      <c r="DC175" s="182" t="n">
        <f aca="false">Y175</f>
        <v>0.2</v>
      </c>
      <c r="DD175" s="182" t="n">
        <f aca="false">Z175</f>
        <v>0.24</v>
      </c>
      <c r="DF175" s="181" t="n">
        <f aca="false">BF175</f>
        <v>42095</v>
      </c>
      <c r="DG175" s="133" t="n">
        <f aca="false">BG175</f>
        <v>0.75</v>
      </c>
      <c r="DJ175" s="181" t="n">
        <f aca="false">CW175</f>
        <v>42095</v>
      </c>
      <c r="DK175" s="182" t="n">
        <f aca="false">AJ175</f>
        <v>0.12</v>
      </c>
      <c r="DL175" s="182" t="n">
        <f aca="false">AK175</f>
        <v>0.15</v>
      </c>
      <c r="DM175" s="182" t="n">
        <f aca="false">AL175</f>
        <v>0.18</v>
      </c>
      <c r="DO175" s="182" t="n">
        <f aca="false">AB175</f>
        <v>0.08</v>
      </c>
      <c r="DP175" s="182" t="n">
        <f aca="false">AC175</f>
        <v>0.1</v>
      </c>
      <c r="DQ175" s="182" t="n">
        <f aca="false">AD175</f>
        <v>0.12</v>
      </c>
    </row>
    <row r="176" customFormat="false" ht="12.75" hidden="false" customHeight="false" outlineLevel="0" collapsed="false">
      <c r="A176" s="133"/>
      <c r="B176" s="174" t="n">
        <v>41244</v>
      </c>
      <c r="C176" s="175" t="n">
        <v>32.8115653991699</v>
      </c>
      <c r="D176" s="175" t="n">
        <v>34.3115653991699</v>
      </c>
      <c r="E176" s="175" t="n">
        <v>35.8115653991699</v>
      </c>
      <c r="F176" s="159"/>
      <c r="G176" s="175" t="n">
        <v>23.7900009155273</v>
      </c>
      <c r="H176" s="175" t="n">
        <v>23.7900009155273</v>
      </c>
      <c r="I176" s="175" t="n">
        <v>23.7900009155273</v>
      </c>
      <c r="J176" s="140"/>
      <c r="K176" s="141" t="n">
        <v>42125</v>
      </c>
      <c r="L176" s="176" t="n">
        <v>22.2900009155273</v>
      </c>
      <c r="M176" s="176" t="n">
        <v>22.2900009155273</v>
      </c>
      <c r="N176" s="176" t="n">
        <v>22.2900009155273</v>
      </c>
      <c r="O176" s="139"/>
      <c r="P176" s="176" t="n">
        <v>15.7950000762939</v>
      </c>
      <c r="Q176" s="176" t="n">
        <v>15.7950000762939</v>
      </c>
      <c r="R176" s="176" t="n">
        <v>15.7950000762939</v>
      </c>
      <c r="S176" s="139"/>
      <c r="T176" s="176" t="n">
        <v>0</v>
      </c>
      <c r="U176" s="176" t="n">
        <v>0</v>
      </c>
      <c r="V176" s="176" t="n">
        <v>0</v>
      </c>
      <c r="W176" s="139"/>
      <c r="X176" s="176" t="n">
        <v>0.16</v>
      </c>
      <c r="Y176" s="176" t="n">
        <v>0.2</v>
      </c>
      <c r="Z176" s="176" t="n">
        <v>0.24</v>
      </c>
      <c r="AA176" s="139"/>
      <c r="AB176" s="176" t="n">
        <v>0.08</v>
      </c>
      <c r="AC176" s="176" t="n">
        <v>0.1</v>
      </c>
      <c r="AD176" s="176" t="n">
        <v>0.12</v>
      </c>
      <c r="AE176" s="139"/>
      <c r="AF176" s="176" t="n">
        <v>0.2</v>
      </c>
      <c r="AG176" s="176" t="n">
        <v>0.25</v>
      </c>
      <c r="AH176" s="176" t="n">
        <v>0.3</v>
      </c>
      <c r="AI176" s="139"/>
      <c r="AJ176" s="176" t="n">
        <v>0.12</v>
      </c>
      <c r="AK176" s="176" t="n">
        <v>0.15</v>
      </c>
      <c r="AL176" s="176" t="n">
        <v>0.18</v>
      </c>
      <c r="AM176" s="139"/>
      <c r="AN176" s="140" t="n">
        <v>56</v>
      </c>
      <c r="AO176" s="177" t="n">
        <v>0.4</v>
      </c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41" t="n">
        <v>42125</v>
      </c>
      <c r="BG176" s="179" t="n">
        <v>0.75</v>
      </c>
      <c r="BH176" s="139"/>
      <c r="BI176" s="139"/>
      <c r="BJ176" s="139"/>
      <c r="BK176" s="139"/>
      <c r="BL176" s="139"/>
      <c r="BM176" s="139"/>
      <c r="BN176" s="139"/>
      <c r="BO176" s="139"/>
      <c r="BP176" s="139"/>
      <c r="BQ176" s="139"/>
      <c r="BR176" s="139"/>
      <c r="BS176" s="139"/>
      <c r="BT176" s="139"/>
      <c r="BU176" s="139"/>
      <c r="BV176" s="139"/>
      <c r="BW176" s="139"/>
      <c r="BX176" s="139"/>
      <c r="BY176" s="139"/>
      <c r="BZ176" s="139"/>
      <c r="CA176" s="139"/>
      <c r="CB176" s="139"/>
      <c r="CC176" s="139"/>
      <c r="CD176" s="139"/>
      <c r="CE176" s="139"/>
      <c r="CF176" s="0"/>
      <c r="CK176" s="206"/>
      <c r="CL176" s="206"/>
      <c r="CM176" s="180"/>
      <c r="CN176" s="0"/>
      <c r="CO176" s="0"/>
      <c r="CP176" s="0"/>
      <c r="CQ176" s="0"/>
      <c r="CR176" s="0"/>
      <c r="CW176" s="181" t="n">
        <f aca="false">K176</f>
        <v>42125</v>
      </c>
      <c r="CX176" s="182" t="n">
        <f aca="false">AF176</f>
        <v>0.2</v>
      </c>
      <c r="CY176" s="182" t="n">
        <f aca="false">AG176</f>
        <v>0.25</v>
      </c>
      <c r="CZ176" s="182" t="n">
        <f aca="false">AH176</f>
        <v>0.3</v>
      </c>
      <c r="DB176" s="182" t="n">
        <f aca="false">X176</f>
        <v>0.16</v>
      </c>
      <c r="DC176" s="182" t="n">
        <f aca="false">Y176</f>
        <v>0.2</v>
      </c>
      <c r="DD176" s="182" t="n">
        <f aca="false">Z176</f>
        <v>0.24</v>
      </c>
      <c r="DF176" s="181" t="n">
        <f aca="false">BF176</f>
        <v>42125</v>
      </c>
      <c r="DG176" s="133" t="n">
        <f aca="false">BG176</f>
        <v>0.75</v>
      </c>
      <c r="DJ176" s="181" t="n">
        <f aca="false">CW176</f>
        <v>42125</v>
      </c>
      <c r="DK176" s="182" t="n">
        <f aca="false">AJ176</f>
        <v>0.12</v>
      </c>
      <c r="DL176" s="182" t="n">
        <f aca="false">AK176</f>
        <v>0.15</v>
      </c>
      <c r="DM176" s="182" t="n">
        <f aca="false">AL176</f>
        <v>0.18</v>
      </c>
      <c r="DO176" s="182" t="n">
        <f aca="false">AB176</f>
        <v>0.08</v>
      </c>
      <c r="DP176" s="182" t="n">
        <f aca="false">AC176</f>
        <v>0.1</v>
      </c>
      <c r="DQ176" s="182" t="n">
        <f aca="false">AD176</f>
        <v>0.12</v>
      </c>
    </row>
    <row r="177" customFormat="false" ht="12.75" hidden="false" customHeight="false" outlineLevel="0" collapsed="false">
      <c r="A177" s="133"/>
      <c r="B177" s="174" t="n">
        <v>41275</v>
      </c>
      <c r="C177" s="175" t="n">
        <v>36.4957160949707</v>
      </c>
      <c r="D177" s="175" t="n">
        <v>37.9957160949707</v>
      </c>
      <c r="E177" s="175" t="n">
        <v>39.4957160949707</v>
      </c>
      <c r="F177" s="159"/>
      <c r="G177" s="175" t="n">
        <v>26</v>
      </c>
      <c r="H177" s="175" t="n">
        <v>26</v>
      </c>
      <c r="I177" s="175" t="n">
        <v>26</v>
      </c>
      <c r="J177" s="140"/>
      <c r="K177" s="141" t="n">
        <v>42156</v>
      </c>
      <c r="L177" s="176" t="n">
        <v>29.2900009155273</v>
      </c>
      <c r="M177" s="176" t="n">
        <v>29.2900009155273</v>
      </c>
      <c r="N177" s="176" t="n">
        <v>29.2900009155273</v>
      </c>
      <c r="O177" s="139"/>
      <c r="P177" s="176" t="n">
        <v>19.7900009155273</v>
      </c>
      <c r="Q177" s="176" t="n">
        <v>19.7900009155273</v>
      </c>
      <c r="R177" s="176" t="n">
        <v>19.7900009155273</v>
      </c>
      <c r="S177" s="139"/>
      <c r="T177" s="176" t="n">
        <v>0</v>
      </c>
      <c r="U177" s="176" t="n">
        <v>0</v>
      </c>
      <c r="V177" s="176" t="n">
        <v>0</v>
      </c>
      <c r="W177" s="139"/>
      <c r="X177" s="176" t="n">
        <v>0.16</v>
      </c>
      <c r="Y177" s="176" t="n">
        <v>0.2</v>
      </c>
      <c r="Z177" s="176" t="n">
        <v>0.24</v>
      </c>
      <c r="AA177" s="139"/>
      <c r="AB177" s="176" t="n">
        <v>0.08</v>
      </c>
      <c r="AC177" s="176" t="n">
        <v>0.1</v>
      </c>
      <c r="AD177" s="176" t="n">
        <v>0.12</v>
      </c>
      <c r="AE177" s="139"/>
      <c r="AF177" s="176" t="n">
        <v>0.2</v>
      </c>
      <c r="AG177" s="176" t="n">
        <v>0.25</v>
      </c>
      <c r="AH177" s="176" t="n">
        <v>0.3</v>
      </c>
      <c r="AI177" s="139"/>
      <c r="AJ177" s="176" t="n">
        <v>0.12</v>
      </c>
      <c r="AK177" s="176" t="n">
        <v>0.15</v>
      </c>
      <c r="AL177" s="176" t="n">
        <v>0.18</v>
      </c>
      <c r="AM177" s="139"/>
      <c r="AN177" s="140" t="n">
        <v>56</v>
      </c>
      <c r="AO177" s="177" t="n">
        <v>0.4</v>
      </c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41" t="n">
        <v>42156</v>
      </c>
      <c r="BG177" s="179" t="n">
        <v>0.75</v>
      </c>
      <c r="BH177" s="139"/>
      <c r="BI177" s="139"/>
      <c r="BJ177" s="139"/>
      <c r="BK177" s="139"/>
      <c r="BL177" s="139"/>
      <c r="BM177" s="139"/>
      <c r="BN177" s="139"/>
      <c r="BO177" s="139"/>
      <c r="BP177" s="139"/>
      <c r="BQ177" s="139"/>
      <c r="BR177" s="139"/>
      <c r="BS177" s="139"/>
      <c r="BT177" s="139"/>
      <c r="BU177" s="139"/>
      <c r="BV177" s="139"/>
      <c r="BW177" s="139"/>
      <c r="BX177" s="139"/>
      <c r="BY177" s="139"/>
      <c r="BZ177" s="139"/>
      <c r="CA177" s="139"/>
      <c r="CB177" s="139"/>
      <c r="CC177" s="139"/>
      <c r="CD177" s="139"/>
      <c r="CE177" s="139"/>
      <c r="CF177" s="0"/>
      <c r="CK177" s="206"/>
      <c r="CL177" s="206"/>
      <c r="CM177" s="180"/>
      <c r="CN177" s="0"/>
      <c r="CO177" s="0"/>
      <c r="CP177" s="0"/>
      <c r="CQ177" s="0"/>
      <c r="CR177" s="0"/>
      <c r="CW177" s="181" t="n">
        <f aca="false">K177</f>
        <v>42156</v>
      </c>
      <c r="CX177" s="182" t="n">
        <f aca="false">AF177</f>
        <v>0.2</v>
      </c>
      <c r="CY177" s="182" t="n">
        <f aca="false">AG177</f>
        <v>0.25</v>
      </c>
      <c r="CZ177" s="182" t="n">
        <f aca="false">AH177</f>
        <v>0.3</v>
      </c>
      <c r="DB177" s="182" t="n">
        <f aca="false">X177</f>
        <v>0.16</v>
      </c>
      <c r="DC177" s="182" t="n">
        <f aca="false">Y177</f>
        <v>0.2</v>
      </c>
      <c r="DD177" s="182" t="n">
        <f aca="false">Z177</f>
        <v>0.24</v>
      </c>
      <c r="DF177" s="181" t="n">
        <f aca="false">BF177</f>
        <v>42156</v>
      </c>
      <c r="DG177" s="133" t="n">
        <f aca="false">BG177</f>
        <v>0.75</v>
      </c>
      <c r="DJ177" s="181" t="n">
        <f aca="false">CW177</f>
        <v>42156</v>
      </c>
      <c r="DK177" s="182" t="n">
        <f aca="false">AJ177</f>
        <v>0.12</v>
      </c>
      <c r="DL177" s="182" t="n">
        <f aca="false">AK177</f>
        <v>0.15</v>
      </c>
      <c r="DM177" s="182" t="n">
        <f aca="false">AL177</f>
        <v>0.18</v>
      </c>
      <c r="DO177" s="182" t="n">
        <f aca="false">AB177</f>
        <v>0.08</v>
      </c>
      <c r="DP177" s="182" t="n">
        <f aca="false">AC177</f>
        <v>0.1</v>
      </c>
      <c r="DQ177" s="182" t="n">
        <f aca="false">AD177</f>
        <v>0.12</v>
      </c>
    </row>
    <row r="178" customFormat="false" ht="12.75" hidden="false" customHeight="false" outlineLevel="0" collapsed="false">
      <c r="A178" s="133"/>
      <c r="B178" s="174" t="n">
        <v>41306</v>
      </c>
      <c r="C178" s="175" t="n">
        <v>35.8957138061523</v>
      </c>
      <c r="D178" s="175" t="n">
        <v>37.3957138061523</v>
      </c>
      <c r="E178" s="175" t="n">
        <v>38.8957138061523</v>
      </c>
      <c r="F178" s="159"/>
      <c r="G178" s="175" t="n">
        <v>24.5</v>
      </c>
      <c r="H178" s="175" t="n">
        <v>24.5</v>
      </c>
      <c r="I178" s="175" t="n">
        <v>24.5</v>
      </c>
      <c r="J178" s="140"/>
      <c r="K178" s="141" t="n">
        <v>42186</v>
      </c>
      <c r="L178" s="176" t="n">
        <v>35.2900009155273</v>
      </c>
      <c r="M178" s="176" t="n">
        <v>35.2900009155273</v>
      </c>
      <c r="N178" s="176" t="n">
        <v>35.2900009155273</v>
      </c>
      <c r="O178" s="139"/>
      <c r="P178" s="176" t="n">
        <v>25.7900009155273</v>
      </c>
      <c r="Q178" s="176" t="n">
        <v>25.7900009155273</v>
      </c>
      <c r="R178" s="176" t="n">
        <v>25.7900009155273</v>
      </c>
      <c r="S178" s="139"/>
      <c r="T178" s="176" t="n">
        <v>0</v>
      </c>
      <c r="U178" s="176" t="n">
        <v>0</v>
      </c>
      <c r="V178" s="176" t="n">
        <v>0</v>
      </c>
      <c r="W178" s="139"/>
      <c r="X178" s="176" t="n">
        <v>0.16</v>
      </c>
      <c r="Y178" s="176" t="n">
        <v>0.2</v>
      </c>
      <c r="Z178" s="176" t="n">
        <v>0.24</v>
      </c>
      <c r="AA178" s="139"/>
      <c r="AB178" s="176" t="n">
        <v>0.08</v>
      </c>
      <c r="AC178" s="176" t="n">
        <v>0.1</v>
      </c>
      <c r="AD178" s="176" t="n">
        <v>0.12</v>
      </c>
      <c r="AE178" s="139"/>
      <c r="AF178" s="176" t="n">
        <v>0.2</v>
      </c>
      <c r="AG178" s="176" t="n">
        <v>0.25</v>
      </c>
      <c r="AH178" s="176" t="n">
        <v>0.3</v>
      </c>
      <c r="AI178" s="139"/>
      <c r="AJ178" s="176" t="n">
        <v>0.12</v>
      </c>
      <c r="AK178" s="176" t="n">
        <v>0.15</v>
      </c>
      <c r="AL178" s="176" t="n">
        <v>0.18</v>
      </c>
      <c r="AM178" s="139"/>
      <c r="AN178" s="140" t="n">
        <v>57</v>
      </c>
      <c r="AO178" s="177" t="n">
        <v>0.4</v>
      </c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41" t="n">
        <v>42186</v>
      </c>
      <c r="BG178" s="179" t="n">
        <v>0.75</v>
      </c>
      <c r="BH178" s="139"/>
      <c r="BI178" s="139"/>
      <c r="BJ178" s="139"/>
      <c r="BK178" s="139"/>
      <c r="BL178" s="139"/>
      <c r="BM178" s="139"/>
      <c r="BN178" s="139"/>
      <c r="BO178" s="139"/>
      <c r="BP178" s="139"/>
      <c r="BQ178" s="139"/>
      <c r="BR178" s="139"/>
      <c r="BS178" s="139"/>
      <c r="BT178" s="139"/>
      <c r="BU178" s="139"/>
      <c r="BV178" s="139"/>
      <c r="BW178" s="139"/>
      <c r="BX178" s="139"/>
      <c r="BY178" s="139"/>
      <c r="BZ178" s="139"/>
      <c r="CA178" s="139"/>
      <c r="CB178" s="139"/>
      <c r="CC178" s="139"/>
      <c r="CD178" s="139"/>
      <c r="CE178" s="139"/>
      <c r="CF178" s="0"/>
      <c r="CK178" s="206"/>
      <c r="CL178" s="206"/>
      <c r="CM178" s="180"/>
      <c r="CN178" s="0"/>
      <c r="CO178" s="0"/>
      <c r="CP178" s="0"/>
      <c r="CQ178" s="0"/>
      <c r="CR178" s="0"/>
      <c r="CW178" s="181" t="n">
        <f aca="false">K178</f>
        <v>42186</v>
      </c>
      <c r="CX178" s="182" t="n">
        <f aca="false">AF178</f>
        <v>0.2</v>
      </c>
      <c r="CY178" s="182" t="n">
        <f aca="false">AG178</f>
        <v>0.25</v>
      </c>
      <c r="CZ178" s="182" t="n">
        <f aca="false">AH178</f>
        <v>0.3</v>
      </c>
      <c r="DB178" s="182" t="n">
        <f aca="false">X178</f>
        <v>0.16</v>
      </c>
      <c r="DC178" s="182" t="n">
        <f aca="false">Y178</f>
        <v>0.2</v>
      </c>
      <c r="DD178" s="182" t="n">
        <f aca="false">Z178</f>
        <v>0.24</v>
      </c>
      <c r="DF178" s="181" t="n">
        <f aca="false">BF178</f>
        <v>42186</v>
      </c>
      <c r="DG178" s="133" t="n">
        <f aca="false">BG178</f>
        <v>0.75</v>
      </c>
      <c r="DJ178" s="181" t="n">
        <f aca="false">CW178</f>
        <v>42186</v>
      </c>
      <c r="DK178" s="182" t="n">
        <f aca="false">AJ178</f>
        <v>0.12</v>
      </c>
      <c r="DL178" s="182" t="n">
        <f aca="false">AK178</f>
        <v>0.15</v>
      </c>
      <c r="DM178" s="182" t="n">
        <f aca="false">AL178</f>
        <v>0.18</v>
      </c>
      <c r="DO178" s="182" t="n">
        <f aca="false">AB178</f>
        <v>0.08</v>
      </c>
      <c r="DP178" s="182" t="n">
        <f aca="false">AC178</f>
        <v>0.1</v>
      </c>
      <c r="DQ178" s="182" t="n">
        <f aca="false">AD178</f>
        <v>0.12</v>
      </c>
    </row>
    <row r="179" customFormat="false" ht="12.75" hidden="false" customHeight="false" outlineLevel="0" collapsed="false">
      <c r="A179" s="133"/>
      <c r="B179" s="174" t="n">
        <v>41334</v>
      </c>
      <c r="C179" s="175" t="n">
        <v>34.6076812744141</v>
      </c>
      <c r="D179" s="175" t="n">
        <v>36.1076812744141</v>
      </c>
      <c r="E179" s="175" t="n">
        <v>37.6076812744141</v>
      </c>
      <c r="F179" s="159"/>
      <c r="G179" s="175" t="n">
        <v>25.5</v>
      </c>
      <c r="H179" s="175" t="n">
        <v>25.5</v>
      </c>
      <c r="I179" s="175" t="n">
        <v>25.5</v>
      </c>
      <c r="J179" s="140"/>
      <c r="K179" s="141" t="n">
        <v>42217</v>
      </c>
      <c r="L179" s="176" t="n">
        <v>33.2900047302246</v>
      </c>
      <c r="M179" s="176" t="n">
        <v>33.2900047302246</v>
      </c>
      <c r="N179" s="176" t="n">
        <v>33.2900047302246</v>
      </c>
      <c r="O179" s="139"/>
      <c r="P179" s="176" t="n">
        <v>25.7900009155273</v>
      </c>
      <c r="Q179" s="176" t="n">
        <v>25.7900009155273</v>
      </c>
      <c r="R179" s="176" t="n">
        <v>25.7900009155273</v>
      </c>
      <c r="S179" s="139"/>
      <c r="T179" s="176" t="n">
        <v>0</v>
      </c>
      <c r="U179" s="176" t="n">
        <v>0</v>
      </c>
      <c r="V179" s="176" t="n">
        <v>0</v>
      </c>
      <c r="W179" s="139"/>
      <c r="X179" s="176" t="n">
        <v>0.24</v>
      </c>
      <c r="Y179" s="176" t="n">
        <v>0.3</v>
      </c>
      <c r="Z179" s="176" t="n">
        <v>0.36</v>
      </c>
      <c r="AA179" s="139"/>
      <c r="AB179" s="176" t="n">
        <v>0.12</v>
      </c>
      <c r="AC179" s="176" t="n">
        <v>0.15</v>
      </c>
      <c r="AD179" s="176" t="n">
        <v>0.18</v>
      </c>
      <c r="AE179" s="139"/>
      <c r="AF179" s="176" t="n">
        <v>0.32</v>
      </c>
      <c r="AG179" s="176" t="n">
        <v>0.4</v>
      </c>
      <c r="AH179" s="176" t="n">
        <v>0.48</v>
      </c>
      <c r="AI179" s="139"/>
      <c r="AJ179" s="176" t="n">
        <v>0.192</v>
      </c>
      <c r="AK179" s="176" t="n">
        <v>0.24</v>
      </c>
      <c r="AL179" s="176" t="n">
        <v>0.288</v>
      </c>
      <c r="AM179" s="139"/>
      <c r="AN179" s="140" t="n">
        <v>57</v>
      </c>
      <c r="AO179" s="177" t="n">
        <v>0.4</v>
      </c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41" t="n">
        <v>42217</v>
      </c>
      <c r="BG179" s="179" t="n">
        <v>0.75</v>
      </c>
      <c r="BH179" s="139"/>
      <c r="BI179" s="139"/>
      <c r="BJ179" s="139"/>
      <c r="BK179" s="139"/>
      <c r="BL179" s="139"/>
      <c r="BM179" s="139"/>
      <c r="BN179" s="139"/>
      <c r="BO179" s="139"/>
      <c r="BP179" s="139"/>
      <c r="BQ179" s="139"/>
      <c r="BR179" s="139"/>
      <c r="BS179" s="139"/>
      <c r="BT179" s="139"/>
      <c r="BU179" s="139"/>
      <c r="BV179" s="139"/>
      <c r="BW179" s="139"/>
      <c r="BX179" s="139"/>
      <c r="BY179" s="139"/>
      <c r="BZ179" s="139"/>
      <c r="CA179" s="139"/>
      <c r="CB179" s="139"/>
      <c r="CC179" s="139"/>
      <c r="CD179" s="139"/>
      <c r="CE179" s="139"/>
      <c r="CF179" s="0"/>
      <c r="CK179" s="206"/>
      <c r="CL179" s="206"/>
      <c r="CM179" s="180"/>
      <c r="CN179" s="0"/>
      <c r="CO179" s="0"/>
      <c r="CP179" s="0"/>
      <c r="CQ179" s="0"/>
      <c r="CR179" s="0"/>
      <c r="CW179" s="181" t="n">
        <f aca="false">K179</f>
        <v>42217</v>
      </c>
      <c r="CX179" s="182" t="n">
        <f aca="false">AF179</f>
        <v>0.32</v>
      </c>
      <c r="CY179" s="182" t="n">
        <f aca="false">AG179</f>
        <v>0.4</v>
      </c>
      <c r="CZ179" s="182" t="n">
        <f aca="false">AH179</f>
        <v>0.48</v>
      </c>
      <c r="DB179" s="182" t="n">
        <f aca="false">X179</f>
        <v>0.24</v>
      </c>
      <c r="DC179" s="182" t="n">
        <f aca="false">Y179</f>
        <v>0.3</v>
      </c>
      <c r="DD179" s="182" t="n">
        <f aca="false">Z179</f>
        <v>0.36</v>
      </c>
      <c r="DF179" s="181" t="n">
        <f aca="false">BF179</f>
        <v>42217</v>
      </c>
      <c r="DG179" s="133" t="n">
        <f aca="false">BG179</f>
        <v>0.75</v>
      </c>
      <c r="DJ179" s="181" t="n">
        <f aca="false">CW179</f>
        <v>42217</v>
      </c>
      <c r="DK179" s="182" t="n">
        <f aca="false">AJ179</f>
        <v>0.192</v>
      </c>
      <c r="DL179" s="182" t="n">
        <f aca="false">AK179</f>
        <v>0.24</v>
      </c>
      <c r="DM179" s="182" t="n">
        <f aca="false">AL179</f>
        <v>0.288</v>
      </c>
      <c r="DO179" s="182" t="n">
        <f aca="false">AB179</f>
        <v>0.12</v>
      </c>
      <c r="DP179" s="182" t="n">
        <f aca="false">AC179</f>
        <v>0.15</v>
      </c>
      <c r="DQ179" s="182" t="n">
        <f aca="false">AD179</f>
        <v>0.18</v>
      </c>
    </row>
    <row r="180" customFormat="false" ht="12.75" hidden="false" customHeight="false" outlineLevel="0" collapsed="false">
      <c r="A180" s="133"/>
      <c r="B180" s="174" t="n">
        <v>41365</v>
      </c>
      <c r="C180" s="175" t="n">
        <v>34.8076820373535</v>
      </c>
      <c r="D180" s="175" t="n">
        <v>36.3076820373535</v>
      </c>
      <c r="E180" s="175" t="n">
        <v>37.8076820373535</v>
      </c>
      <c r="F180" s="159"/>
      <c r="G180" s="175" t="n">
        <v>22.5</v>
      </c>
      <c r="H180" s="175" t="n">
        <v>22.5</v>
      </c>
      <c r="I180" s="175" t="n">
        <v>22.5</v>
      </c>
      <c r="J180" s="140"/>
      <c r="K180" s="141" t="n">
        <v>42248</v>
      </c>
      <c r="L180" s="176" t="n">
        <v>25.2900009155273</v>
      </c>
      <c r="M180" s="176" t="n">
        <v>25.2900009155273</v>
      </c>
      <c r="N180" s="176" t="n">
        <v>25.2900009155273</v>
      </c>
      <c r="O180" s="139"/>
      <c r="P180" s="176" t="n">
        <v>19.7900009155273</v>
      </c>
      <c r="Q180" s="176" t="n">
        <v>19.7900009155273</v>
      </c>
      <c r="R180" s="176" t="n">
        <v>19.7900009155273</v>
      </c>
      <c r="S180" s="139"/>
      <c r="T180" s="176" t="n">
        <v>0</v>
      </c>
      <c r="U180" s="176" t="n">
        <v>0</v>
      </c>
      <c r="V180" s="176" t="n">
        <v>0</v>
      </c>
      <c r="W180" s="139"/>
      <c r="X180" s="176" t="n">
        <v>0.24</v>
      </c>
      <c r="Y180" s="176" t="n">
        <v>0.3</v>
      </c>
      <c r="Z180" s="176" t="n">
        <v>0.36</v>
      </c>
      <c r="AA180" s="139"/>
      <c r="AB180" s="176" t="n">
        <v>0.12</v>
      </c>
      <c r="AC180" s="176" t="n">
        <v>0.15</v>
      </c>
      <c r="AD180" s="176" t="n">
        <v>0.18</v>
      </c>
      <c r="AE180" s="139"/>
      <c r="AF180" s="176" t="n">
        <v>0.32</v>
      </c>
      <c r="AG180" s="176" t="n">
        <v>0.4</v>
      </c>
      <c r="AH180" s="176" t="n">
        <v>0.48</v>
      </c>
      <c r="AI180" s="139"/>
      <c r="AJ180" s="176" t="n">
        <v>0.192</v>
      </c>
      <c r="AK180" s="176" t="n">
        <v>0.24</v>
      </c>
      <c r="AL180" s="176" t="n">
        <v>0.288</v>
      </c>
      <c r="AM180" s="139"/>
      <c r="AN180" s="140" t="n">
        <v>57</v>
      </c>
      <c r="AO180" s="177" t="n">
        <v>0.4</v>
      </c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41" t="n">
        <v>42248</v>
      </c>
      <c r="BG180" s="179" t="n">
        <v>0.75</v>
      </c>
      <c r="BH180" s="139"/>
      <c r="BI180" s="139"/>
      <c r="BJ180" s="139"/>
      <c r="BK180" s="139"/>
      <c r="BL180" s="139"/>
      <c r="BM180" s="139"/>
      <c r="BN180" s="139"/>
      <c r="BO180" s="139"/>
      <c r="BP180" s="139"/>
      <c r="BQ180" s="139"/>
      <c r="BR180" s="139"/>
      <c r="BS180" s="139"/>
      <c r="BT180" s="139"/>
      <c r="BU180" s="139"/>
      <c r="BV180" s="139"/>
      <c r="BW180" s="139"/>
      <c r="BX180" s="139"/>
      <c r="BY180" s="139"/>
      <c r="BZ180" s="139"/>
      <c r="CA180" s="139"/>
      <c r="CB180" s="139"/>
      <c r="CC180" s="139"/>
      <c r="CD180" s="139"/>
      <c r="CE180" s="139"/>
      <c r="CF180" s="0"/>
      <c r="CK180" s="206"/>
      <c r="CL180" s="206"/>
      <c r="CM180" s="180"/>
      <c r="CN180" s="0"/>
      <c r="CO180" s="0"/>
      <c r="CP180" s="0"/>
      <c r="CQ180" s="0"/>
      <c r="CR180" s="0"/>
      <c r="CW180" s="181" t="n">
        <f aca="false">K180</f>
        <v>42248</v>
      </c>
      <c r="CX180" s="182" t="n">
        <f aca="false">AF180</f>
        <v>0.32</v>
      </c>
      <c r="CY180" s="182" t="n">
        <f aca="false">AG180</f>
        <v>0.4</v>
      </c>
      <c r="CZ180" s="182" t="n">
        <f aca="false">AH180</f>
        <v>0.48</v>
      </c>
      <c r="DB180" s="182" t="n">
        <f aca="false">X180</f>
        <v>0.24</v>
      </c>
      <c r="DC180" s="182" t="n">
        <f aca="false">Y180</f>
        <v>0.3</v>
      </c>
      <c r="DD180" s="182" t="n">
        <f aca="false">Z180</f>
        <v>0.36</v>
      </c>
      <c r="DF180" s="181" t="n">
        <f aca="false">BF180</f>
        <v>42248</v>
      </c>
      <c r="DG180" s="133" t="n">
        <f aca="false">BG180</f>
        <v>0.75</v>
      </c>
      <c r="DJ180" s="181" t="n">
        <f aca="false">CW180</f>
        <v>42248</v>
      </c>
      <c r="DK180" s="182" t="n">
        <f aca="false">AJ180</f>
        <v>0.192</v>
      </c>
      <c r="DL180" s="182" t="n">
        <f aca="false">AK180</f>
        <v>0.24</v>
      </c>
      <c r="DM180" s="182" t="n">
        <f aca="false">AL180</f>
        <v>0.288</v>
      </c>
      <c r="DO180" s="182" t="n">
        <f aca="false">AB180</f>
        <v>0.12</v>
      </c>
      <c r="DP180" s="182" t="n">
        <f aca="false">AC180</f>
        <v>0.15</v>
      </c>
      <c r="DQ180" s="182" t="n">
        <f aca="false">AD180</f>
        <v>0.18</v>
      </c>
    </row>
    <row r="181" customFormat="false" ht="12.75" hidden="false" customHeight="false" outlineLevel="0" collapsed="false">
      <c r="A181" s="133"/>
      <c r="B181" s="174" t="n">
        <v>41395</v>
      </c>
      <c r="C181" s="175" t="n">
        <v>40.0350028991699</v>
      </c>
      <c r="D181" s="175" t="n">
        <v>42.3350028991699</v>
      </c>
      <c r="E181" s="175" t="n">
        <v>44.6350028991699</v>
      </c>
      <c r="F181" s="159"/>
      <c r="G181" s="175" t="n">
        <v>23.0400009155273</v>
      </c>
      <c r="H181" s="175" t="n">
        <v>23.0400009155273</v>
      </c>
      <c r="I181" s="175" t="n">
        <v>23.0400009155273</v>
      </c>
      <c r="J181" s="140"/>
      <c r="K181" s="141" t="n">
        <v>42278</v>
      </c>
      <c r="L181" s="176" t="n">
        <v>20.2860012054443</v>
      </c>
      <c r="M181" s="176" t="n">
        <v>20.2860012054443</v>
      </c>
      <c r="N181" s="176" t="n">
        <v>20.2860012054443</v>
      </c>
      <c r="O181" s="139"/>
      <c r="P181" s="176" t="n">
        <v>14.7865009307861</v>
      </c>
      <c r="Q181" s="176" t="n">
        <v>14.7865009307861</v>
      </c>
      <c r="R181" s="176" t="n">
        <v>14.7865009307861</v>
      </c>
      <c r="S181" s="139"/>
      <c r="T181" s="176" t="n">
        <v>0</v>
      </c>
      <c r="U181" s="176" t="n">
        <v>0</v>
      </c>
      <c r="V181" s="176" t="n">
        <v>0</v>
      </c>
      <c r="W181" s="139"/>
      <c r="X181" s="176" t="n">
        <v>0.16</v>
      </c>
      <c r="Y181" s="176" t="n">
        <v>0.2</v>
      </c>
      <c r="Z181" s="176" t="n">
        <v>0.24</v>
      </c>
      <c r="AA181" s="139"/>
      <c r="AB181" s="176" t="n">
        <v>0.08</v>
      </c>
      <c r="AC181" s="176" t="n">
        <v>0.1</v>
      </c>
      <c r="AD181" s="176" t="n">
        <v>0.12</v>
      </c>
      <c r="AE181" s="139"/>
      <c r="AF181" s="176" t="n">
        <v>0.2</v>
      </c>
      <c r="AG181" s="176" t="n">
        <v>0.25</v>
      </c>
      <c r="AH181" s="176" t="n">
        <v>0.3</v>
      </c>
      <c r="AI181" s="139"/>
      <c r="AJ181" s="176" t="n">
        <v>0.12</v>
      </c>
      <c r="AK181" s="176" t="n">
        <v>0.15</v>
      </c>
      <c r="AL181" s="176" t="n">
        <v>0.18</v>
      </c>
      <c r="AM181" s="139"/>
      <c r="AN181" s="140" t="n">
        <v>58</v>
      </c>
      <c r="AO181" s="177" t="n">
        <v>0.4</v>
      </c>
      <c r="AP181" s="139"/>
      <c r="AQ181" s="139"/>
      <c r="AR181" s="139"/>
      <c r="AS181" s="139"/>
      <c r="AT181" s="139"/>
      <c r="AU181" s="139"/>
      <c r="AV181" s="139"/>
      <c r="AW181" s="139"/>
      <c r="AX181" s="139"/>
      <c r="AY181" s="139"/>
      <c r="AZ181" s="139"/>
      <c r="BA181" s="139"/>
      <c r="BB181" s="139"/>
      <c r="BC181" s="139"/>
      <c r="BD181" s="139"/>
      <c r="BE181" s="139"/>
      <c r="BF181" s="141" t="n">
        <v>42278</v>
      </c>
      <c r="BG181" s="179" t="n">
        <v>0.75</v>
      </c>
      <c r="BH181" s="139"/>
      <c r="BI181" s="139"/>
      <c r="BJ181" s="139"/>
      <c r="BK181" s="139"/>
      <c r="BL181" s="139"/>
      <c r="BM181" s="139"/>
      <c r="BN181" s="139"/>
      <c r="BO181" s="139"/>
      <c r="BP181" s="139"/>
      <c r="BQ181" s="139"/>
      <c r="BR181" s="139"/>
      <c r="BS181" s="139"/>
      <c r="BT181" s="139"/>
      <c r="BU181" s="139"/>
      <c r="BV181" s="139"/>
      <c r="BW181" s="139"/>
      <c r="BX181" s="139"/>
      <c r="BY181" s="139"/>
      <c r="BZ181" s="139"/>
      <c r="CA181" s="139"/>
      <c r="CB181" s="139"/>
      <c r="CC181" s="139"/>
      <c r="CD181" s="139"/>
      <c r="CE181" s="139"/>
      <c r="CF181" s="0"/>
      <c r="CK181" s="206"/>
      <c r="CL181" s="206"/>
      <c r="CM181" s="180"/>
      <c r="CN181" s="0"/>
      <c r="CO181" s="0"/>
      <c r="CP181" s="0"/>
      <c r="CQ181" s="0"/>
      <c r="CR181" s="0"/>
      <c r="CW181" s="181" t="n">
        <f aca="false">K181</f>
        <v>42278</v>
      </c>
      <c r="CX181" s="182" t="n">
        <f aca="false">AF181</f>
        <v>0.2</v>
      </c>
      <c r="CY181" s="182" t="n">
        <f aca="false">AG181</f>
        <v>0.25</v>
      </c>
      <c r="CZ181" s="182" t="n">
        <f aca="false">AH181</f>
        <v>0.3</v>
      </c>
      <c r="DB181" s="182" t="n">
        <f aca="false">X181</f>
        <v>0.16</v>
      </c>
      <c r="DC181" s="182" t="n">
        <f aca="false">Y181</f>
        <v>0.2</v>
      </c>
      <c r="DD181" s="182" t="n">
        <f aca="false">Z181</f>
        <v>0.24</v>
      </c>
      <c r="DF181" s="181" t="n">
        <f aca="false">BF181</f>
        <v>42278</v>
      </c>
      <c r="DG181" s="133" t="n">
        <f aca="false">BG181</f>
        <v>0.75</v>
      </c>
      <c r="DJ181" s="181" t="n">
        <f aca="false">CW181</f>
        <v>42278</v>
      </c>
      <c r="DK181" s="182" t="n">
        <f aca="false">AJ181</f>
        <v>0.12</v>
      </c>
      <c r="DL181" s="182" t="n">
        <f aca="false">AK181</f>
        <v>0.15</v>
      </c>
      <c r="DM181" s="182" t="n">
        <f aca="false">AL181</f>
        <v>0.18</v>
      </c>
      <c r="DO181" s="182" t="n">
        <f aca="false">AB181</f>
        <v>0.08</v>
      </c>
      <c r="DP181" s="182" t="n">
        <f aca="false">AC181</f>
        <v>0.1</v>
      </c>
      <c r="DQ181" s="182" t="n">
        <f aca="false">AD181</f>
        <v>0.12</v>
      </c>
    </row>
    <row r="182" customFormat="false" ht="12.75" hidden="false" customHeight="false" outlineLevel="0" collapsed="false">
      <c r="A182" s="133"/>
      <c r="B182" s="174" t="n">
        <v>41426</v>
      </c>
      <c r="C182" s="175" t="n">
        <v>48.1250038146973</v>
      </c>
      <c r="D182" s="175" t="n">
        <v>53.1250038146973</v>
      </c>
      <c r="E182" s="175" t="n">
        <v>58.1250038146973</v>
      </c>
      <c r="F182" s="159"/>
      <c r="G182" s="175" t="n">
        <v>26.0400009155273</v>
      </c>
      <c r="H182" s="175" t="n">
        <v>26.0400009155273</v>
      </c>
      <c r="I182" s="175" t="n">
        <v>26.0400009155273</v>
      </c>
      <c r="J182" s="140"/>
      <c r="K182" s="141" t="n">
        <v>42309</v>
      </c>
      <c r="L182" s="176" t="n">
        <v>22.2900009155273</v>
      </c>
      <c r="M182" s="176" t="n">
        <v>22.2900009155273</v>
      </c>
      <c r="N182" s="176" t="n">
        <v>22.2900009155273</v>
      </c>
      <c r="O182" s="139"/>
      <c r="P182" s="176" t="n">
        <v>14.7900009155273</v>
      </c>
      <c r="Q182" s="176" t="n">
        <v>14.7900009155273</v>
      </c>
      <c r="R182" s="176" t="n">
        <v>14.7900009155273</v>
      </c>
      <c r="S182" s="139"/>
      <c r="T182" s="176" t="n">
        <v>0</v>
      </c>
      <c r="U182" s="176" t="n">
        <v>0</v>
      </c>
      <c r="V182" s="176" t="n">
        <v>0</v>
      </c>
      <c r="W182" s="139"/>
      <c r="X182" s="176" t="n">
        <v>0.16</v>
      </c>
      <c r="Y182" s="176" t="n">
        <v>0.2</v>
      </c>
      <c r="Z182" s="176" t="n">
        <v>0.24</v>
      </c>
      <c r="AA182" s="139"/>
      <c r="AB182" s="176" t="n">
        <v>0.08</v>
      </c>
      <c r="AC182" s="176" t="n">
        <v>0.1</v>
      </c>
      <c r="AD182" s="176" t="n">
        <v>0.12</v>
      </c>
      <c r="AE182" s="139"/>
      <c r="AF182" s="176" t="n">
        <v>0.2</v>
      </c>
      <c r="AG182" s="176" t="n">
        <v>0.25</v>
      </c>
      <c r="AH182" s="176" t="n">
        <v>0.3</v>
      </c>
      <c r="AI182" s="139"/>
      <c r="AJ182" s="176" t="n">
        <v>0.12</v>
      </c>
      <c r="AK182" s="176" t="n">
        <v>0.15</v>
      </c>
      <c r="AL182" s="176" t="n">
        <v>0.18</v>
      </c>
      <c r="AM182" s="139"/>
      <c r="AN182" s="140" t="n">
        <v>58</v>
      </c>
      <c r="AO182" s="177" t="n">
        <v>0.4</v>
      </c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41" t="n">
        <v>42309</v>
      </c>
      <c r="BG182" s="179" t="n">
        <v>0.75</v>
      </c>
      <c r="BH182" s="139"/>
      <c r="BI182" s="139"/>
      <c r="BJ182" s="139"/>
      <c r="BK182" s="139"/>
      <c r="BL182" s="139"/>
      <c r="BM182" s="139"/>
      <c r="BN182" s="139"/>
      <c r="BO182" s="139"/>
      <c r="BP182" s="139"/>
      <c r="BQ182" s="139"/>
      <c r="BR182" s="139"/>
      <c r="BS182" s="139"/>
      <c r="BT182" s="139"/>
      <c r="BU182" s="139"/>
      <c r="BV182" s="139"/>
      <c r="BW182" s="139"/>
      <c r="BX182" s="139"/>
      <c r="BY182" s="139"/>
      <c r="BZ182" s="139"/>
      <c r="CA182" s="139"/>
      <c r="CB182" s="139"/>
      <c r="CC182" s="139"/>
      <c r="CD182" s="139"/>
      <c r="CE182" s="139"/>
      <c r="CF182" s="0"/>
      <c r="CK182" s="206"/>
      <c r="CL182" s="206"/>
      <c r="CM182" s="180"/>
      <c r="CN182" s="0"/>
      <c r="CO182" s="0"/>
      <c r="CP182" s="0"/>
      <c r="CQ182" s="0"/>
      <c r="CR182" s="0"/>
      <c r="CW182" s="181" t="n">
        <f aca="false">K182</f>
        <v>42309</v>
      </c>
      <c r="CX182" s="182" t="n">
        <f aca="false">AF182</f>
        <v>0.2</v>
      </c>
      <c r="CY182" s="182" t="n">
        <f aca="false">AG182</f>
        <v>0.25</v>
      </c>
      <c r="CZ182" s="182" t="n">
        <f aca="false">AH182</f>
        <v>0.3</v>
      </c>
      <c r="DB182" s="182" t="n">
        <f aca="false">X182</f>
        <v>0.16</v>
      </c>
      <c r="DC182" s="182" t="n">
        <f aca="false">Y182</f>
        <v>0.2</v>
      </c>
      <c r="DD182" s="182" t="n">
        <f aca="false">Z182</f>
        <v>0.24</v>
      </c>
      <c r="DF182" s="181" t="n">
        <f aca="false">BF182</f>
        <v>42309</v>
      </c>
      <c r="DG182" s="133" t="n">
        <f aca="false">BG182</f>
        <v>0.75</v>
      </c>
      <c r="DJ182" s="181" t="n">
        <f aca="false">CW182</f>
        <v>42309</v>
      </c>
      <c r="DK182" s="182" t="n">
        <f aca="false">AJ182</f>
        <v>0.12</v>
      </c>
      <c r="DL182" s="182" t="n">
        <f aca="false">AK182</f>
        <v>0.15</v>
      </c>
      <c r="DM182" s="182" t="n">
        <f aca="false">AL182</f>
        <v>0.18</v>
      </c>
      <c r="DO182" s="182" t="n">
        <f aca="false">AB182</f>
        <v>0.08</v>
      </c>
      <c r="DP182" s="182" t="n">
        <f aca="false">AC182</f>
        <v>0.1</v>
      </c>
      <c r="DQ182" s="182" t="n">
        <f aca="false">AD182</f>
        <v>0.12</v>
      </c>
    </row>
    <row r="183" customFormat="false" ht="12.75" hidden="false" customHeight="false" outlineLevel="0" collapsed="false">
      <c r="A183" s="133"/>
      <c r="B183" s="174" t="n">
        <v>41456</v>
      </c>
      <c r="C183" s="175" t="n">
        <v>52.5</v>
      </c>
      <c r="D183" s="175" t="n">
        <v>62.5</v>
      </c>
      <c r="E183" s="175" t="n">
        <v>72.5</v>
      </c>
      <c r="F183" s="159"/>
      <c r="G183" s="175" t="n">
        <v>26.5400009155273</v>
      </c>
      <c r="H183" s="175" t="n">
        <v>26.5400009155273</v>
      </c>
      <c r="I183" s="175" t="n">
        <v>26.5400009155273</v>
      </c>
      <c r="J183" s="140"/>
      <c r="K183" s="141" t="n">
        <v>42339</v>
      </c>
      <c r="L183" s="176" t="n">
        <v>27.2900009155273</v>
      </c>
      <c r="M183" s="176" t="n">
        <v>27.2900009155273</v>
      </c>
      <c r="N183" s="176" t="n">
        <v>27.2900009155273</v>
      </c>
      <c r="O183" s="139"/>
      <c r="P183" s="176" t="n">
        <v>21.7900009155273</v>
      </c>
      <c r="Q183" s="176" t="n">
        <v>21.7900009155273</v>
      </c>
      <c r="R183" s="176" t="n">
        <v>21.7900009155273</v>
      </c>
      <c r="S183" s="139"/>
      <c r="T183" s="176" t="n">
        <v>0</v>
      </c>
      <c r="U183" s="176" t="n">
        <v>0</v>
      </c>
      <c r="V183" s="176" t="n">
        <v>0</v>
      </c>
      <c r="W183" s="139"/>
      <c r="X183" s="176" t="n">
        <v>0.16</v>
      </c>
      <c r="Y183" s="176" t="n">
        <v>0.2</v>
      </c>
      <c r="Z183" s="176" t="n">
        <v>0.24</v>
      </c>
      <c r="AA183" s="139"/>
      <c r="AB183" s="176" t="n">
        <v>0.08</v>
      </c>
      <c r="AC183" s="176" t="n">
        <v>0.1</v>
      </c>
      <c r="AD183" s="176" t="n">
        <v>0.12</v>
      </c>
      <c r="AE183" s="139"/>
      <c r="AF183" s="176" t="n">
        <v>0.2</v>
      </c>
      <c r="AG183" s="176" t="n">
        <v>0.25</v>
      </c>
      <c r="AH183" s="176" t="n">
        <v>0.3</v>
      </c>
      <c r="AI183" s="139"/>
      <c r="AJ183" s="176" t="n">
        <v>0.12</v>
      </c>
      <c r="AK183" s="176" t="n">
        <v>0.15</v>
      </c>
      <c r="AL183" s="176" t="n">
        <v>0.18</v>
      </c>
      <c r="AM183" s="139"/>
      <c r="AN183" s="140" t="n">
        <v>58</v>
      </c>
      <c r="AO183" s="177" t="n">
        <v>0.4</v>
      </c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41" t="n">
        <v>42339</v>
      </c>
      <c r="BG183" s="179" t="n">
        <v>0.75</v>
      </c>
      <c r="BH183" s="139"/>
      <c r="BI183" s="139"/>
      <c r="BJ183" s="139"/>
      <c r="BK183" s="139"/>
      <c r="BL183" s="139"/>
      <c r="BM183" s="139"/>
      <c r="BN183" s="139"/>
      <c r="BO183" s="139"/>
      <c r="BP183" s="139"/>
      <c r="BQ183" s="139"/>
      <c r="BR183" s="139"/>
      <c r="BS183" s="139"/>
      <c r="BT183" s="139"/>
      <c r="BU183" s="139"/>
      <c r="BV183" s="139"/>
      <c r="BW183" s="139"/>
      <c r="BX183" s="139"/>
      <c r="BY183" s="139"/>
      <c r="BZ183" s="139"/>
      <c r="CA183" s="139"/>
      <c r="CB183" s="139"/>
      <c r="CC183" s="139"/>
      <c r="CD183" s="139"/>
      <c r="CE183" s="139"/>
      <c r="CF183" s="0"/>
      <c r="CK183" s="206"/>
      <c r="CL183" s="206"/>
      <c r="CM183" s="180"/>
      <c r="CN183" s="0"/>
      <c r="CO183" s="0"/>
      <c r="CP183" s="0"/>
      <c r="CQ183" s="0"/>
      <c r="CR183" s="0"/>
      <c r="CW183" s="181" t="n">
        <f aca="false">K183</f>
        <v>42339</v>
      </c>
      <c r="CX183" s="182" t="n">
        <f aca="false">AF183</f>
        <v>0.2</v>
      </c>
      <c r="CY183" s="182" t="n">
        <f aca="false">AG183</f>
        <v>0.25</v>
      </c>
      <c r="CZ183" s="182" t="n">
        <f aca="false">AH183</f>
        <v>0.3</v>
      </c>
      <c r="DB183" s="182" t="n">
        <f aca="false">X183</f>
        <v>0.16</v>
      </c>
      <c r="DC183" s="182" t="n">
        <f aca="false">Y183</f>
        <v>0.2</v>
      </c>
      <c r="DD183" s="182" t="n">
        <f aca="false">Z183</f>
        <v>0.24</v>
      </c>
      <c r="DF183" s="181" t="n">
        <f aca="false">BF183</f>
        <v>42339</v>
      </c>
      <c r="DG183" s="133" t="n">
        <f aca="false">BG183</f>
        <v>0.75</v>
      </c>
      <c r="DJ183" s="181" t="n">
        <f aca="false">CW183</f>
        <v>42339</v>
      </c>
      <c r="DK183" s="182" t="n">
        <f aca="false">AJ183</f>
        <v>0.12</v>
      </c>
      <c r="DL183" s="182" t="n">
        <f aca="false">AK183</f>
        <v>0.15</v>
      </c>
      <c r="DM183" s="182" t="n">
        <f aca="false">AL183</f>
        <v>0.18</v>
      </c>
      <c r="DO183" s="182" t="n">
        <f aca="false">AB183</f>
        <v>0.08</v>
      </c>
      <c r="DP183" s="182" t="n">
        <f aca="false">AC183</f>
        <v>0.1</v>
      </c>
      <c r="DQ183" s="182" t="n">
        <f aca="false">AD183</f>
        <v>0.12</v>
      </c>
    </row>
    <row r="184" customFormat="false" ht="12.75" hidden="false" customHeight="false" outlineLevel="0" collapsed="false">
      <c r="A184" s="133"/>
      <c r="B184" s="174" t="n">
        <v>41487</v>
      </c>
      <c r="C184" s="175" t="n">
        <v>52.5</v>
      </c>
      <c r="D184" s="175" t="n">
        <v>62.5</v>
      </c>
      <c r="E184" s="175" t="n">
        <v>72.5</v>
      </c>
      <c r="F184" s="159"/>
      <c r="G184" s="175" t="n">
        <v>27.5400009155273</v>
      </c>
      <c r="H184" s="175" t="n">
        <v>27.5400009155273</v>
      </c>
      <c r="I184" s="175" t="n">
        <v>27.5400009155273</v>
      </c>
      <c r="J184" s="140"/>
      <c r="K184" s="141" t="n">
        <v>42370</v>
      </c>
      <c r="L184" s="176" t="n">
        <v>35.75</v>
      </c>
      <c r="M184" s="176" t="n">
        <v>35.75</v>
      </c>
      <c r="N184" s="176" t="n">
        <v>35.75</v>
      </c>
      <c r="O184" s="139"/>
      <c r="P184" s="176" t="n">
        <v>25.25</v>
      </c>
      <c r="Q184" s="176" t="n">
        <v>25.25</v>
      </c>
      <c r="R184" s="176" t="n">
        <v>25.25</v>
      </c>
      <c r="S184" s="139"/>
      <c r="T184" s="176" t="n">
        <v>0</v>
      </c>
      <c r="U184" s="176" t="n">
        <v>0</v>
      </c>
      <c r="V184" s="176" t="n">
        <v>0</v>
      </c>
      <c r="W184" s="139"/>
      <c r="X184" s="176" t="n">
        <v>0.16</v>
      </c>
      <c r="Y184" s="176" t="n">
        <v>0.2</v>
      </c>
      <c r="Z184" s="176" t="n">
        <v>0.24</v>
      </c>
      <c r="AA184" s="139"/>
      <c r="AB184" s="176" t="n">
        <v>0.08</v>
      </c>
      <c r="AC184" s="176" t="n">
        <v>0.1</v>
      </c>
      <c r="AD184" s="176" t="n">
        <v>0.12</v>
      </c>
      <c r="AE184" s="139"/>
      <c r="AF184" s="176" t="n">
        <v>0.2</v>
      </c>
      <c r="AG184" s="176" t="n">
        <v>0.25</v>
      </c>
      <c r="AH184" s="176" t="n">
        <v>0.3</v>
      </c>
      <c r="AI184" s="139"/>
      <c r="AJ184" s="176" t="n">
        <v>0.12</v>
      </c>
      <c r="AK184" s="176" t="n">
        <v>0.15</v>
      </c>
      <c r="AL184" s="176" t="n">
        <v>0.18</v>
      </c>
      <c r="AM184" s="139"/>
      <c r="AN184" s="140" t="n">
        <v>59</v>
      </c>
      <c r="AO184" s="177" t="n">
        <v>0.4</v>
      </c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41" t="n">
        <v>42370</v>
      </c>
      <c r="BG184" s="179" t="n">
        <v>0.75</v>
      </c>
      <c r="BH184" s="139"/>
      <c r="BI184" s="139"/>
      <c r="BJ184" s="139"/>
      <c r="BK184" s="139"/>
      <c r="BL184" s="139"/>
      <c r="BM184" s="139"/>
      <c r="BN184" s="139"/>
      <c r="BO184" s="139"/>
      <c r="BP184" s="139"/>
      <c r="BQ184" s="139"/>
      <c r="BR184" s="139"/>
      <c r="BS184" s="139"/>
      <c r="BT184" s="139"/>
      <c r="BU184" s="139"/>
      <c r="BV184" s="139"/>
      <c r="BW184" s="139"/>
      <c r="BX184" s="139"/>
      <c r="BY184" s="139"/>
      <c r="BZ184" s="139"/>
      <c r="CA184" s="139"/>
      <c r="CB184" s="139"/>
      <c r="CC184" s="139"/>
      <c r="CD184" s="139"/>
      <c r="CE184" s="139"/>
      <c r="CF184" s="0"/>
      <c r="CK184" s="206"/>
      <c r="CL184" s="206"/>
      <c r="CM184" s="180"/>
      <c r="CN184" s="0"/>
      <c r="CO184" s="0"/>
      <c r="CP184" s="0"/>
      <c r="CQ184" s="0"/>
      <c r="CR184" s="0"/>
      <c r="CW184" s="181" t="n">
        <f aca="false">K184</f>
        <v>42370</v>
      </c>
      <c r="CX184" s="182" t="n">
        <f aca="false">AF184</f>
        <v>0.2</v>
      </c>
      <c r="CY184" s="182" t="n">
        <f aca="false">AG184</f>
        <v>0.25</v>
      </c>
      <c r="CZ184" s="182" t="n">
        <f aca="false">AH184</f>
        <v>0.3</v>
      </c>
      <c r="DB184" s="182" t="n">
        <f aca="false">X184</f>
        <v>0.16</v>
      </c>
      <c r="DC184" s="182" t="n">
        <f aca="false">Y184</f>
        <v>0.2</v>
      </c>
      <c r="DD184" s="182" t="n">
        <f aca="false">Z184</f>
        <v>0.24</v>
      </c>
      <c r="DF184" s="181" t="n">
        <f aca="false">BF184</f>
        <v>42370</v>
      </c>
      <c r="DG184" s="133" t="n">
        <f aca="false">BG184</f>
        <v>0.75</v>
      </c>
      <c r="DJ184" s="181" t="n">
        <f aca="false">CW184</f>
        <v>42370</v>
      </c>
      <c r="DK184" s="182" t="n">
        <f aca="false">AJ184</f>
        <v>0.12</v>
      </c>
      <c r="DL184" s="182" t="n">
        <f aca="false">AK184</f>
        <v>0.15</v>
      </c>
      <c r="DM184" s="182" t="n">
        <f aca="false">AL184</f>
        <v>0.18</v>
      </c>
      <c r="DO184" s="182" t="n">
        <f aca="false">AB184</f>
        <v>0.08</v>
      </c>
      <c r="DP184" s="182" t="n">
        <f aca="false">AC184</f>
        <v>0.1</v>
      </c>
      <c r="DQ184" s="182" t="n">
        <f aca="false">AD184</f>
        <v>0.12</v>
      </c>
    </row>
    <row r="185" customFormat="false" ht="12.75" hidden="false" customHeight="false" outlineLevel="0" collapsed="false">
      <c r="A185" s="133"/>
      <c r="B185" s="174" t="n">
        <v>41518</v>
      </c>
      <c r="C185" s="175" t="n">
        <v>29.9600028991699</v>
      </c>
      <c r="D185" s="175" t="n">
        <v>31.4600028991699</v>
      </c>
      <c r="E185" s="175" t="n">
        <v>32.9600028991699</v>
      </c>
      <c r="F185" s="159"/>
      <c r="G185" s="175" t="n">
        <v>21.5400009155273</v>
      </c>
      <c r="H185" s="175" t="n">
        <v>21.5400009155273</v>
      </c>
      <c r="I185" s="175" t="n">
        <v>21.5400009155273</v>
      </c>
      <c r="J185" s="140"/>
      <c r="K185" s="141" t="n">
        <v>42401</v>
      </c>
      <c r="L185" s="176" t="n">
        <v>31.2460021972656</v>
      </c>
      <c r="M185" s="176" t="n">
        <v>31.2460021972656</v>
      </c>
      <c r="N185" s="176" t="n">
        <v>31.2460021972656</v>
      </c>
      <c r="O185" s="139"/>
      <c r="P185" s="176" t="n">
        <v>22.7465019226074</v>
      </c>
      <c r="Q185" s="176" t="n">
        <v>22.7465019226074</v>
      </c>
      <c r="R185" s="176" t="n">
        <v>22.7465019226074</v>
      </c>
      <c r="S185" s="139"/>
      <c r="T185" s="176" t="n">
        <v>0</v>
      </c>
      <c r="U185" s="176" t="n">
        <v>0</v>
      </c>
      <c r="V185" s="176" t="n">
        <v>0</v>
      </c>
      <c r="W185" s="139"/>
      <c r="X185" s="176" t="n">
        <v>0.16</v>
      </c>
      <c r="Y185" s="176" t="n">
        <v>0.2</v>
      </c>
      <c r="Z185" s="176" t="n">
        <v>0.24</v>
      </c>
      <c r="AA185" s="139"/>
      <c r="AB185" s="176" t="n">
        <v>0.08</v>
      </c>
      <c r="AC185" s="176" t="n">
        <v>0.1</v>
      </c>
      <c r="AD185" s="176" t="n">
        <v>0.12</v>
      </c>
      <c r="AE185" s="139"/>
      <c r="AF185" s="176" t="n">
        <v>0.2</v>
      </c>
      <c r="AG185" s="176" t="n">
        <v>0.25</v>
      </c>
      <c r="AH185" s="176" t="n">
        <v>0.3</v>
      </c>
      <c r="AI185" s="139"/>
      <c r="AJ185" s="176" t="n">
        <v>0.12</v>
      </c>
      <c r="AK185" s="176" t="n">
        <v>0.15</v>
      </c>
      <c r="AL185" s="176" t="n">
        <v>0.18</v>
      </c>
      <c r="AM185" s="139"/>
      <c r="AN185" s="140" t="n">
        <v>59</v>
      </c>
      <c r="AO185" s="177" t="n">
        <v>0.4</v>
      </c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41" t="n">
        <v>42401</v>
      </c>
      <c r="BG185" s="179" t="n">
        <v>0.75</v>
      </c>
      <c r="BH185" s="139"/>
      <c r="BI185" s="139"/>
      <c r="BJ185" s="139"/>
      <c r="BK185" s="139"/>
      <c r="BL185" s="139"/>
      <c r="BM185" s="139"/>
      <c r="BN185" s="139"/>
      <c r="BO185" s="139"/>
      <c r="BP185" s="139"/>
      <c r="BQ185" s="139"/>
      <c r="BR185" s="139"/>
      <c r="BS185" s="139"/>
      <c r="BT185" s="139"/>
      <c r="BU185" s="139"/>
      <c r="BV185" s="139"/>
      <c r="BW185" s="139"/>
      <c r="BX185" s="139"/>
      <c r="BY185" s="139"/>
      <c r="BZ185" s="139"/>
      <c r="CA185" s="139"/>
      <c r="CB185" s="139"/>
      <c r="CC185" s="139"/>
      <c r="CD185" s="139"/>
      <c r="CE185" s="139"/>
      <c r="CF185" s="0"/>
      <c r="CK185" s="206"/>
      <c r="CL185" s="206"/>
      <c r="CM185" s="180"/>
      <c r="CN185" s="0"/>
      <c r="CO185" s="0"/>
      <c r="CP185" s="0"/>
      <c r="CQ185" s="0"/>
      <c r="CR185" s="0"/>
      <c r="CW185" s="181" t="n">
        <f aca="false">K185</f>
        <v>42401</v>
      </c>
      <c r="CX185" s="182" t="n">
        <f aca="false">AF185</f>
        <v>0.2</v>
      </c>
      <c r="CY185" s="182" t="n">
        <f aca="false">AG185</f>
        <v>0.25</v>
      </c>
      <c r="CZ185" s="182" t="n">
        <f aca="false">AH185</f>
        <v>0.3</v>
      </c>
      <c r="DB185" s="182" t="n">
        <f aca="false">X185</f>
        <v>0.16</v>
      </c>
      <c r="DC185" s="182" t="n">
        <f aca="false">Y185</f>
        <v>0.2</v>
      </c>
      <c r="DD185" s="182" t="n">
        <f aca="false">Z185</f>
        <v>0.24</v>
      </c>
      <c r="DF185" s="181" t="n">
        <f aca="false">BF185</f>
        <v>42401</v>
      </c>
      <c r="DG185" s="133" t="n">
        <f aca="false">BG185</f>
        <v>0.75</v>
      </c>
      <c r="DJ185" s="181" t="n">
        <f aca="false">CW185</f>
        <v>42401</v>
      </c>
      <c r="DK185" s="182" t="n">
        <f aca="false">AJ185</f>
        <v>0.12</v>
      </c>
      <c r="DL185" s="182" t="n">
        <f aca="false">AK185</f>
        <v>0.15</v>
      </c>
      <c r="DM185" s="182" t="n">
        <f aca="false">AL185</f>
        <v>0.18</v>
      </c>
      <c r="DO185" s="182" t="n">
        <f aca="false">AB185</f>
        <v>0.08</v>
      </c>
      <c r="DP185" s="182" t="n">
        <f aca="false">AC185</f>
        <v>0.1</v>
      </c>
      <c r="DQ185" s="182" t="n">
        <f aca="false">AD185</f>
        <v>0.12</v>
      </c>
    </row>
    <row r="186" customFormat="false" ht="12.75" hidden="false" customHeight="false" outlineLevel="0" collapsed="false">
      <c r="A186" s="133"/>
      <c r="B186" s="174" t="n">
        <v>41548</v>
      </c>
      <c r="C186" s="175" t="n">
        <v>33.1115684509277</v>
      </c>
      <c r="D186" s="175" t="n">
        <v>34.6115684509277</v>
      </c>
      <c r="E186" s="175" t="n">
        <v>36.1115684509277</v>
      </c>
      <c r="F186" s="159"/>
      <c r="G186" s="175" t="n">
        <v>21.040002822876</v>
      </c>
      <c r="H186" s="175" t="n">
        <v>21.040002822876</v>
      </c>
      <c r="I186" s="175" t="n">
        <v>21.040002822876</v>
      </c>
      <c r="J186" s="140"/>
      <c r="K186" s="141" t="n">
        <v>42430</v>
      </c>
      <c r="L186" s="176" t="n">
        <v>25.5</v>
      </c>
      <c r="M186" s="176" t="n">
        <v>25.5</v>
      </c>
      <c r="N186" s="176" t="n">
        <v>25.5</v>
      </c>
      <c r="O186" s="139"/>
      <c r="P186" s="176" t="n">
        <v>20</v>
      </c>
      <c r="Q186" s="176" t="n">
        <v>20</v>
      </c>
      <c r="R186" s="176" t="n">
        <v>20</v>
      </c>
      <c r="S186" s="139"/>
      <c r="T186" s="176" t="n">
        <v>0</v>
      </c>
      <c r="U186" s="176" t="n">
        <v>0</v>
      </c>
      <c r="V186" s="176" t="n">
        <v>0</v>
      </c>
      <c r="W186" s="139"/>
      <c r="X186" s="176" t="n">
        <v>0.16</v>
      </c>
      <c r="Y186" s="176" t="n">
        <v>0.2</v>
      </c>
      <c r="Z186" s="176" t="n">
        <v>0.24</v>
      </c>
      <c r="AA186" s="139"/>
      <c r="AB186" s="176" t="n">
        <v>0.08</v>
      </c>
      <c r="AC186" s="176" t="n">
        <v>0.1</v>
      </c>
      <c r="AD186" s="176" t="n">
        <v>0.12</v>
      </c>
      <c r="AE186" s="139"/>
      <c r="AF186" s="176" t="n">
        <v>0.2</v>
      </c>
      <c r="AG186" s="176" t="n">
        <v>0.25</v>
      </c>
      <c r="AH186" s="176" t="n">
        <v>0.3</v>
      </c>
      <c r="AI186" s="139"/>
      <c r="AJ186" s="176" t="n">
        <v>0.12</v>
      </c>
      <c r="AK186" s="176" t="n">
        <v>0.15</v>
      </c>
      <c r="AL186" s="176" t="n">
        <v>0.18</v>
      </c>
      <c r="AM186" s="139"/>
      <c r="AN186" s="140" t="n">
        <v>59</v>
      </c>
      <c r="AO186" s="177" t="n">
        <v>0.4</v>
      </c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41" t="n">
        <v>42430</v>
      </c>
      <c r="BG186" s="179" t="n">
        <v>0.75</v>
      </c>
      <c r="BH186" s="139"/>
      <c r="BI186" s="139"/>
      <c r="BJ186" s="139"/>
      <c r="BK186" s="139"/>
      <c r="BL186" s="139"/>
      <c r="BM186" s="139"/>
      <c r="BN186" s="139"/>
      <c r="BO186" s="139"/>
      <c r="BP186" s="139"/>
      <c r="BQ186" s="139"/>
      <c r="BR186" s="139"/>
      <c r="BS186" s="139"/>
      <c r="BT186" s="139"/>
      <c r="BU186" s="139"/>
      <c r="BV186" s="139"/>
      <c r="BW186" s="139"/>
      <c r="BX186" s="139"/>
      <c r="BY186" s="139"/>
      <c r="BZ186" s="139"/>
      <c r="CA186" s="139"/>
      <c r="CB186" s="139"/>
      <c r="CC186" s="139"/>
      <c r="CD186" s="139"/>
      <c r="CE186" s="139"/>
      <c r="CF186" s="0"/>
      <c r="CK186" s="206"/>
      <c r="CL186" s="206"/>
      <c r="CM186" s="180"/>
      <c r="CN186" s="0"/>
      <c r="CO186" s="0"/>
      <c r="CP186" s="0"/>
      <c r="CQ186" s="0"/>
      <c r="CR186" s="0"/>
      <c r="CW186" s="181" t="n">
        <f aca="false">K186</f>
        <v>42430</v>
      </c>
      <c r="CX186" s="182" t="n">
        <f aca="false">AF186</f>
        <v>0.2</v>
      </c>
      <c r="CY186" s="182" t="n">
        <f aca="false">AG186</f>
        <v>0.25</v>
      </c>
      <c r="CZ186" s="182" t="n">
        <f aca="false">AH186</f>
        <v>0.3</v>
      </c>
      <c r="DB186" s="182" t="n">
        <f aca="false">X186</f>
        <v>0.16</v>
      </c>
      <c r="DC186" s="182" t="n">
        <f aca="false">Y186</f>
        <v>0.2</v>
      </c>
      <c r="DD186" s="182" t="n">
        <f aca="false">Z186</f>
        <v>0.24</v>
      </c>
      <c r="DF186" s="181" t="n">
        <f aca="false">BF186</f>
        <v>42430</v>
      </c>
      <c r="DG186" s="133" t="n">
        <f aca="false">BG186</f>
        <v>0.75</v>
      </c>
      <c r="DJ186" s="181" t="n">
        <f aca="false">CW186</f>
        <v>42430</v>
      </c>
      <c r="DK186" s="182" t="n">
        <f aca="false">AJ186</f>
        <v>0.12</v>
      </c>
      <c r="DL186" s="182" t="n">
        <f aca="false">AK186</f>
        <v>0.15</v>
      </c>
      <c r="DM186" s="182" t="n">
        <f aca="false">AL186</f>
        <v>0.18</v>
      </c>
      <c r="DO186" s="182" t="n">
        <f aca="false">AB186</f>
        <v>0.08</v>
      </c>
      <c r="DP186" s="182" t="n">
        <f aca="false">AC186</f>
        <v>0.1</v>
      </c>
      <c r="DQ186" s="182" t="n">
        <f aca="false">AD186</f>
        <v>0.12</v>
      </c>
    </row>
    <row r="187" customFormat="false" ht="12.75" hidden="false" customHeight="false" outlineLevel="0" collapsed="false">
      <c r="A187" s="133"/>
      <c r="B187" s="174" t="n">
        <v>41579</v>
      </c>
      <c r="C187" s="175" t="n">
        <v>33.2115669250488</v>
      </c>
      <c r="D187" s="175" t="n">
        <v>34.7115669250488</v>
      </c>
      <c r="E187" s="175" t="n">
        <v>36.2115669250488</v>
      </c>
      <c r="F187" s="159"/>
      <c r="G187" s="175" t="n">
        <v>22.0400009155273</v>
      </c>
      <c r="H187" s="175" t="n">
        <v>22.0400009155273</v>
      </c>
      <c r="I187" s="175" t="n">
        <v>22.0400009155273</v>
      </c>
      <c r="J187" s="140"/>
      <c r="K187" s="141" t="n">
        <v>42461</v>
      </c>
      <c r="L187" s="176" t="n">
        <v>22</v>
      </c>
      <c r="M187" s="176" t="n">
        <v>22</v>
      </c>
      <c r="N187" s="176" t="n">
        <v>22</v>
      </c>
      <c r="O187" s="139"/>
      <c r="P187" s="176" t="n">
        <v>16.4950008392334</v>
      </c>
      <c r="Q187" s="176" t="n">
        <v>16.4950008392334</v>
      </c>
      <c r="R187" s="176" t="n">
        <v>16.4950008392334</v>
      </c>
      <c r="S187" s="139"/>
      <c r="T187" s="176" t="n">
        <v>0</v>
      </c>
      <c r="U187" s="176" t="n">
        <v>0</v>
      </c>
      <c r="V187" s="176" t="n">
        <v>0</v>
      </c>
      <c r="W187" s="139"/>
      <c r="X187" s="176" t="n">
        <v>0.16</v>
      </c>
      <c r="Y187" s="176" t="n">
        <v>0.2</v>
      </c>
      <c r="Z187" s="176" t="n">
        <v>0.24</v>
      </c>
      <c r="AA187" s="139"/>
      <c r="AB187" s="176" t="n">
        <v>0.08</v>
      </c>
      <c r="AC187" s="176" t="n">
        <v>0.1</v>
      </c>
      <c r="AD187" s="176" t="n">
        <v>0.12</v>
      </c>
      <c r="AE187" s="139"/>
      <c r="AF187" s="176" t="n">
        <v>0.2</v>
      </c>
      <c r="AG187" s="176" t="n">
        <v>0.25</v>
      </c>
      <c r="AH187" s="176" t="n">
        <v>0.3</v>
      </c>
      <c r="AI187" s="139"/>
      <c r="AJ187" s="176" t="n">
        <v>0.12</v>
      </c>
      <c r="AK187" s="176" t="n">
        <v>0.15</v>
      </c>
      <c r="AL187" s="176" t="n">
        <v>0.18</v>
      </c>
      <c r="AM187" s="139"/>
      <c r="AN187" s="140" t="n">
        <v>60</v>
      </c>
      <c r="AO187" s="177" t="n">
        <v>0.4</v>
      </c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41" t="n">
        <v>42461</v>
      </c>
      <c r="BG187" s="179" t="n">
        <v>0.75</v>
      </c>
      <c r="BH187" s="139"/>
      <c r="BI187" s="139"/>
      <c r="BJ187" s="139"/>
      <c r="BK187" s="139"/>
      <c r="BL187" s="139"/>
      <c r="BM187" s="139"/>
      <c r="BN187" s="139"/>
      <c r="BO187" s="139"/>
      <c r="BP187" s="139"/>
      <c r="BQ187" s="139"/>
      <c r="BR187" s="139"/>
      <c r="BS187" s="139"/>
      <c r="BT187" s="139"/>
      <c r="BU187" s="139"/>
      <c r="BV187" s="139"/>
      <c r="BW187" s="139"/>
      <c r="BX187" s="139"/>
      <c r="BY187" s="139"/>
      <c r="BZ187" s="139"/>
      <c r="CA187" s="139"/>
      <c r="CB187" s="139"/>
      <c r="CC187" s="139"/>
      <c r="CD187" s="139"/>
      <c r="CE187" s="139"/>
      <c r="CF187" s="0"/>
      <c r="CK187" s="206"/>
      <c r="CL187" s="206"/>
      <c r="CM187" s="180"/>
      <c r="CN187" s="0"/>
      <c r="CO187" s="0"/>
      <c r="CP187" s="0"/>
      <c r="CQ187" s="0"/>
      <c r="CR187" s="0"/>
      <c r="CW187" s="181" t="n">
        <f aca="false">K187</f>
        <v>42461</v>
      </c>
      <c r="CX187" s="182" t="n">
        <f aca="false">AF187</f>
        <v>0.2</v>
      </c>
      <c r="CY187" s="182" t="n">
        <f aca="false">AG187</f>
        <v>0.25</v>
      </c>
      <c r="CZ187" s="182" t="n">
        <f aca="false">AH187</f>
        <v>0.3</v>
      </c>
      <c r="DB187" s="182" t="n">
        <f aca="false">X187</f>
        <v>0.16</v>
      </c>
      <c r="DC187" s="182" t="n">
        <f aca="false">Y187</f>
        <v>0.2</v>
      </c>
      <c r="DD187" s="182" t="n">
        <f aca="false">Z187</f>
        <v>0.24</v>
      </c>
      <c r="DF187" s="181" t="n">
        <f aca="false">BF187</f>
        <v>42461</v>
      </c>
      <c r="DG187" s="133" t="n">
        <f aca="false">BG187</f>
        <v>0.75</v>
      </c>
      <c r="DJ187" s="181" t="n">
        <f aca="false">CW187</f>
        <v>42461</v>
      </c>
      <c r="DK187" s="182" t="n">
        <f aca="false">AJ187</f>
        <v>0.12</v>
      </c>
      <c r="DL187" s="182" t="n">
        <f aca="false">AK187</f>
        <v>0.15</v>
      </c>
      <c r="DM187" s="182" t="n">
        <f aca="false">AL187</f>
        <v>0.18</v>
      </c>
      <c r="DO187" s="182" t="n">
        <f aca="false">AB187</f>
        <v>0.08</v>
      </c>
      <c r="DP187" s="182" t="n">
        <f aca="false">AC187</f>
        <v>0.1</v>
      </c>
      <c r="DQ187" s="182" t="n">
        <f aca="false">AD187</f>
        <v>0.12</v>
      </c>
    </row>
    <row r="188" customFormat="false" ht="12.75" hidden="false" customHeight="false" outlineLevel="0" collapsed="false">
      <c r="A188" s="133"/>
      <c r="B188" s="174" t="n">
        <v>41609</v>
      </c>
      <c r="C188" s="175" t="n">
        <v>33.3115653991699</v>
      </c>
      <c r="D188" s="175" t="n">
        <v>34.8115653991699</v>
      </c>
      <c r="E188" s="175" t="n">
        <v>36.3115653991699</v>
      </c>
      <c r="F188" s="159"/>
      <c r="G188" s="175" t="n">
        <v>24.2900009155273</v>
      </c>
      <c r="H188" s="175" t="n">
        <v>24.2900009155273</v>
      </c>
      <c r="I188" s="175" t="n">
        <v>24.2900009155273</v>
      </c>
      <c r="J188" s="140"/>
      <c r="K188" s="141" t="n">
        <v>42491</v>
      </c>
      <c r="L188" s="176" t="n">
        <v>22.2900009155273</v>
      </c>
      <c r="M188" s="176" t="n">
        <v>22.2900009155273</v>
      </c>
      <c r="N188" s="176" t="n">
        <v>22.2900009155273</v>
      </c>
      <c r="O188" s="139"/>
      <c r="P188" s="176" t="n">
        <v>15.7950000762939</v>
      </c>
      <c r="Q188" s="176" t="n">
        <v>15.7950000762939</v>
      </c>
      <c r="R188" s="176" t="n">
        <v>15.7950000762939</v>
      </c>
      <c r="S188" s="139"/>
      <c r="T188" s="176" t="n">
        <v>0</v>
      </c>
      <c r="U188" s="176" t="n">
        <v>0</v>
      </c>
      <c r="V188" s="176" t="n">
        <v>0</v>
      </c>
      <c r="W188" s="139"/>
      <c r="X188" s="176" t="n">
        <v>0.16</v>
      </c>
      <c r="Y188" s="176" t="n">
        <v>0.2</v>
      </c>
      <c r="Z188" s="176" t="n">
        <v>0.24</v>
      </c>
      <c r="AA188" s="139"/>
      <c r="AB188" s="176" t="n">
        <v>0.08</v>
      </c>
      <c r="AC188" s="176" t="n">
        <v>0.1</v>
      </c>
      <c r="AD188" s="176" t="n">
        <v>0.12</v>
      </c>
      <c r="AE188" s="139"/>
      <c r="AF188" s="176" t="n">
        <v>0.2</v>
      </c>
      <c r="AG188" s="176" t="n">
        <v>0.25</v>
      </c>
      <c r="AH188" s="176" t="n">
        <v>0.3</v>
      </c>
      <c r="AI188" s="139"/>
      <c r="AJ188" s="176" t="n">
        <v>0.12</v>
      </c>
      <c r="AK188" s="176" t="n">
        <v>0.15</v>
      </c>
      <c r="AL188" s="176" t="n">
        <v>0.18</v>
      </c>
      <c r="AM188" s="139"/>
      <c r="AN188" s="140" t="n">
        <v>60</v>
      </c>
      <c r="AO188" s="177" t="n">
        <v>0.4</v>
      </c>
      <c r="AP188" s="139"/>
      <c r="AQ188" s="139"/>
      <c r="AR188" s="139"/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39"/>
      <c r="BC188" s="139"/>
      <c r="BD188" s="139"/>
      <c r="BE188" s="139"/>
      <c r="BF188" s="141" t="n">
        <v>42491</v>
      </c>
      <c r="BG188" s="179" t="n">
        <v>0.75</v>
      </c>
      <c r="BH188" s="139"/>
      <c r="BI188" s="139"/>
      <c r="BJ188" s="139"/>
      <c r="BK188" s="139"/>
      <c r="BL188" s="139"/>
      <c r="BM188" s="139"/>
      <c r="BN188" s="139"/>
      <c r="BO188" s="139"/>
      <c r="BP188" s="139"/>
      <c r="BQ188" s="139"/>
      <c r="BR188" s="139"/>
      <c r="BS188" s="139"/>
      <c r="BT188" s="139"/>
      <c r="BU188" s="139"/>
      <c r="BV188" s="139"/>
      <c r="BW188" s="139"/>
      <c r="BX188" s="139"/>
      <c r="BY188" s="139"/>
      <c r="BZ188" s="139"/>
      <c r="CA188" s="139"/>
      <c r="CB188" s="139"/>
      <c r="CC188" s="139"/>
      <c r="CD188" s="139"/>
      <c r="CE188" s="139"/>
      <c r="CF188" s="0"/>
      <c r="CK188" s="206"/>
      <c r="CL188" s="206"/>
      <c r="CM188" s="180"/>
      <c r="CN188" s="0"/>
      <c r="CO188" s="0"/>
      <c r="CP188" s="0"/>
      <c r="CQ188" s="0"/>
      <c r="CR188" s="0"/>
      <c r="CW188" s="181" t="n">
        <f aca="false">K188</f>
        <v>42491</v>
      </c>
      <c r="CX188" s="182" t="n">
        <f aca="false">AF188</f>
        <v>0.2</v>
      </c>
      <c r="CY188" s="182" t="n">
        <f aca="false">AG188</f>
        <v>0.25</v>
      </c>
      <c r="CZ188" s="182" t="n">
        <f aca="false">AH188</f>
        <v>0.3</v>
      </c>
      <c r="DB188" s="182" t="n">
        <f aca="false">X188</f>
        <v>0.16</v>
      </c>
      <c r="DC188" s="182" t="n">
        <f aca="false">Y188</f>
        <v>0.2</v>
      </c>
      <c r="DD188" s="182" t="n">
        <f aca="false">Z188</f>
        <v>0.24</v>
      </c>
      <c r="DF188" s="181" t="n">
        <f aca="false">BF188</f>
        <v>42491</v>
      </c>
      <c r="DG188" s="133" t="n">
        <f aca="false">BG188</f>
        <v>0.75</v>
      </c>
      <c r="DJ188" s="181" t="n">
        <f aca="false">CW188</f>
        <v>42491</v>
      </c>
      <c r="DK188" s="182" t="n">
        <f aca="false">AJ188</f>
        <v>0.12</v>
      </c>
      <c r="DL188" s="182" t="n">
        <f aca="false">AK188</f>
        <v>0.15</v>
      </c>
      <c r="DM188" s="182" t="n">
        <f aca="false">AL188</f>
        <v>0.18</v>
      </c>
      <c r="DO188" s="182" t="n">
        <f aca="false">AB188</f>
        <v>0.08</v>
      </c>
      <c r="DP188" s="182" t="n">
        <f aca="false">AC188</f>
        <v>0.1</v>
      </c>
      <c r="DQ188" s="182" t="n">
        <f aca="false">AD188</f>
        <v>0.12</v>
      </c>
    </row>
    <row r="189" customFormat="false" ht="12.75" hidden="false" customHeight="false" outlineLevel="0" collapsed="false">
      <c r="A189" s="133"/>
      <c r="B189" s="174" t="n">
        <v>41640</v>
      </c>
      <c r="C189" s="175" t="n">
        <v>36.9957160949707</v>
      </c>
      <c r="D189" s="175" t="n">
        <v>38.4957160949707</v>
      </c>
      <c r="E189" s="175" t="n">
        <v>39.9957160949707</v>
      </c>
      <c r="F189" s="159"/>
      <c r="G189" s="175" t="n">
        <v>26.5</v>
      </c>
      <c r="H189" s="175" t="n">
        <v>26.5</v>
      </c>
      <c r="I189" s="175" t="n">
        <v>26.5</v>
      </c>
      <c r="J189" s="140"/>
      <c r="K189" s="141" t="n">
        <v>42522</v>
      </c>
      <c r="L189" s="176" t="n">
        <v>29.2900009155273</v>
      </c>
      <c r="M189" s="176" t="n">
        <v>29.2900009155273</v>
      </c>
      <c r="N189" s="176" t="n">
        <v>29.2900009155273</v>
      </c>
      <c r="O189" s="139"/>
      <c r="P189" s="176" t="n">
        <v>19.7900009155273</v>
      </c>
      <c r="Q189" s="176" t="n">
        <v>19.7900009155273</v>
      </c>
      <c r="R189" s="176" t="n">
        <v>19.7900009155273</v>
      </c>
      <c r="S189" s="139"/>
      <c r="T189" s="176" t="n">
        <v>0</v>
      </c>
      <c r="U189" s="176" t="n">
        <v>0</v>
      </c>
      <c r="V189" s="176" t="n">
        <v>0</v>
      </c>
      <c r="W189" s="139"/>
      <c r="X189" s="176" t="n">
        <v>0.16</v>
      </c>
      <c r="Y189" s="176" t="n">
        <v>0.2</v>
      </c>
      <c r="Z189" s="176" t="n">
        <v>0.24</v>
      </c>
      <c r="AA189" s="139"/>
      <c r="AB189" s="176" t="n">
        <v>0.08</v>
      </c>
      <c r="AC189" s="176" t="n">
        <v>0.1</v>
      </c>
      <c r="AD189" s="176" t="n">
        <v>0.12</v>
      </c>
      <c r="AE189" s="139"/>
      <c r="AF189" s="176" t="n">
        <v>0.2</v>
      </c>
      <c r="AG189" s="176" t="n">
        <v>0.25</v>
      </c>
      <c r="AH189" s="176" t="n">
        <v>0.3</v>
      </c>
      <c r="AI189" s="139"/>
      <c r="AJ189" s="176" t="n">
        <v>0.12</v>
      </c>
      <c r="AK189" s="176" t="n">
        <v>0.15</v>
      </c>
      <c r="AL189" s="176" t="n">
        <v>0.18</v>
      </c>
      <c r="AM189" s="139"/>
      <c r="AN189" s="140" t="n">
        <v>60</v>
      </c>
      <c r="AO189" s="177" t="n">
        <v>0.4</v>
      </c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41" t="n">
        <v>42522</v>
      </c>
      <c r="BG189" s="179" t="n">
        <v>0.75</v>
      </c>
      <c r="BH189" s="139"/>
      <c r="BI189" s="139"/>
      <c r="BJ189" s="139"/>
      <c r="BK189" s="139"/>
      <c r="BL189" s="139"/>
      <c r="BM189" s="139"/>
      <c r="BN189" s="139"/>
      <c r="BO189" s="139"/>
      <c r="BP189" s="139"/>
      <c r="BQ189" s="139"/>
      <c r="BR189" s="139"/>
      <c r="BS189" s="139"/>
      <c r="BT189" s="139"/>
      <c r="BU189" s="139"/>
      <c r="BV189" s="139"/>
      <c r="BW189" s="139"/>
      <c r="BX189" s="139"/>
      <c r="BY189" s="139"/>
      <c r="BZ189" s="139"/>
      <c r="CA189" s="139"/>
      <c r="CB189" s="139"/>
      <c r="CC189" s="139"/>
      <c r="CD189" s="139"/>
      <c r="CE189" s="139"/>
      <c r="CF189" s="0"/>
      <c r="CK189" s="206"/>
      <c r="CL189" s="206"/>
      <c r="CM189" s="180"/>
      <c r="CN189" s="0"/>
      <c r="CO189" s="0"/>
      <c r="CP189" s="0"/>
      <c r="CQ189" s="0"/>
      <c r="CR189" s="0"/>
      <c r="CW189" s="181" t="n">
        <f aca="false">K189</f>
        <v>42522</v>
      </c>
      <c r="CX189" s="182" t="n">
        <f aca="false">AF189</f>
        <v>0.2</v>
      </c>
      <c r="CY189" s="182" t="n">
        <f aca="false">AG189</f>
        <v>0.25</v>
      </c>
      <c r="CZ189" s="182" t="n">
        <f aca="false">AH189</f>
        <v>0.3</v>
      </c>
      <c r="DB189" s="182" t="n">
        <f aca="false">X189</f>
        <v>0.16</v>
      </c>
      <c r="DC189" s="182" t="n">
        <f aca="false">Y189</f>
        <v>0.2</v>
      </c>
      <c r="DD189" s="182" t="n">
        <f aca="false">Z189</f>
        <v>0.24</v>
      </c>
      <c r="DF189" s="181" t="n">
        <f aca="false">BF189</f>
        <v>42522</v>
      </c>
      <c r="DG189" s="133" t="n">
        <f aca="false">BG189</f>
        <v>0.75</v>
      </c>
      <c r="DJ189" s="181" t="n">
        <f aca="false">CW189</f>
        <v>42522</v>
      </c>
      <c r="DK189" s="182" t="n">
        <f aca="false">AJ189</f>
        <v>0.12</v>
      </c>
      <c r="DL189" s="182" t="n">
        <f aca="false">AK189</f>
        <v>0.15</v>
      </c>
      <c r="DM189" s="182" t="n">
        <f aca="false">AL189</f>
        <v>0.18</v>
      </c>
      <c r="DO189" s="182" t="n">
        <f aca="false">AB189</f>
        <v>0.08</v>
      </c>
      <c r="DP189" s="182" t="n">
        <f aca="false">AC189</f>
        <v>0.1</v>
      </c>
      <c r="DQ189" s="182" t="n">
        <f aca="false">AD189</f>
        <v>0.12</v>
      </c>
    </row>
    <row r="190" customFormat="false" ht="12.75" hidden="false" customHeight="false" outlineLevel="0" collapsed="false">
      <c r="A190" s="133"/>
      <c r="B190" s="174" t="n">
        <v>41671</v>
      </c>
      <c r="C190" s="175" t="n">
        <v>36.3957138061523</v>
      </c>
      <c r="D190" s="175" t="n">
        <v>37.8957138061523</v>
      </c>
      <c r="E190" s="175" t="n">
        <v>39.3957138061523</v>
      </c>
      <c r="F190" s="159"/>
      <c r="G190" s="175" t="n">
        <v>25</v>
      </c>
      <c r="H190" s="175" t="n">
        <v>25</v>
      </c>
      <c r="I190" s="175" t="n">
        <v>25</v>
      </c>
      <c r="J190" s="140"/>
      <c r="K190" s="141" t="n">
        <v>42552</v>
      </c>
      <c r="L190" s="176" t="n">
        <v>35.2900009155273</v>
      </c>
      <c r="M190" s="176" t="n">
        <v>35.2900009155273</v>
      </c>
      <c r="N190" s="176" t="n">
        <v>35.2900009155273</v>
      </c>
      <c r="O190" s="139"/>
      <c r="P190" s="176" t="n">
        <v>25.7900009155273</v>
      </c>
      <c r="Q190" s="176" t="n">
        <v>25.7900009155273</v>
      </c>
      <c r="R190" s="176" t="n">
        <v>25.7900009155273</v>
      </c>
      <c r="S190" s="139"/>
      <c r="T190" s="176" t="n">
        <v>0</v>
      </c>
      <c r="U190" s="176" t="n">
        <v>0</v>
      </c>
      <c r="V190" s="176" t="n">
        <v>0</v>
      </c>
      <c r="W190" s="139"/>
      <c r="X190" s="176" t="n">
        <v>0.16</v>
      </c>
      <c r="Y190" s="176" t="n">
        <v>0.2</v>
      </c>
      <c r="Z190" s="176" t="n">
        <v>0.24</v>
      </c>
      <c r="AA190" s="139"/>
      <c r="AB190" s="176" t="n">
        <v>0.08</v>
      </c>
      <c r="AC190" s="176" t="n">
        <v>0.1</v>
      </c>
      <c r="AD190" s="176" t="n">
        <v>0.12</v>
      </c>
      <c r="AE190" s="139"/>
      <c r="AF190" s="176" t="n">
        <v>0.2</v>
      </c>
      <c r="AG190" s="176" t="n">
        <v>0.25</v>
      </c>
      <c r="AH190" s="176" t="n">
        <v>0.3</v>
      </c>
      <c r="AI190" s="139"/>
      <c r="AJ190" s="176" t="n">
        <v>0.12</v>
      </c>
      <c r="AK190" s="176" t="n">
        <v>0.15</v>
      </c>
      <c r="AL190" s="176" t="n">
        <v>0.18</v>
      </c>
      <c r="AM190" s="139"/>
      <c r="AN190" s="140" t="n">
        <v>61</v>
      </c>
      <c r="AO190" s="177" t="n">
        <v>0.4</v>
      </c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41" t="n">
        <v>42552</v>
      </c>
      <c r="BG190" s="179" t="n">
        <v>0.75</v>
      </c>
      <c r="BH190" s="139"/>
      <c r="BI190" s="139"/>
      <c r="BJ190" s="139"/>
      <c r="BK190" s="139"/>
      <c r="BL190" s="139"/>
      <c r="BM190" s="139"/>
      <c r="BN190" s="139"/>
      <c r="BO190" s="139"/>
      <c r="BP190" s="139"/>
      <c r="BQ190" s="139"/>
      <c r="BR190" s="139"/>
      <c r="BS190" s="139"/>
      <c r="BT190" s="139"/>
      <c r="BU190" s="139"/>
      <c r="BV190" s="139"/>
      <c r="BW190" s="139"/>
      <c r="BX190" s="139"/>
      <c r="BY190" s="139"/>
      <c r="BZ190" s="139"/>
      <c r="CA190" s="139"/>
      <c r="CB190" s="139"/>
      <c r="CC190" s="139"/>
      <c r="CD190" s="139"/>
      <c r="CE190" s="139"/>
      <c r="CF190" s="0"/>
      <c r="CK190" s="206"/>
      <c r="CL190" s="206"/>
      <c r="CM190" s="180"/>
      <c r="CN190" s="0"/>
      <c r="CO190" s="0"/>
      <c r="CP190" s="0"/>
      <c r="CQ190" s="0"/>
      <c r="CR190" s="0"/>
      <c r="CW190" s="181" t="n">
        <f aca="false">K190</f>
        <v>42552</v>
      </c>
      <c r="CX190" s="182" t="n">
        <f aca="false">AF190</f>
        <v>0.2</v>
      </c>
      <c r="CY190" s="182" t="n">
        <f aca="false">AG190</f>
        <v>0.25</v>
      </c>
      <c r="CZ190" s="182" t="n">
        <f aca="false">AH190</f>
        <v>0.3</v>
      </c>
      <c r="DB190" s="182" t="n">
        <f aca="false">X190</f>
        <v>0.16</v>
      </c>
      <c r="DC190" s="182" t="n">
        <f aca="false">Y190</f>
        <v>0.2</v>
      </c>
      <c r="DD190" s="182" t="n">
        <f aca="false">Z190</f>
        <v>0.24</v>
      </c>
      <c r="DF190" s="181" t="n">
        <f aca="false">BF190</f>
        <v>42552</v>
      </c>
      <c r="DG190" s="133" t="n">
        <f aca="false">BG190</f>
        <v>0.75</v>
      </c>
      <c r="DJ190" s="181" t="n">
        <f aca="false">CW190</f>
        <v>42552</v>
      </c>
      <c r="DK190" s="182" t="n">
        <f aca="false">AJ190</f>
        <v>0.12</v>
      </c>
      <c r="DL190" s="182" t="n">
        <f aca="false">AK190</f>
        <v>0.15</v>
      </c>
      <c r="DM190" s="182" t="n">
        <f aca="false">AL190</f>
        <v>0.18</v>
      </c>
      <c r="DO190" s="182" t="n">
        <f aca="false">AB190</f>
        <v>0.08</v>
      </c>
      <c r="DP190" s="182" t="n">
        <f aca="false">AC190</f>
        <v>0.1</v>
      </c>
      <c r="DQ190" s="182" t="n">
        <f aca="false">AD190</f>
        <v>0.12</v>
      </c>
    </row>
    <row r="191" customFormat="false" ht="12.75" hidden="false" customHeight="false" outlineLevel="0" collapsed="false">
      <c r="A191" s="133"/>
      <c r="B191" s="174" t="n">
        <v>41699</v>
      </c>
      <c r="C191" s="175" t="n">
        <v>35.1076812744141</v>
      </c>
      <c r="D191" s="175" t="n">
        <v>36.6076812744141</v>
      </c>
      <c r="E191" s="175" t="n">
        <v>38.1076812744141</v>
      </c>
      <c r="F191" s="159"/>
      <c r="G191" s="175" t="n">
        <v>26</v>
      </c>
      <c r="H191" s="175" t="n">
        <v>26</v>
      </c>
      <c r="I191" s="175" t="n">
        <v>26</v>
      </c>
      <c r="J191" s="140"/>
      <c r="K191" s="141" t="n">
        <v>42583</v>
      </c>
      <c r="L191" s="176" t="n">
        <v>33.2900047302246</v>
      </c>
      <c r="M191" s="176" t="n">
        <v>33.2900047302246</v>
      </c>
      <c r="N191" s="176" t="n">
        <v>33.2900047302246</v>
      </c>
      <c r="O191" s="139"/>
      <c r="P191" s="176" t="n">
        <v>25.7900009155273</v>
      </c>
      <c r="Q191" s="176" t="n">
        <v>25.7900009155273</v>
      </c>
      <c r="R191" s="176" t="n">
        <v>25.7900009155273</v>
      </c>
      <c r="S191" s="139"/>
      <c r="T191" s="176" t="n">
        <v>0</v>
      </c>
      <c r="U191" s="176" t="n">
        <v>0</v>
      </c>
      <c r="V191" s="176" t="n">
        <v>0</v>
      </c>
      <c r="W191" s="139"/>
      <c r="X191" s="176" t="n">
        <v>0.24</v>
      </c>
      <c r="Y191" s="176" t="n">
        <v>0.3</v>
      </c>
      <c r="Z191" s="176" t="n">
        <v>0.36</v>
      </c>
      <c r="AA191" s="139"/>
      <c r="AB191" s="176" t="n">
        <v>0.12</v>
      </c>
      <c r="AC191" s="176" t="n">
        <v>0.15</v>
      </c>
      <c r="AD191" s="176" t="n">
        <v>0.18</v>
      </c>
      <c r="AE191" s="139"/>
      <c r="AF191" s="176" t="n">
        <v>0.32</v>
      </c>
      <c r="AG191" s="176" t="n">
        <v>0.4</v>
      </c>
      <c r="AH191" s="176" t="n">
        <v>0.48</v>
      </c>
      <c r="AI191" s="139"/>
      <c r="AJ191" s="176" t="n">
        <v>0.192</v>
      </c>
      <c r="AK191" s="176" t="n">
        <v>0.24</v>
      </c>
      <c r="AL191" s="176" t="n">
        <v>0.288</v>
      </c>
      <c r="AM191" s="139"/>
      <c r="AN191" s="140" t="n">
        <v>61</v>
      </c>
      <c r="AO191" s="177" t="n">
        <v>0.4</v>
      </c>
      <c r="AP191" s="139"/>
      <c r="AQ191" s="139"/>
      <c r="AR191" s="139"/>
      <c r="AS191" s="139"/>
      <c r="AT191" s="139"/>
      <c r="AU191" s="139"/>
      <c r="AV191" s="139"/>
      <c r="AW191" s="139"/>
      <c r="AX191" s="139"/>
      <c r="AY191" s="139"/>
      <c r="AZ191" s="139"/>
      <c r="BA191" s="139"/>
      <c r="BB191" s="139"/>
      <c r="BC191" s="139"/>
      <c r="BD191" s="139"/>
      <c r="BE191" s="139"/>
      <c r="BF191" s="141" t="n">
        <v>42583</v>
      </c>
      <c r="BG191" s="179" t="n">
        <v>0.75</v>
      </c>
      <c r="BH191" s="139"/>
      <c r="BI191" s="139"/>
      <c r="BJ191" s="139"/>
      <c r="BK191" s="139"/>
      <c r="BL191" s="139"/>
      <c r="BM191" s="139"/>
      <c r="BN191" s="139"/>
      <c r="BO191" s="139"/>
      <c r="BP191" s="139"/>
      <c r="BQ191" s="139"/>
      <c r="BR191" s="139"/>
      <c r="BS191" s="139"/>
      <c r="BT191" s="139"/>
      <c r="BU191" s="139"/>
      <c r="BV191" s="139"/>
      <c r="BW191" s="139"/>
      <c r="BX191" s="139"/>
      <c r="BY191" s="139"/>
      <c r="BZ191" s="139"/>
      <c r="CA191" s="139"/>
      <c r="CB191" s="139"/>
      <c r="CC191" s="139"/>
      <c r="CD191" s="139"/>
      <c r="CE191" s="139"/>
      <c r="CF191" s="0"/>
      <c r="CK191" s="206"/>
      <c r="CL191" s="206"/>
      <c r="CM191" s="180"/>
      <c r="CN191" s="0"/>
      <c r="CO191" s="0"/>
      <c r="CP191" s="0"/>
      <c r="CQ191" s="0"/>
      <c r="CR191" s="0"/>
      <c r="CW191" s="181" t="n">
        <f aca="false">K191</f>
        <v>42583</v>
      </c>
      <c r="CX191" s="182" t="n">
        <f aca="false">AF191</f>
        <v>0.32</v>
      </c>
      <c r="CY191" s="182" t="n">
        <f aca="false">AG191</f>
        <v>0.4</v>
      </c>
      <c r="CZ191" s="182" t="n">
        <f aca="false">AH191</f>
        <v>0.48</v>
      </c>
      <c r="DB191" s="182" t="n">
        <f aca="false">X191</f>
        <v>0.24</v>
      </c>
      <c r="DC191" s="182" t="n">
        <f aca="false">Y191</f>
        <v>0.3</v>
      </c>
      <c r="DD191" s="182" t="n">
        <f aca="false">Z191</f>
        <v>0.36</v>
      </c>
      <c r="DF191" s="181" t="n">
        <f aca="false">BF191</f>
        <v>42583</v>
      </c>
      <c r="DG191" s="133" t="n">
        <f aca="false">BG191</f>
        <v>0.75</v>
      </c>
      <c r="DJ191" s="181" t="n">
        <f aca="false">CW191</f>
        <v>42583</v>
      </c>
      <c r="DK191" s="182" t="n">
        <f aca="false">AJ191</f>
        <v>0.192</v>
      </c>
      <c r="DL191" s="182" t="n">
        <f aca="false">AK191</f>
        <v>0.24</v>
      </c>
      <c r="DM191" s="182" t="n">
        <f aca="false">AL191</f>
        <v>0.288</v>
      </c>
      <c r="DO191" s="182" t="n">
        <f aca="false">AB191</f>
        <v>0.12</v>
      </c>
      <c r="DP191" s="182" t="n">
        <f aca="false">AC191</f>
        <v>0.15</v>
      </c>
      <c r="DQ191" s="182" t="n">
        <f aca="false">AD191</f>
        <v>0.18</v>
      </c>
    </row>
    <row r="192" customFormat="false" ht="12.75" hidden="false" customHeight="false" outlineLevel="0" collapsed="false">
      <c r="A192" s="133"/>
      <c r="B192" s="174" t="n">
        <v>41730</v>
      </c>
      <c r="C192" s="175" t="n">
        <v>35.3076820373535</v>
      </c>
      <c r="D192" s="175" t="n">
        <v>36.8076820373535</v>
      </c>
      <c r="E192" s="175" t="n">
        <v>38.3076820373535</v>
      </c>
      <c r="F192" s="159"/>
      <c r="G192" s="175" t="n">
        <v>23</v>
      </c>
      <c r="H192" s="175" t="n">
        <v>23</v>
      </c>
      <c r="I192" s="175" t="n">
        <v>23</v>
      </c>
      <c r="J192" s="140"/>
      <c r="K192" s="141" t="n">
        <v>42614</v>
      </c>
      <c r="L192" s="176" t="n">
        <v>25.2900009155273</v>
      </c>
      <c r="M192" s="176" t="n">
        <v>25.2900009155273</v>
      </c>
      <c r="N192" s="176" t="n">
        <v>25.2900009155273</v>
      </c>
      <c r="O192" s="139"/>
      <c r="P192" s="176" t="n">
        <v>19.7900009155273</v>
      </c>
      <c r="Q192" s="176" t="n">
        <v>19.7900009155273</v>
      </c>
      <c r="R192" s="176" t="n">
        <v>19.7900009155273</v>
      </c>
      <c r="S192" s="139"/>
      <c r="T192" s="176" t="n">
        <v>0</v>
      </c>
      <c r="U192" s="176" t="n">
        <v>0</v>
      </c>
      <c r="V192" s="176" t="n">
        <v>0</v>
      </c>
      <c r="W192" s="139"/>
      <c r="X192" s="176" t="n">
        <v>0.24</v>
      </c>
      <c r="Y192" s="176" t="n">
        <v>0.3</v>
      </c>
      <c r="Z192" s="176" t="n">
        <v>0.36</v>
      </c>
      <c r="AA192" s="139"/>
      <c r="AB192" s="176" t="n">
        <v>0.12</v>
      </c>
      <c r="AC192" s="176" t="n">
        <v>0.15</v>
      </c>
      <c r="AD192" s="176" t="n">
        <v>0.18</v>
      </c>
      <c r="AE192" s="139"/>
      <c r="AF192" s="176" t="n">
        <v>0.32</v>
      </c>
      <c r="AG192" s="176" t="n">
        <v>0.4</v>
      </c>
      <c r="AH192" s="176" t="n">
        <v>0.48</v>
      </c>
      <c r="AI192" s="139"/>
      <c r="AJ192" s="176" t="n">
        <v>0.192</v>
      </c>
      <c r="AK192" s="176" t="n">
        <v>0.24</v>
      </c>
      <c r="AL192" s="176" t="n">
        <v>0.288</v>
      </c>
      <c r="AM192" s="139"/>
      <c r="AN192" s="140" t="n">
        <v>61</v>
      </c>
      <c r="AO192" s="177" t="n">
        <v>0.4</v>
      </c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41" t="n">
        <v>42614</v>
      </c>
      <c r="BG192" s="179" t="n">
        <v>0.75</v>
      </c>
      <c r="BH192" s="139"/>
      <c r="BI192" s="139"/>
      <c r="BJ192" s="139"/>
      <c r="BK192" s="139"/>
      <c r="BL192" s="139"/>
      <c r="BM192" s="139"/>
      <c r="BN192" s="139"/>
      <c r="BO192" s="139"/>
      <c r="BP192" s="139"/>
      <c r="BQ192" s="139"/>
      <c r="BR192" s="139"/>
      <c r="BS192" s="139"/>
      <c r="BT192" s="139"/>
      <c r="BU192" s="139"/>
      <c r="BV192" s="139"/>
      <c r="BW192" s="139"/>
      <c r="BX192" s="139"/>
      <c r="BY192" s="139"/>
      <c r="BZ192" s="139"/>
      <c r="CA192" s="139"/>
      <c r="CB192" s="139"/>
      <c r="CC192" s="139"/>
      <c r="CD192" s="139"/>
      <c r="CE192" s="139"/>
      <c r="CF192" s="0"/>
      <c r="CN192" s="0"/>
      <c r="CO192" s="0"/>
      <c r="CP192" s="0"/>
      <c r="CQ192" s="0"/>
      <c r="CR192" s="0"/>
      <c r="CW192" s="181" t="n">
        <f aca="false">K192</f>
        <v>42614</v>
      </c>
      <c r="CX192" s="182" t="n">
        <f aca="false">AF192</f>
        <v>0.32</v>
      </c>
      <c r="CY192" s="182" t="n">
        <f aca="false">AG192</f>
        <v>0.4</v>
      </c>
      <c r="CZ192" s="182" t="n">
        <f aca="false">AH192</f>
        <v>0.48</v>
      </c>
      <c r="DB192" s="182" t="n">
        <f aca="false">X192</f>
        <v>0.24</v>
      </c>
      <c r="DC192" s="182" t="n">
        <f aca="false">Y192</f>
        <v>0.3</v>
      </c>
      <c r="DD192" s="182" t="n">
        <f aca="false">Z192</f>
        <v>0.36</v>
      </c>
      <c r="DF192" s="181" t="n">
        <f aca="false">BF192</f>
        <v>42614</v>
      </c>
      <c r="DG192" s="133" t="n">
        <f aca="false">BG192</f>
        <v>0.75</v>
      </c>
      <c r="DJ192" s="181" t="n">
        <f aca="false">CW192</f>
        <v>42614</v>
      </c>
      <c r="DK192" s="182" t="n">
        <f aca="false">AJ192</f>
        <v>0.192</v>
      </c>
      <c r="DL192" s="182" t="n">
        <f aca="false">AK192</f>
        <v>0.24</v>
      </c>
      <c r="DM192" s="182" t="n">
        <f aca="false">AL192</f>
        <v>0.288</v>
      </c>
      <c r="DO192" s="182" t="n">
        <f aca="false">AB192</f>
        <v>0.12</v>
      </c>
      <c r="DP192" s="182" t="n">
        <f aca="false">AC192</f>
        <v>0.15</v>
      </c>
      <c r="DQ192" s="182" t="n">
        <f aca="false">AD192</f>
        <v>0.18</v>
      </c>
    </row>
    <row r="193" customFormat="false" ht="12.75" hidden="false" customHeight="false" outlineLevel="0" collapsed="false">
      <c r="A193" s="133"/>
      <c r="B193" s="174" t="n">
        <v>41760</v>
      </c>
      <c r="C193" s="175" t="n">
        <v>40.9850028991699</v>
      </c>
      <c r="D193" s="175" t="n">
        <v>43.3350028991699</v>
      </c>
      <c r="E193" s="175" t="n">
        <v>45.6850028991699</v>
      </c>
      <c r="F193" s="159"/>
      <c r="G193" s="175" t="n">
        <v>23.5400009155273</v>
      </c>
      <c r="H193" s="175" t="n">
        <v>23.5400009155273</v>
      </c>
      <c r="I193" s="175" t="n">
        <v>23.5400009155273</v>
      </c>
      <c r="J193" s="140"/>
      <c r="K193" s="141" t="n">
        <v>42644</v>
      </c>
      <c r="L193" s="176" t="n">
        <v>20.2860012054443</v>
      </c>
      <c r="M193" s="176" t="n">
        <v>20.2860012054443</v>
      </c>
      <c r="N193" s="176" t="n">
        <v>20.2860012054443</v>
      </c>
      <c r="O193" s="139"/>
      <c r="P193" s="176" t="n">
        <v>14.7865009307861</v>
      </c>
      <c r="Q193" s="176" t="n">
        <v>14.7865009307861</v>
      </c>
      <c r="R193" s="176" t="n">
        <v>14.7865009307861</v>
      </c>
      <c r="S193" s="139"/>
      <c r="T193" s="176" t="n">
        <v>0</v>
      </c>
      <c r="U193" s="176" t="n">
        <v>0</v>
      </c>
      <c r="V193" s="176" t="n">
        <v>0</v>
      </c>
      <c r="W193" s="139"/>
      <c r="X193" s="176" t="n">
        <v>0.16</v>
      </c>
      <c r="Y193" s="176" t="n">
        <v>0.2</v>
      </c>
      <c r="Z193" s="176" t="n">
        <v>0.24</v>
      </c>
      <c r="AA193" s="139"/>
      <c r="AB193" s="176" t="n">
        <v>0.08</v>
      </c>
      <c r="AC193" s="176" t="n">
        <v>0.1</v>
      </c>
      <c r="AD193" s="176" t="n">
        <v>0.12</v>
      </c>
      <c r="AE193" s="139"/>
      <c r="AF193" s="176" t="n">
        <v>0.2</v>
      </c>
      <c r="AG193" s="176" t="n">
        <v>0.25</v>
      </c>
      <c r="AH193" s="176" t="n">
        <v>0.3</v>
      </c>
      <c r="AI193" s="139"/>
      <c r="AJ193" s="176" t="n">
        <v>0.12</v>
      </c>
      <c r="AK193" s="176" t="n">
        <v>0.15</v>
      </c>
      <c r="AL193" s="176" t="n">
        <v>0.18</v>
      </c>
      <c r="AM193" s="139"/>
      <c r="AN193" s="140" t="n">
        <v>62</v>
      </c>
      <c r="AO193" s="177" t="n">
        <v>0.4</v>
      </c>
      <c r="AP193" s="139"/>
      <c r="AQ193" s="139"/>
      <c r="AR193" s="139"/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41" t="n">
        <v>42644</v>
      </c>
      <c r="BG193" s="179" t="n">
        <v>0.75</v>
      </c>
      <c r="BH193" s="139"/>
      <c r="BI193" s="139"/>
      <c r="BJ193" s="139"/>
      <c r="BK193" s="139"/>
      <c r="BL193" s="139"/>
      <c r="BM193" s="139"/>
      <c r="BN193" s="139"/>
      <c r="BO193" s="139"/>
      <c r="BP193" s="139"/>
      <c r="BQ193" s="139"/>
      <c r="BR193" s="139"/>
      <c r="BS193" s="139"/>
      <c r="BT193" s="139"/>
      <c r="BU193" s="139"/>
      <c r="BV193" s="139"/>
      <c r="BW193" s="139"/>
      <c r="BX193" s="139"/>
      <c r="BY193" s="139"/>
      <c r="BZ193" s="139"/>
      <c r="CA193" s="139"/>
      <c r="CB193" s="139"/>
      <c r="CC193" s="139"/>
      <c r="CD193" s="139"/>
      <c r="CE193" s="139"/>
      <c r="CF193" s="0"/>
      <c r="CN193" s="0"/>
      <c r="CO193" s="0"/>
      <c r="CP193" s="0"/>
      <c r="CQ193" s="0"/>
      <c r="CR193" s="0"/>
      <c r="CW193" s="181" t="n">
        <f aca="false">K193</f>
        <v>42644</v>
      </c>
      <c r="CX193" s="182" t="n">
        <f aca="false">AF193</f>
        <v>0.2</v>
      </c>
      <c r="CY193" s="182" t="n">
        <f aca="false">AG193</f>
        <v>0.25</v>
      </c>
      <c r="CZ193" s="182" t="n">
        <f aca="false">AH193</f>
        <v>0.3</v>
      </c>
      <c r="DB193" s="182" t="n">
        <f aca="false">X193</f>
        <v>0.16</v>
      </c>
      <c r="DC193" s="182" t="n">
        <f aca="false">Y193</f>
        <v>0.2</v>
      </c>
      <c r="DD193" s="182" t="n">
        <f aca="false">Z193</f>
        <v>0.24</v>
      </c>
      <c r="DF193" s="181" t="n">
        <f aca="false">BF193</f>
        <v>42644</v>
      </c>
      <c r="DG193" s="133" t="n">
        <f aca="false">BG193</f>
        <v>0.75</v>
      </c>
      <c r="DJ193" s="181" t="n">
        <f aca="false">CW193</f>
        <v>42644</v>
      </c>
      <c r="DK193" s="182" t="n">
        <f aca="false">AJ193</f>
        <v>0.12</v>
      </c>
      <c r="DL193" s="182" t="n">
        <f aca="false">AK193</f>
        <v>0.15</v>
      </c>
      <c r="DM193" s="182" t="n">
        <f aca="false">AL193</f>
        <v>0.18</v>
      </c>
      <c r="DO193" s="182" t="n">
        <f aca="false">AB193</f>
        <v>0.08</v>
      </c>
      <c r="DP193" s="182" t="n">
        <f aca="false">AC193</f>
        <v>0.1</v>
      </c>
      <c r="DQ193" s="182" t="n">
        <f aca="false">AD193</f>
        <v>0.12</v>
      </c>
    </row>
    <row r="194" customFormat="false" ht="12.75" hidden="false" customHeight="false" outlineLevel="0" collapsed="false">
      <c r="A194" s="133"/>
      <c r="B194" s="174" t="n">
        <v>41791</v>
      </c>
      <c r="C194" s="175" t="n">
        <v>50.1250038146973</v>
      </c>
      <c r="D194" s="175" t="n">
        <v>55.1250038146973</v>
      </c>
      <c r="E194" s="175" t="n">
        <v>60.1250038146973</v>
      </c>
      <c r="F194" s="159"/>
      <c r="G194" s="175" t="n">
        <v>26.5400009155273</v>
      </c>
      <c r="H194" s="175" t="n">
        <v>26.5400009155273</v>
      </c>
      <c r="I194" s="175" t="n">
        <v>26.5400009155273</v>
      </c>
      <c r="J194" s="140"/>
      <c r="K194" s="141" t="n">
        <v>42675</v>
      </c>
      <c r="L194" s="176" t="n">
        <v>22.2900009155273</v>
      </c>
      <c r="M194" s="176" t="n">
        <v>22.2900009155273</v>
      </c>
      <c r="N194" s="176" t="n">
        <v>22.2900009155273</v>
      </c>
      <c r="O194" s="139"/>
      <c r="P194" s="176" t="n">
        <v>14.7900009155273</v>
      </c>
      <c r="Q194" s="176" t="n">
        <v>14.7900009155273</v>
      </c>
      <c r="R194" s="176" t="n">
        <v>14.7900009155273</v>
      </c>
      <c r="S194" s="139"/>
      <c r="T194" s="176" t="n">
        <v>0</v>
      </c>
      <c r="U194" s="176" t="n">
        <v>0</v>
      </c>
      <c r="V194" s="176" t="n">
        <v>0</v>
      </c>
      <c r="W194" s="139"/>
      <c r="X194" s="176" t="n">
        <v>0.16</v>
      </c>
      <c r="Y194" s="176" t="n">
        <v>0.2</v>
      </c>
      <c r="Z194" s="176" t="n">
        <v>0.24</v>
      </c>
      <c r="AA194" s="139"/>
      <c r="AB194" s="176" t="n">
        <v>0.08</v>
      </c>
      <c r="AC194" s="176" t="n">
        <v>0.1</v>
      </c>
      <c r="AD194" s="176" t="n">
        <v>0.12</v>
      </c>
      <c r="AE194" s="139"/>
      <c r="AF194" s="176" t="n">
        <v>0.2</v>
      </c>
      <c r="AG194" s="176" t="n">
        <v>0.25</v>
      </c>
      <c r="AH194" s="176" t="n">
        <v>0.3</v>
      </c>
      <c r="AI194" s="139"/>
      <c r="AJ194" s="176" t="n">
        <v>0.12</v>
      </c>
      <c r="AK194" s="176" t="n">
        <v>0.15</v>
      </c>
      <c r="AL194" s="176" t="n">
        <v>0.18</v>
      </c>
      <c r="AM194" s="139"/>
      <c r="AN194" s="140" t="n">
        <v>62</v>
      </c>
      <c r="AO194" s="177" t="n">
        <v>0.4</v>
      </c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41" t="n">
        <v>42675</v>
      </c>
      <c r="BG194" s="179" t="n">
        <v>0.75</v>
      </c>
      <c r="BH194" s="139"/>
      <c r="BI194" s="139"/>
      <c r="BJ194" s="139"/>
      <c r="BK194" s="139"/>
      <c r="BL194" s="139"/>
      <c r="BM194" s="139"/>
      <c r="BN194" s="139"/>
      <c r="BO194" s="139"/>
      <c r="BP194" s="139"/>
      <c r="BQ194" s="139"/>
      <c r="BR194" s="139"/>
      <c r="BS194" s="139"/>
      <c r="BT194" s="139"/>
      <c r="BU194" s="139"/>
      <c r="BV194" s="139"/>
      <c r="BW194" s="139"/>
      <c r="BX194" s="139"/>
      <c r="BY194" s="139"/>
      <c r="BZ194" s="139"/>
      <c r="CA194" s="139"/>
      <c r="CB194" s="139"/>
      <c r="CC194" s="139"/>
      <c r="CD194" s="139"/>
      <c r="CE194" s="139"/>
      <c r="CF194" s="0"/>
      <c r="CN194" s="0"/>
      <c r="CO194" s="0"/>
      <c r="CP194" s="0"/>
      <c r="CQ194" s="0"/>
      <c r="CR194" s="0"/>
      <c r="CW194" s="181" t="n">
        <f aca="false">K194</f>
        <v>42675</v>
      </c>
      <c r="CX194" s="182" t="n">
        <f aca="false">AF194</f>
        <v>0.2</v>
      </c>
      <c r="CY194" s="182" t="n">
        <f aca="false">AG194</f>
        <v>0.25</v>
      </c>
      <c r="CZ194" s="182" t="n">
        <f aca="false">AH194</f>
        <v>0.3</v>
      </c>
      <c r="DB194" s="182" t="n">
        <f aca="false">X194</f>
        <v>0.16</v>
      </c>
      <c r="DC194" s="182" t="n">
        <f aca="false">Y194</f>
        <v>0.2</v>
      </c>
      <c r="DD194" s="182" t="n">
        <f aca="false">Z194</f>
        <v>0.24</v>
      </c>
      <c r="DF194" s="181" t="n">
        <f aca="false">BF194</f>
        <v>42675</v>
      </c>
      <c r="DG194" s="133" t="n">
        <f aca="false">BG194</f>
        <v>0.75</v>
      </c>
      <c r="DJ194" s="181" t="n">
        <f aca="false">CW194</f>
        <v>42675</v>
      </c>
      <c r="DK194" s="182" t="n">
        <f aca="false">AJ194</f>
        <v>0.12</v>
      </c>
      <c r="DL194" s="182" t="n">
        <f aca="false">AK194</f>
        <v>0.15</v>
      </c>
      <c r="DM194" s="182" t="n">
        <f aca="false">AL194</f>
        <v>0.18</v>
      </c>
      <c r="DO194" s="182" t="n">
        <f aca="false">AB194</f>
        <v>0.08</v>
      </c>
      <c r="DP194" s="182" t="n">
        <f aca="false">AC194</f>
        <v>0.1</v>
      </c>
      <c r="DQ194" s="182" t="n">
        <f aca="false">AD194</f>
        <v>0.12</v>
      </c>
    </row>
    <row r="195" customFormat="false" ht="12.75" hidden="false" customHeight="false" outlineLevel="0" collapsed="false">
      <c r="A195" s="133"/>
      <c r="B195" s="174" t="n">
        <v>41821</v>
      </c>
      <c r="C195" s="175" t="n">
        <v>54.5</v>
      </c>
      <c r="D195" s="175" t="n">
        <v>64.5</v>
      </c>
      <c r="E195" s="175" t="n">
        <v>74.5</v>
      </c>
      <c r="F195" s="159"/>
      <c r="G195" s="175" t="n">
        <v>27.0400009155273</v>
      </c>
      <c r="H195" s="175" t="n">
        <v>27.0400009155273</v>
      </c>
      <c r="I195" s="175" t="n">
        <v>27.0400009155273</v>
      </c>
      <c r="J195" s="140"/>
      <c r="K195" s="141" t="n">
        <v>42705</v>
      </c>
      <c r="L195" s="176" t="n">
        <v>27.2900009155273</v>
      </c>
      <c r="M195" s="176" t="n">
        <v>27.2900009155273</v>
      </c>
      <c r="N195" s="176" t="n">
        <v>27.2900009155273</v>
      </c>
      <c r="O195" s="139"/>
      <c r="P195" s="176" t="n">
        <v>21.7900009155273</v>
      </c>
      <c r="Q195" s="176" t="n">
        <v>21.7900009155273</v>
      </c>
      <c r="R195" s="176" t="n">
        <v>21.7900009155273</v>
      </c>
      <c r="S195" s="139"/>
      <c r="T195" s="176" t="n">
        <v>0</v>
      </c>
      <c r="U195" s="176" t="n">
        <v>0</v>
      </c>
      <c r="V195" s="176" t="n">
        <v>0</v>
      </c>
      <c r="W195" s="139"/>
      <c r="X195" s="176" t="n">
        <v>0.16</v>
      </c>
      <c r="Y195" s="176" t="n">
        <v>0.2</v>
      </c>
      <c r="Z195" s="176" t="n">
        <v>0.24</v>
      </c>
      <c r="AA195" s="139"/>
      <c r="AB195" s="176" t="n">
        <v>0.08</v>
      </c>
      <c r="AC195" s="176" t="n">
        <v>0.1</v>
      </c>
      <c r="AD195" s="176" t="n">
        <v>0.12</v>
      </c>
      <c r="AE195" s="139"/>
      <c r="AF195" s="176" t="n">
        <v>0.2</v>
      </c>
      <c r="AG195" s="176" t="n">
        <v>0.25</v>
      </c>
      <c r="AH195" s="176" t="n">
        <v>0.3</v>
      </c>
      <c r="AI195" s="139"/>
      <c r="AJ195" s="176" t="n">
        <v>0.12</v>
      </c>
      <c r="AK195" s="176" t="n">
        <v>0.15</v>
      </c>
      <c r="AL195" s="176" t="n">
        <v>0.18</v>
      </c>
      <c r="AM195" s="139"/>
      <c r="AN195" s="140" t="n">
        <v>62</v>
      </c>
      <c r="AO195" s="177" t="n">
        <v>0.4</v>
      </c>
      <c r="AP195" s="139"/>
      <c r="AQ195" s="139"/>
      <c r="AR195" s="139"/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41" t="n">
        <v>42705</v>
      </c>
      <c r="BG195" s="179" t="n">
        <v>0.75</v>
      </c>
      <c r="BH195" s="139"/>
      <c r="BI195" s="139"/>
      <c r="BJ195" s="139"/>
      <c r="BK195" s="139"/>
      <c r="BL195" s="139"/>
      <c r="BM195" s="139"/>
      <c r="BN195" s="139"/>
      <c r="BO195" s="139"/>
      <c r="BP195" s="139"/>
      <c r="BQ195" s="139"/>
      <c r="BR195" s="139"/>
      <c r="BS195" s="139"/>
      <c r="BT195" s="139"/>
      <c r="BU195" s="139"/>
      <c r="BV195" s="139"/>
      <c r="BW195" s="139"/>
      <c r="BX195" s="139"/>
      <c r="BY195" s="139"/>
      <c r="BZ195" s="139"/>
      <c r="CA195" s="139"/>
      <c r="CB195" s="139"/>
      <c r="CC195" s="139"/>
      <c r="CD195" s="139"/>
      <c r="CE195" s="139"/>
      <c r="CF195" s="0"/>
      <c r="CN195" s="0"/>
      <c r="CO195" s="0"/>
      <c r="CP195" s="0"/>
      <c r="CQ195" s="0"/>
      <c r="CR195" s="0"/>
      <c r="CW195" s="181" t="n">
        <f aca="false">K195</f>
        <v>42705</v>
      </c>
      <c r="CX195" s="182" t="n">
        <f aca="false">AF195</f>
        <v>0.2</v>
      </c>
      <c r="CY195" s="182" t="n">
        <f aca="false">AG195</f>
        <v>0.25</v>
      </c>
      <c r="CZ195" s="182" t="n">
        <f aca="false">AH195</f>
        <v>0.3</v>
      </c>
      <c r="DB195" s="182" t="n">
        <f aca="false">X195</f>
        <v>0.16</v>
      </c>
      <c r="DC195" s="182" t="n">
        <f aca="false">Y195</f>
        <v>0.2</v>
      </c>
      <c r="DD195" s="182" t="n">
        <f aca="false">Z195</f>
        <v>0.24</v>
      </c>
      <c r="DF195" s="181" t="n">
        <f aca="false">BF195</f>
        <v>42705</v>
      </c>
      <c r="DG195" s="133" t="n">
        <f aca="false">BG195</f>
        <v>0.75</v>
      </c>
      <c r="DJ195" s="181" t="n">
        <f aca="false">CW195</f>
        <v>42705</v>
      </c>
      <c r="DK195" s="182" t="n">
        <f aca="false">AJ195</f>
        <v>0.12</v>
      </c>
      <c r="DL195" s="182" t="n">
        <f aca="false">AK195</f>
        <v>0.15</v>
      </c>
      <c r="DM195" s="182" t="n">
        <f aca="false">AL195</f>
        <v>0.18</v>
      </c>
      <c r="DO195" s="182" t="n">
        <f aca="false">AB195</f>
        <v>0.08</v>
      </c>
      <c r="DP195" s="182" t="n">
        <f aca="false">AC195</f>
        <v>0.1</v>
      </c>
      <c r="DQ195" s="182" t="n">
        <f aca="false">AD195</f>
        <v>0.12</v>
      </c>
    </row>
    <row r="196" customFormat="false" ht="12.75" hidden="false" customHeight="false" outlineLevel="0" collapsed="false">
      <c r="A196" s="133"/>
      <c r="B196" s="174" t="n">
        <v>41852</v>
      </c>
      <c r="C196" s="175" t="n">
        <v>54.5</v>
      </c>
      <c r="D196" s="175" t="n">
        <v>64.5</v>
      </c>
      <c r="E196" s="175" t="n">
        <v>74.5</v>
      </c>
      <c r="F196" s="159"/>
      <c r="G196" s="175" t="n">
        <v>28.0400009155273</v>
      </c>
      <c r="H196" s="175" t="n">
        <v>28.0400009155273</v>
      </c>
      <c r="I196" s="175" t="n">
        <v>28.0400009155273</v>
      </c>
      <c r="J196" s="140"/>
      <c r="K196" s="141" t="n">
        <v>42736</v>
      </c>
      <c r="L196" s="176" t="n">
        <v>35.75</v>
      </c>
      <c r="M196" s="176" t="n">
        <v>35.75</v>
      </c>
      <c r="N196" s="176" t="n">
        <v>35.75</v>
      </c>
      <c r="O196" s="139"/>
      <c r="P196" s="176" t="n">
        <v>25.25</v>
      </c>
      <c r="Q196" s="176" t="n">
        <v>25.25</v>
      </c>
      <c r="R196" s="176" t="n">
        <v>25.25</v>
      </c>
      <c r="S196" s="139"/>
      <c r="T196" s="176" t="n">
        <v>0</v>
      </c>
      <c r="U196" s="176" t="n">
        <v>0</v>
      </c>
      <c r="V196" s="176" t="n">
        <v>0</v>
      </c>
      <c r="W196" s="139"/>
      <c r="X196" s="176" t="n">
        <v>0.16</v>
      </c>
      <c r="Y196" s="176" t="n">
        <v>0.2</v>
      </c>
      <c r="Z196" s="176" t="n">
        <v>0.24</v>
      </c>
      <c r="AA196" s="139"/>
      <c r="AB196" s="176" t="n">
        <v>0.08</v>
      </c>
      <c r="AC196" s="176" t="n">
        <v>0.1</v>
      </c>
      <c r="AD196" s="176" t="n">
        <v>0.12</v>
      </c>
      <c r="AE196" s="139"/>
      <c r="AF196" s="176" t="n">
        <v>0.2</v>
      </c>
      <c r="AG196" s="176" t="n">
        <v>0.25</v>
      </c>
      <c r="AH196" s="176" t="n">
        <v>0.3</v>
      </c>
      <c r="AI196" s="139"/>
      <c r="AJ196" s="176" t="n">
        <v>0.12</v>
      </c>
      <c r="AK196" s="176" t="n">
        <v>0.15</v>
      </c>
      <c r="AL196" s="176" t="n">
        <v>0.18</v>
      </c>
      <c r="AM196" s="139"/>
      <c r="AN196" s="140" t="n">
        <v>63</v>
      </c>
      <c r="AO196" s="177" t="n">
        <v>0.4</v>
      </c>
      <c r="AP196" s="139"/>
      <c r="AQ196" s="139"/>
      <c r="AR196" s="139"/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41" t="n">
        <v>42736</v>
      </c>
      <c r="BG196" s="179" t="n">
        <v>0.75</v>
      </c>
      <c r="BH196" s="139"/>
      <c r="BI196" s="139"/>
      <c r="BJ196" s="139"/>
      <c r="BK196" s="139"/>
      <c r="BL196" s="139"/>
      <c r="BM196" s="139"/>
      <c r="BN196" s="139"/>
      <c r="BO196" s="139"/>
      <c r="BP196" s="139"/>
      <c r="BQ196" s="139"/>
      <c r="BR196" s="139"/>
      <c r="BS196" s="139"/>
      <c r="BT196" s="139"/>
      <c r="BU196" s="139"/>
      <c r="BV196" s="139"/>
      <c r="BW196" s="139"/>
      <c r="BX196" s="139"/>
      <c r="BY196" s="139"/>
      <c r="BZ196" s="139"/>
      <c r="CA196" s="139"/>
      <c r="CB196" s="139"/>
      <c r="CC196" s="139"/>
      <c r="CD196" s="139"/>
      <c r="CE196" s="139"/>
      <c r="CF196" s="0"/>
      <c r="CN196" s="0"/>
      <c r="CO196" s="0"/>
      <c r="CP196" s="0"/>
      <c r="CQ196" s="0"/>
      <c r="CR196" s="0"/>
      <c r="CW196" s="181" t="n">
        <f aca="false">K196</f>
        <v>42736</v>
      </c>
      <c r="CX196" s="182" t="n">
        <f aca="false">AF196</f>
        <v>0.2</v>
      </c>
      <c r="CY196" s="182" t="n">
        <f aca="false">AG196</f>
        <v>0.25</v>
      </c>
      <c r="CZ196" s="182" t="n">
        <f aca="false">AH196</f>
        <v>0.3</v>
      </c>
      <c r="DB196" s="182" t="n">
        <f aca="false">X196</f>
        <v>0.16</v>
      </c>
      <c r="DC196" s="182" t="n">
        <f aca="false">Y196</f>
        <v>0.2</v>
      </c>
      <c r="DD196" s="182" t="n">
        <f aca="false">Z196</f>
        <v>0.24</v>
      </c>
      <c r="DF196" s="181" t="n">
        <f aca="false">BF196</f>
        <v>42736</v>
      </c>
      <c r="DG196" s="133" t="n">
        <f aca="false">BG196</f>
        <v>0.75</v>
      </c>
      <c r="DJ196" s="181" t="n">
        <f aca="false">CW196</f>
        <v>42736</v>
      </c>
      <c r="DK196" s="182" t="n">
        <f aca="false">AJ196</f>
        <v>0.12</v>
      </c>
      <c r="DL196" s="182" t="n">
        <f aca="false">AK196</f>
        <v>0.15</v>
      </c>
      <c r="DM196" s="182" t="n">
        <f aca="false">AL196</f>
        <v>0.18</v>
      </c>
      <c r="DO196" s="182" t="n">
        <f aca="false">AB196</f>
        <v>0.08</v>
      </c>
      <c r="DP196" s="182" t="n">
        <f aca="false">AC196</f>
        <v>0.1</v>
      </c>
      <c r="DQ196" s="182" t="n">
        <f aca="false">AD196</f>
        <v>0.12</v>
      </c>
    </row>
    <row r="197" customFormat="false" ht="12.75" hidden="false" customHeight="false" outlineLevel="0" collapsed="false">
      <c r="A197" s="133"/>
      <c r="B197" s="174" t="n">
        <v>41883</v>
      </c>
      <c r="C197" s="175" t="n">
        <v>30.2100028991699</v>
      </c>
      <c r="D197" s="175" t="n">
        <v>31.7100028991699</v>
      </c>
      <c r="E197" s="175" t="n">
        <v>33.2100028991699</v>
      </c>
      <c r="F197" s="159"/>
      <c r="G197" s="175" t="n">
        <v>22.0400009155273</v>
      </c>
      <c r="H197" s="175" t="n">
        <v>22.0400009155273</v>
      </c>
      <c r="I197" s="175" t="n">
        <v>22.0400009155273</v>
      </c>
      <c r="J197" s="140"/>
      <c r="K197" s="141" t="n">
        <v>42767</v>
      </c>
      <c r="L197" s="176" t="n">
        <v>31.2460021972656</v>
      </c>
      <c r="M197" s="176" t="n">
        <v>31.2460021972656</v>
      </c>
      <c r="N197" s="176" t="n">
        <v>31.2460021972656</v>
      </c>
      <c r="O197" s="139"/>
      <c r="P197" s="176" t="n">
        <v>22.7465019226074</v>
      </c>
      <c r="Q197" s="176" t="n">
        <v>22.7465019226074</v>
      </c>
      <c r="R197" s="176" t="n">
        <v>22.7465019226074</v>
      </c>
      <c r="S197" s="139"/>
      <c r="T197" s="176" t="n">
        <v>0</v>
      </c>
      <c r="U197" s="176" t="n">
        <v>0</v>
      </c>
      <c r="V197" s="176" t="n">
        <v>0</v>
      </c>
      <c r="W197" s="139"/>
      <c r="X197" s="176" t="n">
        <v>0.16</v>
      </c>
      <c r="Y197" s="176" t="n">
        <v>0.2</v>
      </c>
      <c r="Z197" s="176" t="n">
        <v>0.24</v>
      </c>
      <c r="AA197" s="139"/>
      <c r="AB197" s="176" t="n">
        <v>0.08</v>
      </c>
      <c r="AC197" s="176" t="n">
        <v>0.1</v>
      </c>
      <c r="AD197" s="176" t="n">
        <v>0.12</v>
      </c>
      <c r="AE197" s="139"/>
      <c r="AF197" s="176" t="n">
        <v>0.2</v>
      </c>
      <c r="AG197" s="176" t="n">
        <v>0.25</v>
      </c>
      <c r="AH197" s="176" t="n">
        <v>0.3</v>
      </c>
      <c r="AI197" s="139"/>
      <c r="AJ197" s="176" t="n">
        <v>0.12</v>
      </c>
      <c r="AK197" s="176" t="n">
        <v>0.15</v>
      </c>
      <c r="AL197" s="176" t="n">
        <v>0.18</v>
      </c>
      <c r="AM197" s="139"/>
      <c r="AN197" s="140" t="n">
        <v>63</v>
      </c>
      <c r="AO197" s="177" t="n">
        <v>0.4</v>
      </c>
      <c r="AP197" s="139"/>
      <c r="AQ197" s="139"/>
      <c r="AR197" s="139"/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41" t="n">
        <v>42767</v>
      </c>
      <c r="BG197" s="179" t="n">
        <v>0.75</v>
      </c>
      <c r="BH197" s="139"/>
      <c r="BI197" s="139"/>
      <c r="BJ197" s="139"/>
      <c r="BK197" s="139"/>
      <c r="BL197" s="139"/>
      <c r="BM197" s="139"/>
      <c r="BN197" s="139"/>
      <c r="BO197" s="139"/>
      <c r="BP197" s="139"/>
      <c r="BQ197" s="139"/>
      <c r="BR197" s="139"/>
      <c r="BS197" s="139"/>
      <c r="BT197" s="139"/>
      <c r="BU197" s="139"/>
      <c r="BV197" s="139"/>
      <c r="BW197" s="139"/>
      <c r="BX197" s="139"/>
      <c r="BY197" s="139"/>
      <c r="BZ197" s="139"/>
      <c r="CA197" s="139"/>
      <c r="CB197" s="139"/>
      <c r="CC197" s="139"/>
      <c r="CD197" s="139"/>
      <c r="CE197" s="139"/>
      <c r="CF197" s="0"/>
      <c r="CN197" s="0"/>
      <c r="CO197" s="0"/>
      <c r="CP197" s="0"/>
      <c r="CQ197" s="0"/>
      <c r="CR197" s="0"/>
      <c r="CW197" s="181" t="n">
        <f aca="false">K197</f>
        <v>42767</v>
      </c>
      <c r="CX197" s="182" t="n">
        <f aca="false">AF197</f>
        <v>0.2</v>
      </c>
      <c r="CY197" s="182" t="n">
        <f aca="false">AG197</f>
        <v>0.25</v>
      </c>
      <c r="CZ197" s="182" t="n">
        <f aca="false">AH197</f>
        <v>0.3</v>
      </c>
      <c r="DB197" s="182" t="n">
        <f aca="false">X197</f>
        <v>0.16</v>
      </c>
      <c r="DC197" s="182" t="n">
        <f aca="false">Y197</f>
        <v>0.2</v>
      </c>
      <c r="DD197" s="182" t="n">
        <f aca="false">Z197</f>
        <v>0.24</v>
      </c>
      <c r="DF197" s="181" t="n">
        <f aca="false">BF197</f>
        <v>42767</v>
      </c>
      <c r="DG197" s="133" t="n">
        <f aca="false">BG197</f>
        <v>0.75</v>
      </c>
      <c r="DJ197" s="181" t="n">
        <f aca="false">CW197</f>
        <v>42767</v>
      </c>
      <c r="DK197" s="182" t="n">
        <f aca="false">AJ197</f>
        <v>0.12</v>
      </c>
      <c r="DL197" s="182" t="n">
        <f aca="false">AK197</f>
        <v>0.15</v>
      </c>
      <c r="DM197" s="182" t="n">
        <f aca="false">AL197</f>
        <v>0.18</v>
      </c>
      <c r="DO197" s="182" t="n">
        <f aca="false">AB197</f>
        <v>0.08</v>
      </c>
      <c r="DP197" s="182" t="n">
        <f aca="false">AC197</f>
        <v>0.1</v>
      </c>
      <c r="DQ197" s="182" t="n">
        <f aca="false">AD197</f>
        <v>0.12</v>
      </c>
    </row>
    <row r="198" customFormat="false" ht="12.75" hidden="false" customHeight="false" outlineLevel="0" collapsed="false">
      <c r="A198" s="133"/>
      <c r="B198" s="174" t="n">
        <v>41913</v>
      </c>
      <c r="C198" s="175" t="n">
        <v>33.6115684509277</v>
      </c>
      <c r="D198" s="175" t="n">
        <v>35.1115684509277</v>
      </c>
      <c r="E198" s="175" t="n">
        <v>36.6115684509277</v>
      </c>
      <c r="F198" s="159"/>
      <c r="G198" s="175" t="n">
        <v>21.540002822876</v>
      </c>
      <c r="H198" s="175" t="n">
        <v>21.540002822876</v>
      </c>
      <c r="I198" s="175" t="n">
        <v>21.540002822876</v>
      </c>
      <c r="J198" s="140"/>
      <c r="K198" s="141" t="n">
        <v>42795</v>
      </c>
      <c r="L198" s="176" t="n">
        <v>25.5</v>
      </c>
      <c r="M198" s="176" t="n">
        <v>25.5</v>
      </c>
      <c r="N198" s="176" t="n">
        <v>25.5</v>
      </c>
      <c r="O198" s="139"/>
      <c r="P198" s="176" t="n">
        <v>20</v>
      </c>
      <c r="Q198" s="176" t="n">
        <v>20</v>
      </c>
      <c r="R198" s="176" t="n">
        <v>20</v>
      </c>
      <c r="S198" s="139"/>
      <c r="T198" s="176" t="n">
        <v>0</v>
      </c>
      <c r="U198" s="176" t="n">
        <v>0</v>
      </c>
      <c r="V198" s="176" t="n">
        <v>0</v>
      </c>
      <c r="W198" s="139"/>
      <c r="X198" s="176" t="n">
        <v>0.16</v>
      </c>
      <c r="Y198" s="176" t="n">
        <v>0.2</v>
      </c>
      <c r="Z198" s="176" t="n">
        <v>0.24</v>
      </c>
      <c r="AA198" s="139"/>
      <c r="AB198" s="176" t="n">
        <v>0.08</v>
      </c>
      <c r="AC198" s="176" t="n">
        <v>0.1</v>
      </c>
      <c r="AD198" s="176" t="n">
        <v>0.12</v>
      </c>
      <c r="AE198" s="139"/>
      <c r="AF198" s="176" t="n">
        <v>0.2</v>
      </c>
      <c r="AG198" s="176" t="n">
        <v>0.25</v>
      </c>
      <c r="AH198" s="176" t="n">
        <v>0.3</v>
      </c>
      <c r="AI198" s="139"/>
      <c r="AJ198" s="176" t="n">
        <v>0.12</v>
      </c>
      <c r="AK198" s="176" t="n">
        <v>0.15</v>
      </c>
      <c r="AL198" s="176" t="n">
        <v>0.18</v>
      </c>
      <c r="AM198" s="139"/>
      <c r="AN198" s="140" t="n">
        <v>63</v>
      </c>
      <c r="AO198" s="177" t="n">
        <v>0.4</v>
      </c>
      <c r="AP198" s="139"/>
      <c r="AQ198" s="139"/>
      <c r="AR198" s="139"/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41" t="n">
        <v>42795</v>
      </c>
      <c r="BG198" s="179" t="n">
        <v>0.75</v>
      </c>
      <c r="BH198" s="139"/>
      <c r="BI198" s="139"/>
      <c r="BJ198" s="139"/>
      <c r="BK198" s="139"/>
      <c r="BL198" s="139"/>
      <c r="BM198" s="139"/>
      <c r="BN198" s="139"/>
      <c r="BO198" s="139"/>
      <c r="BP198" s="139"/>
      <c r="BQ198" s="139"/>
      <c r="BR198" s="139"/>
      <c r="BS198" s="139"/>
      <c r="BT198" s="139"/>
      <c r="BU198" s="139"/>
      <c r="BV198" s="139"/>
      <c r="BW198" s="139"/>
      <c r="BX198" s="139"/>
      <c r="BY198" s="139"/>
      <c r="BZ198" s="139"/>
      <c r="CA198" s="139"/>
      <c r="CB198" s="139"/>
      <c r="CC198" s="139"/>
      <c r="CD198" s="139"/>
      <c r="CE198" s="139"/>
      <c r="CF198" s="0"/>
      <c r="CN198" s="0"/>
      <c r="CO198" s="0"/>
      <c r="CP198" s="0"/>
      <c r="CQ198" s="0"/>
      <c r="CR198" s="0"/>
      <c r="CW198" s="181" t="n">
        <f aca="false">K198</f>
        <v>42795</v>
      </c>
      <c r="CX198" s="182" t="n">
        <f aca="false">AF198</f>
        <v>0.2</v>
      </c>
      <c r="CY198" s="182" t="n">
        <f aca="false">AG198</f>
        <v>0.25</v>
      </c>
      <c r="CZ198" s="182" t="n">
        <f aca="false">AH198</f>
        <v>0.3</v>
      </c>
      <c r="DB198" s="182" t="n">
        <f aca="false">X198</f>
        <v>0.16</v>
      </c>
      <c r="DC198" s="182" t="n">
        <f aca="false">Y198</f>
        <v>0.2</v>
      </c>
      <c r="DD198" s="182" t="n">
        <f aca="false">Z198</f>
        <v>0.24</v>
      </c>
      <c r="DF198" s="181" t="n">
        <f aca="false">BF198</f>
        <v>42795</v>
      </c>
      <c r="DG198" s="133" t="n">
        <f aca="false">BG198</f>
        <v>0.75</v>
      </c>
      <c r="DJ198" s="181" t="n">
        <f aca="false">CW198</f>
        <v>42795</v>
      </c>
      <c r="DK198" s="182" t="n">
        <f aca="false">AJ198</f>
        <v>0.12</v>
      </c>
      <c r="DL198" s="182" t="n">
        <f aca="false">AK198</f>
        <v>0.15</v>
      </c>
      <c r="DM198" s="182" t="n">
        <f aca="false">AL198</f>
        <v>0.18</v>
      </c>
      <c r="DO198" s="182" t="n">
        <f aca="false">AB198</f>
        <v>0.08</v>
      </c>
      <c r="DP198" s="182" t="n">
        <f aca="false">AC198</f>
        <v>0.1</v>
      </c>
      <c r="DQ198" s="182" t="n">
        <f aca="false">AD198</f>
        <v>0.12</v>
      </c>
    </row>
    <row r="199" customFormat="false" ht="12.75" hidden="false" customHeight="false" outlineLevel="0" collapsed="false">
      <c r="A199" s="133"/>
      <c r="B199" s="174" t="n">
        <v>41944</v>
      </c>
      <c r="C199" s="175" t="n">
        <v>33.7115669250488</v>
      </c>
      <c r="D199" s="175" t="n">
        <v>35.2115669250488</v>
      </c>
      <c r="E199" s="175" t="n">
        <v>36.7115669250488</v>
      </c>
      <c r="F199" s="159"/>
      <c r="G199" s="175" t="n">
        <v>22.5400009155273</v>
      </c>
      <c r="H199" s="175" t="n">
        <v>22.5400009155273</v>
      </c>
      <c r="I199" s="175" t="n">
        <v>22.5400009155273</v>
      </c>
      <c r="J199" s="140"/>
      <c r="K199" s="141" t="n">
        <v>42826</v>
      </c>
      <c r="L199" s="176" t="n">
        <v>22</v>
      </c>
      <c r="M199" s="176" t="n">
        <v>22</v>
      </c>
      <c r="N199" s="176" t="n">
        <v>22</v>
      </c>
      <c r="O199" s="139"/>
      <c r="P199" s="176" t="n">
        <v>16.4950008392334</v>
      </c>
      <c r="Q199" s="176" t="n">
        <v>16.4950008392334</v>
      </c>
      <c r="R199" s="176" t="n">
        <v>16.4950008392334</v>
      </c>
      <c r="S199" s="139"/>
      <c r="T199" s="176" t="n">
        <v>0</v>
      </c>
      <c r="U199" s="176" t="n">
        <v>0</v>
      </c>
      <c r="V199" s="176" t="n">
        <v>0</v>
      </c>
      <c r="W199" s="139"/>
      <c r="X199" s="176" t="n">
        <v>0.16</v>
      </c>
      <c r="Y199" s="176" t="n">
        <v>0.2</v>
      </c>
      <c r="Z199" s="176" t="n">
        <v>0.24</v>
      </c>
      <c r="AA199" s="139"/>
      <c r="AB199" s="176" t="n">
        <v>0.08</v>
      </c>
      <c r="AC199" s="176" t="n">
        <v>0.1</v>
      </c>
      <c r="AD199" s="176" t="n">
        <v>0.12</v>
      </c>
      <c r="AE199" s="139"/>
      <c r="AF199" s="176" t="n">
        <v>0.2</v>
      </c>
      <c r="AG199" s="176" t="n">
        <v>0.25</v>
      </c>
      <c r="AH199" s="176" t="n">
        <v>0.3</v>
      </c>
      <c r="AI199" s="139"/>
      <c r="AJ199" s="176" t="n">
        <v>0.12</v>
      </c>
      <c r="AK199" s="176" t="n">
        <v>0.15</v>
      </c>
      <c r="AL199" s="176" t="n">
        <v>0.18</v>
      </c>
      <c r="AM199" s="139"/>
      <c r="AN199" s="140" t="n">
        <v>64</v>
      </c>
      <c r="AO199" s="177" t="n">
        <v>0.4</v>
      </c>
      <c r="AP199" s="139"/>
      <c r="AQ199" s="139"/>
      <c r="AR199" s="139"/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41" t="n">
        <v>42826</v>
      </c>
      <c r="BG199" s="179" t="n">
        <v>0.75</v>
      </c>
      <c r="BH199" s="139"/>
      <c r="BI199" s="139"/>
      <c r="BJ199" s="139"/>
      <c r="BK199" s="139"/>
      <c r="BL199" s="139"/>
      <c r="BM199" s="139"/>
      <c r="BN199" s="139"/>
      <c r="BO199" s="139"/>
      <c r="BP199" s="139"/>
      <c r="BQ199" s="139"/>
      <c r="BR199" s="139"/>
      <c r="BS199" s="139"/>
      <c r="BT199" s="139"/>
      <c r="BU199" s="139"/>
      <c r="BV199" s="139"/>
      <c r="BW199" s="139"/>
      <c r="BX199" s="139"/>
      <c r="BY199" s="139"/>
      <c r="BZ199" s="139"/>
      <c r="CA199" s="139"/>
      <c r="CB199" s="139"/>
      <c r="CC199" s="139"/>
      <c r="CD199" s="139"/>
      <c r="CE199" s="139"/>
      <c r="CF199" s="0"/>
      <c r="CN199" s="0"/>
      <c r="CO199" s="0"/>
      <c r="CP199" s="0"/>
      <c r="CQ199" s="0"/>
      <c r="CR199" s="0"/>
      <c r="CW199" s="181" t="n">
        <f aca="false">K199</f>
        <v>42826</v>
      </c>
      <c r="CX199" s="182" t="n">
        <f aca="false">AF199</f>
        <v>0.2</v>
      </c>
      <c r="CY199" s="182" t="n">
        <f aca="false">AG199</f>
        <v>0.25</v>
      </c>
      <c r="CZ199" s="182" t="n">
        <f aca="false">AH199</f>
        <v>0.3</v>
      </c>
      <c r="DB199" s="182" t="n">
        <f aca="false">X199</f>
        <v>0.16</v>
      </c>
      <c r="DC199" s="182" t="n">
        <f aca="false">Y199</f>
        <v>0.2</v>
      </c>
      <c r="DD199" s="182" t="n">
        <f aca="false">Z199</f>
        <v>0.24</v>
      </c>
      <c r="DF199" s="181" t="n">
        <f aca="false">BF199</f>
        <v>42826</v>
      </c>
      <c r="DG199" s="133" t="n">
        <f aca="false">BG199</f>
        <v>0.75</v>
      </c>
      <c r="DJ199" s="181" t="n">
        <f aca="false">CW199</f>
        <v>42826</v>
      </c>
      <c r="DK199" s="182" t="n">
        <f aca="false">AJ199</f>
        <v>0.12</v>
      </c>
      <c r="DL199" s="182" t="n">
        <f aca="false">AK199</f>
        <v>0.15</v>
      </c>
      <c r="DM199" s="182" t="n">
        <f aca="false">AL199</f>
        <v>0.18</v>
      </c>
      <c r="DO199" s="182" t="n">
        <f aca="false">AB199</f>
        <v>0.08</v>
      </c>
      <c r="DP199" s="182" t="n">
        <f aca="false">AC199</f>
        <v>0.1</v>
      </c>
      <c r="DQ199" s="182" t="n">
        <f aca="false">AD199</f>
        <v>0.12</v>
      </c>
    </row>
    <row r="200" customFormat="false" ht="12.75" hidden="false" customHeight="false" outlineLevel="0" collapsed="false">
      <c r="A200" s="133"/>
      <c r="B200" s="174" t="n">
        <v>41974</v>
      </c>
      <c r="C200" s="175" t="n">
        <v>33.8115653991699</v>
      </c>
      <c r="D200" s="175" t="n">
        <v>35.3115653991699</v>
      </c>
      <c r="E200" s="175" t="n">
        <v>36.8115653991699</v>
      </c>
      <c r="F200" s="159"/>
      <c r="G200" s="175" t="n">
        <v>24.7900009155273</v>
      </c>
      <c r="H200" s="175" t="n">
        <v>24.7900009155273</v>
      </c>
      <c r="I200" s="175" t="n">
        <v>24.7900009155273</v>
      </c>
      <c r="J200" s="140"/>
      <c r="K200" s="141" t="n">
        <v>42856</v>
      </c>
      <c r="L200" s="176" t="n">
        <v>22.2900009155273</v>
      </c>
      <c r="M200" s="176" t="n">
        <v>22.2900009155273</v>
      </c>
      <c r="N200" s="176" t="n">
        <v>22.2900009155273</v>
      </c>
      <c r="O200" s="139"/>
      <c r="P200" s="176" t="n">
        <v>15.7950000762939</v>
      </c>
      <c r="Q200" s="176" t="n">
        <v>15.7950000762939</v>
      </c>
      <c r="R200" s="176" t="n">
        <v>15.7950000762939</v>
      </c>
      <c r="S200" s="139"/>
      <c r="T200" s="176" t="n">
        <v>0</v>
      </c>
      <c r="U200" s="176" t="n">
        <v>0</v>
      </c>
      <c r="V200" s="176" t="n">
        <v>0</v>
      </c>
      <c r="W200" s="139"/>
      <c r="X200" s="176" t="n">
        <v>0.16</v>
      </c>
      <c r="Y200" s="176" t="n">
        <v>0.2</v>
      </c>
      <c r="Z200" s="176" t="n">
        <v>0.24</v>
      </c>
      <c r="AA200" s="139"/>
      <c r="AB200" s="176" t="n">
        <v>0.08</v>
      </c>
      <c r="AC200" s="176" t="n">
        <v>0.1</v>
      </c>
      <c r="AD200" s="176" t="n">
        <v>0.12</v>
      </c>
      <c r="AE200" s="139"/>
      <c r="AF200" s="176" t="n">
        <v>0.2</v>
      </c>
      <c r="AG200" s="176" t="n">
        <v>0.25</v>
      </c>
      <c r="AH200" s="176" t="n">
        <v>0.3</v>
      </c>
      <c r="AI200" s="139"/>
      <c r="AJ200" s="176" t="n">
        <v>0.12</v>
      </c>
      <c r="AK200" s="176" t="n">
        <v>0.15</v>
      </c>
      <c r="AL200" s="176" t="n">
        <v>0.18</v>
      </c>
      <c r="AM200" s="139"/>
      <c r="AN200" s="140" t="n">
        <v>64</v>
      </c>
      <c r="AO200" s="177" t="n">
        <v>0.4</v>
      </c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41" t="n">
        <v>42856</v>
      </c>
      <c r="BG200" s="179" t="n">
        <v>0.75</v>
      </c>
      <c r="BH200" s="139"/>
      <c r="BI200" s="139"/>
      <c r="BJ200" s="139"/>
      <c r="BK200" s="139"/>
      <c r="BL200" s="139"/>
      <c r="BM200" s="139"/>
      <c r="BN200" s="139"/>
      <c r="BO200" s="139"/>
      <c r="BP200" s="139"/>
      <c r="BQ200" s="139"/>
      <c r="BR200" s="139"/>
      <c r="BS200" s="139"/>
      <c r="BT200" s="139"/>
      <c r="BU200" s="139"/>
      <c r="BV200" s="139"/>
      <c r="BW200" s="139"/>
      <c r="BX200" s="139"/>
      <c r="BY200" s="139"/>
      <c r="BZ200" s="139"/>
      <c r="CA200" s="139"/>
      <c r="CB200" s="139"/>
      <c r="CC200" s="139"/>
      <c r="CD200" s="139"/>
      <c r="CE200" s="139"/>
      <c r="CF200" s="0"/>
      <c r="CN200" s="0"/>
      <c r="CO200" s="0"/>
      <c r="CP200" s="0"/>
      <c r="CQ200" s="0"/>
      <c r="CR200" s="0"/>
      <c r="CW200" s="181" t="n">
        <f aca="false">K200</f>
        <v>42856</v>
      </c>
      <c r="CX200" s="182" t="n">
        <f aca="false">AF200</f>
        <v>0.2</v>
      </c>
      <c r="CY200" s="182" t="n">
        <f aca="false">AG200</f>
        <v>0.25</v>
      </c>
      <c r="CZ200" s="182" t="n">
        <f aca="false">AH200</f>
        <v>0.3</v>
      </c>
      <c r="DB200" s="182" t="n">
        <f aca="false">X200</f>
        <v>0.16</v>
      </c>
      <c r="DC200" s="182" t="n">
        <f aca="false">Y200</f>
        <v>0.2</v>
      </c>
      <c r="DD200" s="182" t="n">
        <f aca="false">Z200</f>
        <v>0.24</v>
      </c>
      <c r="DF200" s="181" t="n">
        <f aca="false">BF200</f>
        <v>42856</v>
      </c>
      <c r="DG200" s="133" t="n">
        <f aca="false">BG200</f>
        <v>0.75</v>
      </c>
      <c r="DJ200" s="181" t="n">
        <f aca="false">CW200</f>
        <v>42856</v>
      </c>
      <c r="DK200" s="182" t="n">
        <f aca="false">AJ200</f>
        <v>0.12</v>
      </c>
      <c r="DL200" s="182" t="n">
        <f aca="false">AK200</f>
        <v>0.15</v>
      </c>
      <c r="DM200" s="182" t="n">
        <f aca="false">AL200</f>
        <v>0.18</v>
      </c>
      <c r="DO200" s="182" t="n">
        <f aca="false">AB200</f>
        <v>0.08</v>
      </c>
      <c r="DP200" s="182" t="n">
        <f aca="false">AC200</f>
        <v>0.1</v>
      </c>
      <c r="DQ200" s="182" t="n">
        <f aca="false">AD200</f>
        <v>0.12</v>
      </c>
    </row>
    <row r="201" customFormat="false" ht="12.75" hidden="false" customHeight="false" outlineLevel="0" collapsed="false">
      <c r="A201" s="133"/>
      <c r="B201" s="174" t="n">
        <v>42005</v>
      </c>
      <c r="C201" s="175" t="n">
        <v>37.4957160949707</v>
      </c>
      <c r="D201" s="175" t="n">
        <v>38.9957160949707</v>
      </c>
      <c r="E201" s="175" t="n">
        <v>40.4957160949707</v>
      </c>
      <c r="F201" s="159"/>
      <c r="G201" s="175" t="n">
        <v>27</v>
      </c>
      <c r="H201" s="175" t="n">
        <v>27</v>
      </c>
      <c r="I201" s="175" t="n">
        <v>27</v>
      </c>
      <c r="J201" s="140"/>
      <c r="K201" s="141" t="n">
        <v>42887</v>
      </c>
      <c r="L201" s="176" t="n">
        <v>29.2900009155273</v>
      </c>
      <c r="M201" s="176" t="n">
        <v>29.2900009155273</v>
      </c>
      <c r="N201" s="176" t="n">
        <v>29.2900009155273</v>
      </c>
      <c r="O201" s="139"/>
      <c r="P201" s="176" t="n">
        <v>19.7900009155273</v>
      </c>
      <c r="Q201" s="176" t="n">
        <v>19.7900009155273</v>
      </c>
      <c r="R201" s="176" t="n">
        <v>19.7900009155273</v>
      </c>
      <c r="S201" s="139"/>
      <c r="T201" s="176" t="n">
        <v>0</v>
      </c>
      <c r="U201" s="176" t="n">
        <v>0</v>
      </c>
      <c r="V201" s="176" t="n">
        <v>0</v>
      </c>
      <c r="W201" s="139"/>
      <c r="X201" s="176" t="n">
        <v>0.16</v>
      </c>
      <c r="Y201" s="176" t="n">
        <v>0.2</v>
      </c>
      <c r="Z201" s="176" t="n">
        <v>0.24</v>
      </c>
      <c r="AA201" s="139"/>
      <c r="AB201" s="176" t="n">
        <v>0.08</v>
      </c>
      <c r="AC201" s="176" t="n">
        <v>0.1</v>
      </c>
      <c r="AD201" s="176" t="n">
        <v>0.12</v>
      </c>
      <c r="AE201" s="139"/>
      <c r="AF201" s="176" t="n">
        <v>0.2</v>
      </c>
      <c r="AG201" s="176" t="n">
        <v>0.25</v>
      </c>
      <c r="AH201" s="176" t="n">
        <v>0.3</v>
      </c>
      <c r="AI201" s="139"/>
      <c r="AJ201" s="176" t="n">
        <v>0.12</v>
      </c>
      <c r="AK201" s="176" t="n">
        <v>0.15</v>
      </c>
      <c r="AL201" s="176" t="n">
        <v>0.18</v>
      </c>
      <c r="AM201" s="139"/>
      <c r="AN201" s="140" t="n">
        <v>64</v>
      </c>
      <c r="AO201" s="177" t="n">
        <v>0.4</v>
      </c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41" t="n">
        <v>42887</v>
      </c>
      <c r="BG201" s="179" t="n">
        <v>0.75</v>
      </c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139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39"/>
      <c r="CD201" s="139"/>
      <c r="CE201" s="139"/>
      <c r="CF201" s="0"/>
      <c r="CN201" s="0"/>
      <c r="CO201" s="0"/>
      <c r="CP201" s="0"/>
      <c r="CQ201" s="0"/>
      <c r="CR201" s="0"/>
      <c r="CW201" s="181" t="n">
        <f aca="false">K201</f>
        <v>42887</v>
      </c>
      <c r="CX201" s="182" t="n">
        <f aca="false">AF201</f>
        <v>0.2</v>
      </c>
      <c r="CY201" s="182" t="n">
        <f aca="false">AG201</f>
        <v>0.25</v>
      </c>
      <c r="CZ201" s="182" t="n">
        <f aca="false">AH201</f>
        <v>0.3</v>
      </c>
      <c r="DB201" s="182" t="n">
        <f aca="false">X201</f>
        <v>0.16</v>
      </c>
      <c r="DC201" s="182" t="n">
        <f aca="false">Y201</f>
        <v>0.2</v>
      </c>
      <c r="DD201" s="182" t="n">
        <f aca="false">Z201</f>
        <v>0.24</v>
      </c>
      <c r="DF201" s="181" t="n">
        <f aca="false">BF201</f>
        <v>42887</v>
      </c>
      <c r="DG201" s="133" t="n">
        <f aca="false">BG201</f>
        <v>0.75</v>
      </c>
      <c r="DJ201" s="181" t="n">
        <f aca="false">CW201</f>
        <v>42887</v>
      </c>
      <c r="DK201" s="182" t="n">
        <f aca="false">AJ201</f>
        <v>0.12</v>
      </c>
      <c r="DL201" s="182" t="n">
        <f aca="false">AK201</f>
        <v>0.15</v>
      </c>
      <c r="DM201" s="182" t="n">
        <f aca="false">AL201</f>
        <v>0.18</v>
      </c>
      <c r="DO201" s="182" t="n">
        <f aca="false">AB201</f>
        <v>0.08</v>
      </c>
      <c r="DP201" s="182" t="n">
        <f aca="false">AC201</f>
        <v>0.1</v>
      </c>
      <c r="DQ201" s="182" t="n">
        <f aca="false">AD201</f>
        <v>0.12</v>
      </c>
    </row>
    <row r="202" customFormat="false" ht="12.75" hidden="false" customHeight="false" outlineLevel="0" collapsed="false">
      <c r="A202" s="133"/>
      <c r="B202" s="174" t="n">
        <v>42036</v>
      </c>
      <c r="C202" s="175" t="n">
        <v>36.8957138061523</v>
      </c>
      <c r="D202" s="175" t="n">
        <v>38.3957138061523</v>
      </c>
      <c r="E202" s="175" t="n">
        <v>39.8957138061523</v>
      </c>
      <c r="F202" s="159"/>
      <c r="G202" s="175" t="n">
        <v>25.5</v>
      </c>
      <c r="H202" s="175" t="n">
        <v>25.5</v>
      </c>
      <c r="I202" s="175" t="n">
        <v>25.5</v>
      </c>
      <c r="J202" s="140"/>
      <c r="K202" s="141" t="n">
        <v>42917</v>
      </c>
      <c r="L202" s="176" t="n">
        <v>35.2900009155273</v>
      </c>
      <c r="M202" s="176" t="n">
        <v>35.2900009155273</v>
      </c>
      <c r="N202" s="176" t="n">
        <v>35.2900009155273</v>
      </c>
      <c r="O202" s="139"/>
      <c r="P202" s="176" t="n">
        <v>25.7900009155273</v>
      </c>
      <c r="Q202" s="176" t="n">
        <v>25.7900009155273</v>
      </c>
      <c r="R202" s="176" t="n">
        <v>25.7900009155273</v>
      </c>
      <c r="S202" s="139"/>
      <c r="T202" s="176" t="n">
        <v>0</v>
      </c>
      <c r="U202" s="176" t="n">
        <v>0</v>
      </c>
      <c r="V202" s="176" t="n">
        <v>0</v>
      </c>
      <c r="W202" s="139"/>
      <c r="X202" s="176" t="n">
        <v>0.16</v>
      </c>
      <c r="Y202" s="176" t="n">
        <v>0.2</v>
      </c>
      <c r="Z202" s="176" t="n">
        <v>0.24</v>
      </c>
      <c r="AA202" s="139"/>
      <c r="AB202" s="176" t="n">
        <v>0.08</v>
      </c>
      <c r="AC202" s="176" t="n">
        <v>0.1</v>
      </c>
      <c r="AD202" s="176" t="n">
        <v>0.12</v>
      </c>
      <c r="AE202" s="139"/>
      <c r="AF202" s="176" t="n">
        <v>0.2</v>
      </c>
      <c r="AG202" s="176" t="n">
        <v>0.25</v>
      </c>
      <c r="AH202" s="176" t="n">
        <v>0.3</v>
      </c>
      <c r="AI202" s="139"/>
      <c r="AJ202" s="176" t="n">
        <v>0.12</v>
      </c>
      <c r="AK202" s="176" t="n">
        <v>0.15</v>
      </c>
      <c r="AL202" s="176" t="n">
        <v>0.18</v>
      </c>
      <c r="AM202" s="139"/>
      <c r="AN202" s="140" t="n">
        <v>65</v>
      </c>
      <c r="AO202" s="177" t="n">
        <v>0.4</v>
      </c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41" t="n">
        <v>42917</v>
      </c>
      <c r="BG202" s="179" t="n">
        <v>0.75</v>
      </c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0"/>
      <c r="CN202" s="0"/>
      <c r="CO202" s="0"/>
      <c r="CP202" s="0"/>
      <c r="CQ202" s="0"/>
      <c r="CR202" s="0"/>
      <c r="CW202" s="181" t="n">
        <f aca="false">K202</f>
        <v>42917</v>
      </c>
      <c r="CX202" s="182" t="n">
        <f aca="false">AF202</f>
        <v>0.2</v>
      </c>
      <c r="CY202" s="182" t="n">
        <f aca="false">AG202</f>
        <v>0.25</v>
      </c>
      <c r="CZ202" s="182" t="n">
        <f aca="false">AH202</f>
        <v>0.3</v>
      </c>
      <c r="DB202" s="182" t="n">
        <f aca="false">X202</f>
        <v>0.16</v>
      </c>
      <c r="DC202" s="182" t="n">
        <f aca="false">Y202</f>
        <v>0.2</v>
      </c>
      <c r="DD202" s="182" t="n">
        <f aca="false">Z202</f>
        <v>0.24</v>
      </c>
      <c r="DF202" s="181" t="n">
        <f aca="false">BF202</f>
        <v>42917</v>
      </c>
      <c r="DG202" s="133" t="n">
        <f aca="false">BG202</f>
        <v>0.75</v>
      </c>
      <c r="DJ202" s="181" t="n">
        <f aca="false">CW202</f>
        <v>42917</v>
      </c>
      <c r="DK202" s="182" t="n">
        <f aca="false">AJ202</f>
        <v>0.12</v>
      </c>
      <c r="DL202" s="182" t="n">
        <f aca="false">AK202</f>
        <v>0.15</v>
      </c>
      <c r="DM202" s="182" t="n">
        <f aca="false">AL202</f>
        <v>0.18</v>
      </c>
      <c r="DO202" s="182" t="n">
        <f aca="false">AB202</f>
        <v>0.08</v>
      </c>
      <c r="DP202" s="182" t="n">
        <f aca="false">AC202</f>
        <v>0.1</v>
      </c>
      <c r="DQ202" s="182" t="n">
        <f aca="false">AD202</f>
        <v>0.12</v>
      </c>
    </row>
    <row r="203" customFormat="false" ht="12.75" hidden="false" customHeight="false" outlineLevel="0" collapsed="false">
      <c r="A203" s="133"/>
      <c r="B203" s="174" t="n">
        <v>42064</v>
      </c>
      <c r="C203" s="175" t="n">
        <v>35.6076812744141</v>
      </c>
      <c r="D203" s="175" t="n">
        <v>37.1076812744141</v>
      </c>
      <c r="E203" s="175" t="n">
        <v>38.6076812744141</v>
      </c>
      <c r="F203" s="159"/>
      <c r="G203" s="175" t="n">
        <v>26.5</v>
      </c>
      <c r="H203" s="175" t="n">
        <v>26.5</v>
      </c>
      <c r="I203" s="175" t="n">
        <v>26.5</v>
      </c>
      <c r="J203" s="140"/>
      <c r="K203" s="141" t="n">
        <v>42948</v>
      </c>
      <c r="L203" s="176" t="n">
        <v>33.2900047302246</v>
      </c>
      <c r="M203" s="176" t="n">
        <v>33.2900047302246</v>
      </c>
      <c r="N203" s="176" t="n">
        <v>33.2900047302246</v>
      </c>
      <c r="O203" s="139"/>
      <c r="P203" s="176" t="n">
        <v>25.7900009155273</v>
      </c>
      <c r="Q203" s="176" t="n">
        <v>25.7900009155273</v>
      </c>
      <c r="R203" s="176" t="n">
        <v>25.7900009155273</v>
      </c>
      <c r="S203" s="139"/>
      <c r="T203" s="176" t="n">
        <v>0</v>
      </c>
      <c r="U203" s="176" t="n">
        <v>0</v>
      </c>
      <c r="V203" s="176" t="n">
        <v>0</v>
      </c>
      <c r="W203" s="139"/>
      <c r="X203" s="176" t="n">
        <v>0.24</v>
      </c>
      <c r="Y203" s="176" t="n">
        <v>0.3</v>
      </c>
      <c r="Z203" s="176" t="n">
        <v>0.36</v>
      </c>
      <c r="AA203" s="139"/>
      <c r="AB203" s="176" t="n">
        <v>0.12</v>
      </c>
      <c r="AC203" s="176" t="n">
        <v>0.15</v>
      </c>
      <c r="AD203" s="176" t="n">
        <v>0.18</v>
      </c>
      <c r="AE203" s="139"/>
      <c r="AF203" s="176" t="n">
        <v>0.32</v>
      </c>
      <c r="AG203" s="176" t="n">
        <v>0.4</v>
      </c>
      <c r="AH203" s="176" t="n">
        <v>0.48</v>
      </c>
      <c r="AI203" s="139"/>
      <c r="AJ203" s="176" t="n">
        <v>0.192</v>
      </c>
      <c r="AK203" s="176" t="n">
        <v>0.24</v>
      </c>
      <c r="AL203" s="176" t="n">
        <v>0.288</v>
      </c>
      <c r="AM203" s="139"/>
      <c r="AN203" s="140" t="n">
        <v>65</v>
      </c>
      <c r="AO203" s="177" t="n">
        <v>0.4</v>
      </c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41" t="n">
        <v>42948</v>
      </c>
      <c r="BG203" s="179" t="n">
        <v>0.75</v>
      </c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  <c r="BT203" s="139"/>
      <c r="BU203" s="139"/>
      <c r="BV203" s="139"/>
      <c r="BW203" s="139"/>
      <c r="BX203" s="139"/>
      <c r="BY203" s="139"/>
      <c r="BZ203" s="139"/>
      <c r="CA203" s="139"/>
      <c r="CB203" s="139"/>
      <c r="CC203" s="139"/>
      <c r="CD203" s="139"/>
      <c r="CE203" s="139"/>
      <c r="CF203" s="0"/>
      <c r="CN203" s="0"/>
      <c r="CO203" s="0"/>
      <c r="CP203" s="0"/>
      <c r="CQ203" s="0"/>
      <c r="CR203" s="0"/>
      <c r="CW203" s="181" t="n">
        <f aca="false">K203</f>
        <v>42948</v>
      </c>
      <c r="CX203" s="182" t="n">
        <f aca="false">AF203</f>
        <v>0.32</v>
      </c>
      <c r="CY203" s="182" t="n">
        <f aca="false">AG203</f>
        <v>0.4</v>
      </c>
      <c r="CZ203" s="182" t="n">
        <f aca="false">AH203</f>
        <v>0.48</v>
      </c>
      <c r="DB203" s="182" t="n">
        <f aca="false">X203</f>
        <v>0.24</v>
      </c>
      <c r="DC203" s="182" t="n">
        <f aca="false">Y203</f>
        <v>0.3</v>
      </c>
      <c r="DD203" s="182" t="n">
        <f aca="false">Z203</f>
        <v>0.36</v>
      </c>
      <c r="DF203" s="181" t="n">
        <f aca="false">BF203</f>
        <v>42948</v>
      </c>
      <c r="DG203" s="133" t="n">
        <f aca="false">BG203</f>
        <v>0.75</v>
      </c>
      <c r="DJ203" s="181" t="n">
        <f aca="false">CW203</f>
        <v>42948</v>
      </c>
      <c r="DK203" s="182" t="n">
        <f aca="false">AJ203</f>
        <v>0.192</v>
      </c>
      <c r="DL203" s="182" t="n">
        <f aca="false">AK203</f>
        <v>0.24</v>
      </c>
      <c r="DM203" s="182" t="n">
        <f aca="false">AL203</f>
        <v>0.288</v>
      </c>
      <c r="DO203" s="182" t="n">
        <f aca="false">AB203</f>
        <v>0.12</v>
      </c>
      <c r="DP203" s="182" t="n">
        <f aca="false">AC203</f>
        <v>0.15</v>
      </c>
      <c r="DQ203" s="182" t="n">
        <f aca="false">AD203</f>
        <v>0.18</v>
      </c>
    </row>
    <row r="204" customFormat="false" ht="12.75" hidden="false" customHeight="false" outlineLevel="0" collapsed="false">
      <c r="A204" s="133"/>
      <c r="B204" s="174" t="n">
        <v>42095</v>
      </c>
      <c r="C204" s="175" t="n">
        <v>35.8076820373535</v>
      </c>
      <c r="D204" s="175" t="n">
        <v>37.3076820373535</v>
      </c>
      <c r="E204" s="175" t="n">
        <v>38.8076820373535</v>
      </c>
      <c r="F204" s="159"/>
      <c r="G204" s="175" t="n">
        <v>23.5</v>
      </c>
      <c r="H204" s="175" t="n">
        <v>23.5</v>
      </c>
      <c r="I204" s="175" t="n">
        <v>23.5</v>
      </c>
      <c r="J204" s="140"/>
      <c r="K204" s="141" t="n">
        <v>42979</v>
      </c>
      <c r="L204" s="176" t="n">
        <v>25.2900009155273</v>
      </c>
      <c r="M204" s="176" t="n">
        <v>25.2900009155273</v>
      </c>
      <c r="N204" s="176" t="n">
        <v>25.2900009155273</v>
      </c>
      <c r="O204" s="139"/>
      <c r="P204" s="176" t="n">
        <v>19.7900009155273</v>
      </c>
      <c r="Q204" s="176" t="n">
        <v>19.7900009155273</v>
      </c>
      <c r="R204" s="176" t="n">
        <v>19.7900009155273</v>
      </c>
      <c r="S204" s="139"/>
      <c r="T204" s="176" t="n">
        <v>0</v>
      </c>
      <c r="U204" s="176" t="n">
        <v>0</v>
      </c>
      <c r="V204" s="176" t="n">
        <v>0</v>
      </c>
      <c r="W204" s="139"/>
      <c r="X204" s="176" t="n">
        <v>0.24</v>
      </c>
      <c r="Y204" s="176" t="n">
        <v>0.3</v>
      </c>
      <c r="Z204" s="176" t="n">
        <v>0.36</v>
      </c>
      <c r="AA204" s="139"/>
      <c r="AB204" s="176" t="n">
        <v>0.12</v>
      </c>
      <c r="AC204" s="176" t="n">
        <v>0.15</v>
      </c>
      <c r="AD204" s="176" t="n">
        <v>0.18</v>
      </c>
      <c r="AE204" s="139"/>
      <c r="AF204" s="176" t="n">
        <v>0.32</v>
      </c>
      <c r="AG204" s="176" t="n">
        <v>0.4</v>
      </c>
      <c r="AH204" s="176" t="n">
        <v>0.48</v>
      </c>
      <c r="AI204" s="139"/>
      <c r="AJ204" s="176" t="n">
        <v>0.192</v>
      </c>
      <c r="AK204" s="176" t="n">
        <v>0.24</v>
      </c>
      <c r="AL204" s="176" t="n">
        <v>0.288</v>
      </c>
      <c r="AM204" s="139"/>
      <c r="AN204" s="140" t="n">
        <v>65</v>
      </c>
      <c r="AO204" s="177" t="n">
        <v>0.4</v>
      </c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41" t="n">
        <v>42979</v>
      </c>
      <c r="BG204" s="179" t="n">
        <v>0.75</v>
      </c>
      <c r="BH204" s="139"/>
      <c r="BI204" s="139"/>
      <c r="BJ204" s="139"/>
      <c r="BK204" s="139"/>
      <c r="BL204" s="139"/>
      <c r="BM204" s="139"/>
      <c r="BN204" s="139"/>
      <c r="BO204" s="139"/>
      <c r="BP204" s="139"/>
      <c r="BQ204" s="139"/>
      <c r="BR204" s="139"/>
      <c r="BS204" s="139"/>
      <c r="BT204" s="139"/>
      <c r="BU204" s="139"/>
      <c r="BV204" s="139"/>
      <c r="BW204" s="139"/>
      <c r="BX204" s="139"/>
      <c r="BY204" s="139"/>
      <c r="BZ204" s="139"/>
      <c r="CA204" s="139"/>
      <c r="CB204" s="139"/>
      <c r="CC204" s="139"/>
      <c r="CD204" s="139"/>
      <c r="CE204" s="139"/>
      <c r="CF204" s="0"/>
      <c r="CN204" s="0"/>
      <c r="CO204" s="0"/>
      <c r="CP204" s="0"/>
      <c r="CQ204" s="0"/>
      <c r="CR204" s="0"/>
      <c r="CW204" s="181" t="n">
        <f aca="false">K204</f>
        <v>42979</v>
      </c>
      <c r="CX204" s="182" t="n">
        <f aca="false">AF204</f>
        <v>0.32</v>
      </c>
      <c r="CY204" s="182" t="n">
        <f aca="false">AG204</f>
        <v>0.4</v>
      </c>
      <c r="CZ204" s="182" t="n">
        <f aca="false">AH204</f>
        <v>0.48</v>
      </c>
      <c r="DB204" s="182" t="n">
        <f aca="false">X204</f>
        <v>0.24</v>
      </c>
      <c r="DC204" s="182" t="n">
        <f aca="false">Y204</f>
        <v>0.3</v>
      </c>
      <c r="DD204" s="182" t="n">
        <f aca="false">Z204</f>
        <v>0.36</v>
      </c>
      <c r="DF204" s="181" t="n">
        <f aca="false">BF204</f>
        <v>42979</v>
      </c>
      <c r="DG204" s="133" t="n">
        <f aca="false">BG204</f>
        <v>0.75</v>
      </c>
      <c r="DJ204" s="181" t="n">
        <f aca="false">CW204</f>
        <v>42979</v>
      </c>
      <c r="DK204" s="182" t="n">
        <f aca="false">AJ204</f>
        <v>0.192</v>
      </c>
      <c r="DL204" s="182" t="n">
        <f aca="false">AK204</f>
        <v>0.24</v>
      </c>
      <c r="DM204" s="182" t="n">
        <f aca="false">AL204</f>
        <v>0.288</v>
      </c>
      <c r="DO204" s="182" t="n">
        <f aca="false">AB204</f>
        <v>0.12</v>
      </c>
      <c r="DP204" s="182" t="n">
        <f aca="false">AC204</f>
        <v>0.15</v>
      </c>
      <c r="DQ204" s="182" t="n">
        <f aca="false">AD204</f>
        <v>0.18</v>
      </c>
    </row>
    <row r="205" customFormat="false" ht="12.75" hidden="false" customHeight="false" outlineLevel="0" collapsed="false">
      <c r="A205" s="133"/>
      <c r="B205" s="174" t="n">
        <v>42125</v>
      </c>
      <c r="C205" s="175" t="n">
        <v>41.9350028991699</v>
      </c>
      <c r="D205" s="175" t="n">
        <v>44.3350028991699</v>
      </c>
      <c r="E205" s="175" t="n">
        <v>46.7350028991699</v>
      </c>
      <c r="F205" s="159"/>
      <c r="G205" s="175" t="n">
        <v>24.0400009155273</v>
      </c>
      <c r="H205" s="175" t="n">
        <v>24.0400009155273</v>
      </c>
      <c r="I205" s="175" t="n">
        <v>24.0400009155273</v>
      </c>
      <c r="J205" s="140"/>
      <c r="K205" s="141" t="n">
        <v>43009</v>
      </c>
      <c r="L205" s="176" t="n">
        <v>20.2860012054443</v>
      </c>
      <c r="M205" s="176" t="n">
        <v>20.2860012054443</v>
      </c>
      <c r="N205" s="176" t="n">
        <v>20.2860012054443</v>
      </c>
      <c r="O205" s="139"/>
      <c r="P205" s="176" t="n">
        <v>14.7865009307861</v>
      </c>
      <c r="Q205" s="176" t="n">
        <v>14.7865009307861</v>
      </c>
      <c r="R205" s="176" t="n">
        <v>14.7865009307861</v>
      </c>
      <c r="S205" s="139"/>
      <c r="T205" s="176" t="n">
        <v>0</v>
      </c>
      <c r="U205" s="176" t="n">
        <v>0</v>
      </c>
      <c r="V205" s="176" t="n">
        <v>0</v>
      </c>
      <c r="W205" s="139"/>
      <c r="X205" s="176" t="n">
        <v>0.16</v>
      </c>
      <c r="Y205" s="176" t="n">
        <v>0.2</v>
      </c>
      <c r="Z205" s="176" t="n">
        <v>0.24</v>
      </c>
      <c r="AA205" s="139"/>
      <c r="AB205" s="176" t="n">
        <v>0.08</v>
      </c>
      <c r="AC205" s="176" t="n">
        <v>0.1</v>
      </c>
      <c r="AD205" s="176" t="n">
        <v>0.12</v>
      </c>
      <c r="AE205" s="139"/>
      <c r="AF205" s="176" t="n">
        <v>0.2</v>
      </c>
      <c r="AG205" s="176" t="n">
        <v>0.25</v>
      </c>
      <c r="AH205" s="176" t="n">
        <v>0.3</v>
      </c>
      <c r="AI205" s="139"/>
      <c r="AJ205" s="176" t="n">
        <v>0.12</v>
      </c>
      <c r="AK205" s="176" t="n">
        <v>0.15</v>
      </c>
      <c r="AL205" s="176" t="n">
        <v>0.18</v>
      </c>
      <c r="AM205" s="139"/>
      <c r="AN205" s="140" t="n">
        <v>66</v>
      </c>
      <c r="AO205" s="177" t="n">
        <v>0.4</v>
      </c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41" t="n">
        <v>43009</v>
      </c>
      <c r="BG205" s="179" t="n">
        <v>0.75</v>
      </c>
      <c r="BH205" s="139"/>
      <c r="BI205" s="139"/>
      <c r="BJ205" s="139"/>
      <c r="BK205" s="139"/>
      <c r="BL205" s="139"/>
      <c r="BM205" s="139"/>
      <c r="BN205" s="139"/>
      <c r="BO205" s="139"/>
      <c r="BP205" s="139"/>
      <c r="BQ205" s="139"/>
      <c r="BR205" s="139"/>
      <c r="BS205" s="139"/>
      <c r="BT205" s="139"/>
      <c r="BU205" s="139"/>
      <c r="BV205" s="139"/>
      <c r="BW205" s="139"/>
      <c r="BX205" s="139"/>
      <c r="BY205" s="139"/>
      <c r="BZ205" s="139"/>
      <c r="CA205" s="139"/>
      <c r="CB205" s="139"/>
      <c r="CC205" s="139"/>
      <c r="CD205" s="139"/>
      <c r="CE205" s="139"/>
      <c r="CF205" s="0"/>
      <c r="CN205" s="0"/>
      <c r="CO205" s="0"/>
      <c r="CP205" s="0"/>
      <c r="CQ205" s="0"/>
      <c r="CR205" s="0"/>
      <c r="CW205" s="181" t="n">
        <f aca="false">K205</f>
        <v>43009</v>
      </c>
      <c r="CX205" s="182" t="n">
        <f aca="false">AF205</f>
        <v>0.2</v>
      </c>
      <c r="CY205" s="182" t="n">
        <f aca="false">AG205</f>
        <v>0.25</v>
      </c>
      <c r="CZ205" s="182" t="n">
        <f aca="false">AH205</f>
        <v>0.3</v>
      </c>
      <c r="DB205" s="182" t="n">
        <f aca="false">X205</f>
        <v>0.16</v>
      </c>
      <c r="DC205" s="182" t="n">
        <f aca="false">Y205</f>
        <v>0.2</v>
      </c>
      <c r="DD205" s="182" t="n">
        <f aca="false">Z205</f>
        <v>0.24</v>
      </c>
      <c r="DF205" s="181" t="n">
        <f aca="false">BF205</f>
        <v>43009</v>
      </c>
      <c r="DG205" s="133" t="n">
        <f aca="false">BG205</f>
        <v>0.75</v>
      </c>
      <c r="DJ205" s="181" t="n">
        <f aca="false">CW205</f>
        <v>43009</v>
      </c>
      <c r="DK205" s="182" t="n">
        <f aca="false">AJ205</f>
        <v>0.12</v>
      </c>
      <c r="DL205" s="182" t="n">
        <f aca="false">AK205</f>
        <v>0.15</v>
      </c>
      <c r="DM205" s="182" t="n">
        <f aca="false">AL205</f>
        <v>0.18</v>
      </c>
      <c r="DO205" s="182" t="n">
        <f aca="false">AB205</f>
        <v>0.08</v>
      </c>
      <c r="DP205" s="182" t="n">
        <f aca="false">AC205</f>
        <v>0.1</v>
      </c>
      <c r="DQ205" s="182" t="n">
        <f aca="false">AD205</f>
        <v>0.12</v>
      </c>
    </row>
    <row r="206" customFormat="false" ht="12.75" hidden="false" customHeight="false" outlineLevel="0" collapsed="false">
      <c r="A206" s="133"/>
      <c r="B206" s="174" t="n">
        <v>42156</v>
      </c>
      <c r="C206" s="175" t="n">
        <v>52.1250038146973</v>
      </c>
      <c r="D206" s="175" t="n">
        <v>57.1250038146973</v>
      </c>
      <c r="E206" s="175" t="n">
        <v>62.1250038146973</v>
      </c>
      <c r="F206" s="159"/>
      <c r="G206" s="175" t="n">
        <v>27.0400009155273</v>
      </c>
      <c r="H206" s="175" t="n">
        <v>27.0400009155273</v>
      </c>
      <c r="I206" s="175" t="n">
        <v>27.0400009155273</v>
      </c>
      <c r="J206" s="140"/>
      <c r="K206" s="141" t="n">
        <v>43040</v>
      </c>
      <c r="L206" s="176" t="n">
        <v>22.2900009155273</v>
      </c>
      <c r="M206" s="176" t="n">
        <v>22.2900009155273</v>
      </c>
      <c r="N206" s="176" t="n">
        <v>22.2900009155273</v>
      </c>
      <c r="O206" s="139"/>
      <c r="P206" s="176" t="n">
        <v>14.7900009155273</v>
      </c>
      <c r="Q206" s="176" t="n">
        <v>14.7900009155273</v>
      </c>
      <c r="R206" s="176" t="n">
        <v>14.7900009155273</v>
      </c>
      <c r="S206" s="139"/>
      <c r="T206" s="176" t="n">
        <v>0</v>
      </c>
      <c r="U206" s="176" t="n">
        <v>0</v>
      </c>
      <c r="V206" s="176" t="n">
        <v>0</v>
      </c>
      <c r="W206" s="139"/>
      <c r="X206" s="176" t="n">
        <v>0.16</v>
      </c>
      <c r="Y206" s="176" t="n">
        <v>0.2</v>
      </c>
      <c r="Z206" s="176" t="n">
        <v>0.24</v>
      </c>
      <c r="AA206" s="139"/>
      <c r="AB206" s="176" t="n">
        <v>0.08</v>
      </c>
      <c r="AC206" s="176" t="n">
        <v>0.1</v>
      </c>
      <c r="AD206" s="176" t="n">
        <v>0.12</v>
      </c>
      <c r="AE206" s="139"/>
      <c r="AF206" s="176" t="n">
        <v>0.2</v>
      </c>
      <c r="AG206" s="176" t="n">
        <v>0.25</v>
      </c>
      <c r="AH206" s="176" t="n">
        <v>0.3</v>
      </c>
      <c r="AI206" s="139"/>
      <c r="AJ206" s="176" t="n">
        <v>0.12</v>
      </c>
      <c r="AK206" s="176" t="n">
        <v>0.15</v>
      </c>
      <c r="AL206" s="176" t="n">
        <v>0.18</v>
      </c>
      <c r="AM206" s="139"/>
      <c r="AN206" s="140" t="n">
        <v>66</v>
      </c>
      <c r="AO206" s="177" t="n">
        <v>0.4</v>
      </c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41" t="n">
        <v>43040</v>
      </c>
      <c r="BG206" s="179" t="n">
        <v>0.75</v>
      </c>
      <c r="BH206" s="139"/>
      <c r="BI206" s="139"/>
      <c r="BJ206" s="139"/>
      <c r="BK206" s="139"/>
      <c r="BL206" s="139"/>
      <c r="BM206" s="139"/>
      <c r="BN206" s="139"/>
      <c r="BO206" s="139"/>
      <c r="BP206" s="139"/>
      <c r="BQ206" s="139"/>
      <c r="BR206" s="139"/>
      <c r="BS206" s="139"/>
      <c r="BT206" s="139"/>
      <c r="BU206" s="139"/>
      <c r="BV206" s="139"/>
      <c r="BW206" s="139"/>
      <c r="BX206" s="139"/>
      <c r="BY206" s="139"/>
      <c r="BZ206" s="139"/>
      <c r="CA206" s="139"/>
      <c r="CB206" s="139"/>
      <c r="CC206" s="139"/>
      <c r="CD206" s="139"/>
      <c r="CE206" s="139"/>
      <c r="CF206" s="0"/>
      <c r="CN206" s="0"/>
      <c r="CO206" s="0"/>
      <c r="CP206" s="0"/>
      <c r="CQ206" s="0"/>
      <c r="CR206" s="0"/>
      <c r="CW206" s="181" t="n">
        <f aca="false">K206</f>
        <v>43040</v>
      </c>
      <c r="CX206" s="182" t="n">
        <f aca="false">AF206</f>
        <v>0.2</v>
      </c>
      <c r="CY206" s="182" t="n">
        <f aca="false">AG206</f>
        <v>0.25</v>
      </c>
      <c r="CZ206" s="182" t="n">
        <f aca="false">AH206</f>
        <v>0.3</v>
      </c>
      <c r="DB206" s="182" t="n">
        <f aca="false">X206</f>
        <v>0.16</v>
      </c>
      <c r="DC206" s="182" t="n">
        <f aca="false">Y206</f>
        <v>0.2</v>
      </c>
      <c r="DD206" s="182" t="n">
        <f aca="false">Z206</f>
        <v>0.24</v>
      </c>
      <c r="DF206" s="181" t="n">
        <f aca="false">BF206</f>
        <v>43040</v>
      </c>
      <c r="DG206" s="133" t="n">
        <f aca="false">BG206</f>
        <v>0.75</v>
      </c>
      <c r="DJ206" s="181" t="n">
        <f aca="false">CW206</f>
        <v>43040</v>
      </c>
      <c r="DK206" s="182" t="n">
        <f aca="false">AJ206</f>
        <v>0.12</v>
      </c>
      <c r="DL206" s="182" t="n">
        <f aca="false">AK206</f>
        <v>0.15</v>
      </c>
      <c r="DM206" s="182" t="n">
        <f aca="false">AL206</f>
        <v>0.18</v>
      </c>
      <c r="DO206" s="182" t="n">
        <f aca="false">AB206</f>
        <v>0.08</v>
      </c>
      <c r="DP206" s="182" t="n">
        <f aca="false">AC206</f>
        <v>0.1</v>
      </c>
      <c r="DQ206" s="182" t="n">
        <f aca="false">AD206</f>
        <v>0.12</v>
      </c>
    </row>
    <row r="207" customFormat="false" ht="12.75" hidden="false" customHeight="false" outlineLevel="0" collapsed="false">
      <c r="A207" s="133"/>
      <c r="B207" s="174" t="n">
        <v>42186</v>
      </c>
      <c r="C207" s="175" t="n">
        <v>56.5</v>
      </c>
      <c r="D207" s="175" t="n">
        <v>66.5</v>
      </c>
      <c r="E207" s="175" t="n">
        <v>76.5</v>
      </c>
      <c r="F207" s="159"/>
      <c r="G207" s="175" t="n">
        <v>27.5400009155273</v>
      </c>
      <c r="H207" s="175" t="n">
        <v>27.5400009155273</v>
      </c>
      <c r="I207" s="175" t="n">
        <v>27.5400009155273</v>
      </c>
      <c r="J207" s="140"/>
      <c r="K207" s="141" t="n">
        <v>43070</v>
      </c>
      <c r="L207" s="176" t="n">
        <v>27.2900009155273</v>
      </c>
      <c r="M207" s="176" t="n">
        <v>27.2900009155273</v>
      </c>
      <c r="N207" s="176" t="n">
        <v>27.2900009155273</v>
      </c>
      <c r="O207" s="139"/>
      <c r="P207" s="176" t="n">
        <v>21.7900009155273</v>
      </c>
      <c r="Q207" s="176" t="n">
        <v>21.7900009155273</v>
      </c>
      <c r="R207" s="176" t="n">
        <v>21.7900009155273</v>
      </c>
      <c r="S207" s="139"/>
      <c r="T207" s="176" t="n">
        <v>0</v>
      </c>
      <c r="U207" s="176" t="n">
        <v>0</v>
      </c>
      <c r="V207" s="176" t="n">
        <v>0</v>
      </c>
      <c r="W207" s="139"/>
      <c r="X207" s="176" t="n">
        <v>0.16</v>
      </c>
      <c r="Y207" s="176" t="n">
        <v>0.2</v>
      </c>
      <c r="Z207" s="176" t="n">
        <v>0.24</v>
      </c>
      <c r="AA207" s="139"/>
      <c r="AB207" s="176" t="n">
        <v>0.08</v>
      </c>
      <c r="AC207" s="176" t="n">
        <v>0.1</v>
      </c>
      <c r="AD207" s="176" t="n">
        <v>0.12</v>
      </c>
      <c r="AE207" s="139"/>
      <c r="AF207" s="176" t="n">
        <v>0.2</v>
      </c>
      <c r="AG207" s="176" t="n">
        <v>0.25</v>
      </c>
      <c r="AH207" s="176" t="n">
        <v>0.3</v>
      </c>
      <c r="AI207" s="139"/>
      <c r="AJ207" s="176" t="n">
        <v>0.12</v>
      </c>
      <c r="AK207" s="176" t="n">
        <v>0.15</v>
      </c>
      <c r="AL207" s="176" t="n">
        <v>0.18</v>
      </c>
      <c r="AM207" s="139"/>
      <c r="AN207" s="140" t="n">
        <v>66</v>
      </c>
      <c r="AO207" s="177" t="n">
        <v>0.4</v>
      </c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41" t="n">
        <v>43070</v>
      </c>
      <c r="BG207" s="179" t="n">
        <v>0.75</v>
      </c>
      <c r="BH207" s="139"/>
      <c r="BI207" s="139"/>
      <c r="BJ207" s="139"/>
      <c r="BK207" s="139"/>
      <c r="BL207" s="139"/>
      <c r="BM207" s="139"/>
      <c r="BN207" s="139"/>
      <c r="BO207" s="139"/>
      <c r="BP207" s="139"/>
      <c r="BQ207" s="139"/>
      <c r="BR207" s="139"/>
      <c r="BS207" s="139"/>
      <c r="BT207" s="139"/>
      <c r="BU207" s="139"/>
      <c r="BV207" s="139"/>
      <c r="BW207" s="139"/>
      <c r="BX207" s="139"/>
      <c r="BY207" s="139"/>
      <c r="BZ207" s="139"/>
      <c r="CA207" s="139"/>
      <c r="CB207" s="139"/>
      <c r="CC207" s="139"/>
      <c r="CD207" s="139"/>
      <c r="CE207" s="139"/>
      <c r="CF207" s="0"/>
      <c r="CN207" s="0"/>
      <c r="CO207" s="0"/>
      <c r="CP207" s="0"/>
      <c r="CQ207" s="0"/>
      <c r="CR207" s="0"/>
      <c r="CW207" s="181" t="n">
        <f aca="false">K207</f>
        <v>43070</v>
      </c>
      <c r="CX207" s="182" t="n">
        <f aca="false">AF207</f>
        <v>0.2</v>
      </c>
      <c r="CY207" s="182" t="n">
        <f aca="false">AG207</f>
        <v>0.25</v>
      </c>
      <c r="CZ207" s="182" t="n">
        <f aca="false">AH207</f>
        <v>0.3</v>
      </c>
      <c r="DB207" s="182" t="n">
        <f aca="false">X207</f>
        <v>0.16</v>
      </c>
      <c r="DC207" s="182" t="n">
        <f aca="false">Y207</f>
        <v>0.2</v>
      </c>
      <c r="DD207" s="182" t="n">
        <f aca="false">Z207</f>
        <v>0.24</v>
      </c>
      <c r="DF207" s="181" t="n">
        <f aca="false">BF207</f>
        <v>43070</v>
      </c>
      <c r="DG207" s="133" t="n">
        <f aca="false">BG207</f>
        <v>0.75</v>
      </c>
      <c r="DJ207" s="181" t="n">
        <f aca="false">CW207</f>
        <v>43070</v>
      </c>
      <c r="DK207" s="182" t="n">
        <f aca="false">AJ207</f>
        <v>0.12</v>
      </c>
      <c r="DL207" s="182" t="n">
        <f aca="false">AK207</f>
        <v>0.15</v>
      </c>
      <c r="DM207" s="182" t="n">
        <f aca="false">AL207</f>
        <v>0.18</v>
      </c>
      <c r="DO207" s="182" t="n">
        <f aca="false">AB207</f>
        <v>0.08</v>
      </c>
      <c r="DP207" s="182" t="n">
        <f aca="false">AC207</f>
        <v>0.1</v>
      </c>
      <c r="DQ207" s="182" t="n">
        <f aca="false">AD207</f>
        <v>0.12</v>
      </c>
    </row>
    <row r="208" customFormat="false" ht="12.75" hidden="false" customHeight="false" outlineLevel="0" collapsed="false">
      <c r="A208" s="133"/>
      <c r="B208" s="174" t="n">
        <v>42217</v>
      </c>
      <c r="C208" s="175" t="n">
        <v>56.5</v>
      </c>
      <c r="D208" s="175" t="n">
        <v>66.5</v>
      </c>
      <c r="E208" s="175" t="n">
        <v>76.5</v>
      </c>
      <c r="F208" s="159"/>
      <c r="G208" s="175" t="n">
        <v>28.5400009155273</v>
      </c>
      <c r="H208" s="175" t="n">
        <v>28.5400009155273</v>
      </c>
      <c r="I208" s="175" t="n">
        <v>28.5400009155273</v>
      </c>
      <c r="J208" s="140"/>
      <c r="K208" s="141" t="n">
        <v>43101</v>
      </c>
      <c r="L208" s="176" t="n">
        <v>35.75</v>
      </c>
      <c r="M208" s="176" t="n">
        <v>35.75</v>
      </c>
      <c r="N208" s="176" t="n">
        <v>35.75</v>
      </c>
      <c r="O208" s="139"/>
      <c r="P208" s="176" t="n">
        <v>25.25</v>
      </c>
      <c r="Q208" s="176" t="n">
        <v>25.25</v>
      </c>
      <c r="R208" s="176" t="n">
        <v>25.25</v>
      </c>
      <c r="S208" s="139"/>
      <c r="T208" s="176" t="n">
        <v>0</v>
      </c>
      <c r="U208" s="176" t="n">
        <v>0</v>
      </c>
      <c r="V208" s="176" t="n">
        <v>0</v>
      </c>
      <c r="W208" s="139"/>
      <c r="X208" s="176" t="n">
        <v>0.16</v>
      </c>
      <c r="Y208" s="176" t="n">
        <v>0.2</v>
      </c>
      <c r="Z208" s="176" t="n">
        <v>0.24</v>
      </c>
      <c r="AA208" s="139"/>
      <c r="AB208" s="176" t="n">
        <v>0.08</v>
      </c>
      <c r="AC208" s="176" t="n">
        <v>0.1</v>
      </c>
      <c r="AD208" s="176" t="n">
        <v>0.12</v>
      </c>
      <c r="AE208" s="139"/>
      <c r="AF208" s="176" t="n">
        <v>0.2</v>
      </c>
      <c r="AG208" s="176" t="n">
        <v>0.25</v>
      </c>
      <c r="AH208" s="176" t="n">
        <v>0.3</v>
      </c>
      <c r="AI208" s="139"/>
      <c r="AJ208" s="176" t="n">
        <v>0.12</v>
      </c>
      <c r="AK208" s="176" t="n">
        <v>0.15</v>
      </c>
      <c r="AL208" s="176" t="n">
        <v>0.18</v>
      </c>
      <c r="AM208" s="139"/>
      <c r="AN208" s="140" t="n">
        <v>67</v>
      </c>
      <c r="AO208" s="177" t="n">
        <v>0.4</v>
      </c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41" t="n">
        <v>43101</v>
      </c>
      <c r="BG208" s="179" t="n">
        <v>0.75</v>
      </c>
      <c r="BH208" s="139"/>
      <c r="BI208" s="139"/>
      <c r="BJ208" s="139"/>
      <c r="BK208" s="139"/>
      <c r="BL208" s="139"/>
      <c r="BM208" s="139"/>
      <c r="BN208" s="139"/>
      <c r="BO208" s="139"/>
      <c r="BP208" s="139"/>
      <c r="BQ208" s="139"/>
      <c r="BR208" s="139"/>
      <c r="BS208" s="139"/>
      <c r="BT208" s="139"/>
      <c r="BU208" s="139"/>
      <c r="BV208" s="139"/>
      <c r="BW208" s="139"/>
      <c r="BX208" s="139"/>
      <c r="BY208" s="139"/>
      <c r="BZ208" s="139"/>
      <c r="CA208" s="139"/>
      <c r="CB208" s="139"/>
      <c r="CC208" s="139"/>
      <c r="CD208" s="139"/>
      <c r="CE208" s="139"/>
      <c r="CF208" s="0"/>
      <c r="CN208" s="0"/>
      <c r="CO208" s="0"/>
      <c r="CP208" s="0"/>
      <c r="CQ208" s="0"/>
      <c r="CR208" s="0"/>
      <c r="CW208" s="181" t="n">
        <f aca="false">K208</f>
        <v>43101</v>
      </c>
      <c r="CX208" s="182" t="n">
        <f aca="false">AF208</f>
        <v>0.2</v>
      </c>
      <c r="CY208" s="182" t="n">
        <f aca="false">AG208</f>
        <v>0.25</v>
      </c>
      <c r="CZ208" s="182" t="n">
        <f aca="false">AH208</f>
        <v>0.3</v>
      </c>
      <c r="DB208" s="182" t="n">
        <f aca="false">X208</f>
        <v>0.16</v>
      </c>
      <c r="DC208" s="182" t="n">
        <f aca="false">Y208</f>
        <v>0.2</v>
      </c>
      <c r="DD208" s="182" t="n">
        <f aca="false">Z208</f>
        <v>0.24</v>
      </c>
      <c r="DF208" s="181" t="n">
        <f aca="false">BF208</f>
        <v>43101</v>
      </c>
      <c r="DG208" s="133" t="n">
        <f aca="false">BG208</f>
        <v>0.75</v>
      </c>
      <c r="DJ208" s="181" t="n">
        <f aca="false">CW208</f>
        <v>43101</v>
      </c>
      <c r="DK208" s="182" t="n">
        <f aca="false">AJ208</f>
        <v>0.12</v>
      </c>
      <c r="DL208" s="182" t="n">
        <f aca="false">AK208</f>
        <v>0.15</v>
      </c>
      <c r="DM208" s="182" t="n">
        <f aca="false">AL208</f>
        <v>0.18</v>
      </c>
      <c r="DO208" s="182" t="n">
        <f aca="false">AB208</f>
        <v>0.08</v>
      </c>
      <c r="DP208" s="182" t="n">
        <f aca="false">AC208</f>
        <v>0.1</v>
      </c>
      <c r="DQ208" s="182" t="n">
        <f aca="false">AD208</f>
        <v>0.12</v>
      </c>
    </row>
    <row r="209" customFormat="false" ht="12.75" hidden="false" customHeight="false" outlineLevel="0" collapsed="false">
      <c r="A209" s="133"/>
      <c r="B209" s="174" t="n">
        <v>42248</v>
      </c>
      <c r="C209" s="175" t="n">
        <v>30.4600028991699</v>
      </c>
      <c r="D209" s="175" t="n">
        <v>31.9600028991699</v>
      </c>
      <c r="E209" s="175" t="n">
        <v>33.4600028991699</v>
      </c>
      <c r="F209" s="159"/>
      <c r="G209" s="175" t="n">
        <v>22.5400009155273</v>
      </c>
      <c r="H209" s="175" t="n">
        <v>22.5400009155273</v>
      </c>
      <c r="I209" s="175" t="n">
        <v>22.5400009155273</v>
      </c>
      <c r="J209" s="140"/>
      <c r="K209" s="141" t="n">
        <v>43132</v>
      </c>
      <c r="L209" s="176" t="n">
        <v>31.2460021972656</v>
      </c>
      <c r="M209" s="176" t="n">
        <v>31.2460021972656</v>
      </c>
      <c r="N209" s="176" t="n">
        <v>31.2460021972656</v>
      </c>
      <c r="O209" s="139"/>
      <c r="P209" s="176" t="n">
        <v>22.7465019226074</v>
      </c>
      <c r="Q209" s="176" t="n">
        <v>22.7465019226074</v>
      </c>
      <c r="R209" s="176" t="n">
        <v>22.7465019226074</v>
      </c>
      <c r="S209" s="139"/>
      <c r="T209" s="176" t="n">
        <v>0</v>
      </c>
      <c r="U209" s="176" t="n">
        <v>0</v>
      </c>
      <c r="V209" s="176" t="n">
        <v>0</v>
      </c>
      <c r="W209" s="139"/>
      <c r="X209" s="176" t="n">
        <v>0.16</v>
      </c>
      <c r="Y209" s="176" t="n">
        <v>0.2</v>
      </c>
      <c r="Z209" s="176" t="n">
        <v>0.24</v>
      </c>
      <c r="AA209" s="139"/>
      <c r="AB209" s="176" t="n">
        <v>0.08</v>
      </c>
      <c r="AC209" s="176" t="n">
        <v>0.1</v>
      </c>
      <c r="AD209" s="176" t="n">
        <v>0.12</v>
      </c>
      <c r="AE209" s="139"/>
      <c r="AF209" s="176" t="n">
        <v>0.2</v>
      </c>
      <c r="AG209" s="176" t="n">
        <v>0.25</v>
      </c>
      <c r="AH209" s="176" t="n">
        <v>0.3</v>
      </c>
      <c r="AI209" s="139"/>
      <c r="AJ209" s="176" t="n">
        <v>0.12</v>
      </c>
      <c r="AK209" s="176" t="n">
        <v>0.15</v>
      </c>
      <c r="AL209" s="176" t="n">
        <v>0.18</v>
      </c>
      <c r="AM209" s="139"/>
      <c r="AN209" s="140" t="n">
        <v>67</v>
      </c>
      <c r="AO209" s="177" t="n">
        <v>0.4</v>
      </c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41" t="n">
        <v>43132</v>
      </c>
      <c r="BG209" s="179" t="n">
        <v>0.75</v>
      </c>
      <c r="BH209" s="139"/>
      <c r="BI209" s="139"/>
      <c r="BJ209" s="139"/>
      <c r="BK209" s="139"/>
      <c r="BL209" s="139"/>
      <c r="BM209" s="139"/>
      <c r="BN209" s="139"/>
      <c r="BO209" s="139"/>
      <c r="BP209" s="139"/>
      <c r="BQ209" s="139"/>
      <c r="BR209" s="139"/>
      <c r="BS209" s="139"/>
      <c r="BT209" s="139"/>
      <c r="BU209" s="139"/>
      <c r="BV209" s="139"/>
      <c r="BW209" s="139"/>
      <c r="BX209" s="139"/>
      <c r="BY209" s="139"/>
      <c r="BZ209" s="139"/>
      <c r="CA209" s="139"/>
      <c r="CB209" s="139"/>
      <c r="CC209" s="139"/>
      <c r="CD209" s="139"/>
      <c r="CE209" s="139"/>
      <c r="CF209" s="0"/>
      <c r="CN209" s="0"/>
      <c r="CO209" s="0"/>
      <c r="CP209" s="0"/>
      <c r="CQ209" s="0"/>
      <c r="CR209" s="0"/>
      <c r="CW209" s="181" t="n">
        <f aca="false">K209</f>
        <v>43132</v>
      </c>
      <c r="CX209" s="182" t="n">
        <f aca="false">AF209</f>
        <v>0.2</v>
      </c>
      <c r="CY209" s="182" t="n">
        <f aca="false">AG209</f>
        <v>0.25</v>
      </c>
      <c r="CZ209" s="182" t="n">
        <f aca="false">AH209</f>
        <v>0.3</v>
      </c>
      <c r="DB209" s="182" t="n">
        <f aca="false">X209</f>
        <v>0.16</v>
      </c>
      <c r="DC209" s="182" t="n">
        <f aca="false">Y209</f>
        <v>0.2</v>
      </c>
      <c r="DD209" s="182" t="n">
        <f aca="false">Z209</f>
        <v>0.24</v>
      </c>
      <c r="DF209" s="181" t="n">
        <f aca="false">BF209</f>
        <v>43132</v>
      </c>
      <c r="DG209" s="133" t="n">
        <f aca="false">BG209</f>
        <v>0.75</v>
      </c>
      <c r="DJ209" s="181" t="n">
        <f aca="false">CW209</f>
        <v>43132</v>
      </c>
      <c r="DK209" s="182" t="n">
        <f aca="false">AJ209</f>
        <v>0.12</v>
      </c>
      <c r="DL209" s="182" t="n">
        <f aca="false">AK209</f>
        <v>0.15</v>
      </c>
      <c r="DM209" s="182" t="n">
        <f aca="false">AL209</f>
        <v>0.18</v>
      </c>
      <c r="DO209" s="182" t="n">
        <f aca="false">AB209</f>
        <v>0.08</v>
      </c>
      <c r="DP209" s="182" t="n">
        <f aca="false">AC209</f>
        <v>0.1</v>
      </c>
      <c r="DQ209" s="182" t="n">
        <f aca="false">AD209</f>
        <v>0.12</v>
      </c>
    </row>
    <row r="210" customFormat="false" ht="12.75" hidden="false" customHeight="false" outlineLevel="0" collapsed="false">
      <c r="A210" s="133"/>
      <c r="B210" s="174" t="n">
        <v>42278</v>
      </c>
      <c r="C210" s="175" t="n">
        <v>34.1115684509277</v>
      </c>
      <c r="D210" s="175" t="n">
        <v>35.6115684509277</v>
      </c>
      <c r="E210" s="175" t="n">
        <v>37.1115684509277</v>
      </c>
      <c r="F210" s="159"/>
      <c r="G210" s="175" t="n">
        <v>22.040002822876</v>
      </c>
      <c r="H210" s="175" t="n">
        <v>22.040002822876</v>
      </c>
      <c r="I210" s="175" t="n">
        <v>22.040002822876</v>
      </c>
      <c r="J210" s="140"/>
      <c r="K210" s="141" t="n">
        <v>43160</v>
      </c>
      <c r="L210" s="176" t="n">
        <v>25.5</v>
      </c>
      <c r="M210" s="176" t="n">
        <v>25.5</v>
      </c>
      <c r="N210" s="176" t="n">
        <v>25.5</v>
      </c>
      <c r="O210" s="139"/>
      <c r="P210" s="176" t="n">
        <v>20</v>
      </c>
      <c r="Q210" s="176" t="n">
        <v>20</v>
      </c>
      <c r="R210" s="176" t="n">
        <v>20</v>
      </c>
      <c r="S210" s="139"/>
      <c r="T210" s="176" t="n">
        <v>0</v>
      </c>
      <c r="U210" s="176" t="n">
        <v>0</v>
      </c>
      <c r="V210" s="176" t="n">
        <v>0</v>
      </c>
      <c r="W210" s="139"/>
      <c r="X210" s="176" t="n">
        <v>0.16</v>
      </c>
      <c r="Y210" s="176" t="n">
        <v>0.2</v>
      </c>
      <c r="Z210" s="176" t="n">
        <v>0.24</v>
      </c>
      <c r="AA210" s="139"/>
      <c r="AB210" s="176" t="n">
        <v>0.08</v>
      </c>
      <c r="AC210" s="176" t="n">
        <v>0.1</v>
      </c>
      <c r="AD210" s="176" t="n">
        <v>0.12</v>
      </c>
      <c r="AE210" s="139"/>
      <c r="AF210" s="176" t="n">
        <v>0.2</v>
      </c>
      <c r="AG210" s="176" t="n">
        <v>0.25</v>
      </c>
      <c r="AH210" s="176" t="n">
        <v>0.3</v>
      </c>
      <c r="AI210" s="139"/>
      <c r="AJ210" s="176" t="n">
        <v>0.12</v>
      </c>
      <c r="AK210" s="176" t="n">
        <v>0.15</v>
      </c>
      <c r="AL210" s="176" t="n">
        <v>0.18</v>
      </c>
      <c r="AM210" s="139"/>
      <c r="AN210" s="140" t="n">
        <v>67</v>
      </c>
      <c r="AO210" s="177" t="n">
        <v>0.4</v>
      </c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41" t="n">
        <v>43160</v>
      </c>
      <c r="BG210" s="179" t="n">
        <v>0.75</v>
      </c>
      <c r="BH210" s="139"/>
      <c r="BI210" s="139"/>
      <c r="BJ210" s="139"/>
      <c r="BK210" s="139"/>
      <c r="BL210" s="139"/>
      <c r="BM210" s="139"/>
      <c r="BN210" s="139"/>
      <c r="BO210" s="139"/>
      <c r="BP210" s="139"/>
      <c r="BQ210" s="139"/>
      <c r="BR210" s="139"/>
      <c r="BS210" s="139"/>
      <c r="BT210" s="139"/>
      <c r="BU210" s="139"/>
      <c r="BV210" s="139"/>
      <c r="BW210" s="139"/>
      <c r="BX210" s="139"/>
      <c r="BY210" s="139"/>
      <c r="BZ210" s="139"/>
      <c r="CA210" s="139"/>
      <c r="CB210" s="139"/>
      <c r="CC210" s="139"/>
      <c r="CD210" s="139"/>
      <c r="CE210" s="139"/>
      <c r="CF210" s="0"/>
      <c r="CN210" s="0"/>
      <c r="CO210" s="0"/>
      <c r="CP210" s="0"/>
      <c r="CQ210" s="0"/>
      <c r="CR210" s="0"/>
      <c r="CW210" s="181" t="n">
        <f aca="false">K210</f>
        <v>43160</v>
      </c>
      <c r="CX210" s="182" t="n">
        <f aca="false">AF210</f>
        <v>0.2</v>
      </c>
      <c r="CY210" s="182" t="n">
        <f aca="false">AG210</f>
        <v>0.25</v>
      </c>
      <c r="CZ210" s="182" t="n">
        <f aca="false">AH210</f>
        <v>0.3</v>
      </c>
      <c r="DB210" s="182" t="n">
        <f aca="false">X210</f>
        <v>0.16</v>
      </c>
      <c r="DC210" s="182" t="n">
        <f aca="false">Y210</f>
        <v>0.2</v>
      </c>
      <c r="DD210" s="182" t="n">
        <f aca="false">Z210</f>
        <v>0.24</v>
      </c>
      <c r="DF210" s="181" t="n">
        <f aca="false">BF210</f>
        <v>43160</v>
      </c>
      <c r="DG210" s="133" t="n">
        <f aca="false">BG210</f>
        <v>0.75</v>
      </c>
      <c r="DJ210" s="181" t="n">
        <f aca="false">CW210</f>
        <v>43160</v>
      </c>
      <c r="DK210" s="182" t="n">
        <f aca="false">AJ210</f>
        <v>0.12</v>
      </c>
      <c r="DL210" s="182" t="n">
        <f aca="false">AK210</f>
        <v>0.15</v>
      </c>
      <c r="DM210" s="182" t="n">
        <f aca="false">AL210</f>
        <v>0.18</v>
      </c>
      <c r="DO210" s="182" t="n">
        <f aca="false">AB210</f>
        <v>0.08</v>
      </c>
      <c r="DP210" s="182" t="n">
        <f aca="false">AC210</f>
        <v>0.1</v>
      </c>
      <c r="DQ210" s="182" t="n">
        <f aca="false">AD210</f>
        <v>0.12</v>
      </c>
    </row>
    <row r="211" customFormat="false" ht="12.75" hidden="false" customHeight="false" outlineLevel="0" collapsed="false">
      <c r="A211" s="133"/>
      <c r="B211" s="174" t="n">
        <v>42309</v>
      </c>
      <c r="C211" s="175" t="n">
        <v>34.2115669250488</v>
      </c>
      <c r="D211" s="175" t="n">
        <v>35.7115669250488</v>
      </c>
      <c r="E211" s="175" t="n">
        <v>37.2115669250488</v>
      </c>
      <c r="F211" s="159"/>
      <c r="G211" s="175" t="n">
        <v>23.0400009155273</v>
      </c>
      <c r="H211" s="175" t="n">
        <v>23.0400009155273</v>
      </c>
      <c r="I211" s="175" t="n">
        <v>23.0400009155273</v>
      </c>
      <c r="J211" s="140"/>
      <c r="K211" s="141" t="n">
        <v>43191</v>
      </c>
      <c r="L211" s="176" t="n">
        <v>22</v>
      </c>
      <c r="M211" s="176" t="n">
        <v>22</v>
      </c>
      <c r="N211" s="176" t="n">
        <v>22</v>
      </c>
      <c r="O211" s="139"/>
      <c r="P211" s="176" t="n">
        <v>16.4950008392334</v>
      </c>
      <c r="Q211" s="176" t="n">
        <v>16.4950008392334</v>
      </c>
      <c r="R211" s="176" t="n">
        <v>16.4950008392334</v>
      </c>
      <c r="S211" s="139"/>
      <c r="T211" s="176" t="n">
        <v>0</v>
      </c>
      <c r="U211" s="176" t="n">
        <v>0</v>
      </c>
      <c r="V211" s="176" t="n">
        <v>0</v>
      </c>
      <c r="W211" s="139"/>
      <c r="X211" s="176" t="n">
        <v>0.16</v>
      </c>
      <c r="Y211" s="176" t="n">
        <v>0.2</v>
      </c>
      <c r="Z211" s="176" t="n">
        <v>0.24</v>
      </c>
      <c r="AA211" s="139"/>
      <c r="AB211" s="176" t="n">
        <v>0.08</v>
      </c>
      <c r="AC211" s="176" t="n">
        <v>0.1</v>
      </c>
      <c r="AD211" s="176" t="n">
        <v>0.12</v>
      </c>
      <c r="AE211" s="139"/>
      <c r="AF211" s="176" t="n">
        <v>0.2</v>
      </c>
      <c r="AG211" s="176" t="n">
        <v>0.25</v>
      </c>
      <c r="AH211" s="176" t="n">
        <v>0.3</v>
      </c>
      <c r="AI211" s="139"/>
      <c r="AJ211" s="176" t="n">
        <v>0.12</v>
      </c>
      <c r="AK211" s="176" t="n">
        <v>0.15</v>
      </c>
      <c r="AL211" s="176" t="n">
        <v>0.18</v>
      </c>
      <c r="AM211" s="139"/>
      <c r="AN211" s="140" t="n">
        <v>68</v>
      </c>
      <c r="AO211" s="177" t="n">
        <v>0.4</v>
      </c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41" t="n">
        <v>43191</v>
      </c>
      <c r="BG211" s="179" t="n">
        <v>0.75</v>
      </c>
      <c r="BH211" s="139"/>
      <c r="BI211" s="139"/>
      <c r="BJ211" s="139"/>
      <c r="BK211" s="139"/>
      <c r="BL211" s="139"/>
      <c r="BM211" s="139"/>
      <c r="BN211" s="139"/>
      <c r="BO211" s="139"/>
      <c r="BP211" s="139"/>
      <c r="BQ211" s="139"/>
      <c r="BR211" s="139"/>
      <c r="BS211" s="139"/>
      <c r="BT211" s="139"/>
      <c r="BU211" s="139"/>
      <c r="BV211" s="139"/>
      <c r="BW211" s="139"/>
      <c r="BX211" s="139"/>
      <c r="BY211" s="139"/>
      <c r="BZ211" s="139"/>
      <c r="CA211" s="139"/>
      <c r="CB211" s="139"/>
      <c r="CC211" s="139"/>
      <c r="CD211" s="139"/>
      <c r="CE211" s="139"/>
      <c r="CF211" s="0"/>
      <c r="CN211" s="0"/>
      <c r="CO211" s="0"/>
      <c r="CP211" s="0"/>
      <c r="CQ211" s="0"/>
      <c r="CR211" s="0"/>
      <c r="CW211" s="181" t="n">
        <f aca="false">K211</f>
        <v>43191</v>
      </c>
      <c r="CX211" s="182" t="n">
        <f aca="false">AF211</f>
        <v>0.2</v>
      </c>
      <c r="CY211" s="182" t="n">
        <f aca="false">AG211</f>
        <v>0.25</v>
      </c>
      <c r="CZ211" s="182" t="n">
        <f aca="false">AH211</f>
        <v>0.3</v>
      </c>
      <c r="DB211" s="182" t="n">
        <f aca="false">X211</f>
        <v>0.16</v>
      </c>
      <c r="DC211" s="182" t="n">
        <f aca="false">Y211</f>
        <v>0.2</v>
      </c>
      <c r="DD211" s="182" t="n">
        <f aca="false">Z211</f>
        <v>0.24</v>
      </c>
      <c r="DF211" s="181" t="n">
        <f aca="false">BF211</f>
        <v>43191</v>
      </c>
      <c r="DG211" s="133" t="n">
        <f aca="false">BG211</f>
        <v>0.75</v>
      </c>
      <c r="DJ211" s="181" t="n">
        <f aca="false">CW211</f>
        <v>43191</v>
      </c>
      <c r="DK211" s="182" t="n">
        <f aca="false">AJ211</f>
        <v>0.12</v>
      </c>
      <c r="DL211" s="182" t="n">
        <f aca="false">AK211</f>
        <v>0.15</v>
      </c>
      <c r="DM211" s="182" t="n">
        <f aca="false">AL211</f>
        <v>0.18</v>
      </c>
      <c r="DO211" s="182" t="n">
        <f aca="false">AB211</f>
        <v>0.08</v>
      </c>
      <c r="DP211" s="182" t="n">
        <f aca="false">AC211</f>
        <v>0.1</v>
      </c>
      <c r="DQ211" s="182" t="n">
        <f aca="false">AD211</f>
        <v>0.12</v>
      </c>
    </row>
    <row r="212" customFormat="false" ht="12.75" hidden="false" customHeight="false" outlineLevel="0" collapsed="false">
      <c r="A212" s="133"/>
      <c r="B212" s="174" t="n">
        <v>42339</v>
      </c>
      <c r="C212" s="175" t="n">
        <v>34.3115653991699</v>
      </c>
      <c r="D212" s="175" t="n">
        <v>35.8115653991699</v>
      </c>
      <c r="E212" s="175" t="n">
        <v>37.3115653991699</v>
      </c>
      <c r="F212" s="159"/>
      <c r="G212" s="175" t="n">
        <v>25.2900009155273</v>
      </c>
      <c r="H212" s="175" t="n">
        <v>25.2900009155273</v>
      </c>
      <c r="I212" s="175" t="n">
        <v>25.2900009155273</v>
      </c>
      <c r="J212" s="140"/>
      <c r="K212" s="141" t="n">
        <v>43221</v>
      </c>
      <c r="L212" s="176" t="n">
        <v>22.2900009155273</v>
      </c>
      <c r="M212" s="176" t="n">
        <v>22.2900009155273</v>
      </c>
      <c r="N212" s="176" t="n">
        <v>22.2900009155273</v>
      </c>
      <c r="O212" s="139"/>
      <c r="P212" s="176" t="n">
        <v>15.7950000762939</v>
      </c>
      <c r="Q212" s="176" t="n">
        <v>15.7950000762939</v>
      </c>
      <c r="R212" s="176" t="n">
        <v>15.7950000762939</v>
      </c>
      <c r="S212" s="139"/>
      <c r="T212" s="176" t="n">
        <v>0</v>
      </c>
      <c r="U212" s="176" t="n">
        <v>0</v>
      </c>
      <c r="V212" s="176" t="n">
        <v>0</v>
      </c>
      <c r="W212" s="139"/>
      <c r="X212" s="176" t="n">
        <v>0.16</v>
      </c>
      <c r="Y212" s="176" t="n">
        <v>0.2</v>
      </c>
      <c r="Z212" s="176" t="n">
        <v>0.24</v>
      </c>
      <c r="AA212" s="139"/>
      <c r="AB212" s="176" t="n">
        <v>0.08</v>
      </c>
      <c r="AC212" s="176" t="n">
        <v>0.1</v>
      </c>
      <c r="AD212" s="176" t="n">
        <v>0.12</v>
      </c>
      <c r="AE212" s="139"/>
      <c r="AF212" s="176" t="n">
        <v>0.2</v>
      </c>
      <c r="AG212" s="176" t="n">
        <v>0.25</v>
      </c>
      <c r="AH212" s="176" t="n">
        <v>0.3</v>
      </c>
      <c r="AI212" s="139"/>
      <c r="AJ212" s="176" t="n">
        <v>0.12</v>
      </c>
      <c r="AK212" s="176" t="n">
        <v>0.15</v>
      </c>
      <c r="AL212" s="176" t="n">
        <v>0.18</v>
      </c>
      <c r="AM212" s="139"/>
      <c r="AN212" s="140" t="n">
        <v>68</v>
      </c>
      <c r="AO212" s="177" t="n">
        <v>0.4</v>
      </c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41" t="n">
        <v>43221</v>
      </c>
      <c r="BG212" s="179" t="n">
        <v>0.75</v>
      </c>
      <c r="BH212" s="139"/>
      <c r="BI212" s="139"/>
      <c r="BJ212" s="139"/>
      <c r="BK212" s="139"/>
      <c r="BL212" s="139"/>
      <c r="BM212" s="139"/>
      <c r="BN212" s="139"/>
      <c r="BO212" s="139"/>
      <c r="BP212" s="139"/>
      <c r="BQ212" s="139"/>
      <c r="BR212" s="139"/>
      <c r="BS212" s="139"/>
      <c r="BT212" s="139"/>
      <c r="BU212" s="139"/>
      <c r="BV212" s="139"/>
      <c r="BW212" s="139"/>
      <c r="BX212" s="139"/>
      <c r="BY212" s="139"/>
      <c r="BZ212" s="139"/>
      <c r="CA212" s="139"/>
      <c r="CB212" s="139"/>
      <c r="CC212" s="139"/>
      <c r="CD212" s="139"/>
      <c r="CE212" s="139"/>
      <c r="CF212" s="0"/>
      <c r="CN212" s="0"/>
      <c r="CO212" s="0"/>
      <c r="CP212" s="0"/>
      <c r="CQ212" s="0"/>
      <c r="CR212" s="0"/>
      <c r="CW212" s="181" t="n">
        <f aca="false">K212</f>
        <v>43221</v>
      </c>
      <c r="CX212" s="182" t="n">
        <f aca="false">AF212</f>
        <v>0.2</v>
      </c>
      <c r="CY212" s="182" t="n">
        <f aca="false">AG212</f>
        <v>0.25</v>
      </c>
      <c r="CZ212" s="182" t="n">
        <f aca="false">AH212</f>
        <v>0.3</v>
      </c>
      <c r="DB212" s="182" t="n">
        <f aca="false">X212</f>
        <v>0.16</v>
      </c>
      <c r="DC212" s="182" t="n">
        <f aca="false">Y212</f>
        <v>0.2</v>
      </c>
      <c r="DD212" s="182" t="n">
        <f aca="false">Z212</f>
        <v>0.24</v>
      </c>
      <c r="DF212" s="181" t="n">
        <f aca="false">BF212</f>
        <v>43221</v>
      </c>
      <c r="DG212" s="133" t="n">
        <f aca="false">BG212</f>
        <v>0.75</v>
      </c>
      <c r="DJ212" s="181" t="n">
        <f aca="false">CW212</f>
        <v>43221</v>
      </c>
      <c r="DK212" s="182" t="n">
        <f aca="false">AJ212</f>
        <v>0.12</v>
      </c>
      <c r="DL212" s="182" t="n">
        <f aca="false">AK212</f>
        <v>0.15</v>
      </c>
      <c r="DM212" s="182" t="n">
        <f aca="false">AL212</f>
        <v>0.18</v>
      </c>
      <c r="DO212" s="182" t="n">
        <f aca="false">AB212</f>
        <v>0.08</v>
      </c>
      <c r="DP212" s="182" t="n">
        <f aca="false">AC212</f>
        <v>0.1</v>
      </c>
      <c r="DQ212" s="182" t="n">
        <f aca="false">AD212</f>
        <v>0.12</v>
      </c>
    </row>
    <row r="213" customFormat="false" ht="12.75" hidden="false" customHeight="false" outlineLevel="0" collapsed="false">
      <c r="A213" s="133"/>
      <c r="B213" s="174" t="n">
        <v>42370</v>
      </c>
      <c r="C213" s="175" t="n">
        <v>37.9957160949707</v>
      </c>
      <c r="D213" s="175" t="n">
        <v>39.4957160949707</v>
      </c>
      <c r="E213" s="175" t="n">
        <v>40.9957160949707</v>
      </c>
      <c r="F213" s="159"/>
      <c r="G213" s="175" t="n">
        <v>27.5</v>
      </c>
      <c r="H213" s="175" t="n">
        <v>27.5</v>
      </c>
      <c r="I213" s="175" t="n">
        <v>27.5</v>
      </c>
      <c r="J213" s="140"/>
      <c r="K213" s="141" t="n">
        <v>43252</v>
      </c>
      <c r="L213" s="176" t="n">
        <v>29.2900009155273</v>
      </c>
      <c r="M213" s="176" t="n">
        <v>29.2900009155273</v>
      </c>
      <c r="N213" s="176" t="n">
        <v>29.2900009155273</v>
      </c>
      <c r="O213" s="139"/>
      <c r="P213" s="176" t="n">
        <v>19.7900009155273</v>
      </c>
      <c r="Q213" s="176" t="n">
        <v>19.7900009155273</v>
      </c>
      <c r="R213" s="176" t="n">
        <v>19.7900009155273</v>
      </c>
      <c r="S213" s="139"/>
      <c r="T213" s="176" t="n">
        <v>0</v>
      </c>
      <c r="U213" s="176" t="n">
        <v>0</v>
      </c>
      <c r="V213" s="176" t="n">
        <v>0</v>
      </c>
      <c r="W213" s="139"/>
      <c r="X213" s="176" t="n">
        <v>0.16</v>
      </c>
      <c r="Y213" s="176" t="n">
        <v>0.2</v>
      </c>
      <c r="Z213" s="176" t="n">
        <v>0.24</v>
      </c>
      <c r="AA213" s="139"/>
      <c r="AB213" s="176" t="n">
        <v>0.08</v>
      </c>
      <c r="AC213" s="176" t="n">
        <v>0.1</v>
      </c>
      <c r="AD213" s="176" t="n">
        <v>0.12</v>
      </c>
      <c r="AE213" s="139"/>
      <c r="AF213" s="176" t="n">
        <v>0.2</v>
      </c>
      <c r="AG213" s="176" t="n">
        <v>0.25</v>
      </c>
      <c r="AH213" s="176" t="n">
        <v>0.3</v>
      </c>
      <c r="AI213" s="139"/>
      <c r="AJ213" s="176" t="n">
        <v>0.12</v>
      </c>
      <c r="AK213" s="176" t="n">
        <v>0.15</v>
      </c>
      <c r="AL213" s="176" t="n">
        <v>0.18</v>
      </c>
      <c r="AM213" s="139"/>
      <c r="AN213" s="140" t="n">
        <v>68</v>
      </c>
      <c r="AO213" s="177" t="n">
        <v>0.4</v>
      </c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41" t="n">
        <v>43252</v>
      </c>
      <c r="BG213" s="179" t="n">
        <v>0.75</v>
      </c>
      <c r="BH213" s="139"/>
      <c r="BI213" s="139"/>
      <c r="BJ213" s="139"/>
      <c r="BK213" s="139"/>
      <c r="BL213" s="139"/>
      <c r="BM213" s="139"/>
      <c r="BN213" s="139"/>
      <c r="BO213" s="139"/>
      <c r="BP213" s="139"/>
      <c r="BQ213" s="139"/>
      <c r="BR213" s="139"/>
      <c r="BS213" s="139"/>
      <c r="BT213" s="139"/>
      <c r="BU213" s="139"/>
      <c r="BV213" s="139"/>
      <c r="BW213" s="139"/>
      <c r="BX213" s="139"/>
      <c r="BY213" s="139"/>
      <c r="BZ213" s="139"/>
      <c r="CA213" s="139"/>
      <c r="CB213" s="139"/>
      <c r="CC213" s="139"/>
      <c r="CD213" s="139"/>
      <c r="CE213" s="139"/>
      <c r="CF213" s="0"/>
      <c r="CN213" s="0"/>
      <c r="CO213" s="0"/>
      <c r="CP213" s="0"/>
      <c r="CQ213" s="0"/>
      <c r="CR213" s="0"/>
      <c r="CW213" s="181" t="n">
        <f aca="false">K213</f>
        <v>43252</v>
      </c>
      <c r="CX213" s="182" t="n">
        <f aca="false">AF213</f>
        <v>0.2</v>
      </c>
      <c r="CY213" s="182" t="n">
        <f aca="false">AG213</f>
        <v>0.25</v>
      </c>
      <c r="CZ213" s="182" t="n">
        <f aca="false">AH213</f>
        <v>0.3</v>
      </c>
      <c r="DB213" s="182" t="n">
        <f aca="false">X213</f>
        <v>0.16</v>
      </c>
      <c r="DC213" s="182" t="n">
        <f aca="false">Y213</f>
        <v>0.2</v>
      </c>
      <c r="DD213" s="182" t="n">
        <f aca="false">Z213</f>
        <v>0.24</v>
      </c>
      <c r="DF213" s="181" t="n">
        <f aca="false">BF213</f>
        <v>43252</v>
      </c>
      <c r="DG213" s="133" t="n">
        <f aca="false">BG213</f>
        <v>0.75</v>
      </c>
      <c r="DJ213" s="181" t="n">
        <f aca="false">CW213</f>
        <v>43252</v>
      </c>
      <c r="DK213" s="182" t="n">
        <f aca="false">AJ213</f>
        <v>0.12</v>
      </c>
      <c r="DL213" s="182" t="n">
        <f aca="false">AK213</f>
        <v>0.15</v>
      </c>
      <c r="DM213" s="182" t="n">
        <f aca="false">AL213</f>
        <v>0.18</v>
      </c>
      <c r="DO213" s="182" t="n">
        <f aca="false">AB213</f>
        <v>0.08</v>
      </c>
      <c r="DP213" s="182" t="n">
        <f aca="false">AC213</f>
        <v>0.1</v>
      </c>
      <c r="DQ213" s="182" t="n">
        <f aca="false">AD213</f>
        <v>0.12</v>
      </c>
    </row>
    <row r="214" customFormat="false" ht="12.75" hidden="false" customHeight="false" outlineLevel="0" collapsed="false">
      <c r="A214" s="133"/>
      <c r="B214" s="174" t="n">
        <v>42401</v>
      </c>
      <c r="C214" s="175" t="n">
        <v>37.3957138061523</v>
      </c>
      <c r="D214" s="175" t="n">
        <v>38.8957138061523</v>
      </c>
      <c r="E214" s="175" t="n">
        <v>40.3957138061523</v>
      </c>
      <c r="F214" s="159"/>
      <c r="G214" s="175" t="n">
        <v>26</v>
      </c>
      <c r="H214" s="175" t="n">
        <v>26</v>
      </c>
      <c r="I214" s="175" t="n">
        <v>26</v>
      </c>
      <c r="J214" s="140"/>
      <c r="K214" s="141" t="n">
        <v>43282</v>
      </c>
      <c r="L214" s="176" t="n">
        <v>35.2900009155273</v>
      </c>
      <c r="M214" s="176" t="n">
        <v>35.2900009155273</v>
      </c>
      <c r="N214" s="176" t="n">
        <v>35.2900009155273</v>
      </c>
      <c r="O214" s="139"/>
      <c r="P214" s="176" t="n">
        <v>25.7900009155273</v>
      </c>
      <c r="Q214" s="176" t="n">
        <v>25.7900009155273</v>
      </c>
      <c r="R214" s="176" t="n">
        <v>25.7900009155273</v>
      </c>
      <c r="S214" s="139"/>
      <c r="T214" s="176" t="n">
        <v>0</v>
      </c>
      <c r="U214" s="176" t="n">
        <v>0</v>
      </c>
      <c r="V214" s="176" t="n">
        <v>0</v>
      </c>
      <c r="W214" s="139"/>
      <c r="X214" s="176" t="n">
        <v>0.16</v>
      </c>
      <c r="Y214" s="176" t="n">
        <v>0.2</v>
      </c>
      <c r="Z214" s="176" t="n">
        <v>0.24</v>
      </c>
      <c r="AA214" s="139"/>
      <c r="AB214" s="176" t="n">
        <v>0.08</v>
      </c>
      <c r="AC214" s="176" t="n">
        <v>0.1</v>
      </c>
      <c r="AD214" s="176" t="n">
        <v>0.12</v>
      </c>
      <c r="AE214" s="139"/>
      <c r="AF214" s="176" t="n">
        <v>0.2</v>
      </c>
      <c r="AG214" s="176" t="n">
        <v>0.25</v>
      </c>
      <c r="AH214" s="176" t="n">
        <v>0.3</v>
      </c>
      <c r="AI214" s="139"/>
      <c r="AJ214" s="176" t="n">
        <v>0.12</v>
      </c>
      <c r="AK214" s="176" t="n">
        <v>0.15</v>
      </c>
      <c r="AL214" s="176" t="n">
        <v>0.18</v>
      </c>
      <c r="AM214" s="139"/>
      <c r="AN214" s="140" t="n">
        <v>69</v>
      </c>
      <c r="AO214" s="177" t="n">
        <v>0.4</v>
      </c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41" t="n">
        <v>43282</v>
      </c>
      <c r="BG214" s="179" t="n">
        <v>0.75</v>
      </c>
      <c r="BH214" s="139"/>
      <c r="BI214" s="139"/>
      <c r="BJ214" s="139"/>
      <c r="BK214" s="139"/>
      <c r="BL214" s="139"/>
      <c r="BM214" s="139"/>
      <c r="BN214" s="139"/>
      <c r="BO214" s="139"/>
      <c r="BP214" s="139"/>
      <c r="BQ214" s="139"/>
      <c r="BR214" s="139"/>
      <c r="BS214" s="139"/>
      <c r="BT214" s="139"/>
      <c r="BU214" s="139"/>
      <c r="BV214" s="139"/>
      <c r="BW214" s="139"/>
      <c r="BX214" s="139"/>
      <c r="BY214" s="139"/>
      <c r="BZ214" s="139"/>
      <c r="CA214" s="139"/>
      <c r="CB214" s="139"/>
      <c r="CC214" s="139"/>
      <c r="CD214" s="139"/>
      <c r="CE214" s="139"/>
      <c r="CF214" s="0"/>
      <c r="CN214" s="0"/>
      <c r="CO214" s="0"/>
      <c r="CP214" s="0"/>
      <c r="CQ214" s="0"/>
      <c r="CR214" s="0"/>
      <c r="CW214" s="181" t="n">
        <f aca="false">K214</f>
        <v>43282</v>
      </c>
      <c r="CX214" s="182" t="n">
        <f aca="false">AF214</f>
        <v>0.2</v>
      </c>
      <c r="CY214" s="182" t="n">
        <f aca="false">AG214</f>
        <v>0.25</v>
      </c>
      <c r="CZ214" s="182" t="n">
        <f aca="false">AH214</f>
        <v>0.3</v>
      </c>
      <c r="DB214" s="182" t="n">
        <f aca="false">X214</f>
        <v>0.16</v>
      </c>
      <c r="DC214" s="182" t="n">
        <f aca="false">Y214</f>
        <v>0.2</v>
      </c>
      <c r="DD214" s="182" t="n">
        <f aca="false">Z214</f>
        <v>0.24</v>
      </c>
      <c r="DF214" s="181" t="n">
        <f aca="false">BF214</f>
        <v>43282</v>
      </c>
      <c r="DG214" s="133" t="n">
        <f aca="false">BG214</f>
        <v>0.75</v>
      </c>
      <c r="DJ214" s="181" t="n">
        <f aca="false">CW214</f>
        <v>43282</v>
      </c>
      <c r="DK214" s="182" t="n">
        <f aca="false">AJ214</f>
        <v>0.12</v>
      </c>
      <c r="DL214" s="182" t="n">
        <f aca="false">AK214</f>
        <v>0.15</v>
      </c>
      <c r="DM214" s="182" t="n">
        <f aca="false">AL214</f>
        <v>0.18</v>
      </c>
      <c r="DO214" s="182" t="n">
        <f aca="false">AB214</f>
        <v>0.08</v>
      </c>
      <c r="DP214" s="182" t="n">
        <f aca="false">AC214</f>
        <v>0.1</v>
      </c>
      <c r="DQ214" s="182" t="n">
        <f aca="false">AD214</f>
        <v>0.12</v>
      </c>
    </row>
    <row r="215" customFormat="false" ht="12.75" hidden="false" customHeight="false" outlineLevel="0" collapsed="false">
      <c r="A215" s="133"/>
      <c r="B215" s="174" t="n">
        <v>42430</v>
      </c>
      <c r="C215" s="175" t="n">
        <v>36.1076812744141</v>
      </c>
      <c r="D215" s="175" t="n">
        <v>37.6076812744141</v>
      </c>
      <c r="E215" s="175" t="n">
        <v>39.1076812744141</v>
      </c>
      <c r="F215" s="159"/>
      <c r="G215" s="175" t="n">
        <v>27</v>
      </c>
      <c r="H215" s="175" t="n">
        <v>27</v>
      </c>
      <c r="I215" s="175" t="n">
        <v>27</v>
      </c>
      <c r="J215" s="140"/>
      <c r="K215" s="141" t="n">
        <v>43313</v>
      </c>
      <c r="L215" s="176" t="n">
        <v>33.2900047302246</v>
      </c>
      <c r="M215" s="176" t="n">
        <v>33.2900047302246</v>
      </c>
      <c r="N215" s="176" t="n">
        <v>33.2900047302246</v>
      </c>
      <c r="O215" s="139"/>
      <c r="P215" s="176" t="n">
        <v>25.7900009155273</v>
      </c>
      <c r="Q215" s="176" t="n">
        <v>25.7900009155273</v>
      </c>
      <c r="R215" s="176" t="n">
        <v>25.7900009155273</v>
      </c>
      <c r="S215" s="139"/>
      <c r="T215" s="176" t="n">
        <v>0</v>
      </c>
      <c r="U215" s="176" t="n">
        <v>0</v>
      </c>
      <c r="V215" s="176" t="n">
        <v>0</v>
      </c>
      <c r="W215" s="139"/>
      <c r="X215" s="176" t="n">
        <v>0.24</v>
      </c>
      <c r="Y215" s="176" t="n">
        <v>0.3</v>
      </c>
      <c r="Z215" s="176" t="n">
        <v>0.36</v>
      </c>
      <c r="AA215" s="139"/>
      <c r="AB215" s="176" t="n">
        <v>0.12</v>
      </c>
      <c r="AC215" s="176" t="n">
        <v>0.15</v>
      </c>
      <c r="AD215" s="176" t="n">
        <v>0.18</v>
      </c>
      <c r="AE215" s="139"/>
      <c r="AF215" s="176" t="n">
        <v>0.32</v>
      </c>
      <c r="AG215" s="176" t="n">
        <v>0.4</v>
      </c>
      <c r="AH215" s="176" t="n">
        <v>0.48</v>
      </c>
      <c r="AI215" s="139"/>
      <c r="AJ215" s="176" t="n">
        <v>0.192</v>
      </c>
      <c r="AK215" s="176" t="n">
        <v>0.24</v>
      </c>
      <c r="AL215" s="176" t="n">
        <v>0.288</v>
      </c>
      <c r="AM215" s="139"/>
      <c r="AN215" s="140" t="n">
        <v>69</v>
      </c>
      <c r="AO215" s="177" t="n">
        <v>0.4</v>
      </c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41" t="n">
        <v>43313</v>
      </c>
      <c r="BG215" s="179" t="n">
        <v>0.75</v>
      </c>
      <c r="BH215" s="139"/>
      <c r="BI215" s="139"/>
      <c r="BJ215" s="139"/>
      <c r="BK215" s="139"/>
      <c r="BL215" s="139"/>
      <c r="BM215" s="139"/>
      <c r="BN215" s="139"/>
      <c r="BO215" s="139"/>
      <c r="BP215" s="139"/>
      <c r="BQ215" s="139"/>
      <c r="BR215" s="139"/>
      <c r="BS215" s="139"/>
      <c r="BT215" s="139"/>
      <c r="BU215" s="139"/>
      <c r="BV215" s="139"/>
      <c r="BW215" s="139"/>
      <c r="BX215" s="139"/>
      <c r="BY215" s="139"/>
      <c r="BZ215" s="139"/>
      <c r="CA215" s="139"/>
      <c r="CB215" s="139"/>
      <c r="CC215" s="139"/>
      <c r="CD215" s="139"/>
      <c r="CE215" s="139"/>
      <c r="CF215" s="0"/>
      <c r="CN215" s="0"/>
      <c r="CO215" s="0"/>
      <c r="CP215" s="0"/>
      <c r="CQ215" s="0"/>
      <c r="CR215" s="0"/>
      <c r="CW215" s="181" t="n">
        <f aca="false">K215</f>
        <v>43313</v>
      </c>
      <c r="CX215" s="182" t="n">
        <f aca="false">AF215</f>
        <v>0.32</v>
      </c>
      <c r="CY215" s="182" t="n">
        <f aca="false">AG215</f>
        <v>0.4</v>
      </c>
      <c r="CZ215" s="182" t="n">
        <f aca="false">AH215</f>
        <v>0.48</v>
      </c>
      <c r="DB215" s="182" t="n">
        <f aca="false">X215</f>
        <v>0.24</v>
      </c>
      <c r="DC215" s="182" t="n">
        <f aca="false">Y215</f>
        <v>0.3</v>
      </c>
      <c r="DD215" s="182" t="n">
        <f aca="false">Z215</f>
        <v>0.36</v>
      </c>
      <c r="DF215" s="181" t="n">
        <f aca="false">BF215</f>
        <v>43313</v>
      </c>
      <c r="DG215" s="133" t="n">
        <f aca="false">BG215</f>
        <v>0.75</v>
      </c>
      <c r="DJ215" s="181" t="n">
        <f aca="false">CW215</f>
        <v>43313</v>
      </c>
      <c r="DK215" s="182" t="n">
        <f aca="false">AJ215</f>
        <v>0.192</v>
      </c>
      <c r="DL215" s="182" t="n">
        <f aca="false">AK215</f>
        <v>0.24</v>
      </c>
      <c r="DM215" s="182" t="n">
        <f aca="false">AL215</f>
        <v>0.288</v>
      </c>
      <c r="DO215" s="182" t="n">
        <f aca="false">AB215</f>
        <v>0.12</v>
      </c>
      <c r="DP215" s="182" t="n">
        <f aca="false">AC215</f>
        <v>0.15</v>
      </c>
      <c r="DQ215" s="182" t="n">
        <f aca="false">AD215</f>
        <v>0.18</v>
      </c>
    </row>
    <row r="216" customFormat="false" ht="12.75" hidden="false" customHeight="false" outlineLevel="0" collapsed="false">
      <c r="A216" s="133"/>
      <c r="B216" s="174" t="n">
        <v>42461</v>
      </c>
      <c r="C216" s="175" t="n">
        <v>36.3076820373535</v>
      </c>
      <c r="D216" s="175" t="n">
        <v>37.8076820373535</v>
      </c>
      <c r="E216" s="175" t="n">
        <v>39.3076820373535</v>
      </c>
      <c r="F216" s="159"/>
      <c r="G216" s="175" t="n">
        <v>24</v>
      </c>
      <c r="H216" s="175" t="n">
        <v>24</v>
      </c>
      <c r="I216" s="175" t="n">
        <v>24</v>
      </c>
      <c r="J216" s="140"/>
      <c r="K216" s="141" t="n">
        <v>43344</v>
      </c>
      <c r="L216" s="176" t="n">
        <v>25.2900009155273</v>
      </c>
      <c r="M216" s="176" t="n">
        <v>25.2900009155273</v>
      </c>
      <c r="N216" s="176" t="n">
        <v>25.2900009155273</v>
      </c>
      <c r="O216" s="139"/>
      <c r="P216" s="176" t="n">
        <v>19.7900009155273</v>
      </c>
      <c r="Q216" s="176" t="n">
        <v>19.7900009155273</v>
      </c>
      <c r="R216" s="176" t="n">
        <v>19.7900009155273</v>
      </c>
      <c r="S216" s="139"/>
      <c r="T216" s="176" t="n">
        <v>0</v>
      </c>
      <c r="U216" s="176" t="n">
        <v>0</v>
      </c>
      <c r="V216" s="176" t="n">
        <v>0</v>
      </c>
      <c r="W216" s="139"/>
      <c r="X216" s="176" t="n">
        <v>0.24</v>
      </c>
      <c r="Y216" s="176" t="n">
        <v>0.3</v>
      </c>
      <c r="Z216" s="176" t="n">
        <v>0.36</v>
      </c>
      <c r="AA216" s="139"/>
      <c r="AB216" s="176" t="n">
        <v>0.12</v>
      </c>
      <c r="AC216" s="176" t="n">
        <v>0.15</v>
      </c>
      <c r="AD216" s="176" t="n">
        <v>0.18</v>
      </c>
      <c r="AE216" s="139"/>
      <c r="AF216" s="176" t="n">
        <v>0.32</v>
      </c>
      <c r="AG216" s="176" t="n">
        <v>0.4</v>
      </c>
      <c r="AH216" s="176" t="n">
        <v>0.48</v>
      </c>
      <c r="AI216" s="139"/>
      <c r="AJ216" s="176" t="n">
        <v>0.192</v>
      </c>
      <c r="AK216" s="176" t="n">
        <v>0.24</v>
      </c>
      <c r="AL216" s="176" t="n">
        <v>0.288</v>
      </c>
      <c r="AM216" s="139"/>
      <c r="AN216" s="140" t="n">
        <v>69</v>
      </c>
      <c r="AO216" s="177" t="n">
        <v>0.4</v>
      </c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41" t="n">
        <v>43344</v>
      </c>
      <c r="BG216" s="179" t="n">
        <v>0.75</v>
      </c>
      <c r="BH216" s="139"/>
      <c r="BI216" s="139"/>
      <c r="BJ216" s="139"/>
      <c r="BK216" s="139"/>
      <c r="BL216" s="139"/>
      <c r="BM216" s="139"/>
      <c r="BN216" s="139"/>
      <c r="BO216" s="139"/>
      <c r="BP216" s="139"/>
      <c r="BQ216" s="139"/>
      <c r="BR216" s="139"/>
      <c r="BS216" s="139"/>
      <c r="BT216" s="139"/>
      <c r="BU216" s="139"/>
      <c r="BV216" s="139"/>
      <c r="BW216" s="139"/>
      <c r="BX216" s="139"/>
      <c r="BY216" s="139"/>
      <c r="BZ216" s="139"/>
      <c r="CA216" s="139"/>
      <c r="CB216" s="139"/>
      <c r="CC216" s="139"/>
      <c r="CD216" s="139"/>
      <c r="CE216" s="139"/>
      <c r="CF216" s="0"/>
      <c r="CN216" s="0"/>
      <c r="CO216" s="0"/>
      <c r="CP216" s="0"/>
      <c r="CQ216" s="0"/>
      <c r="CR216" s="0"/>
      <c r="CW216" s="181" t="n">
        <f aca="false">K216</f>
        <v>43344</v>
      </c>
      <c r="CX216" s="182" t="n">
        <f aca="false">AF216</f>
        <v>0.32</v>
      </c>
      <c r="CY216" s="182" t="n">
        <f aca="false">AG216</f>
        <v>0.4</v>
      </c>
      <c r="CZ216" s="182" t="n">
        <f aca="false">AH216</f>
        <v>0.48</v>
      </c>
      <c r="DB216" s="182" t="n">
        <f aca="false">X216</f>
        <v>0.24</v>
      </c>
      <c r="DC216" s="182" t="n">
        <f aca="false">Y216</f>
        <v>0.3</v>
      </c>
      <c r="DD216" s="182" t="n">
        <f aca="false">Z216</f>
        <v>0.36</v>
      </c>
      <c r="DF216" s="181" t="n">
        <f aca="false">BF216</f>
        <v>43344</v>
      </c>
      <c r="DG216" s="133" t="n">
        <f aca="false">BG216</f>
        <v>0.75</v>
      </c>
      <c r="DJ216" s="181" t="n">
        <f aca="false">CW216</f>
        <v>43344</v>
      </c>
      <c r="DK216" s="182" t="n">
        <f aca="false">AJ216</f>
        <v>0.192</v>
      </c>
      <c r="DL216" s="182" t="n">
        <f aca="false">AK216</f>
        <v>0.24</v>
      </c>
      <c r="DM216" s="182" t="n">
        <f aca="false">AL216</f>
        <v>0.288</v>
      </c>
      <c r="DO216" s="182" t="n">
        <f aca="false">AB216</f>
        <v>0.12</v>
      </c>
      <c r="DP216" s="182" t="n">
        <f aca="false">AC216</f>
        <v>0.15</v>
      </c>
      <c r="DQ216" s="182" t="n">
        <f aca="false">AD216</f>
        <v>0.18</v>
      </c>
    </row>
    <row r="217" customFormat="false" ht="12.75" hidden="false" customHeight="false" outlineLevel="0" collapsed="false">
      <c r="A217" s="133"/>
      <c r="B217" s="174" t="n">
        <v>42491</v>
      </c>
      <c r="C217" s="175" t="n">
        <v>42.8850028991699</v>
      </c>
      <c r="D217" s="175" t="n">
        <v>45.3350028991699</v>
      </c>
      <c r="E217" s="175" t="n">
        <v>47.7850028991699</v>
      </c>
      <c r="F217" s="159"/>
      <c r="G217" s="175" t="n">
        <v>24.5400009155273</v>
      </c>
      <c r="H217" s="175" t="n">
        <v>24.5400009155273</v>
      </c>
      <c r="I217" s="175" t="n">
        <v>24.5400009155273</v>
      </c>
      <c r="J217" s="140"/>
      <c r="K217" s="141" t="n">
        <v>43374</v>
      </c>
      <c r="L217" s="176" t="n">
        <v>20.2860012054443</v>
      </c>
      <c r="M217" s="176" t="n">
        <v>20.2860012054443</v>
      </c>
      <c r="N217" s="176" t="n">
        <v>20.2860012054443</v>
      </c>
      <c r="O217" s="139"/>
      <c r="P217" s="176" t="n">
        <v>14.7865009307861</v>
      </c>
      <c r="Q217" s="176" t="n">
        <v>14.7865009307861</v>
      </c>
      <c r="R217" s="176" t="n">
        <v>14.7865009307861</v>
      </c>
      <c r="S217" s="139"/>
      <c r="T217" s="176" t="n">
        <v>0</v>
      </c>
      <c r="U217" s="176" t="n">
        <v>0</v>
      </c>
      <c r="V217" s="176" t="n">
        <v>0</v>
      </c>
      <c r="W217" s="139"/>
      <c r="X217" s="176" t="n">
        <v>0.16</v>
      </c>
      <c r="Y217" s="176" t="n">
        <v>0.2</v>
      </c>
      <c r="Z217" s="176" t="n">
        <v>0.24</v>
      </c>
      <c r="AA217" s="139"/>
      <c r="AB217" s="176" t="n">
        <v>0.08</v>
      </c>
      <c r="AC217" s="176" t="n">
        <v>0.1</v>
      </c>
      <c r="AD217" s="176" t="n">
        <v>0.12</v>
      </c>
      <c r="AE217" s="139"/>
      <c r="AF217" s="176" t="n">
        <v>0.2</v>
      </c>
      <c r="AG217" s="176" t="n">
        <v>0.25</v>
      </c>
      <c r="AH217" s="176" t="n">
        <v>0.3</v>
      </c>
      <c r="AI217" s="139"/>
      <c r="AJ217" s="176" t="n">
        <v>0.12</v>
      </c>
      <c r="AK217" s="176" t="n">
        <v>0.15</v>
      </c>
      <c r="AL217" s="176" t="n">
        <v>0.18</v>
      </c>
      <c r="AM217" s="139"/>
      <c r="AN217" s="140" t="n">
        <v>70</v>
      </c>
      <c r="AO217" s="177" t="n">
        <v>0.4</v>
      </c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41" t="n">
        <v>43374</v>
      </c>
      <c r="BG217" s="179" t="n">
        <v>0.75</v>
      </c>
      <c r="BH217" s="139"/>
      <c r="BI217" s="139"/>
      <c r="BJ217" s="139"/>
      <c r="BK217" s="139"/>
      <c r="BL217" s="139"/>
      <c r="BM217" s="139"/>
      <c r="BN217" s="139"/>
      <c r="BO217" s="139"/>
      <c r="BP217" s="139"/>
      <c r="BQ217" s="139"/>
      <c r="BR217" s="139"/>
      <c r="BS217" s="139"/>
      <c r="BT217" s="139"/>
      <c r="BU217" s="139"/>
      <c r="BV217" s="139"/>
      <c r="BW217" s="139"/>
      <c r="BX217" s="139"/>
      <c r="BY217" s="139"/>
      <c r="BZ217" s="139"/>
      <c r="CA217" s="139"/>
      <c r="CB217" s="139"/>
      <c r="CC217" s="139"/>
      <c r="CD217" s="139"/>
      <c r="CE217" s="139"/>
      <c r="CF217" s="0"/>
      <c r="CN217" s="0"/>
      <c r="CO217" s="0"/>
      <c r="CP217" s="0"/>
      <c r="CQ217" s="0"/>
      <c r="CR217" s="0"/>
      <c r="CW217" s="181" t="n">
        <f aca="false">K217</f>
        <v>43374</v>
      </c>
      <c r="CX217" s="182" t="n">
        <f aca="false">AF217</f>
        <v>0.2</v>
      </c>
      <c r="CY217" s="182" t="n">
        <f aca="false">AG217</f>
        <v>0.25</v>
      </c>
      <c r="CZ217" s="182" t="n">
        <f aca="false">AH217</f>
        <v>0.3</v>
      </c>
      <c r="DB217" s="182" t="n">
        <f aca="false">X217</f>
        <v>0.16</v>
      </c>
      <c r="DC217" s="182" t="n">
        <f aca="false">Y217</f>
        <v>0.2</v>
      </c>
      <c r="DD217" s="182" t="n">
        <f aca="false">Z217</f>
        <v>0.24</v>
      </c>
      <c r="DF217" s="181" t="n">
        <f aca="false">BF217</f>
        <v>43374</v>
      </c>
      <c r="DG217" s="133" t="n">
        <f aca="false">BG217</f>
        <v>0.75</v>
      </c>
      <c r="DJ217" s="181" t="n">
        <f aca="false">CW217</f>
        <v>43374</v>
      </c>
      <c r="DK217" s="182" t="n">
        <f aca="false">AJ217</f>
        <v>0.12</v>
      </c>
      <c r="DL217" s="182" t="n">
        <f aca="false">AK217</f>
        <v>0.15</v>
      </c>
      <c r="DM217" s="182" t="n">
        <f aca="false">AL217</f>
        <v>0.18</v>
      </c>
      <c r="DO217" s="182" t="n">
        <f aca="false">AB217</f>
        <v>0.08</v>
      </c>
      <c r="DP217" s="182" t="n">
        <f aca="false">AC217</f>
        <v>0.1</v>
      </c>
      <c r="DQ217" s="182" t="n">
        <f aca="false">AD217</f>
        <v>0.12</v>
      </c>
    </row>
    <row r="218" customFormat="false" ht="12.75" hidden="false" customHeight="false" outlineLevel="0" collapsed="false">
      <c r="A218" s="133"/>
      <c r="B218" s="174" t="n">
        <v>42522</v>
      </c>
      <c r="C218" s="175" t="n">
        <v>54.125</v>
      </c>
      <c r="D218" s="175" t="n">
        <v>59.125</v>
      </c>
      <c r="E218" s="175" t="n">
        <v>64.125</v>
      </c>
      <c r="F218" s="159"/>
      <c r="G218" s="175" t="n">
        <v>27.5400009155273</v>
      </c>
      <c r="H218" s="175" t="n">
        <v>27.5400009155273</v>
      </c>
      <c r="I218" s="175" t="n">
        <v>27.5400009155273</v>
      </c>
      <c r="J218" s="140"/>
      <c r="K218" s="141" t="n">
        <v>43405</v>
      </c>
      <c r="L218" s="176" t="n">
        <v>22.2900009155273</v>
      </c>
      <c r="M218" s="176" t="n">
        <v>22.2900009155273</v>
      </c>
      <c r="N218" s="176" t="n">
        <v>22.2900009155273</v>
      </c>
      <c r="O218" s="139"/>
      <c r="P218" s="176" t="n">
        <v>14.7900009155273</v>
      </c>
      <c r="Q218" s="176" t="n">
        <v>14.7900009155273</v>
      </c>
      <c r="R218" s="176" t="n">
        <v>14.7900009155273</v>
      </c>
      <c r="S218" s="139"/>
      <c r="T218" s="176" t="n">
        <v>0</v>
      </c>
      <c r="U218" s="176" t="n">
        <v>0</v>
      </c>
      <c r="V218" s="176" t="n">
        <v>0</v>
      </c>
      <c r="W218" s="139"/>
      <c r="X218" s="176" t="n">
        <v>0.16</v>
      </c>
      <c r="Y218" s="176" t="n">
        <v>0.2</v>
      </c>
      <c r="Z218" s="176" t="n">
        <v>0.24</v>
      </c>
      <c r="AA218" s="139"/>
      <c r="AB218" s="176" t="n">
        <v>0.08</v>
      </c>
      <c r="AC218" s="176" t="n">
        <v>0.1</v>
      </c>
      <c r="AD218" s="176" t="n">
        <v>0.12</v>
      </c>
      <c r="AE218" s="139"/>
      <c r="AF218" s="176" t="n">
        <v>0.2</v>
      </c>
      <c r="AG218" s="176" t="n">
        <v>0.25</v>
      </c>
      <c r="AH218" s="176" t="n">
        <v>0.3</v>
      </c>
      <c r="AI218" s="139"/>
      <c r="AJ218" s="176" t="n">
        <v>0.12</v>
      </c>
      <c r="AK218" s="176" t="n">
        <v>0.15</v>
      </c>
      <c r="AL218" s="176" t="n">
        <v>0.18</v>
      </c>
      <c r="AM218" s="139"/>
      <c r="AN218" s="140" t="n">
        <v>70</v>
      </c>
      <c r="AO218" s="177" t="n">
        <v>0.4</v>
      </c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41" t="n">
        <v>43405</v>
      </c>
      <c r="BG218" s="179" t="n">
        <v>0.75</v>
      </c>
      <c r="BH218" s="139"/>
      <c r="BI218" s="139"/>
      <c r="BJ218" s="139"/>
      <c r="BK218" s="139"/>
      <c r="BL218" s="139"/>
      <c r="BM218" s="139"/>
      <c r="BN218" s="139"/>
      <c r="BO218" s="139"/>
      <c r="BP218" s="139"/>
      <c r="BQ218" s="139"/>
      <c r="BR218" s="139"/>
      <c r="BS218" s="139"/>
      <c r="BT218" s="139"/>
      <c r="BU218" s="139"/>
      <c r="BV218" s="139"/>
      <c r="BW218" s="139"/>
      <c r="BX218" s="139"/>
      <c r="BY218" s="139"/>
      <c r="BZ218" s="139"/>
      <c r="CA218" s="139"/>
      <c r="CB218" s="139"/>
      <c r="CC218" s="139"/>
      <c r="CD218" s="139"/>
      <c r="CE218" s="139"/>
      <c r="CF218" s="0"/>
      <c r="CN218" s="0"/>
      <c r="CO218" s="0"/>
      <c r="CP218" s="0"/>
      <c r="CQ218" s="0"/>
      <c r="CR218" s="0"/>
      <c r="CW218" s="181" t="n">
        <f aca="false">K218</f>
        <v>43405</v>
      </c>
      <c r="CX218" s="182" t="n">
        <f aca="false">AF218</f>
        <v>0.2</v>
      </c>
      <c r="CY218" s="182" t="n">
        <f aca="false">AG218</f>
        <v>0.25</v>
      </c>
      <c r="CZ218" s="182" t="n">
        <f aca="false">AH218</f>
        <v>0.3</v>
      </c>
      <c r="DB218" s="182" t="n">
        <f aca="false">X218</f>
        <v>0.16</v>
      </c>
      <c r="DC218" s="182" t="n">
        <f aca="false">Y218</f>
        <v>0.2</v>
      </c>
      <c r="DD218" s="182" t="n">
        <f aca="false">Z218</f>
        <v>0.24</v>
      </c>
      <c r="DF218" s="181" t="n">
        <f aca="false">BF218</f>
        <v>43405</v>
      </c>
      <c r="DG218" s="133" t="n">
        <f aca="false">BG218</f>
        <v>0.75</v>
      </c>
      <c r="DJ218" s="181" t="n">
        <f aca="false">CW218</f>
        <v>43405</v>
      </c>
      <c r="DK218" s="182" t="n">
        <f aca="false">AJ218</f>
        <v>0.12</v>
      </c>
      <c r="DL218" s="182" t="n">
        <f aca="false">AK218</f>
        <v>0.15</v>
      </c>
      <c r="DM218" s="182" t="n">
        <f aca="false">AL218</f>
        <v>0.18</v>
      </c>
      <c r="DO218" s="182" t="n">
        <f aca="false">AB218</f>
        <v>0.08</v>
      </c>
      <c r="DP218" s="182" t="n">
        <f aca="false">AC218</f>
        <v>0.1</v>
      </c>
      <c r="DQ218" s="182" t="n">
        <f aca="false">AD218</f>
        <v>0.12</v>
      </c>
    </row>
    <row r="219" customFormat="false" ht="12.75" hidden="false" customHeight="false" outlineLevel="0" collapsed="false">
      <c r="A219" s="133"/>
      <c r="B219" s="174" t="n">
        <v>42552</v>
      </c>
      <c r="C219" s="175" t="n">
        <v>58.5</v>
      </c>
      <c r="D219" s="175" t="n">
        <v>68.5</v>
      </c>
      <c r="E219" s="175" t="n">
        <v>78.5</v>
      </c>
      <c r="F219" s="159"/>
      <c r="G219" s="175" t="n">
        <v>28.0400009155273</v>
      </c>
      <c r="H219" s="175" t="n">
        <v>28.0400009155273</v>
      </c>
      <c r="I219" s="175" t="n">
        <v>28.0400009155273</v>
      </c>
      <c r="J219" s="140"/>
      <c r="K219" s="141" t="n">
        <v>43435</v>
      </c>
      <c r="L219" s="176" t="n">
        <v>27.2900009155273</v>
      </c>
      <c r="M219" s="176" t="n">
        <v>27.2900009155273</v>
      </c>
      <c r="N219" s="176" t="n">
        <v>27.2900009155273</v>
      </c>
      <c r="O219" s="139"/>
      <c r="P219" s="176" t="n">
        <v>21.7900009155273</v>
      </c>
      <c r="Q219" s="176" t="n">
        <v>21.7900009155273</v>
      </c>
      <c r="R219" s="176" t="n">
        <v>21.7900009155273</v>
      </c>
      <c r="S219" s="139"/>
      <c r="T219" s="176" t="n">
        <v>0</v>
      </c>
      <c r="U219" s="176" t="n">
        <v>0</v>
      </c>
      <c r="V219" s="176" t="n">
        <v>0</v>
      </c>
      <c r="W219" s="139"/>
      <c r="X219" s="176" t="n">
        <v>0.16</v>
      </c>
      <c r="Y219" s="176" t="n">
        <v>0.2</v>
      </c>
      <c r="Z219" s="176" t="n">
        <v>0.24</v>
      </c>
      <c r="AA219" s="139"/>
      <c r="AB219" s="176" t="n">
        <v>0.08</v>
      </c>
      <c r="AC219" s="176" t="n">
        <v>0.1</v>
      </c>
      <c r="AD219" s="176" t="n">
        <v>0.12</v>
      </c>
      <c r="AE219" s="139"/>
      <c r="AF219" s="176" t="n">
        <v>0.2</v>
      </c>
      <c r="AG219" s="176" t="n">
        <v>0.25</v>
      </c>
      <c r="AH219" s="176" t="n">
        <v>0.3</v>
      </c>
      <c r="AI219" s="139"/>
      <c r="AJ219" s="176" t="n">
        <v>0.12</v>
      </c>
      <c r="AK219" s="176" t="n">
        <v>0.15</v>
      </c>
      <c r="AL219" s="176" t="n">
        <v>0.18</v>
      </c>
      <c r="AM219" s="139"/>
      <c r="AN219" s="140" t="n">
        <v>70</v>
      </c>
      <c r="AO219" s="177" t="n">
        <v>0.4</v>
      </c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41" t="n">
        <v>43435</v>
      </c>
      <c r="BG219" s="179" t="n">
        <v>0.75</v>
      </c>
      <c r="BH219" s="139"/>
      <c r="BI219" s="139"/>
      <c r="BJ219" s="139"/>
      <c r="BK219" s="139"/>
      <c r="BL219" s="139"/>
      <c r="BM219" s="139"/>
      <c r="BN219" s="139"/>
      <c r="BO219" s="139"/>
      <c r="BP219" s="139"/>
      <c r="BQ219" s="139"/>
      <c r="BR219" s="139"/>
      <c r="BS219" s="139"/>
      <c r="BT219" s="139"/>
      <c r="BU219" s="139"/>
      <c r="BV219" s="139"/>
      <c r="BW219" s="139"/>
      <c r="BX219" s="139"/>
      <c r="BY219" s="139"/>
      <c r="BZ219" s="139"/>
      <c r="CA219" s="139"/>
      <c r="CB219" s="139"/>
      <c r="CC219" s="139"/>
      <c r="CD219" s="139"/>
      <c r="CE219" s="139"/>
      <c r="CF219" s="0"/>
      <c r="CN219" s="0"/>
      <c r="CO219" s="0"/>
      <c r="CP219" s="0"/>
      <c r="CQ219" s="0"/>
      <c r="CR219" s="0"/>
      <c r="CW219" s="181" t="n">
        <f aca="false">K219</f>
        <v>43435</v>
      </c>
      <c r="CX219" s="182" t="n">
        <f aca="false">AF219</f>
        <v>0.2</v>
      </c>
      <c r="CY219" s="182" t="n">
        <f aca="false">AG219</f>
        <v>0.25</v>
      </c>
      <c r="CZ219" s="182" t="n">
        <f aca="false">AH219</f>
        <v>0.3</v>
      </c>
      <c r="DB219" s="182" t="n">
        <f aca="false">X219</f>
        <v>0.16</v>
      </c>
      <c r="DC219" s="182" t="n">
        <f aca="false">Y219</f>
        <v>0.2</v>
      </c>
      <c r="DD219" s="182" t="n">
        <f aca="false">Z219</f>
        <v>0.24</v>
      </c>
      <c r="DF219" s="181" t="n">
        <f aca="false">BF219</f>
        <v>43435</v>
      </c>
      <c r="DG219" s="133" t="n">
        <f aca="false">BG219</f>
        <v>0.75</v>
      </c>
      <c r="DJ219" s="181" t="n">
        <f aca="false">CW219</f>
        <v>43435</v>
      </c>
      <c r="DK219" s="182" t="n">
        <f aca="false">AJ219</f>
        <v>0.12</v>
      </c>
      <c r="DL219" s="182" t="n">
        <f aca="false">AK219</f>
        <v>0.15</v>
      </c>
      <c r="DM219" s="182" t="n">
        <f aca="false">AL219</f>
        <v>0.18</v>
      </c>
      <c r="DO219" s="182" t="n">
        <f aca="false">AB219</f>
        <v>0.08</v>
      </c>
      <c r="DP219" s="182" t="n">
        <f aca="false">AC219</f>
        <v>0.1</v>
      </c>
      <c r="DQ219" s="182" t="n">
        <f aca="false">AD219</f>
        <v>0.12</v>
      </c>
    </row>
    <row r="220" customFormat="false" ht="12.75" hidden="false" customHeight="false" outlineLevel="0" collapsed="false">
      <c r="A220" s="133"/>
      <c r="B220" s="174" t="n">
        <v>42583</v>
      </c>
      <c r="C220" s="175" t="n">
        <v>58.5</v>
      </c>
      <c r="D220" s="175" t="n">
        <v>68.5</v>
      </c>
      <c r="E220" s="175" t="n">
        <v>78.5</v>
      </c>
      <c r="F220" s="159"/>
      <c r="G220" s="175" t="n">
        <v>29.0400009155273</v>
      </c>
      <c r="H220" s="175" t="n">
        <v>29.0400009155273</v>
      </c>
      <c r="I220" s="175" t="n">
        <v>29.0400009155273</v>
      </c>
      <c r="J220" s="140"/>
      <c r="K220" s="141" t="n">
        <v>43466</v>
      </c>
      <c r="L220" s="176" t="n">
        <v>35.75</v>
      </c>
      <c r="M220" s="176" t="n">
        <v>35.75</v>
      </c>
      <c r="N220" s="176" t="n">
        <v>35.75</v>
      </c>
      <c r="O220" s="139"/>
      <c r="P220" s="176" t="n">
        <v>25.25</v>
      </c>
      <c r="Q220" s="176" t="n">
        <v>25.25</v>
      </c>
      <c r="R220" s="176" t="n">
        <v>25.25</v>
      </c>
      <c r="S220" s="139"/>
      <c r="T220" s="176" t="n">
        <v>0</v>
      </c>
      <c r="U220" s="176" t="n">
        <v>0</v>
      </c>
      <c r="V220" s="176" t="n">
        <v>0</v>
      </c>
      <c r="W220" s="139"/>
      <c r="X220" s="176" t="n">
        <v>0.16</v>
      </c>
      <c r="Y220" s="176" t="n">
        <v>0.2</v>
      </c>
      <c r="Z220" s="176" t="n">
        <v>0.24</v>
      </c>
      <c r="AA220" s="139"/>
      <c r="AB220" s="176" t="n">
        <v>0.08</v>
      </c>
      <c r="AC220" s="176" t="n">
        <v>0.1</v>
      </c>
      <c r="AD220" s="176" t="n">
        <v>0.12</v>
      </c>
      <c r="AE220" s="139"/>
      <c r="AF220" s="176" t="n">
        <v>0.2</v>
      </c>
      <c r="AG220" s="176" t="n">
        <v>0.25</v>
      </c>
      <c r="AH220" s="176" t="n">
        <v>0.3</v>
      </c>
      <c r="AI220" s="139"/>
      <c r="AJ220" s="176" t="n">
        <v>0.12</v>
      </c>
      <c r="AK220" s="176" t="n">
        <v>0.15</v>
      </c>
      <c r="AL220" s="176" t="n">
        <v>0.18</v>
      </c>
      <c r="AM220" s="139"/>
      <c r="AN220" s="140" t="n">
        <v>71</v>
      </c>
      <c r="AO220" s="177" t="n">
        <v>0.4</v>
      </c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41" t="n">
        <v>43466</v>
      </c>
      <c r="BG220" s="179" t="n">
        <v>0.75</v>
      </c>
      <c r="BH220" s="139"/>
      <c r="BI220" s="139"/>
      <c r="BJ220" s="139"/>
      <c r="BK220" s="139"/>
      <c r="BL220" s="139"/>
      <c r="BM220" s="139"/>
      <c r="BN220" s="139"/>
      <c r="BO220" s="139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39"/>
      <c r="CE220" s="139"/>
      <c r="CF220" s="0"/>
      <c r="CN220" s="0"/>
      <c r="CO220" s="0"/>
      <c r="CP220" s="0"/>
      <c r="CQ220" s="0"/>
      <c r="CR220" s="0"/>
      <c r="CW220" s="181" t="n">
        <f aca="false">K220</f>
        <v>43466</v>
      </c>
      <c r="CX220" s="182" t="n">
        <f aca="false">AF220</f>
        <v>0.2</v>
      </c>
      <c r="CY220" s="182" t="n">
        <f aca="false">AG220</f>
        <v>0.25</v>
      </c>
      <c r="CZ220" s="182" t="n">
        <f aca="false">AH220</f>
        <v>0.3</v>
      </c>
      <c r="DB220" s="182" t="n">
        <f aca="false">X220</f>
        <v>0.16</v>
      </c>
      <c r="DC220" s="182" t="n">
        <f aca="false">Y220</f>
        <v>0.2</v>
      </c>
      <c r="DD220" s="182" t="n">
        <f aca="false">Z220</f>
        <v>0.24</v>
      </c>
      <c r="DF220" s="181" t="n">
        <f aca="false">BF220</f>
        <v>43466</v>
      </c>
      <c r="DG220" s="133" t="n">
        <f aca="false">BG220</f>
        <v>0.75</v>
      </c>
      <c r="DJ220" s="181" t="n">
        <f aca="false">CW220</f>
        <v>43466</v>
      </c>
      <c r="DK220" s="182" t="n">
        <f aca="false">AJ220</f>
        <v>0.12</v>
      </c>
      <c r="DL220" s="182" t="n">
        <f aca="false">AK220</f>
        <v>0.15</v>
      </c>
      <c r="DM220" s="182" t="n">
        <f aca="false">AL220</f>
        <v>0.18</v>
      </c>
      <c r="DO220" s="182" t="n">
        <f aca="false">AB220</f>
        <v>0.08</v>
      </c>
      <c r="DP220" s="182" t="n">
        <f aca="false">AC220</f>
        <v>0.1</v>
      </c>
      <c r="DQ220" s="182" t="n">
        <f aca="false">AD220</f>
        <v>0.12</v>
      </c>
    </row>
    <row r="221" customFormat="false" ht="12.75" hidden="false" customHeight="false" outlineLevel="0" collapsed="false">
      <c r="A221" s="133"/>
      <c r="B221" s="174" t="n">
        <v>42614</v>
      </c>
      <c r="C221" s="175" t="n">
        <v>30.7099990844727</v>
      </c>
      <c r="D221" s="175" t="n">
        <v>32.2099990844727</v>
      </c>
      <c r="E221" s="175" t="n">
        <v>33.7099990844727</v>
      </c>
      <c r="F221" s="159"/>
      <c r="G221" s="175" t="n">
        <v>23.0400009155273</v>
      </c>
      <c r="H221" s="175" t="n">
        <v>23.0400009155273</v>
      </c>
      <c r="I221" s="175" t="n">
        <v>23.0400009155273</v>
      </c>
      <c r="J221" s="140"/>
      <c r="K221" s="141" t="n">
        <v>43497</v>
      </c>
      <c r="L221" s="176" t="n">
        <v>31.2460021972656</v>
      </c>
      <c r="M221" s="176" t="n">
        <v>31.2460021972656</v>
      </c>
      <c r="N221" s="176" t="n">
        <v>31.2460021972656</v>
      </c>
      <c r="O221" s="139"/>
      <c r="P221" s="176" t="n">
        <v>22.7465019226074</v>
      </c>
      <c r="Q221" s="176" t="n">
        <v>22.7465019226074</v>
      </c>
      <c r="R221" s="176" t="n">
        <v>22.7465019226074</v>
      </c>
      <c r="S221" s="139"/>
      <c r="T221" s="176" t="n">
        <v>0</v>
      </c>
      <c r="U221" s="176" t="n">
        <v>0</v>
      </c>
      <c r="V221" s="176" t="n">
        <v>0</v>
      </c>
      <c r="W221" s="139"/>
      <c r="X221" s="176" t="n">
        <v>0.16</v>
      </c>
      <c r="Y221" s="176" t="n">
        <v>0.2</v>
      </c>
      <c r="Z221" s="176" t="n">
        <v>0.24</v>
      </c>
      <c r="AA221" s="139"/>
      <c r="AB221" s="176" t="n">
        <v>0.08</v>
      </c>
      <c r="AC221" s="176" t="n">
        <v>0.1</v>
      </c>
      <c r="AD221" s="176" t="n">
        <v>0.12</v>
      </c>
      <c r="AE221" s="139"/>
      <c r="AF221" s="176" t="n">
        <v>0.2</v>
      </c>
      <c r="AG221" s="176" t="n">
        <v>0.25</v>
      </c>
      <c r="AH221" s="176" t="n">
        <v>0.3</v>
      </c>
      <c r="AI221" s="139"/>
      <c r="AJ221" s="176" t="n">
        <v>0.12</v>
      </c>
      <c r="AK221" s="176" t="n">
        <v>0.15</v>
      </c>
      <c r="AL221" s="176" t="n">
        <v>0.18</v>
      </c>
      <c r="AM221" s="139"/>
      <c r="AN221" s="140" t="n">
        <v>71</v>
      </c>
      <c r="AO221" s="177" t="n">
        <v>0.4</v>
      </c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41" t="n">
        <v>43497</v>
      </c>
      <c r="BG221" s="179" t="n">
        <v>0.75</v>
      </c>
      <c r="BH221" s="139"/>
      <c r="BI221" s="139"/>
      <c r="BJ221" s="139"/>
      <c r="BK221" s="139"/>
      <c r="BL221" s="139"/>
      <c r="BM221" s="139"/>
      <c r="BN221" s="139"/>
      <c r="BO221" s="139"/>
      <c r="BP221" s="139"/>
      <c r="BQ221" s="139"/>
      <c r="BR221" s="139"/>
      <c r="BS221" s="139"/>
      <c r="BT221" s="139"/>
      <c r="BU221" s="139"/>
      <c r="BV221" s="139"/>
      <c r="BW221" s="139"/>
      <c r="BX221" s="139"/>
      <c r="BY221" s="139"/>
      <c r="BZ221" s="139"/>
      <c r="CA221" s="139"/>
      <c r="CB221" s="139"/>
      <c r="CC221" s="139"/>
      <c r="CD221" s="139"/>
      <c r="CE221" s="139"/>
      <c r="CF221" s="0"/>
      <c r="CN221" s="0"/>
      <c r="CO221" s="0"/>
      <c r="CP221" s="0"/>
      <c r="CQ221" s="0"/>
      <c r="CR221" s="0"/>
      <c r="CW221" s="181" t="n">
        <f aca="false">K221</f>
        <v>43497</v>
      </c>
      <c r="CX221" s="182" t="n">
        <f aca="false">AF221</f>
        <v>0.2</v>
      </c>
      <c r="CY221" s="182" t="n">
        <f aca="false">AG221</f>
        <v>0.25</v>
      </c>
      <c r="CZ221" s="182" t="n">
        <f aca="false">AH221</f>
        <v>0.3</v>
      </c>
      <c r="DB221" s="182" t="n">
        <f aca="false">X221</f>
        <v>0.16</v>
      </c>
      <c r="DC221" s="182" t="n">
        <f aca="false">Y221</f>
        <v>0.2</v>
      </c>
      <c r="DD221" s="182" t="n">
        <f aca="false">Z221</f>
        <v>0.24</v>
      </c>
      <c r="DF221" s="181" t="n">
        <f aca="false">BF221</f>
        <v>43497</v>
      </c>
      <c r="DG221" s="133" t="n">
        <f aca="false">BG221</f>
        <v>0.75</v>
      </c>
      <c r="DJ221" s="181" t="n">
        <f aca="false">CW221</f>
        <v>43497</v>
      </c>
      <c r="DK221" s="182" t="n">
        <f aca="false">AJ221</f>
        <v>0.12</v>
      </c>
      <c r="DL221" s="182" t="n">
        <f aca="false">AK221</f>
        <v>0.15</v>
      </c>
      <c r="DM221" s="182" t="n">
        <f aca="false">AL221</f>
        <v>0.18</v>
      </c>
      <c r="DO221" s="182" t="n">
        <f aca="false">AB221</f>
        <v>0.08</v>
      </c>
      <c r="DP221" s="182" t="n">
        <f aca="false">AC221</f>
        <v>0.1</v>
      </c>
      <c r="DQ221" s="182" t="n">
        <f aca="false">AD221</f>
        <v>0.12</v>
      </c>
    </row>
    <row r="222" customFormat="false" ht="12.75" hidden="false" customHeight="false" outlineLevel="0" collapsed="false">
      <c r="A222" s="133"/>
      <c r="B222" s="174" t="n">
        <v>42644</v>
      </c>
      <c r="C222" s="175" t="n">
        <v>34.6115684509277</v>
      </c>
      <c r="D222" s="175" t="n">
        <v>36.1115684509277</v>
      </c>
      <c r="E222" s="175" t="n">
        <v>37.6115684509277</v>
      </c>
      <c r="F222" s="159"/>
      <c r="G222" s="175" t="n">
        <v>22.540002822876</v>
      </c>
      <c r="H222" s="175" t="n">
        <v>22.540002822876</v>
      </c>
      <c r="I222" s="175" t="n">
        <v>22.540002822876</v>
      </c>
      <c r="J222" s="140"/>
      <c r="K222" s="141" t="n">
        <v>43525</v>
      </c>
      <c r="L222" s="176" t="n">
        <v>25.5</v>
      </c>
      <c r="M222" s="176" t="n">
        <v>25.5</v>
      </c>
      <c r="N222" s="176" t="n">
        <v>25.5</v>
      </c>
      <c r="O222" s="139"/>
      <c r="P222" s="176" t="n">
        <v>20</v>
      </c>
      <c r="Q222" s="176" t="n">
        <v>20</v>
      </c>
      <c r="R222" s="176" t="n">
        <v>20</v>
      </c>
      <c r="S222" s="139"/>
      <c r="T222" s="176" t="n">
        <v>0</v>
      </c>
      <c r="U222" s="176" t="n">
        <v>0</v>
      </c>
      <c r="V222" s="176" t="n">
        <v>0</v>
      </c>
      <c r="W222" s="139"/>
      <c r="X222" s="176" t="n">
        <v>0.16</v>
      </c>
      <c r="Y222" s="176" t="n">
        <v>0.2</v>
      </c>
      <c r="Z222" s="176" t="n">
        <v>0.24</v>
      </c>
      <c r="AA222" s="139"/>
      <c r="AB222" s="176" t="n">
        <v>0.08</v>
      </c>
      <c r="AC222" s="176" t="n">
        <v>0.1</v>
      </c>
      <c r="AD222" s="176" t="n">
        <v>0.12</v>
      </c>
      <c r="AE222" s="139"/>
      <c r="AF222" s="176" t="n">
        <v>0.2</v>
      </c>
      <c r="AG222" s="176" t="n">
        <v>0.25</v>
      </c>
      <c r="AH222" s="176" t="n">
        <v>0.3</v>
      </c>
      <c r="AI222" s="139"/>
      <c r="AJ222" s="176" t="n">
        <v>0.12</v>
      </c>
      <c r="AK222" s="176" t="n">
        <v>0.15</v>
      </c>
      <c r="AL222" s="176" t="n">
        <v>0.18</v>
      </c>
      <c r="AM222" s="139"/>
      <c r="AN222" s="140" t="n">
        <v>71</v>
      </c>
      <c r="AO222" s="177" t="n">
        <v>0.4</v>
      </c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41" t="n">
        <v>43525</v>
      </c>
      <c r="BG222" s="179" t="n">
        <v>0.75</v>
      </c>
      <c r="BH222" s="139"/>
      <c r="BI222" s="139"/>
      <c r="BJ222" s="139"/>
      <c r="BK222" s="139"/>
      <c r="BL222" s="139"/>
      <c r="BM222" s="139"/>
      <c r="BN222" s="139"/>
      <c r="BO222" s="139"/>
      <c r="BP222" s="139"/>
      <c r="BQ222" s="139"/>
      <c r="BR222" s="139"/>
      <c r="BS222" s="139"/>
      <c r="BT222" s="139"/>
      <c r="BU222" s="139"/>
      <c r="BV222" s="139"/>
      <c r="BW222" s="139"/>
      <c r="BX222" s="139"/>
      <c r="BY222" s="139"/>
      <c r="BZ222" s="139"/>
      <c r="CA222" s="139"/>
      <c r="CB222" s="139"/>
      <c r="CC222" s="139"/>
      <c r="CD222" s="139"/>
      <c r="CE222" s="139"/>
      <c r="CF222" s="0"/>
      <c r="CN222" s="0"/>
      <c r="CO222" s="0"/>
      <c r="CP222" s="0"/>
      <c r="CQ222" s="0"/>
      <c r="CR222" s="0"/>
      <c r="CW222" s="181" t="n">
        <f aca="false">K222</f>
        <v>43525</v>
      </c>
      <c r="CX222" s="182" t="n">
        <f aca="false">AF222</f>
        <v>0.2</v>
      </c>
      <c r="CY222" s="182" t="n">
        <f aca="false">AG222</f>
        <v>0.25</v>
      </c>
      <c r="CZ222" s="182" t="n">
        <f aca="false">AH222</f>
        <v>0.3</v>
      </c>
      <c r="DB222" s="182" t="n">
        <f aca="false">X222</f>
        <v>0.16</v>
      </c>
      <c r="DC222" s="182" t="n">
        <f aca="false">Y222</f>
        <v>0.2</v>
      </c>
      <c r="DD222" s="182" t="n">
        <f aca="false">Z222</f>
        <v>0.24</v>
      </c>
      <c r="DF222" s="181" t="n">
        <f aca="false">BF222</f>
        <v>43525</v>
      </c>
      <c r="DG222" s="133" t="n">
        <f aca="false">BG222</f>
        <v>0.75</v>
      </c>
      <c r="DJ222" s="181" t="n">
        <f aca="false">CW222</f>
        <v>43525</v>
      </c>
      <c r="DK222" s="182" t="n">
        <f aca="false">AJ222</f>
        <v>0.12</v>
      </c>
      <c r="DL222" s="182" t="n">
        <f aca="false">AK222</f>
        <v>0.15</v>
      </c>
      <c r="DM222" s="182" t="n">
        <f aca="false">AL222</f>
        <v>0.18</v>
      </c>
      <c r="DO222" s="182" t="n">
        <f aca="false">AB222</f>
        <v>0.08</v>
      </c>
      <c r="DP222" s="182" t="n">
        <f aca="false">AC222</f>
        <v>0.1</v>
      </c>
      <c r="DQ222" s="182" t="n">
        <f aca="false">AD222</f>
        <v>0.12</v>
      </c>
    </row>
    <row r="223" customFormat="false" ht="12.75" hidden="false" customHeight="false" outlineLevel="0" collapsed="false">
      <c r="A223" s="133"/>
      <c r="B223" s="174" t="n">
        <v>42675</v>
      </c>
      <c r="C223" s="175" t="n">
        <v>34.7115669250488</v>
      </c>
      <c r="D223" s="175" t="n">
        <v>36.2115669250488</v>
      </c>
      <c r="E223" s="175" t="n">
        <v>37.7115669250488</v>
      </c>
      <c r="F223" s="159"/>
      <c r="G223" s="175" t="n">
        <v>23.5400009155273</v>
      </c>
      <c r="H223" s="175" t="n">
        <v>23.5400009155273</v>
      </c>
      <c r="I223" s="175" t="n">
        <v>23.5400009155273</v>
      </c>
      <c r="J223" s="140"/>
      <c r="K223" s="141" t="n">
        <v>43556</v>
      </c>
      <c r="L223" s="176" t="n">
        <v>22</v>
      </c>
      <c r="M223" s="176" t="n">
        <v>22</v>
      </c>
      <c r="N223" s="176" t="n">
        <v>22</v>
      </c>
      <c r="O223" s="139"/>
      <c r="P223" s="176" t="n">
        <v>16.4950008392334</v>
      </c>
      <c r="Q223" s="176" t="n">
        <v>16.4950008392334</v>
      </c>
      <c r="R223" s="176" t="n">
        <v>16.4950008392334</v>
      </c>
      <c r="S223" s="139"/>
      <c r="T223" s="176" t="n">
        <v>0</v>
      </c>
      <c r="U223" s="176" t="n">
        <v>0</v>
      </c>
      <c r="V223" s="176" t="n">
        <v>0</v>
      </c>
      <c r="W223" s="139"/>
      <c r="X223" s="176" t="n">
        <v>0.16</v>
      </c>
      <c r="Y223" s="176" t="n">
        <v>0.2</v>
      </c>
      <c r="Z223" s="176" t="n">
        <v>0.24</v>
      </c>
      <c r="AA223" s="139"/>
      <c r="AB223" s="176" t="n">
        <v>0.08</v>
      </c>
      <c r="AC223" s="176" t="n">
        <v>0.1</v>
      </c>
      <c r="AD223" s="176" t="n">
        <v>0.12</v>
      </c>
      <c r="AE223" s="139"/>
      <c r="AF223" s="176" t="n">
        <v>0.2</v>
      </c>
      <c r="AG223" s="176" t="n">
        <v>0.25</v>
      </c>
      <c r="AH223" s="176" t="n">
        <v>0.3</v>
      </c>
      <c r="AI223" s="139"/>
      <c r="AJ223" s="176" t="n">
        <v>0.12</v>
      </c>
      <c r="AK223" s="176" t="n">
        <v>0.15</v>
      </c>
      <c r="AL223" s="176" t="n">
        <v>0.18</v>
      </c>
      <c r="AM223" s="139"/>
      <c r="AN223" s="140" t="n">
        <v>72</v>
      </c>
      <c r="AO223" s="177" t="n">
        <v>0.4</v>
      </c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41" t="n">
        <v>43556</v>
      </c>
      <c r="BG223" s="179" t="n">
        <v>0.75</v>
      </c>
      <c r="BH223" s="139"/>
      <c r="BI223" s="139"/>
      <c r="BJ223" s="139"/>
      <c r="BK223" s="139"/>
      <c r="BL223" s="139"/>
      <c r="BM223" s="139"/>
      <c r="BN223" s="139"/>
      <c r="BO223" s="139"/>
      <c r="BP223" s="139"/>
      <c r="BQ223" s="139"/>
      <c r="BR223" s="139"/>
      <c r="BS223" s="139"/>
      <c r="BT223" s="139"/>
      <c r="BU223" s="139"/>
      <c r="BV223" s="139"/>
      <c r="BW223" s="139"/>
      <c r="BX223" s="139"/>
      <c r="BY223" s="139"/>
      <c r="BZ223" s="139"/>
      <c r="CA223" s="139"/>
      <c r="CB223" s="139"/>
      <c r="CC223" s="139"/>
      <c r="CD223" s="139"/>
      <c r="CE223" s="139"/>
      <c r="CF223" s="0"/>
      <c r="CN223" s="0"/>
      <c r="CO223" s="0"/>
      <c r="CP223" s="0"/>
      <c r="CQ223" s="0"/>
      <c r="CR223" s="0"/>
      <c r="CW223" s="181" t="n">
        <f aca="false">K223</f>
        <v>43556</v>
      </c>
      <c r="CX223" s="182" t="n">
        <f aca="false">AF223</f>
        <v>0.2</v>
      </c>
      <c r="CY223" s="182" t="n">
        <f aca="false">AG223</f>
        <v>0.25</v>
      </c>
      <c r="CZ223" s="182" t="n">
        <f aca="false">AH223</f>
        <v>0.3</v>
      </c>
      <c r="DB223" s="182" t="n">
        <f aca="false">X223</f>
        <v>0.16</v>
      </c>
      <c r="DC223" s="182" t="n">
        <f aca="false">Y223</f>
        <v>0.2</v>
      </c>
      <c r="DD223" s="182" t="n">
        <f aca="false">Z223</f>
        <v>0.24</v>
      </c>
      <c r="DF223" s="181" t="n">
        <f aca="false">BF223</f>
        <v>43556</v>
      </c>
      <c r="DG223" s="133" t="n">
        <f aca="false">BG223</f>
        <v>0.75</v>
      </c>
      <c r="DJ223" s="181" t="n">
        <f aca="false">CW223</f>
        <v>43556</v>
      </c>
      <c r="DK223" s="182" t="n">
        <f aca="false">AJ223</f>
        <v>0.12</v>
      </c>
      <c r="DL223" s="182" t="n">
        <f aca="false">AK223</f>
        <v>0.15</v>
      </c>
      <c r="DM223" s="182" t="n">
        <f aca="false">AL223</f>
        <v>0.18</v>
      </c>
      <c r="DO223" s="182" t="n">
        <f aca="false">AB223</f>
        <v>0.08</v>
      </c>
      <c r="DP223" s="182" t="n">
        <f aca="false">AC223</f>
        <v>0.1</v>
      </c>
      <c r="DQ223" s="182" t="n">
        <f aca="false">AD223</f>
        <v>0.12</v>
      </c>
    </row>
    <row r="224" customFormat="false" ht="12.75" hidden="false" customHeight="false" outlineLevel="0" collapsed="false">
      <c r="A224" s="133"/>
      <c r="B224" s="174" t="n">
        <v>42705</v>
      </c>
      <c r="C224" s="175" t="n">
        <v>34.8115653991699</v>
      </c>
      <c r="D224" s="175" t="n">
        <v>36.3115653991699</v>
      </c>
      <c r="E224" s="175" t="n">
        <v>37.8115653991699</v>
      </c>
      <c r="F224" s="159"/>
      <c r="G224" s="175" t="n">
        <v>25.7900009155273</v>
      </c>
      <c r="H224" s="175" t="n">
        <v>25.7900009155273</v>
      </c>
      <c r="I224" s="175" t="n">
        <v>25.7900009155273</v>
      </c>
      <c r="J224" s="140"/>
      <c r="K224" s="141" t="n">
        <v>43586</v>
      </c>
      <c r="L224" s="176" t="n">
        <v>22.2900009155273</v>
      </c>
      <c r="M224" s="176" t="n">
        <v>22.2900009155273</v>
      </c>
      <c r="N224" s="176" t="n">
        <v>22.2900009155273</v>
      </c>
      <c r="O224" s="139"/>
      <c r="P224" s="176" t="n">
        <v>15.7950000762939</v>
      </c>
      <c r="Q224" s="176" t="n">
        <v>15.7950000762939</v>
      </c>
      <c r="R224" s="176" t="n">
        <v>15.7950000762939</v>
      </c>
      <c r="S224" s="139"/>
      <c r="T224" s="176" t="n">
        <v>0</v>
      </c>
      <c r="U224" s="176" t="n">
        <v>0</v>
      </c>
      <c r="V224" s="176" t="n">
        <v>0</v>
      </c>
      <c r="W224" s="139"/>
      <c r="X224" s="176" t="n">
        <v>0.16</v>
      </c>
      <c r="Y224" s="176" t="n">
        <v>0.2</v>
      </c>
      <c r="Z224" s="176" t="n">
        <v>0.24</v>
      </c>
      <c r="AA224" s="139"/>
      <c r="AB224" s="176" t="n">
        <v>0.08</v>
      </c>
      <c r="AC224" s="176" t="n">
        <v>0.1</v>
      </c>
      <c r="AD224" s="176" t="n">
        <v>0.12</v>
      </c>
      <c r="AE224" s="139"/>
      <c r="AF224" s="176" t="n">
        <v>0.2</v>
      </c>
      <c r="AG224" s="176" t="n">
        <v>0.25</v>
      </c>
      <c r="AH224" s="176" t="n">
        <v>0.3</v>
      </c>
      <c r="AI224" s="139"/>
      <c r="AJ224" s="176" t="n">
        <v>0.12</v>
      </c>
      <c r="AK224" s="176" t="n">
        <v>0.15</v>
      </c>
      <c r="AL224" s="176" t="n">
        <v>0.18</v>
      </c>
      <c r="AM224" s="139"/>
      <c r="AN224" s="140" t="n">
        <v>72</v>
      </c>
      <c r="AO224" s="177" t="n">
        <v>0.4</v>
      </c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41" t="n">
        <v>43586</v>
      </c>
      <c r="BG224" s="179" t="n">
        <v>0.75</v>
      </c>
      <c r="BH224" s="139"/>
      <c r="BI224" s="139"/>
      <c r="BJ224" s="139"/>
      <c r="BK224" s="139"/>
      <c r="BL224" s="139"/>
      <c r="BM224" s="139"/>
      <c r="BN224" s="139"/>
      <c r="BO224" s="139"/>
      <c r="BP224" s="139"/>
      <c r="BQ224" s="139"/>
      <c r="BR224" s="139"/>
      <c r="BS224" s="139"/>
      <c r="BT224" s="139"/>
      <c r="BU224" s="139"/>
      <c r="BV224" s="139"/>
      <c r="BW224" s="139"/>
      <c r="BX224" s="139"/>
      <c r="BY224" s="139"/>
      <c r="BZ224" s="139"/>
      <c r="CA224" s="139"/>
      <c r="CB224" s="139"/>
      <c r="CC224" s="139"/>
      <c r="CD224" s="139"/>
      <c r="CE224" s="139"/>
      <c r="CF224" s="0"/>
      <c r="CN224" s="0"/>
      <c r="CO224" s="0"/>
      <c r="CP224" s="0"/>
      <c r="CQ224" s="0"/>
      <c r="CR224" s="0"/>
      <c r="CW224" s="181" t="n">
        <f aca="false">K224</f>
        <v>43586</v>
      </c>
      <c r="CX224" s="182" t="n">
        <f aca="false">AF224</f>
        <v>0.2</v>
      </c>
      <c r="CY224" s="182" t="n">
        <f aca="false">AG224</f>
        <v>0.25</v>
      </c>
      <c r="CZ224" s="182" t="n">
        <f aca="false">AH224</f>
        <v>0.3</v>
      </c>
      <c r="DB224" s="182" t="n">
        <f aca="false">X224</f>
        <v>0.16</v>
      </c>
      <c r="DC224" s="182" t="n">
        <f aca="false">Y224</f>
        <v>0.2</v>
      </c>
      <c r="DD224" s="182" t="n">
        <f aca="false">Z224</f>
        <v>0.24</v>
      </c>
      <c r="DF224" s="181" t="n">
        <f aca="false">BF224</f>
        <v>43586</v>
      </c>
      <c r="DG224" s="133" t="n">
        <f aca="false">BG224</f>
        <v>0.75</v>
      </c>
      <c r="DJ224" s="181" t="n">
        <f aca="false">CW224</f>
        <v>43586</v>
      </c>
      <c r="DK224" s="182" t="n">
        <f aca="false">AJ224</f>
        <v>0.12</v>
      </c>
      <c r="DL224" s="182" t="n">
        <f aca="false">AK224</f>
        <v>0.15</v>
      </c>
      <c r="DM224" s="182" t="n">
        <f aca="false">AL224</f>
        <v>0.18</v>
      </c>
      <c r="DO224" s="182" t="n">
        <f aca="false">AB224</f>
        <v>0.08</v>
      </c>
      <c r="DP224" s="182" t="n">
        <f aca="false">AC224</f>
        <v>0.1</v>
      </c>
      <c r="DQ224" s="182" t="n">
        <f aca="false">AD224</f>
        <v>0.12</v>
      </c>
    </row>
    <row r="225" customFormat="false" ht="12.75" hidden="false" customHeight="false" outlineLevel="0" collapsed="false">
      <c r="A225" s="133"/>
      <c r="B225" s="174" t="n">
        <v>42736</v>
      </c>
      <c r="C225" s="175" t="n">
        <v>38.4957160949707</v>
      </c>
      <c r="D225" s="175" t="n">
        <v>39.9957160949707</v>
      </c>
      <c r="E225" s="175" t="n">
        <v>41.4957160949707</v>
      </c>
      <c r="F225" s="159"/>
      <c r="G225" s="175" t="n">
        <v>28</v>
      </c>
      <c r="H225" s="175" t="n">
        <v>28</v>
      </c>
      <c r="I225" s="175" t="n">
        <v>28</v>
      </c>
      <c r="J225" s="140"/>
      <c r="K225" s="141" t="n">
        <v>43617</v>
      </c>
      <c r="L225" s="176" t="n">
        <v>29.2900009155273</v>
      </c>
      <c r="M225" s="176" t="n">
        <v>29.2900009155273</v>
      </c>
      <c r="N225" s="176" t="n">
        <v>29.2900009155273</v>
      </c>
      <c r="O225" s="139"/>
      <c r="P225" s="176" t="n">
        <v>19.7900009155273</v>
      </c>
      <c r="Q225" s="176" t="n">
        <v>19.7900009155273</v>
      </c>
      <c r="R225" s="176" t="n">
        <v>19.7900009155273</v>
      </c>
      <c r="S225" s="139"/>
      <c r="T225" s="176" t="n">
        <v>0</v>
      </c>
      <c r="U225" s="176" t="n">
        <v>0</v>
      </c>
      <c r="V225" s="176" t="n">
        <v>0</v>
      </c>
      <c r="W225" s="139"/>
      <c r="X225" s="176" t="n">
        <v>0.16</v>
      </c>
      <c r="Y225" s="176" t="n">
        <v>0.2</v>
      </c>
      <c r="Z225" s="176" t="n">
        <v>0.24</v>
      </c>
      <c r="AA225" s="139"/>
      <c r="AB225" s="176" t="n">
        <v>0.08</v>
      </c>
      <c r="AC225" s="176" t="n">
        <v>0.1</v>
      </c>
      <c r="AD225" s="176" t="n">
        <v>0.12</v>
      </c>
      <c r="AE225" s="139"/>
      <c r="AF225" s="176" t="n">
        <v>0.2</v>
      </c>
      <c r="AG225" s="176" t="n">
        <v>0.25</v>
      </c>
      <c r="AH225" s="176" t="n">
        <v>0.3</v>
      </c>
      <c r="AI225" s="139"/>
      <c r="AJ225" s="176" t="n">
        <v>0.12</v>
      </c>
      <c r="AK225" s="176" t="n">
        <v>0.15</v>
      </c>
      <c r="AL225" s="176" t="n">
        <v>0.18</v>
      </c>
      <c r="AM225" s="139"/>
      <c r="AN225" s="140" t="n">
        <v>72</v>
      </c>
      <c r="AO225" s="177" t="n">
        <v>0.4</v>
      </c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41" t="n">
        <v>43617</v>
      </c>
      <c r="BG225" s="179" t="n">
        <v>0.75</v>
      </c>
      <c r="BH225" s="139"/>
      <c r="BI225" s="139"/>
      <c r="BJ225" s="139"/>
      <c r="BK225" s="139"/>
      <c r="BL225" s="139"/>
      <c r="BM225" s="139"/>
      <c r="BN225" s="139"/>
      <c r="BO225" s="139"/>
      <c r="BP225" s="139"/>
      <c r="BQ225" s="139"/>
      <c r="BR225" s="139"/>
      <c r="BS225" s="139"/>
      <c r="BT225" s="139"/>
      <c r="BU225" s="139"/>
      <c r="BV225" s="139"/>
      <c r="BW225" s="139"/>
      <c r="BX225" s="139"/>
      <c r="BY225" s="139"/>
      <c r="BZ225" s="139"/>
      <c r="CA225" s="139"/>
      <c r="CB225" s="139"/>
      <c r="CC225" s="139"/>
      <c r="CD225" s="139"/>
      <c r="CE225" s="139"/>
      <c r="CF225" s="0"/>
      <c r="CN225" s="0"/>
      <c r="CO225" s="0"/>
      <c r="CP225" s="0"/>
      <c r="CQ225" s="0"/>
      <c r="CR225" s="0"/>
      <c r="CW225" s="181" t="n">
        <f aca="false">K225</f>
        <v>43617</v>
      </c>
      <c r="CX225" s="182" t="n">
        <f aca="false">AF225</f>
        <v>0.2</v>
      </c>
      <c r="CY225" s="182" t="n">
        <f aca="false">AG225</f>
        <v>0.25</v>
      </c>
      <c r="CZ225" s="182" t="n">
        <f aca="false">AH225</f>
        <v>0.3</v>
      </c>
      <c r="DB225" s="182" t="n">
        <f aca="false">X225</f>
        <v>0.16</v>
      </c>
      <c r="DC225" s="182" t="n">
        <f aca="false">Y225</f>
        <v>0.2</v>
      </c>
      <c r="DD225" s="182" t="n">
        <f aca="false">Z225</f>
        <v>0.24</v>
      </c>
      <c r="DF225" s="181" t="n">
        <f aca="false">BF225</f>
        <v>43617</v>
      </c>
      <c r="DG225" s="133" t="n">
        <f aca="false">BG225</f>
        <v>0.75</v>
      </c>
      <c r="DJ225" s="181" t="n">
        <f aca="false">CW225</f>
        <v>43617</v>
      </c>
      <c r="DK225" s="182" t="n">
        <f aca="false">AJ225</f>
        <v>0.12</v>
      </c>
      <c r="DL225" s="182" t="n">
        <f aca="false">AK225</f>
        <v>0.15</v>
      </c>
      <c r="DM225" s="182" t="n">
        <f aca="false">AL225</f>
        <v>0.18</v>
      </c>
      <c r="DO225" s="182" t="n">
        <f aca="false">AB225</f>
        <v>0.08</v>
      </c>
      <c r="DP225" s="182" t="n">
        <f aca="false">AC225</f>
        <v>0.1</v>
      </c>
      <c r="DQ225" s="182" t="n">
        <f aca="false">AD225</f>
        <v>0.12</v>
      </c>
    </row>
    <row r="226" customFormat="false" ht="12.75" hidden="false" customHeight="false" outlineLevel="0" collapsed="false">
      <c r="A226" s="133"/>
      <c r="B226" s="174" t="n">
        <v>42767</v>
      </c>
      <c r="C226" s="175" t="n">
        <v>37.8957138061523</v>
      </c>
      <c r="D226" s="175" t="n">
        <v>39.3957138061523</v>
      </c>
      <c r="E226" s="175" t="n">
        <v>40.8957138061523</v>
      </c>
      <c r="F226" s="159"/>
      <c r="G226" s="175" t="n">
        <v>26.5</v>
      </c>
      <c r="H226" s="175" t="n">
        <v>26.5</v>
      </c>
      <c r="I226" s="175" t="n">
        <v>26.5</v>
      </c>
      <c r="J226" s="140"/>
      <c r="K226" s="141" t="n">
        <v>43647</v>
      </c>
      <c r="L226" s="176" t="n">
        <v>35.2900009155273</v>
      </c>
      <c r="M226" s="176" t="n">
        <v>35.2900009155273</v>
      </c>
      <c r="N226" s="176" t="n">
        <v>35.2900009155273</v>
      </c>
      <c r="O226" s="139"/>
      <c r="P226" s="176" t="n">
        <v>25.7900009155273</v>
      </c>
      <c r="Q226" s="176" t="n">
        <v>25.7900009155273</v>
      </c>
      <c r="R226" s="176" t="n">
        <v>25.7900009155273</v>
      </c>
      <c r="S226" s="139"/>
      <c r="T226" s="176" t="n">
        <v>0</v>
      </c>
      <c r="U226" s="176" t="n">
        <v>0</v>
      </c>
      <c r="V226" s="176" t="n">
        <v>0</v>
      </c>
      <c r="W226" s="139"/>
      <c r="X226" s="176" t="n">
        <v>0.16</v>
      </c>
      <c r="Y226" s="176" t="n">
        <v>0.2</v>
      </c>
      <c r="Z226" s="176" t="n">
        <v>0.24</v>
      </c>
      <c r="AA226" s="139"/>
      <c r="AB226" s="176" t="n">
        <v>0.08</v>
      </c>
      <c r="AC226" s="176" t="n">
        <v>0.1</v>
      </c>
      <c r="AD226" s="176" t="n">
        <v>0.12</v>
      </c>
      <c r="AE226" s="139"/>
      <c r="AF226" s="176" t="n">
        <v>0.2</v>
      </c>
      <c r="AG226" s="176" t="n">
        <v>0.25</v>
      </c>
      <c r="AH226" s="176" t="n">
        <v>0.3</v>
      </c>
      <c r="AI226" s="139"/>
      <c r="AJ226" s="176" t="n">
        <v>0.12</v>
      </c>
      <c r="AK226" s="176" t="n">
        <v>0.15</v>
      </c>
      <c r="AL226" s="176" t="n">
        <v>0.18</v>
      </c>
      <c r="AM226" s="139"/>
      <c r="AN226" s="140" t="n">
        <v>73</v>
      </c>
      <c r="AO226" s="177" t="n">
        <v>0.4</v>
      </c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41" t="n">
        <v>43647</v>
      </c>
      <c r="BG226" s="179" t="n">
        <v>0.75</v>
      </c>
      <c r="BH226" s="139"/>
      <c r="BI226" s="139"/>
      <c r="BJ226" s="139"/>
      <c r="BK226" s="139"/>
      <c r="BL226" s="139"/>
      <c r="BM226" s="139"/>
      <c r="BN226" s="139"/>
      <c r="BO226" s="139"/>
      <c r="BP226" s="139"/>
      <c r="BQ226" s="139"/>
      <c r="BR226" s="139"/>
      <c r="BS226" s="139"/>
      <c r="BT226" s="139"/>
      <c r="BU226" s="139"/>
      <c r="BV226" s="139"/>
      <c r="BW226" s="139"/>
      <c r="BX226" s="139"/>
      <c r="BY226" s="139"/>
      <c r="BZ226" s="139"/>
      <c r="CA226" s="139"/>
      <c r="CB226" s="139"/>
      <c r="CC226" s="139"/>
      <c r="CD226" s="139"/>
      <c r="CE226" s="139"/>
      <c r="CF226" s="0"/>
      <c r="CN226" s="0"/>
      <c r="CO226" s="0"/>
      <c r="CP226" s="0"/>
      <c r="CQ226" s="0"/>
      <c r="CR226" s="0"/>
      <c r="CW226" s="181" t="n">
        <f aca="false">K226</f>
        <v>43647</v>
      </c>
      <c r="CX226" s="182" t="n">
        <f aca="false">AF226</f>
        <v>0.2</v>
      </c>
      <c r="CY226" s="182" t="n">
        <f aca="false">AG226</f>
        <v>0.25</v>
      </c>
      <c r="CZ226" s="182" t="n">
        <f aca="false">AH226</f>
        <v>0.3</v>
      </c>
      <c r="DB226" s="182" t="n">
        <f aca="false">X226</f>
        <v>0.16</v>
      </c>
      <c r="DC226" s="182" t="n">
        <f aca="false">Y226</f>
        <v>0.2</v>
      </c>
      <c r="DD226" s="182" t="n">
        <f aca="false">Z226</f>
        <v>0.24</v>
      </c>
      <c r="DF226" s="181" t="n">
        <f aca="false">BF226</f>
        <v>43647</v>
      </c>
      <c r="DG226" s="133" t="n">
        <f aca="false">BG226</f>
        <v>0.75</v>
      </c>
      <c r="DJ226" s="181" t="n">
        <f aca="false">CW226</f>
        <v>43647</v>
      </c>
      <c r="DK226" s="182" t="n">
        <f aca="false">AJ226</f>
        <v>0.12</v>
      </c>
      <c r="DL226" s="182" t="n">
        <f aca="false">AK226</f>
        <v>0.15</v>
      </c>
      <c r="DM226" s="182" t="n">
        <f aca="false">AL226</f>
        <v>0.18</v>
      </c>
      <c r="DO226" s="182" t="n">
        <f aca="false">AB226</f>
        <v>0.08</v>
      </c>
      <c r="DP226" s="182" t="n">
        <f aca="false">AC226</f>
        <v>0.1</v>
      </c>
      <c r="DQ226" s="182" t="n">
        <f aca="false">AD226</f>
        <v>0.12</v>
      </c>
    </row>
    <row r="227" customFormat="false" ht="12.75" hidden="false" customHeight="false" outlineLevel="0" collapsed="false">
      <c r="A227" s="133"/>
      <c r="B227" s="174" t="n">
        <v>42795</v>
      </c>
      <c r="C227" s="175" t="n">
        <v>36.6076812744141</v>
      </c>
      <c r="D227" s="175" t="n">
        <v>38.1076812744141</v>
      </c>
      <c r="E227" s="175" t="n">
        <v>39.6076812744141</v>
      </c>
      <c r="F227" s="159"/>
      <c r="G227" s="175" t="n">
        <v>27.5</v>
      </c>
      <c r="H227" s="175" t="n">
        <v>27.5</v>
      </c>
      <c r="I227" s="175" t="n">
        <v>27.5</v>
      </c>
      <c r="J227" s="140"/>
      <c r="K227" s="141" t="n">
        <v>43678</v>
      </c>
      <c r="L227" s="176" t="n">
        <v>33.2900047302246</v>
      </c>
      <c r="M227" s="176" t="n">
        <v>33.2900047302246</v>
      </c>
      <c r="N227" s="176" t="n">
        <v>33.2900047302246</v>
      </c>
      <c r="O227" s="139"/>
      <c r="P227" s="176" t="n">
        <v>25.7900009155273</v>
      </c>
      <c r="Q227" s="176" t="n">
        <v>25.7900009155273</v>
      </c>
      <c r="R227" s="176" t="n">
        <v>25.7900009155273</v>
      </c>
      <c r="S227" s="139"/>
      <c r="T227" s="176" t="n">
        <v>0</v>
      </c>
      <c r="U227" s="176" t="n">
        <v>0</v>
      </c>
      <c r="V227" s="176" t="n">
        <v>0</v>
      </c>
      <c r="W227" s="139"/>
      <c r="X227" s="176" t="n">
        <v>0.24</v>
      </c>
      <c r="Y227" s="176" t="n">
        <v>0.3</v>
      </c>
      <c r="Z227" s="176" t="n">
        <v>0.36</v>
      </c>
      <c r="AA227" s="139"/>
      <c r="AB227" s="176" t="n">
        <v>0.12</v>
      </c>
      <c r="AC227" s="176" t="n">
        <v>0.15</v>
      </c>
      <c r="AD227" s="176" t="n">
        <v>0.18</v>
      </c>
      <c r="AE227" s="139"/>
      <c r="AF227" s="176" t="n">
        <v>0.32</v>
      </c>
      <c r="AG227" s="176" t="n">
        <v>0.4</v>
      </c>
      <c r="AH227" s="176" t="n">
        <v>0.48</v>
      </c>
      <c r="AI227" s="139"/>
      <c r="AJ227" s="176" t="n">
        <v>0.192</v>
      </c>
      <c r="AK227" s="176" t="n">
        <v>0.24</v>
      </c>
      <c r="AL227" s="176" t="n">
        <v>0.288</v>
      </c>
      <c r="AM227" s="139"/>
      <c r="AN227" s="140" t="n">
        <v>73</v>
      </c>
      <c r="AO227" s="177" t="n">
        <v>0.4</v>
      </c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41" t="n">
        <v>43678</v>
      </c>
      <c r="BG227" s="179" t="n">
        <v>0.75</v>
      </c>
      <c r="BH227" s="139"/>
      <c r="BI227" s="139"/>
      <c r="BJ227" s="139"/>
      <c r="BK227" s="139"/>
      <c r="BL227" s="139"/>
      <c r="BM227" s="139"/>
      <c r="BN227" s="139"/>
      <c r="BO227" s="139"/>
      <c r="BP227" s="139"/>
      <c r="BQ227" s="139"/>
      <c r="BR227" s="139"/>
      <c r="BS227" s="139"/>
      <c r="BT227" s="139"/>
      <c r="BU227" s="139"/>
      <c r="BV227" s="139"/>
      <c r="BW227" s="139"/>
      <c r="BX227" s="139"/>
      <c r="BY227" s="139"/>
      <c r="BZ227" s="139"/>
      <c r="CA227" s="139"/>
      <c r="CB227" s="139"/>
      <c r="CC227" s="139"/>
      <c r="CD227" s="139"/>
      <c r="CE227" s="139"/>
      <c r="CF227" s="0"/>
      <c r="CN227" s="0"/>
      <c r="CO227" s="0"/>
      <c r="CP227" s="0"/>
      <c r="CQ227" s="0"/>
      <c r="CR227" s="0"/>
      <c r="CW227" s="181" t="n">
        <f aca="false">K227</f>
        <v>43678</v>
      </c>
      <c r="CX227" s="182" t="n">
        <f aca="false">AF227</f>
        <v>0.32</v>
      </c>
      <c r="CY227" s="182" t="n">
        <f aca="false">AG227</f>
        <v>0.4</v>
      </c>
      <c r="CZ227" s="182" t="n">
        <f aca="false">AH227</f>
        <v>0.48</v>
      </c>
      <c r="DB227" s="182" t="n">
        <f aca="false">X227</f>
        <v>0.24</v>
      </c>
      <c r="DC227" s="182" t="n">
        <f aca="false">Y227</f>
        <v>0.3</v>
      </c>
      <c r="DD227" s="182" t="n">
        <f aca="false">Z227</f>
        <v>0.36</v>
      </c>
      <c r="DF227" s="181" t="n">
        <f aca="false">BF227</f>
        <v>43678</v>
      </c>
      <c r="DG227" s="133" t="n">
        <f aca="false">BG227</f>
        <v>0.75</v>
      </c>
      <c r="DJ227" s="181" t="n">
        <f aca="false">CW227</f>
        <v>43678</v>
      </c>
      <c r="DK227" s="182" t="n">
        <f aca="false">AJ227</f>
        <v>0.192</v>
      </c>
      <c r="DL227" s="182" t="n">
        <f aca="false">AK227</f>
        <v>0.24</v>
      </c>
      <c r="DM227" s="182" t="n">
        <f aca="false">AL227</f>
        <v>0.288</v>
      </c>
      <c r="DO227" s="182" t="n">
        <f aca="false">AB227</f>
        <v>0.12</v>
      </c>
      <c r="DP227" s="182" t="n">
        <f aca="false">AC227</f>
        <v>0.15</v>
      </c>
      <c r="DQ227" s="182" t="n">
        <f aca="false">AD227</f>
        <v>0.18</v>
      </c>
    </row>
    <row r="228" customFormat="false" ht="12.75" hidden="false" customHeight="false" outlineLevel="0" collapsed="false">
      <c r="A228" s="133"/>
      <c r="B228" s="174" t="n">
        <v>42826</v>
      </c>
      <c r="C228" s="175" t="n">
        <v>36.8076820373535</v>
      </c>
      <c r="D228" s="175" t="n">
        <v>38.3076820373535</v>
      </c>
      <c r="E228" s="175" t="n">
        <v>39.8076820373535</v>
      </c>
      <c r="F228" s="159"/>
      <c r="G228" s="175" t="n">
        <v>24.5</v>
      </c>
      <c r="H228" s="175" t="n">
        <v>24.5</v>
      </c>
      <c r="I228" s="175" t="n">
        <v>24.5</v>
      </c>
      <c r="J228" s="140"/>
      <c r="K228" s="141" t="n">
        <v>43709</v>
      </c>
      <c r="L228" s="176" t="n">
        <v>25.2900009155273</v>
      </c>
      <c r="M228" s="176" t="n">
        <v>25.2900009155273</v>
      </c>
      <c r="N228" s="176" t="n">
        <v>25.2900009155273</v>
      </c>
      <c r="O228" s="139"/>
      <c r="P228" s="176" t="n">
        <v>19.7900009155273</v>
      </c>
      <c r="Q228" s="176" t="n">
        <v>19.7900009155273</v>
      </c>
      <c r="R228" s="176" t="n">
        <v>19.7900009155273</v>
      </c>
      <c r="S228" s="139"/>
      <c r="T228" s="176" t="n">
        <v>0</v>
      </c>
      <c r="U228" s="176" t="n">
        <v>0</v>
      </c>
      <c r="V228" s="176" t="n">
        <v>0</v>
      </c>
      <c r="W228" s="139"/>
      <c r="X228" s="176" t="n">
        <v>0.24</v>
      </c>
      <c r="Y228" s="176" t="n">
        <v>0.3</v>
      </c>
      <c r="Z228" s="176" t="n">
        <v>0.36</v>
      </c>
      <c r="AA228" s="139"/>
      <c r="AB228" s="176" t="n">
        <v>0.12</v>
      </c>
      <c r="AC228" s="176" t="n">
        <v>0.15</v>
      </c>
      <c r="AD228" s="176" t="n">
        <v>0.18</v>
      </c>
      <c r="AE228" s="139"/>
      <c r="AF228" s="176" t="n">
        <v>0.32</v>
      </c>
      <c r="AG228" s="176" t="n">
        <v>0.4</v>
      </c>
      <c r="AH228" s="176" t="n">
        <v>0.48</v>
      </c>
      <c r="AI228" s="139"/>
      <c r="AJ228" s="176" t="n">
        <v>0.192</v>
      </c>
      <c r="AK228" s="176" t="n">
        <v>0.24</v>
      </c>
      <c r="AL228" s="176" t="n">
        <v>0.288</v>
      </c>
      <c r="AM228" s="139"/>
      <c r="AN228" s="140" t="n">
        <v>73</v>
      </c>
      <c r="AO228" s="177" t="n">
        <v>0.4</v>
      </c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41" t="n">
        <v>43709</v>
      </c>
      <c r="BG228" s="179" t="n">
        <v>0.75</v>
      </c>
      <c r="BH228" s="139"/>
      <c r="BI228" s="139"/>
      <c r="BJ228" s="139"/>
      <c r="BK228" s="139"/>
      <c r="BL228" s="139"/>
      <c r="BM228" s="139"/>
      <c r="BN228" s="139"/>
      <c r="BO228" s="139"/>
      <c r="BP228" s="139"/>
      <c r="BQ228" s="139"/>
      <c r="BR228" s="139"/>
      <c r="BS228" s="139"/>
      <c r="BT228" s="139"/>
      <c r="BU228" s="139"/>
      <c r="BV228" s="139"/>
      <c r="BW228" s="139"/>
      <c r="BX228" s="139"/>
      <c r="BY228" s="139"/>
      <c r="BZ228" s="139"/>
      <c r="CA228" s="139"/>
      <c r="CB228" s="139"/>
      <c r="CC228" s="139"/>
      <c r="CD228" s="139"/>
      <c r="CE228" s="139"/>
      <c r="CF228" s="0"/>
      <c r="CN228" s="0"/>
      <c r="CO228" s="0"/>
      <c r="CP228" s="0"/>
      <c r="CQ228" s="0"/>
      <c r="CR228" s="0"/>
      <c r="CW228" s="181" t="n">
        <f aca="false">K228</f>
        <v>43709</v>
      </c>
      <c r="CX228" s="182" t="n">
        <f aca="false">AF228</f>
        <v>0.32</v>
      </c>
      <c r="CY228" s="182" t="n">
        <f aca="false">AG228</f>
        <v>0.4</v>
      </c>
      <c r="CZ228" s="182" t="n">
        <f aca="false">AH228</f>
        <v>0.48</v>
      </c>
      <c r="DB228" s="182" t="n">
        <f aca="false">X228</f>
        <v>0.24</v>
      </c>
      <c r="DC228" s="182" t="n">
        <f aca="false">Y228</f>
        <v>0.3</v>
      </c>
      <c r="DD228" s="182" t="n">
        <f aca="false">Z228</f>
        <v>0.36</v>
      </c>
      <c r="DF228" s="181" t="n">
        <f aca="false">BF228</f>
        <v>43709</v>
      </c>
      <c r="DG228" s="133" t="n">
        <f aca="false">BG228</f>
        <v>0.75</v>
      </c>
      <c r="DJ228" s="181" t="n">
        <f aca="false">CW228</f>
        <v>43709</v>
      </c>
      <c r="DK228" s="182" t="n">
        <f aca="false">AJ228</f>
        <v>0.192</v>
      </c>
      <c r="DL228" s="182" t="n">
        <f aca="false">AK228</f>
        <v>0.24</v>
      </c>
      <c r="DM228" s="182" t="n">
        <f aca="false">AL228</f>
        <v>0.288</v>
      </c>
      <c r="DO228" s="182" t="n">
        <f aca="false">AB228</f>
        <v>0.12</v>
      </c>
      <c r="DP228" s="182" t="n">
        <f aca="false">AC228</f>
        <v>0.15</v>
      </c>
      <c r="DQ228" s="182" t="n">
        <f aca="false">AD228</f>
        <v>0.18</v>
      </c>
    </row>
    <row r="229" customFormat="false" ht="12.75" hidden="false" customHeight="false" outlineLevel="0" collapsed="false">
      <c r="A229" s="133"/>
      <c r="B229" s="174" t="n">
        <v>42856</v>
      </c>
      <c r="C229" s="175" t="n">
        <v>43.8350028991699</v>
      </c>
      <c r="D229" s="175" t="n">
        <v>46.3350028991699</v>
      </c>
      <c r="E229" s="175" t="n">
        <v>48.8350028991699</v>
      </c>
      <c r="F229" s="159"/>
      <c r="G229" s="175" t="n">
        <v>25.0400009155273</v>
      </c>
      <c r="H229" s="175" t="n">
        <v>25.0400009155273</v>
      </c>
      <c r="I229" s="175" t="n">
        <v>25.0400009155273</v>
      </c>
      <c r="J229" s="140"/>
      <c r="K229" s="141" t="n">
        <v>43739</v>
      </c>
      <c r="L229" s="176" t="n">
        <v>20.2860012054443</v>
      </c>
      <c r="M229" s="176" t="n">
        <v>20.2860012054443</v>
      </c>
      <c r="N229" s="176" t="n">
        <v>20.2860012054443</v>
      </c>
      <c r="O229" s="139"/>
      <c r="P229" s="176" t="n">
        <v>14.7865009307861</v>
      </c>
      <c r="Q229" s="176" t="n">
        <v>14.7865009307861</v>
      </c>
      <c r="R229" s="176" t="n">
        <v>14.7865009307861</v>
      </c>
      <c r="S229" s="139"/>
      <c r="T229" s="176" t="n">
        <v>0</v>
      </c>
      <c r="U229" s="176" t="n">
        <v>0</v>
      </c>
      <c r="V229" s="176" t="n">
        <v>0</v>
      </c>
      <c r="W229" s="139"/>
      <c r="X229" s="176" t="n">
        <v>0.16</v>
      </c>
      <c r="Y229" s="176" t="n">
        <v>0.2</v>
      </c>
      <c r="Z229" s="176" t="n">
        <v>0.24</v>
      </c>
      <c r="AA229" s="139"/>
      <c r="AB229" s="176" t="n">
        <v>0.08</v>
      </c>
      <c r="AC229" s="176" t="n">
        <v>0.1</v>
      </c>
      <c r="AD229" s="176" t="n">
        <v>0.12</v>
      </c>
      <c r="AE229" s="139"/>
      <c r="AF229" s="176" t="n">
        <v>0.2</v>
      </c>
      <c r="AG229" s="176" t="n">
        <v>0.25</v>
      </c>
      <c r="AH229" s="176" t="n">
        <v>0.3</v>
      </c>
      <c r="AI229" s="139"/>
      <c r="AJ229" s="176" t="n">
        <v>0.12</v>
      </c>
      <c r="AK229" s="176" t="n">
        <v>0.15</v>
      </c>
      <c r="AL229" s="176" t="n">
        <v>0.18</v>
      </c>
      <c r="AM229" s="139"/>
      <c r="AN229" s="140" t="n">
        <v>74</v>
      </c>
      <c r="AO229" s="177" t="n">
        <v>0.4</v>
      </c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41" t="n">
        <v>43739</v>
      </c>
      <c r="BG229" s="179" t="n">
        <v>0.75</v>
      </c>
      <c r="BH229" s="139"/>
      <c r="BI229" s="139"/>
      <c r="BJ229" s="139"/>
      <c r="BK229" s="139"/>
      <c r="BL229" s="139"/>
      <c r="BM229" s="139"/>
      <c r="BN229" s="139"/>
      <c r="BO229" s="139"/>
      <c r="BP229" s="139"/>
      <c r="BQ229" s="139"/>
      <c r="BR229" s="139"/>
      <c r="BS229" s="139"/>
      <c r="BT229" s="139"/>
      <c r="BU229" s="139"/>
      <c r="BV229" s="139"/>
      <c r="BW229" s="139"/>
      <c r="BX229" s="139"/>
      <c r="BY229" s="139"/>
      <c r="BZ229" s="139"/>
      <c r="CA229" s="139"/>
      <c r="CB229" s="139"/>
      <c r="CC229" s="139"/>
      <c r="CD229" s="139"/>
      <c r="CE229" s="139"/>
      <c r="CF229" s="0"/>
      <c r="CN229" s="0"/>
      <c r="CO229" s="0"/>
      <c r="CP229" s="0"/>
      <c r="CQ229" s="0"/>
      <c r="CR229" s="0"/>
      <c r="CW229" s="181" t="n">
        <f aca="false">K229</f>
        <v>43739</v>
      </c>
      <c r="CX229" s="182" t="n">
        <f aca="false">AF229</f>
        <v>0.2</v>
      </c>
      <c r="CY229" s="182" t="n">
        <f aca="false">AG229</f>
        <v>0.25</v>
      </c>
      <c r="CZ229" s="182" t="n">
        <f aca="false">AH229</f>
        <v>0.3</v>
      </c>
      <c r="DB229" s="182" t="n">
        <f aca="false">X229</f>
        <v>0.16</v>
      </c>
      <c r="DC229" s="182" t="n">
        <f aca="false">Y229</f>
        <v>0.2</v>
      </c>
      <c r="DD229" s="182" t="n">
        <f aca="false">Z229</f>
        <v>0.24</v>
      </c>
      <c r="DF229" s="181" t="n">
        <f aca="false">BF229</f>
        <v>43739</v>
      </c>
      <c r="DG229" s="133" t="n">
        <f aca="false">BG229</f>
        <v>0.75</v>
      </c>
      <c r="DJ229" s="181" t="n">
        <f aca="false">CW229</f>
        <v>43739</v>
      </c>
      <c r="DK229" s="182" t="n">
        <f aca="false">AJ229</f>
        <v>0.12</v>
      </c>
      <c r="DL229" s="182" t="n">
        <f aca="false">AK229</f>
        <v>0.15</v>
      </c>
      <c r="DM229" s="182" t="n">
        <f aca="false">AL229</f>
        <v>0.18</v>
      </c>
      <c r="DO229" s="182" t="n">
        <f aca="false">AB229</f>
        <v>0.08</v>
      </c>
      <c r="DP229" s="182" t="n">
        <f aca="false">AC229</f>
        <v>0.1</v>
      </c>
      <c r="DQ229" s="182" t="n">
        <f aca="false">AD229</f>
        <v>0.12</v>
      </c>
    </row>
    <row r="230" customFormat="false" ht="12.75" hidden="false" customHeight="false" outlineLevel="0" collapsed="false">
      <c r="A230" s="133"/>
      <c r="B230" s="174" t="n">
        <v>42887</v>
      </c>
      <c r="C230" s="175" t="n">
        <v>56.1250076293945</v>
      </c>
      <c r="D230" s="175" t="n">
        <v>61.1250076293945</v>
      </c>
      <c r="E230" s="175" t="n">
        <v>66.1250076293945</v>
      </c>
      <c r="F230" s="159"/>
      <c r="G230" s="175" t="n">
        <v>28.0400009155273</v>
      </c>
      <c r="H230" s="175" t="n">
        <v>28.0400009155273</v>
      </c>
      <c r="I230" s="175" t="n">
        <v>28.0400009155273</v>
      </c>
      <c r="J230" s="140"/>
      <c r="K230" s="141" t="n">
        <v>43770</v>
      </c>
      <c r="L230" s="176" t="n">
        <v>22.2900009155273</v>
      </c>
      <c r="M230" s="176" t="n">
        <v>22.2900009155273</v>
      </c>
      <c r="N230" s="176" t="n">
        <v>22.2900009155273</v>
      </c>
      <c r="O230" s="139"/>
      <c r="P230" s="176" t="n">
        <v>14.7900009155273</v>
      </c>
      <c r="Q230" s="176" t="n">
        <v>14.7900009155273</v>
      </c>
      <c r="R230" s="176" t="n">
        <v>14.7900009155273</v>
      </c>
      <c r="S230" s="139"/>
      <c r="T230" s="176" t="n">
        <v>0</v>
      </c>
      <c r="U230" s="176" t="n">
        <v>0</v>
      </c>
      <c r="V230" s="176" t="n">
        <v>0</v>
      </c>
      <c r="W230" s="139"/>
      <c r="X230" s="176" t="n">
        <v>0.16</v>
      </c>
      <c r="Y230" s="176" t="n">
        <v>0.2</v>
      </c>
      <c r="Z230" s="176" t="n">
        <v>0.24</v>
      </c>
      <c r="AA230" s="139"/>
      <c r="AB230" s="176" t="n">
        <v>0.08</v>
      </c>
      <c r="AC230" s="176" t="n">
        <v>0.1</v>
      </c>
      <c r="AD230" s="176" t="n">
        <v>0.12</v>
      </c>
      <c r="AE230" s="139"/>
      <c r="AF230" s="176" t="n">
        <v>0.2</v>
      </c>
      <c r="AG230" s="176" t="n">
        <v>0.25</v>
      </c>
      <c r="AH230" s="176" t="n">
        <v>0.3</v>
      </c>
      <c r="AI230" s="139"/>
      <c r="AJ230" s="176" t="n">
        <v>0.12</v>
      </c>
      <c r="AK230" s="176" t="n">
        <v>0.15</v>
      </c>
      <c r="AL230" s="176" t="n">
        <v>0.18</v>
      </c>
      <c r="AM230" s="139"/>
      <c r="AN230" s="140" t="n">
        <v>74</v>
      </c>
      <c r="AO230" s="177" t="n">
        <v>0.4</v>
      </c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41" t="n">
        <v>43770</v>
      </c>
      <c r="BG230" s="179" t="n">
        <v>0.75</v>
      </c>
      <c r="BH230" s="139"/>
      <c r="BI230" s="139"/>
      <c r="BJ230" s="139"/>
      <c r="BK230" s="139"/>
      <c r="BL230" s="139"/>
      <c r="BM230" s="139"/>
      <c r="BN230" s="139"/>
      <c r="BO230" s="139"/>
      <c r="BP230" s="139"/>
      <c r="BQ230" s="139"/>
      <c r="BR230" s="139"/>
      <c r="BS230" s="139"/>
      <c r="BT230" s="139"/>
      <c r="BU230" s="139"/>
      <c r="BV230" s="139"/>
      <c r="BW230" s="139"/>
      <c r="BX230" s="139"/>
      <c r="BY230" s="139"/>
      <c r="BZ230" s="139"/>
      <c r="CA230" s="139"/>
      <c r="CB230" s="139"/>
      <c r="CC230" s="139"/>
      <c r="CD230" s="139"/>
      <c r="CE230" s="139"/>
      <c r="CF230" s="0"/>
      <c r="CN230" s="0"/>
      <c r="CO230" s="0"/>
      <c r="CP230" s="0"/>
      <c r="CQ230" s="0"/>
      <c r="CR230" s="0"/>
      <c r="CW230" s="181" t="n">
        <f aca="false">K230</f>
        <v>43770</v>
      </c>
      <c r="CX230" s="182" t="n">
        <f aca="false">AF230</f>
        <v>0.2</v>
      </c>
      <c r="CY230" s="182" t="n">
        <f aca="false">AG230</f>
        <v>0.25</v>
      </c>
      <c r="CZ230" s="182" t="n">
        <f aca="false">AH230</f>
        <v>0.3</v>
      </c>
      <c r="DB230" s="182" t="n">
        <f aca="false">X230</f>
        <v>0.16</v>
      </c>
      <c r="DC230" s="182" t="n">
        <f aca="false">Y230</f>
        <v>0.2</v>
      </c>
      <c r="DD230" s="182" t="n">
        <f aca="false">Z230</f>
        <v>0.24</v>
      </c>
      <c r="DF230" s="181" t="n">
        <f aca="false">BF230</f>
        <v>43770</v>
      </c>
      <c r="DG230" s="133" t="n">
        <f aca="false">BG230</f>
        <v>0.75</v>
      </c>
      <c r="DJ230" s="181" t="n">
        <f aca="false">CW230</f>
        <v>43770</v>
      </c>
      <c r="DK230" s="182" t="n">
        <f aca="false">AJ230</f>
        <v>0.12</v>
      </c>
      <c r="DL230" s="182" t="n">
        <f aca="false">AK230</f>
        <v>0.15</v>
      </c>
      <c r="DM230" s="182" t="n">
        <f aca="false">AL230</f>
        <v>0.18</v>
      </c>
      <c r="DO230" s="182" t="n">
        <f aca="false">AB230</f>
        <v>0.08</v>
      </c>
      <c r="DP230" s="182" t="n">
        <f aca="false">AC230</f>
        <v>0.1</v>
      </c>
      <c r="DQ230" s="182" t="n">
        <f aca="false">AD230</f>
        <v>0.12</v>
      </c>
    </row>
    <row r="231" customFormat="false" ht="12.75" hidden="false" customHeight="false" outlineLevel="0" collapsed="false">
      <c r="A231" s="133"/>
      <c r="B231" s="174" t="n">
        <v>42917</v>
      </c>
      <c r="C231" s="175" t="n">
        <v>60.5</v>
      </c>
      <c r="D231" s="175" t="n">
        <v>70.5</v>
      </c>
      <c r="E231" s="175" t="n">
        <v>80.5</v>
      </c>
      <c r="F231" s="159"/>
      <c r="G231" s="175" t="n">
        <v>28.5400009155273</v>
      </c>
      <c r="H231" s="175" t="n">
        <v>28.5400009155273</v>
      </c>
      <c r="I231" s="175" t="n">
        <v>28.5400009155273</v>
      </c>
      <c r="J231" s="140"/>
      <c r="K231" s="141" t="n">
        <v>43800</v>
      </c>
      <c r="L231" s="176" t="n">
        <v>27.2900009155273</v>
      </c>
      <c r="M231" s="176" t="n">
        <v>27.2900009155273</v>
      </c>
      <c r="N231" s="176" t="n">
        <v>27.2900009155273</v>
      </c>
      <c r="O231" s="139"/>
      <c r="P231" s="176" t="n">
        <v>21.7900009155273</v>
      </c>
      <c r="Q231" s="176" t="n">
        <v>21.7900009155273</v>
      </c>
      <c r="R231" s="176" t="n">
        <v>21.7900009155273</v>
      </c>
      <c r="S231" s="139"/>
      <c r="T231" s="176" t="n">
        <v>0</v>
      </c>
      <c r="U231" s="176" t="n">
        <v>0</v>
      </c>
      <c r="V231" s="176" t="n">
        <v>0</v>
      </c>
      <c r="W231" s="139"/>
      <c r="X231" s="176" t="n">
        <v>0.16</v>
      </c>
      <c r="Y231" s="176" t="n">
        <v>0.2</v>
      </c>
      <c r="Z231" s="176" t="n">
        <v>0.24</v>
      </c>
      <c r="AA231" s="139"/>
      <c r="AB231" s="176" t="n">
        <v>0.08</v>
      </c>
      <c r="AC231" s="176" t="n">
        <v>0.1</v>
      </c>
      <c r="AD231" s="176" t="n">
        <v>0.12</v>
      </c>
      <c r="AE231" s="139"/>
      <c r="AF231" s="176" t="n">
        <v>0.2</v>
      </c>
      <c r="AG231" s="176" t="n">
        <v>0.25</v>
      </c>
      <c r="AH231" s="176" t="n">
        <v>0.3</v>
      </c>
      <c r="AI231" s="139"/>
      <c r="AJ231" s="176" t="n">
        <v>0.12</v>
      </c>
      <c r="AK231" s="176" t="n">
        <v>0.15</v>
      </c>
      <c r="AL231" s="176" t="n">
        <v>0.18</v>
      </c>
      <c r="AM231" s="139"/>
      <c r="AN231" s="140" t="n">
        <v>74</v>
      </c>
      <c r="AO231" s="177" t="n">
        <v>0.4</v>
      </c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41" t="n">
        <v>43800</v>
      </c>
      <c r="BG231" s="179" t="n">
        <v>0.75</v>
      </c>
      <c r="BH231" s="139"/>
      <c r="BI231" s="139"/>
      <c r="BJ231" s="139"/>
      <c r="BK231" s="139"/>
      <c r="BL231" s="139"/>
      <c r="BM231" s="139"/>
      <c r="BN231" s="139"/>
      <c r="BO231" s="139"/>
      <c r="BP231" s="139"/>
      <c r="BQ231" s="139"/>
      <c r="BR231" s="139"/>
      <c r="BS231" s="139"/>
      <c r="BT231" s="139"/>
      <c r="BU231" s="139"/>
      <c r="BV231" s="139"/>
      <c r="BW231" s="139"/>
      <c r="BX231" s="139"/>
      <c r="BY231" s="139"/>
      <c r="BZ231" s="139"/>
      <c r="CA231" s="139"/>
      <c r="CB231" s="139"/>
      <c r="CC231" s="139"/>
      <c r="CD231" s="139"/>
      <c r="CE231" s="139"/>
      <c r="CF231" s="0"/>
      <c r="CN231" s="0"/>
      <c r="CO231" s="0"/>
      <c r="CP231" s="0"/>
      <c r="CQ231" s="0"/>
      <c r="CR231" s="0"/>
      <c r="CW231" s="181" t="n">
        <f aca="false">K231</f>
        <v>43800</v>
      </c>
      <c r="CX231" s="182" t="n">
        <f aca="false">AF231</f>
        <v>0.2</v>
      </c>
      <c r="CY231" s="182" t="n">
        <f aca="false">AG231</f>
        <v>0.25</v>
      </c>
      <c r="CZ231" s="182" t="n">
        <f aca="false">AH231</f>
        <v>0.3</v>
      </c>
      <c r="DB231" s="182" t="n">
        <f aca="false">X231</f>
        <v>0.16</v>
      </c>
      <c r="DC231" s="182" t="n">
        <f aca="false">Y231</f>
        <v>0.2</v>
      </c>
      <c r="DD231" s="182" t="n">
        <f aca="false">Z231</f>
        <v>0.24</v>
      </c>
      <c r="DF231" s="181" t="n">
        <f aca="false">BF231</f>
        <v>43800</v>
      </c>
      <c r="DG231" s="133" t="n">
        <f aca="false">BG231</f>
        <v>0.75</v>
      </c>
      <c r="DJ231" s="181" t="n">
        <f aca="false">CW231</f>
        <v>43800</v>
      </c>
      <c r="DK231" s="182" t="n">
        <f aca="false">AJ231</f>
        <v>0.12</v>
      </c>
      <c r="DL231" s="182" t="n">
        <f aca="false">AK231</f>
        <v>0.15</v>
      </c>
      <c r="DM231" s="182" t="n">
        <f aca="false">AL231</f>
        <v>0.18</v>
      </c>
      <c r="DO231" s="182" t="n">
        <f aca="false">AB231</f>
        <v>0.08</v>
      </c>
      <c r="DP231" s="182" t="n">
        <f aca="false">AC231</f>
        <v>0.1</v>
      </c>
      <c r="DQ231" s="182" t="n">
        <f aca="false">AD231</f>
        <v>0.12</v>
      </c>
    </row>
    <row r="232" customFormat="false" ht="12.75" hidden="false" customHeight="false" outlineLevel="0" collapsed="false">
      <c r="A232" s="133"/>
      <c r="B232" s="174" t="n">
        <v>42948</v>
      </c>
      <c r="C232" s="175" t="n">
        <v>60.5</v>
      </c>
      <c r="D232" s="175" t="n">
        <v>70.5</v>
      </c>
      <c r="E232" s="175" t="n">
        <v>80.5</v>
      </c>
      <c r="F232" s="159"/>
      <c r="G232" s="175" t="n">
        <v>29.5400009155273</v>
      </c>
      <c r="H232" s="175" t="n">
        <v>29.5400009155273</v>
      </c>
      <c r="I232" s="175" t="n">
        <v>29.5400009155273</v>
      </c>
      <c r="J232" s="140"/>
      <c r="K232" s="141" t="n">
        <v>43831</v>
      </c>
      <c r="L232" s="176" t="n">
        <v>27.2900009155273</v>
      </c>
      <c r="M232" s="176" t="n">
        <v>27.2900009155273</v>
      </c>
      <c r="N232" s="176" t="n">
        <v>27.2900009155273</v>
      </c>
      <c r="O232" s="139"/>
      <c r="P232" s="176" t="n">
        <v>21.7900009155273</v>
      </c>
      <c r="Q232" s="176" t="n">
        <v>21.7900009155273</v>
      </c>
      <c r="R232" s="176" t="n">
        <v>21.7900009155273</v>
      </c>
      <c r="S232" s="139"/>
      <c r="T232" s="176" t="n">
        <v>0</v>
      </c>
      <c r="U232" s="176" t="n">
        <v>0</v>
      </c>
      <c r="V232" s="176" t="n">
        <v>0</v>
      </c>
      <c r="W232" s="139"/>
      <c r="X232" s="176" t="n">
        <v>0.16</v>
      </c>
      <c r="Y232" s="176" t="n">
        <v>0.2</v>
      </c>
      <c r="Z232" s="176" t="n">
        <v>0.24</v>
      </c>
      <c r="AA232" s="139"/>
      <c r="AB232" s="176" t="n">
        <v>0.08</v>
      </c>
      <c r="AC232" s="176" t="n">
        <v>0.1</v>
      </c>
      <c r="AD232" s="176" t="n">
        <v>0.12</v>
      </c>
      <c r="AE232" s="139"/>
      <c r="AF232" s="176" t="n">
        <v>0.2</v>
      </c>
      <c r="AG232" s="176" t="n">
        <v>0.25</v>
      </c>
      <c r="AH232" s="176" t="n">
        <v>0.3</v>
      </c>
      <c r="AI232" s="139"/>
      <c r="AJ232" s="176" t="n">
        <v>0.12</v>
      </c>
      <c r="AK232" s="176" t="n">
        <v>0.15</v>
      </c>
      <c r="AL232" s="176" t="n">
        <v>0.18</v>
      </c>
      <c r="AM232" s="139"/>
      <c r="AN232" s="140" t="n">
        <v>74</v>
      </c>
      <c r="AO232" s="177" t="n">
        <v>0.4</v>
      </c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41" t="n">
        <v>43831</v>
      </c>
      <c r="BG232" s="179" t="n">
        <v>0.75</v>
      </c>
      <c r="BH232" s="139"/>
      <c r="BI232" s="139"/>
      <c r="BJ232" s="139"/>
      <c r="BK232" s="139"/>
      <c r="BL232" s="139"/>
      <c r="BM232" s="139"/>
      <c r="BN232" s="139"/>
      <c r="BO232" s="139"/>
      <c r="BP232" s="139"/>
      <c r="BQ232" s="139"/>
      <c r="BR232" s="139"/>
      <c r="BS232" s="139"/>
      <c r="BT232" s="139"/>
      <c r="BU232" s="139"/>
      <c r="BV232" s="139"/>
      <c r="BW232" s="139"/>
      <c r="BX232" s="139"/>
      <c r="BY232" s="139"/>
      <c r="BZ232" s="139"/>
      <c r="CA232" s="139"/>
      <c r="CB232" s="139"/>
      <c r="CC232" s="139"/>
      <c r="CD232" s="139"/>
      <c r="CE232" s="139"/>
      <c r="CF232" s="0"/>
      <c r="CN232" s="0"/>
      <c r="CO232" s="0"/>
      <c r="CP232" s="0"/>
      <c r="CQ232" s="0"/>
      <c r="CR232" s="0"/>
      <c r="CW232" s="181" t="n">
        <f aca="false">K232</f>
        <v>43831</v>
      </c>
      <c r="CX232" s="182" t="n">
        <f aca="false">AF232</f>
        <v>0.2</v>
      </c>
      <c r="CY232" s="182" t="n">
        <f aca="false">AG232</f>
        <v>0.25</v>
      </c>
      <c r="CZ232" s="182" t="n">
        <f aca="false">AH232</f>
        <v>0.3</v>
      </c>
      <c r="DB232" s="182" t="n">
        <f aca="false">X232</f>
        <v>0.16</v>
      </c>
      <c r="DC232" s="182" t="n">
        <f aca="false">Y232</f>
        <v>0.2</v>
      </c>
      <c r="DD232" s="182" t="n">
        <f aca="false">Z232</f>
        <v>0.24</v>
      </c>
      <c r="DF232" s="181" t="n">
        <f aca="false">BF232</f>
        <v>43831</v>
      </c>
      <c r="DG232" s="133" t="n">
        <f aca="false">BG232</f>
        <v>0.75</v>
      </c>
      <c r="DJ232" s="181" t="n">
        <f aca="false">CW232</f>
        <v>43831</v>
      </c>
      <c r="DK232" s="182" t="n">
        <f aca="false">AJ232</f>
        <v>0.12</v>
      </c>
      <c r="DL232" s="182" t="n">
        <f aca="false">AK232</f>
        <v>0.15</v>
      </c>
      <c r="DM232" s="182" t="n">
        <f aca="false">AL232</f>
        <v>0.18</v>
      </c>
      <c r="DO232" s="182" t="n">
        <f aca="false">AB232</f>
        <v>0.08</v>
      </c>
      <c r="DP232" s="182" t="n">
        <f aca="false">AC232</f>
        <v>0.1</v>
      </c>
      <c r="DQ232" s="182" t="n">
        <f aca="false">AD232</f>
        <v>0.12</v>
      </c>
    </row>
    <row r="233" customFormat="false" ht="12.75" hidden="false" customHeight="false" outlineLevel="0" collapsed="false">
      <c r="A233" s="133"/>
      <c r="B233" s="174" t="n">
        <v>42979</v>
      </c>
      <c r="C233" s="175" t="n">
        <v>30.9599990844727</v>
      </c>
      <c r="D233" s="175" t="n">
        <v>32.4599990844727</v>
      </c>
      <c r="E233" s="175" t="n">
        <v>33.9599990844727</v>
      </c>
      <c r="F233" s="159"/>
      <c r="G233" s="175" t="n">
        <v>23.5400009155273</v>
      </c>
      <c r="H233" s="175" t="n">
        <v>23.5400009155273</v>
      </c>
      <c r="I233" s="175" t="n">
        <v>23.5400009155273</v>
      </c>
      <c r="J233" s="140"/>
      <c r="K233" s="141" t="n">
        <v>43862</v>
      </c>
      <c r="L233" s="176" t="n">
        <v>27.2900009155273</v>
      </c>
      <c r="M233" s="176" t="n">
        <v>27.2900009155273</v>
      </c>
      <c r="N233" s="176" t="n">
        <v>27.2900009155273</v>
      </c>
      <c r="O233" s="139"/>
      <c r="P233" s="176" t="n">
        <v>21.7900009155273</v>
      </c>
      <c r="Q233" s="176" t="n">
        <v>21.7900009155273</v>
      </c>
      <c r="R233" s="176" t="n">
        <v>21.7900009155273</v>
      </c>
      <c r="S233" s="139"/>
      <c r="T233" s="176" t="n">
        <v>0</v>
      </c>
      <c r="U233" s="176" t="n">
        <v>0</v>
      </c>
      <c r="V233" s="176" t="n">
        <v>0</v>
      </c>
      <c r="W233" s="139"/>
      <c r="X233" s="176" t="n">
        <v>0</v>
      </c>
      <c r="Y233" s="176" t="n">
        <v>0</v>
      </c>
      <c r="Z233" s="176" t="n">
        <v>0</v>
      </c>
      <c r="AA233" s="139"/>
      <c r="AB233" s="176" t="n">
        <v>0</v>
      </c>
      <c r="AC233" s="176" t="n">
        <v>0</v>
      </c>
      <c r="AD233" s="176" t="n">
        <v>0</v>
      </c>
      <c r="AE233" s="139"/>
      <c r="AF233" s="176" t="n">
        <v>0</v>
      </c>
      <c r="AG233" s="176" t="n">
        <v>0</v>
      </c>
      <c r="AH233" s="176" t="n">
        <v>0</v>
      </c>
      <c r="AI233" s="139"/>
      <c r="AJ233" s="176" t="n">
        <v>0</v>
      </c>
      <c r="AK233" s="176" t="n">
        <v>0</v>
      </c>
      <c r="AL233" s="176" t="n">
        <v>0</v>
      </c>
      <c r="AM233" s="139"/>
      <c r="AN233" s="140" t="n">
        <v>74</v>
      </c>
      <c r="AO233" s="177" t="n">
        <v>0.4</v>
      </c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41" t="n">
        <v>43862</v>
      </c>
      <c r="BG233" s="179" t="n">
        <v>0</v>
      </c>
      <c r="BH233" s="139"/>
      <c r="BI233" s="139"/>
      <c r="BJ233" s="139"/>
      <c r="BK233" s="139"/>
      <c r="BL233" s="139"/>
      <c r="BM233" s="139"/>
      <c r="BN233" s="139"/>
      <c r="BO233" s="139"/>
      <c r="BP233" s="139"/>
      <c r="BQ233" s="139"/>
      <c r="BR233" s="139"/>
      <c r="BS233" s="139"/>
      <c r="BT233" s="139"/>
      <c r="BU233" s="139"/>
      <c r="BV233" s="139"/>
      <c r="BW233" s="139"/>
      <c r="BX233" s="139"/>
      <c r="BY233" s="139"/>
      <c r="BZ233" s="139"/>
      <c r="CA233" s="139"/>
      <c r="CB233" s="139"/>
      <c r="CC233" s="139"/>
      <c r="CD233" s="139"/>
      <c r="CE233" s="139"/>
      <c r="CF233" s="0"/>
      <c r="CN233" s="0"/>
      <c r="CO233" s="0"/>
      <c r="CP233" s="0"/>
      <c r="CQ233" s="0"/>
      <c r="CR233" s="0"/>
      <c r="CW233" s="181" t="n">
        <f aca="false">K233</f>
        <v>43862</v>
      </c>
      <c r="CX233" s="182" t="n">
        <f aca="false">IF(AF233=0,CX221,AF233)</f>
        <v>0.2</v>
      </c>
      <c r="CY233" s="182" t="n">
        <f aca="false">IF(AG233=0,CY221,AG233)</f>
        <v>0.25</v>
      </c>
      <c r="CZ233" s="182" t="n">
        <f aca="false">IF(AH233=0,CZ221,AH233)</f>
        <v>0.3</v>
      </c>
      <c r="DB233" s="182" t="n">
        <f aca="false">X233</f>
        <v>0</v>
      </c>
      <c r="DC233" s="182" t="n">
        <f aca="false">Y233</f>
        <v>0</v>
      </c>
      <c r="DD233" s="182" t="n">
        <f aca="false">Z233</f>
        <v>0</v>
      </c>
      <c r="DF233" s="181" t="n">
        <f aca="false">BF233</f>
        <v>43862</v>
      </c>
      <c r="DG233" s="133" t="n">
        <f aca="false">BG233</f>
        <v>0</v>
      </c>
      <c r="DJ233" s="181" t="n">
        <f aca="false">CW233</f>
        <v>43862</v>
      </c>
      <c r="DK233" s="182" t="n">
        <f aca="false">IF(AJ233=0,DK221,AJ233)</f>
        <v>0.12</v>
      </c>
      <c r="DL233" s="182" t="n">
        <f aca="false">IF(AK233=0,DL221,AK233)</f>
        <v>0.15</v>
      </c>
      <c r="DM233" s="182" t="n">
        <f aca="false">IF(AL233=0,DM221,AL233)</f>
        <v>0.18</v>
      </c>
      <c r="DO233" s="182" t="n">
        <f aca="false">AB233</f>
        <v>0</v>
      </c>
      <c r="DP233" s="182" t="n">
        <f aca="false">AC233</f>
        <v>0</v>
      </c>
      <c r="DQ233" s="182" t="n">
        <f aca="false">AD233</f>
        <v>0</v>
      </c>
    </row>
    <row r="234" customFormat="false" ht="12.75" hidden="false" customHeight="false" outlineLevel="0" collapsed="false">
      <c r="A234" s="133"/>
      <c r="B234" s="174" t="n">
        <v>43009</v>
      </c>
      <c r="C234" s="175" t="n">
        <v>35.1115684509277</v>
      </c>
      <c r="D234" s="175" t="n">
        <v>36.6115684509277</v>
      </c>
      <c r="E234" s="175" t="n">
        <v>38.1115684509277</v>
      </c>
      <c r="F234" s="159"/>
      <c r="G234" s="175" t="n">
        <v>23.040002822876</v>
      </c>
      <c r="H234" s="175" t="n">
        <v>23.040002822876</v>
      </c>
      <c r="I234" s="175" t="n">
        <v>23.040002822876</v>
      </c>
      <c r="J234" s="140"/>
      <c r="K234" s="141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41"/>
      <c r="BG234" s="139"/>
      <c r="BH234" s="139"/>
      <c r="BI234" s="139"/>
      <c r="BJ234" s="139"/>
      <c r="BK234" s="139"/>
      <c r="BL234" s="139"/>
      <c r="BM234" s="139"/>
      <c r="BN234" s="139"/>
      <c r="BO234" s="139"/>
      <c r="BP234" s="139"/>
      <c r="BQ234" s="139"/>
      <c r="BR234" s="139"/>
      <c r="BS234" s="139"/>
      <c r="BT234" s="139"/>
      <c r="BU234" s="139"/>
      <c r="BV234" s="139"/>
      <c r="BW234" s="139"/>
      <c r="BX234" s="139"/>
      <c r="BY234" s="139"/>
      <c r="BZ234" s="139"/>
      <c r="CA234" s="139"/>
      <c r="CB234" s="139"/>
      <c r="CC234" s="139"/>
      <c r="CD234" s="139"/>
      <c r="CE234" s="139"/>
      <c r="CF234" s="0"/>
      <c r="CN234" s="0"/>
      <c r="CO234" s="0"/>
      <c r="CP234" s="0"/>
      <c r="CQ234" s="0"/>
      <c r="CR234" s="0"/>
      <c r="CW234" s="181" t="n">
        <f aca="false">IF(K234=0,EOMONTH(CW233,0)+1,K234)</f>
        <v>43891</v>
      </c>
      <c r="CX234" s="182" t="n">
        <f aca="false">IF(AF234=0,CX222,AF234)</f>
        <v>0.2</v>
      </c>
      <c r="CY234" s="182" t="n">
        <f aca="false">IF(AG234=0,CY222,AG234)</f>
        <v>0.25</v>
      </c>
      <c r="CZ234" s="182" t="n">
        <f aca="false">IF(AH234=0,CZ222,AH234)</f>
        <v>0.3</v>
      </c>
      <c r="DB234" s="161" t="n">
        <f aca="false">IF(X234=0,DB222,X234)</f>
        <v>0.16</v>
      </c>
      <c r="DC234" s="161" t="n">
        <f aca="false">IF(Y234=0,DC222,Y234)</f>
        <v>0.2</v>
      </c>
      <c r="DD234" s="161" t="n">
        <f aca="false">IF(Z234=0,DD222,Z234)</f>
        <v>0.24</v>
      </c>
      <c r="DF234" s="181" t="n">
        <f aca="false">IF(BF234=0,EOMONTH(DF233,0)+1,BF234)</f>
        <v>43891</v>
      </c>
      <c r="DG234" s="207" t="n">
        <f aca="false">IF(BG234=0,DG222,BG234)</f>
        <v>0.75</v>
      </c>
      <c r="DJ234" s="181" t="n">
        <f aca="false">CW234</f>
        <v>43891</v>
      </c>
      <c r="DK234" s="182" t="n">
        <f aca="false">IF(AJ234=0,DK222,AJ234)</f>
        <v>0.12</v>
      </c>
      <c r="DL234" s="182" t="n">
        <f aca="false">IF(AK234=0,DL222,AK234)</f>
        <v>0.15</v>
      </c>
      <c r="DM234" s="182" t="n">
        <f aca="false">IF(AL234=0,DM222,AL234)</f>
        <v>0.18</v>
      </c>
      <c r="DO234" s="182" t="n">
        <f aca="false">IF(AB234=0,DO222,AB234)</f>
        <v>0.08</v>
      </c>
      <c r="DP234" s="182" t="n">
        <f aca="false">IF(AC234=0,DP222,AC234)</f>
        <v>0.1</v>
      </c>
      <c r="DQ234" s="182" t="n">
        <f aca="false">IF(AD234=0,DQ222,AD234)</f>
        <v>0.12</v>
      </c>
    </row>
    <row r="235" customFormat="false" ht="12.75" hidden="false" customHeight="false" outlineLevel="0" collapsed="false">
      <c r="A235" s="133"/>
      <c r="B235" s="174" t="n">
        <v>43040</v>
      </c>
      <c r="C235" s="175" t="n">
        <v>35.2115669250488</v>
      </c>
      <c r="D235" s="175" t="n">
        <v>36.7115669250488</v>
      </c>
      <c r="E235" s="175" t="n">
        <v>38.2115669250488</v>
      </c>
      <c r="F235" s="159"/>
      <c r="G235" s="175" t="n">
        <v>24.0400009155273</v>
      </c>
      <c r="H235" s="175" t="n">
        <v>24.0400009155273</v>
      </c>
      <c r="I235" s="175" t="n">
        <v>24.0400009155273</v>
      </c>
      <c r="J235" s="140"/>
      <c r="K235" s="141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41"/>
      <c r="BG235" s="139"/>
      <c r="BH235" s="139"/>
      <c r="BI235" s="139"/>
      <c r="BJ235" s="139"/>
      <c r="BK235" s="139"/>
      <c r="BL235" s="139"/>
      <c r="BM235" s="139"/>
      <c r="BN235" s="139"/>
      <c r="BO235" s="139"/>
      <c r="BP235" s="139"/>
      <c r="BQ235" s="139"/>
      <c r="BR235" s="139"/>
      <c r="BS235" s="139"/>
      <c r="BT235" s="139"/>
      <c r="BU235" s="139"/>
      <c r="BV235" s="139"/>
      <c r="BW235" s="139"/>
      <c r="BX235" s="139"/>
      <c r="BY235" s="139"/>
      <c r="BZ235" s="139"/>
      <c r="CA235" s="139"/>
      <c r="CB235" s="139"/>
      <c r="CC235" s="139"/>
      <c r="CD235" s="139"/>
      <c r="CE235" s="139"/>
      <c r="CF235" s="0"/>
      <c r="CN235" s="0"/>
      <c r="CO235" s="0"/>
      <c r="CP235" s="0"/>
      <c r="CQ235" s="0"/>
      <c r="CR235" s="0"/>
      <c r="CW235" s="181" t="n">
        <f aca="false">EOMONTH(CW234,0)+1</f>
        <v>43922</v>
      </c>
      <c r="CX235" s="182" t="n">
        <f aca="false">IF(AF235=0,CX223,AF235)</f>
        <v>0.2</v>
      </c>
      <c r="CY235" s="182" t="n">
        <f aca="false">IF(AG235=0,CY223,AG235)</f>
        <v>0.25</v>
      </c>
      <c r="CZ235" s="182" t="n">
        <f aca="false">IF(AH235=0,CZ223,AH235)</f>
        <v>0.3</v>
      </c>
      <c r="DB235" s="161" t="n">
        <f aca="false">IF(X235=0,DB223,X235)</f>
        <v>0.16</v>
      </c>
      <c r="DC235" s="161" t="n">
        <f aca="false">IF(Y235=0,DC223,Y235)</f>
        <v>0.2</v>
      </c>
      <c r="DD235" s="161" t="n">
        <f aca="false">IF(Z235=0,DD223,Z235)</f>
        <v>0.24</v>
      </c>
      <c r="DF235" s="181" t="n">
        <f aca="false">IF(BF235=0,EOMONTH(DF234,0)+1,BF235)</f>
        <v>43922</v>
      </c>
      <c r="DG235" s="207" t="n">
        <f aca="false">IF(BG235=0,DG223,BG235)</f>
        <v>0.75</v>
      </c>
      <c r="DJ235" s="181" t="n">
        <f aca="false">CW235</f>
        <v>43922</v>
      </c>
      <c r="DK235" s="182" t="n">
        <f aca="false">IF(AJ235=0,DK223,AJ235)</f>
        <v>0.12</v>
      </c>
      <c r="DL235" s="182" t="n">
        <f aca="false">IF(AK235=0,DL223,AK235)</f>
        <v>0.15</v>
      </c>
      <c r="DM235" s="182" t="n">
        <f aca="false">IF(AL235=0,DM223,AL235)</f>
        <v>0.18</v>
      </c>
      <c r="DO235" s="182" t="n">
        <f aca="false">IF(AB235=0,DO223,AB235)</f>
        <v>0.08</v>
      </c>
      <c r="DP235" s="182" t="n">
        <f aca="false">IF(AC235=0,DP223,AC235)</f>
        <v>0.1</v>
      </c>
      <c r="DQ235" s="182" t="n">
        <f aca="false">IF(AD235=0,DQ223,AD235)</f>
        <v>0.12</v>
      </c>
    </row>
    <row r="236" customFormat="false" ht="12.75" hidden="false" customHeight="false" outlineLevel="0" collapsed="false">
      <c r="A236" s="133"/>
      <c r="B236" s="174" t="n">
        <v>43070</v>
      </c>
      <c r="C236" s="175" t="n">
        <v>35.3115653991699</v>
      </c>
      <c r="D236" s="175" t="n">
        <v>36.8115653991699</v>
      </c>
      <c r="E236" s="175" t="n">
        <v>38.3115653991699</v>
      </c>
      <c r="F236" s="159"/>
      <c r="G236" s="175" t="n">
        <v>26.2900009155273</v>
      </c>
      <c r="H236" s="175" t="n">
        <v>26.2900009155273</v>
      </c>
      <c r="I236" s="175" t="n">
        <v>26.2900009155273</v>
      </c>
      <c r="J236" s="140"/>
      <c r="K236" s="141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41"/>
      <c r="BG236" s="139"/>
      <c r="BH236" s="139"/>
      <c r="BI236" s="139"/>
      <c r="BJ236" s="139"/>
      <c r="BK236" s="139"/>
      <c r="BL236" s="139"/>
      <c r="BM236" s="139"/>
      <c r="BN236" s="139"/>
      <c r="BO236" s="139"/>
      <c r="BP236" s="139"/>
      <c r="BQ236" s="139"/>
      <c r="BR236" s="139"/>
      <c r="BS236" s="139"/>
      <c r="BT236" s="139"/>
      <c r="BU236" s="139"/>
      <c r="BV236" s="139"/>
      <c r="BW236" s="139"/>
      <c r="BX236" s="139"/>
      <c r="BY236" s="139"/>
      <c r="BZ236" s="139"/>
      <c r="CA236" s="139"/>
      <c r="CB236" s="139"/>
      <c r="CC236" s="139"/>
      <c r="CD236" s="139"/>
      <c r="CE236" s="139"/>
      <c r="CF236" s="0"/>
      <c r="CN236" s="0"/>
      <c r="CO236" s="0"/>
      <c r="CP236" s="0"/>
      <c r="CQ236" s="0"/>
      <c r="CR236" s="0"/>
      <c r="CW236" s="181" t="n">
        <f aca="false">EOMONTH(CW235,0)+1</f>
        <v>43952</v>
      </c>
      <c r="CX236" s="182" t="n">
        <f aca="false">IF(AF236=0,CX224,AF236)</f>
        <v>0.2</v>
      </c>
      <c r="CY236" s="182" t="n">
        <f aca="false">IF(AG236=0,CY224,AG236)</f>
        <v>0.25</v>
      </c>
      <c r="CZ236" s="182" t="n">
        <f aca="false">IF(AH236=0,CZ224,AH236)</f>
        <v>0.3</v>
      </c>
      <c r="DB236" s="161" t="n">
        <f aca="false">IF(X236=0,DB224,X236)</f>
        <v>0.16</v>
      </c>
      <c r="DC236" s="161" t="n">
        <f aca="false">IF(Y236=0,DC224,Y236)</f>
        <v>0.2</v>
      </c>
      <c r="DD236" s="161" t="n">
        <f aca="false">IF(Z236=0,DD224,Z236)</f>
        <v>0.24</v>
      </c>
      <c r="DF236" s="181" t="n">
        <f aca="false">IF(BF236=0,EOMONTH(DF235,0)+1,BF236)</f>
        <v>43952</v>
      </c>
      <c r="DG236" s="207" t="n">
        <f aca="false">IF(BG236=0,DG224,BG236)</f>
        <v>0.75</v>
      </c>
      <c r="DJ236" s="181" t="n">
        <f aca="false">CW236</f>
        <v>43952</v>
      </c>
      <c r="DK236" s="182" t="n">
        <f aca="false">IF(AJ236=0,DK224,AJ236)</f>
        <v>0.12</v>
      </c>
      <c r="DL236" s="182" t="n">
        <f aca="false">IF(AK236=0,DL224,AK236)</f>
        <v>0.15</v>
      </c>
      <c r="DM236" s="182" t="n">
        <f aca="false">IF(AL236=0,DM224,AL236)</f>
        <v>0.18</v>
      </c>
      <c r="DO236" s="182" t="n">
        <f aca="false">IF(AB236=0,DO224,AB236)</f>
        <v>0.08</v>
      </c>
      <c r="DP236" s="182" t="n">
        <f aca="false">IF(AC236=0,DP224,AC236)</f>
        <v>0.1</v>
      </c>
      <c r="DQ236" s="182" t="n">
        <f aca="false">IF(AD236=0,DQ224,AD236)</f>
        <v>0.12</v>
      </c>
    </row>
    <row r="237" customFormat="false" ht="12.75" hidden="false" customHeight="false" outlineLevel="0" collapsed="false">
      <c r="A237" s="133"/>
      <c r="B237" s="174" t="n">
        <v>43101</v>
      </c>
      <c r="C237" s="175" t="n">
        <v>38.9957160949707</v>
      </c>
      <c r="D237" s="175" t="n">
        <v>40.4957160949707</v>
      </c>
      <c r="E237" s="175" t="n">
        <v>41.9957160949707</v>
      </c>
      <c r="F237" s="159"/>
      <c r="G237" s="175" t="n">
        <v>28.5</v>
      </c>
      <c r="H237" s="175" t="n">
        <v>28.5</v>
      </c>
      <c r="I237" s="175" t="n">
        <v>28.5</v>
      </c>
      <c r="J237" s="140"/>
      <c r="K237" s="141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41"/>
      <c r="BG237" s="139"/>
      <c r="BH237" s="139"/>
      <c r="BI237" s="139"/>
      <c r="BJ237" s="139"/>
      <c r="BK237" s="139"/>
      <c r="BL237" s="139"/>
      <c r="BM237" s="139"/>
      <c r="BN237" s="139"/>
      <c r="BO237" s="139"/>
      <c r="BP237" s="139"/>
      <c r="BQ237" s="139"/>
      <c r="BR237" s="139"/>
      <c r="BS237" s="139"/>
      <c r="BT237" s="139"/>
      <c r="BU237" s="139"/>
      <c r="BV237" s="139"/>
      <c r="BW237" s="139"/>
      <c r="BX237" s="139"/>
      <c r="BY237" s="139"/>
      <c r="BZ237" s="139"/>
      <c r="CA237" s="139"/>
      <c r="CB237" s="139"/>
      <c r="CC237" s="139"/>
      <c r="CD237" s="139"/>
      <c r="CE237" s="139"/>
      <c r="CF237" s="0"/>
      <c r="CN237" s="0"/>
      <c r="CO237" s="0"/>
      <c r="CP237" s="0"/>
      <c r="CQ237" s="0"/>
      <c r="CR237" s="0"/>
      <c r="CW237" s="181" t="n">
        <f aca="false">EOMONTH(CW236,0)+1</f>
        <v>43983</v>
      </c>
      <c r="CX237" s="182" t="n">
        <f aca="false">IF(AF237=0,CX225,AF237)</f>
        <v>0.2</v>
      </c>
      <c r="CY237" s="182" t="n">
        <f aca="false">IF(AG237=0,CY225,AG237)</f>
        <v>0.25</v>
      </c>
      <c r="CZ237" s="182" t="n">
        <f aca="false">IF(AH237=0,CZ225,AH237)</f>
        <v>0.3</v>
      </c>
      <c r="DB237" s="161" t="n">
        <f aca="false">IF(X237=0,DB225,X237)</f>
        <v>0.16</v>
      </c>
      <c r="DC237" s="161" t="n">
        <f aca="false">IF(Y237=0,DC225,Y237)</f>
        <v>0.2</v>
      </c>
      <c r="DD237" s="161" t="n">
        <f aca="false">IF(Z237=0,DD225,Z237)</f>
        <v>0.24</v>
      </c>
      <c r="DF237" s="181" t="n">
        <f aca="false">IF(BF237=0,EOMONTH(DF236,0)+1,BF237)</f>
        <v>43983</v>
      </c>
      <c r="DG237" s="207" t="n">
        <f aca="false">IF(BG237=0,DG225,BG237)</f>
        <v>0.75</v>
      </c>
      <c r="DJ237" s="181" t="n">
        <f aca="false">CW237</f>
        <v>43983</v>
      </c>
      <c r="DK237" s="182" t="n">
        <f aca="false">IF(AJ237=0,DK225,AJ237)</f>
        <v>0.12</v>
      </c>
      <c r="DL237" s="182" t="n">
        <f aca="false">IF(AK237=0,DL225,AK237)</f>
        <v>0.15</v>
      </c>
      <c r="DM237" s="182" t="n">
        <f aca="false">IF(AL237=0,DM225,AL237)</f>
        <v>0.18</v>
      </c>
      <c r="DO237" s="182" t="n">
        <f aca="false">IF(AB237=0,DO225,AB237)</f>
        <v>0.08</v>
      </c>
      <c r="DP237" s="182" t="n">
        <f aca="false">IF(AC237=0,DP225,AC237)</f>
        <v>0.1</v>
      </c>
      <c r="DQ237" s="182" t="n">
        <f aca="false">IF(AD237=0,DQ225,AD237)</f>
        <v>0.12</v>
      </c>
    </row>
    <row r="238" customFormat="false" ht="12.75" hidden="false" customHeight="false" outlineLevel="0" collapsed="false">
      <c r="A238" s="133"/>
      <c r="B238" s="174" t="n">
        <v>43132</v>
      </c>
      <c r="C238" s="175" t="n">
        <v>38.3957138061523</v>
      </c>
      <c r="D238" s="175" t="n">
        <v>39.8957138061523</v>
      </c>
      <c r="E238" s="175" t="n">
        <v>41.3957138061523</v>
      </c>
      <c r="F238" s="159"/>
      <c r="G238" s="175" t="n">
        <v>27</v>
      </c>
      <c r="H238" s="175" t="n">
        <v>27</v>
      </c>
      <c r="I238" s="175" t="n">
        <v>27</v>
      </c>
      <c r="J238" s="140"/>
      <c r="K238" s="141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41"/>
      <c r="BG238" s="139"/>
      <c r="BH238" s="139"/>
      <c r="BI238" s="139"/>
      <c r="BJ238" s="139"/>
      <c r="BK238" s="139"/>
      <c r="BL238" s="139"/>
      <c r="BM238" s="139"/>
      <c r="BN238" s="139"/>
      <c r="BO238" s="139"/>
      <c r="BP238" s="139"/>
      <c r="BQ238" s="139"/>
      <c r="BR238" s="139"/>
      <c r="BS238" s="139"/>
      <c r="BT238" s="139"/>
      <c r="BU238" s="139"/>
      <c r="BV238" s="139"/>
      <c r="BW238" s="139"/>
      <c r="BX238" s="139"/>
      <c r="BY238" s="139"/>
      <c r="BZ238" s="139"/>
      <c r="CA238" s="139"/>
      <c r="CB238" s="139"/>
      <c r="CC238" s="139"/>
      <c r="CD238" s="139"/>
      <c r="CE238" s="139"/>
      <c r="CF238" s="0"/>
      <c r="CN238" s="0"/>
      <c r="CO238" s="0"/>
      <c r="CP238" s="0"/>
      <c r="CQ238" s="0"/>
      <c r="CR238" s="0"/>
      <c r="CW238" s="181" t="n">
        <f aca="false">EOMONTH(CW237,0)+1</f>
        <v>44013</v>
      </c>
      <c r="CX238" s="182" t="n">
        <f aca="false">IF(AF238=0,CX226,AF238)</f>
        <v>0.2</v>
      </c>
      <c r="CY238" s="182" t="n">
        <f aca="false">IF(AG238=0,CY226,AG238)</f>
        <v>0.25</v>
      </c>
      <c r="CZ238" s="182" t="n">
        <f aca="false">IF(AH238=0,CZ226,AH238)</f>
        <v>0.3</v>
      </c>
      <c r="DB238" s="161" t="n">
        <f aca="false">IF(X238=0,DB226,X238)</f>
        <v>0.16</v>
      </c>
      <c r="DC238" s="161" t="n">
        <f aca="false">IF(Y238=0,DC226,Y238)</f>
        <v>0.2</v>
      </c>
      <c r="DD238" s="161" t="n">
        <f aca="false">IF(Z238=0,DD226,Z238)</f>
        <v>0.24</v>
      </c>
      <c r="DF238" s="181" t="n">
        <f aca="false">IF(BF238=0,EOMONTH(DF237,0)+1,BF238)</f>
        <v>44013</v>
      </c>
      <c r="DG238" s="207" t="n">
        <f aca="false">IF(BG238=0,DG226,BG238)</f>
        <v>0.75</v>
      </c>
      <c r="DJ238" s="181" t="n">
        <f aca="false">CW238</f>
        <v>44013</v>
      </c>
      <c r="DK238" s="182" t="n">
        <f aca="false">IF(AJ238=0,DK226,AJ238)</f>
        <v>0.12</v>
      </c>
      <c r="DL238" s="182" t="n">
        <f aca="false">IF(AK238=0,DL226,AK238)</f>
        <v>0.15</v>
      </c>
      <c r="DM238" s="182" t="n">
        <f aca="false">IF(AL238=0,DM226,AL238)</f>
        <v>0.18</v>
      </c>
      <c r="DO238" s="182" t="n">
        <f aca="false">IF(AB238=0,DO226,AB238)</f>
        <v>0.08</v>
      </c>
      <c r="DP238" s="182" t="n">
        <f aca="false">IF(AC238=0,DP226,AC238)</f>
        <v>0.1</v>
      </c>
      <c r="DQ238" s="182" t="n">
        <f aca="false">IF(AD238=0,DQ226,AD238)</f>
        <v>0.12</v>
      </c>
    </row>
    <row r="239" customFormat="false" ht="12.75" hidden="false" customHeight="false" outlineLevel="0" collapsed="false">
      <c r="A239" s="133"/>
      <c r="B239" s="174" t="n">
        <v>43160</v>
      </c>
      <c r="C239" s="175" t="n">
        <v>37.1076812744141</v>
      </c>
      <c r="D239" s="175" t="n">
        <v>38.6076812744141</v>
      </c>
      <c r="E239" s="175" t="n">
        <v>40.1076812744141</v>
      </c>
      <c r="F239" s="159"/>
      <c r="G239" s="175" t="n">
        <v>28</v>
      </c>
      <c r="H239" s="175" t="n">
        <v>28</v>
      </c>
      <c r="I239" s="175" t="n">
        <v>28</v>
      </c>
      <c r="J239" s="140"/>
      <c r="K239" s="141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41"/>
      <c r="BG239" s="139"/>
      <c r="BH239" s="139"/>
      <c r="BI239" s="139"/>
      <c r="BJ239" s="139"/>
      <c r="BK239" s="139"/>
      <c r="BL239" s="139"/>
      <c r="BM239" s="139"/>
      <c r="BN239" s="139"/>
      <c r="BO239" s="139"/>
      <c r="BP239" s="139"/>
      <c r="BQ239" s="139"/>
      <c r="BR239" s="139"/>
      <c r="BS239" s="139"/>
      <c r="BT239" s="139"/>
      <c r="BU239" s="139"/>
      <c r="BV239" s="139"/>
      <c r="BW239" s="139"/>
      <c r="BX239" s="139"/>
      <c r="BY239" s="139"/>
      <c r="BZ239" s="139"/>
      <c r="CA239" s="139"/>
      <c r="CB239" s="139"/>
      <c r="CC239" s="139"/>
      <c r="CD239" s="139"/>
      <c r="CE239" s="139"/>
      <c r="CF239" s="0"/>
      <c r="CN239" s="0"/>
      <c r="CO239" s="0"/>
      <c r="CP239" s="0"/>
      <c r="CQ239" s="0"/>
      <c r="CR239" s="0"/>
      <c r="CW239" s="181" t="n">
        <f aca="false">EOMONTH(CW238,0)+1</f>
        <v>44044</v>
      </c>
      <c r="CX239" s="182" t="n">
        <f aca="false">IF(AF239=0,CX227,AF239)</f>
        <v>0.32</v>
      </c>
      <c r="CY239" s="182" t="n">
        <f aca="false">IF(AG239=0,CY227,AG239)</f>
        <v>0.4</v>
      </c>
      <c r="CZ239" s="182" t="n">
        <f aca="false">IF(AH239=0,CZ227,AH239)</f>
        <v>0.48</v>
      </c>
      <c r="DB239" s="161" t="n">
        <f aca="false">IF(X239=0,DB227,X239)</f>
        <v>0.24</v>
      </c>
      <c r="DC239" s="161" t="n">
        <f aca="false">IF(Y239=0,DC227,Y239)</f>
        <v>0.3</v>
      </c>
      <c r="DD239" s="161" t="n">
        <f aca="false">IF(Z239=0,DD227,Z239)</f>
        <v>0.36</v>
      </c>
      <c r="DF239" s="181" t="n">
        <f aca="false">IF(BF239=0,EOMONTH(DF238,0)+1,BF239)</f>
        <v>44044</v>
      </c>
      <c r="DG239" s="207" t="n">
        <f aca="false">IF(BG239=0,DG227,BG239)</f>
        <v>0.75</v>
      </c>
      <c r="DJ239" s="181" t="n">
        <f aca="false">CW239</f>
        <v>44044</v>
      </c>
      <c r="DK239" s="182" t="n">
        <f aca="false">IF(AJ239=0,DK227,AJ239)</f>
        <v>0.192</v>
      </c>
      <c r="DL239" s="182" t="n">
        <f aca="false">IF(AK239=0,DL227,AK239)</f>
        <v>0.24</v>
      </c>
      <c r="DM239" s="182" t="n">
        <f aca="false">IF(AL239=0,DM227,AL239)</f>
        <v>0.288</v>
      </c>
      <c r="DO239" s="182" t="n">
        <f aca="false">IF(AB239=0,DO227,AB239)</f>
        <v>0.12</v>
      </c>
      <c r="DP239" s="182" t="n">
        <f aca="false">IF(AC239=0,DP227,AC239)</f>
        <v>0.15</v>
      </c>
      <c r="DQ239" s="182" t="n">
        <f aca="false">IF(AD239=0,DQ227,AD239)</f>
        <v>0.18</v>
      </c>
    </row>
    <row r="240" customFormat="false" ht="12.75" hidden="false" customHeight="false" outlineLevel="0" collapsed="false">
      <c r="A240" s="133"/>
      <c r="B240" s="174" t="n">
        <v>43191</v>
      </c>
      <c r="C240" s="175" t="n">
        <v>37.3076820373535</v>
      </c>
      <c r="D240" s="175" t="n">
        <v>38.8076820373535</v>
      </c>
      <c r="E240" s="175" t="n">
        <v>40.3076820373535</v>
      </c>
      <c r="F240" s="159"/>
      <c r="G240" s="175" t="n">
        <v>25</v>
      </c>
      <c r="H240" s="175" t="n">
        <v>25</v>
      </c>
      <c r="I240" s="175" t="n">
        <v>25</v>
      </c>
      <c r="J240" s="140"/>
      <c r="K240" s="141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41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0"/>
      <c r="CN240" s="0"/>
      <c r="CO240" s="0"/>
      <c r="CP240" s="0"/>
      <c r="CQ240" s="0"/>
      <c r="CR240" s="0"/>
      <c r="CW240" s="181" t="n">
        <f aca="false">EOMONTH(CW239,0)+1</f>
        <v>44075</v>
      </c>
      <c r="CX240" s="182" t="n">
        <f aca="false">IF(AF240=0,CX228,AF240)</f>
        <v>0.32</v>
      </c>
      <c r="CY240" s="182" t="n">
        <f aca="false">IF(AG240=0,CY228,AG240)</f>
        <v>0.4</v>
      </c>
      <c r="CZ240" s="182" t="n">
        <f aca="false">IF(AH240=0,CZ228,AH240)</f>
        <v>0.48</v>
      </c>
      <c r="DB240" s="161" t="n">
        <f aca="false">IF(X240=0,DB228,X240)</f>
        <v>0.24</v>
      </c>
      <c r="DC240" s="161" t="n">
        <f aca="false">IF(Y240=0,DC228,Y240)</f>
        <v>0.3</v>
      </c>
      <c r="DD240" s="161" t="n">
        <f aca="false">IF(Z240=0,DD228,Z240)</f>
        <v>0.36</v>
      </c>
      <c r="DF240" s="181" t="n">
        <f aca="false">IF(BF240=0,EOMONTH(DF239,0)+1,BF240)</f>
        <v>44075</v>
      </c>
      <c r="DG240" s="207" t="n">
        <f aca="false">IF(BG240=0,DG228,BG240)</f>
        <v>0.75</v>
      </c>
      <c r="DJ240" s="181" t="n">
        <f aca="false">CW240</f>
        <v>44075</v>
      </c>
      <c r="DK240" s="182" t="n">
        <f aca="false">IF(AJ240=0,DK228,AJ240)</f>
        <v>0.192</v>
      </c>
      <c r="DL240" s="182" t="n">
        <f aca="false">IF(AK240=0,DL228,AK240)</f>
        <v>0.24</v>
      </c>
      <c r="DM240" s="182" t="n">
        <f aca="false">IF(AL240=0,DM228,AL240)</f>
        <v>0.288</v>
      </c>
      <c r="DO240" s="182" t="n">
        <f aca="false">IF(AB240=0,DO228,AB240)</f>
        <v>0.12</v>
      </c>
      <c r="DP240" s="182" t="n">
        <f aca="false">IF(AC240=0,DP228,AC240)</f>
        <v>0.15</v>
      </c>
      <c r="DQ240" s="182" t="n">
        <f aca="false">IF(AD240=0,DQ228,AD240)</f>
        <v>0.18</v>
      </c>
    </row>
    <row r="241" customFormat="false" ht="12.75" hidden="false" customHeight="false" outlineLevel="0" collapsed="false">
      <c r="A241" s="133"/>
      <c r="B241" s="174" t="n">
        <v>43221</v>
      </c>
      <c r="C241" s="175" t="n">
        <v>44.8350028991699</v>
      </c>
      <c r="D241" s="175" t="n">
        <v>47.3350028991699</v>
      </c>
      <c r="E241" s="175" t="n">
        <v>49.8350028991699</v>
      </c>
      <c r="F241" s="159"/>
      <c r="G241" s="175" t="n">
        <v>25.5400009155273</v>
      </c>
      <c r="H241" s="175" t="n">
        <v>25.5400009155273</v>
      </c>
      <c r="I241" s="175" t="n">
        <v>25.5400009155273</v>
      </c>
      <c r="J241" s="140"/>
      <c r="K241" s="141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41"/>
      <c r="BG241" s="139"/>
      <c r="BH241" s="139"/>
      <c r="BI241" s="139"/>
      <c r="BJ241" s="139"/>
      <c r="BK241" s="139"/>
      <c r="BL241" s="139"/>
      <c r="BM241" s="139"/>
      <c r="BN241" s="139"/>
      <c r="BO241" s="139"/>
      <c r="BP241" s="139"/>
      <c r="BQ241" s="139"/>
      <c r="BR241" s="139"/>
      <c r="BS241" s="139"/>
      <c r="BT241" s="139"/>
      <c r="BU241" s="139"/>
      <c r="BV241" s="139"/>
      <c r="BW241" s="139"/>
      <c r="BX241" s="139"/>
      <c r="BY241" s="139"/>
      <c r="BZ241" s="139"/>
      <c r="CA241" s="139"/>
      <c r="CB241" s="139"/>
      <c r="CC241" s="139"/>
      <c r="CD241" s="139"/>
      <c r="CE241" s="139"/>
      <c r="CF241" s="0"/>
      <c r="CN241" s="0"/>
      <c r="CO241" s="0"/>
      <c r="CP241" s="0"/>
      <c r="CQ241" s="0"/>
      <c r="CR241" s="0"/>
      <c r="CW241" s="181" t="n">
        <f aca="false">EOMONTH(CW240,0)+1</f>
        <v>44105</v>
      </c>
      <c r="CX241" s="182" t="n">
        <f aca="false">IF(AF241=0,CX229,AF241)</f>
        <v>0.2</v>
      </c>
      <c r="CY241" s="182" t="n">
        <f aca="false">IF(AG241=0,CY229,AG241)</f>
        <v>0.25</v>
      </c>
      <c r="CZ241" s="182" t="n">
        <f aca="false">IF(AH241=0,CZ229,AH241)</f>
        <v>0.3</v>
      </c>
      <c r="DB241" s="161" t="n">
        <f aca="false">IF(X241=0,DB229,X241)</f>
        <v>0.16</v>
      </c>
      <c r="DC241" s="161" t="n">
        <f aca="false">IF(Y241=0,DC229,Y241)</f>
        <v>0.2</v>
      </c>
      <c r="DD241" s="161" t="n">
        <f aca="false">IF(Z241=0,DD229,Z241)</f>
        <v>0.24</v>
      </c>
      <c r="DF241" s="181" t="n">
        <f aca="false">IF(BF241=0,EOMONTH(DF240,0)+1,BF241)</f>
        <v>44105</v>
      </c>
      <c r="DG241" s="207" t="n">
        <f aca="false">IF(BG241=0,DG229,BG241)</f>
        <v>0.75</v>
      </c>
      <c r="DJ241" s="181" t="n">
        <f aca="false">CW241</f>
        <v>44105</v>
      </c>
      <c r="DK241" s="182" t="n">
        <f aca="false">IF(AJ241=0,DK229,AJ241)</f>
        <v>0.12</v>
      </c>
      <c r="DL241" s="182" t="n">
        <f aca="false">IF(AK241=0,DL229,AK241)</f>
        <v>0.15</v>
      </c>
      <c r="DM241" s="182" t="n">
        <f aca="false">IF(AL241=0,DM229,AL241)</f>
        <v>0.18</v>
      </c>
      <c r="DO241" s="182" t="n">
        <f aca="false">IF(AB241=0,DO229,AB241)</f>
        <v>0.08</v>
      </c>
      <c r="DP241" s="182" t="n">
        <f aca="false">IF(AC241=0,DP229,AC241)</f>
        <v>0.1</v>
      </c>
      <c r="DQ241" s="182" t="n">
        <f aca="false">IF(AD241=0,DQ229,AD241)</f>
        <v>0.12</v>
      </c>
    </row>
    <row r="242" customFormat="false" ht="12.75" hidden="false" customHeight="false" outlineLevel="0" collapsed="false">
      <c r="A242" s="133"/>
      <c r="B242" s="174" t="n">
        <v>43252</v>
      </c>
      <c r="C242" s="175" t="n">
        <v>58.125</v>
      </c>
      <c r="D242" s="175" t="n">
        <v>63.125</v>
      </c>
      <c r="E242" s="175" t="n">
        <v>68.125</v>
      </c>
      <c r="F242" s="159"/>
      <c r="G242" s="175" t="n">
        <v>28.5400009155273</v>
      </c>
      <c r="H242" s="175" t="n">
        <v>28.5400009155273</v>
      </c>
      <c r="I242" s="175" t="n">
        <v>28.5400009155273</v>
      </c>
      <c r="J242" s="140"/>
      <c r="K242" s="141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41"/>
      <c r="BG242" s="139"/>
      <c r="BH242" s="139"/>
      <c r="BI242" s="139"/>
      <c r="BJ242" s="139"/>
      <c r="BK242" s="139"/>
      <c r="BL242" s="139"/>
      <c r="BM242" s="139"/>
      <c r="BN242" s="139"/>
      <c r="BO242" s="139"/>
      <c r="BP242" s="139"/>
      <c r="BQ242" s="139"/>
      <c r="BR242" s="139"/>
      <c r="BS242" s="139"/>
      <c r="BT242" s="139"/>
      <c r="BU242" s="139"/>
      <c r="BV242" s="139"/>
      <c r="BW242" s="139"/>
      <c r="BX242" s="139"/>
      <c r="BY242" s="139"/>
      <c r="BZ242" s="139"/>
      <c r="CA242" s="139"/>
      <c r="CB242" s="139"/>
      <c r="CC242" s="139"/>
      <c r="CD242" s="139"/>
      <c r="CE242" s="139"/>
      <c r="CF242" s="0"/>
      <c r="CN242" s="0"/>
      <c r="CO242" s="0"/>
      <c r="CP242" s="0"/>
      <c r="CQ242" s="0"/>
      <c r="CR242" s="0"/>
      <c r="CW242" s="181" t="n">
        <f aca="false">EOMONTH(CW241,0)+1</f>
        <v>44136</v>
      </c>
      <c r="CX242" s="182" t="n">
        <f aca="false">IF(AF242=0,CX230,AF242)</f>
        <v>0.2</v>
      </c>
      <c r="CY242" s="182" t="n">
        <f aca="false">IF(AG242=0,CY230,AG242)</f>
        <v>0.25</v>
      </c>
      <c r="CZ242" s="182" t="n">
        <f aca="false">IF(AH242=0,CZ230,AH242)</f>
        <v>0.3</v>
      </c>
      <c r="DB242" s="161" t="n">
        <f aca="false">IF(X242=0,DB230,X242)</f>
        <v>0.16</v>
      </c>
      <c r="DC242" s="161" t="n">
        <f aca="false">IF(Y242=0,DC230,Y242)</f>
        <v>0.2</v>
      </c>
      <c r="DD242" s="161" t="n">
        <f aca="false">IF(Z242=0,DD230,Z242)</f>
        <v>0.24</v>
      </c>
      <c r="DF242" s="181" t="n">
        <f aca="false">IF(BF242=0,EOMONTH(DF241,0)+1,BF242)</f>
        <v>44136</v>
      </c>
      <c r="DG242" s="207" t="n">
        <f aca="false">IF(BG242=0,DG230,BG242)</f>
        <v>0.75</v>
      </c>
      <c r="DJ242" s="181" t="n">
        <f aca="false">CW242</f>
        <v>44136</v>
      </c>
      <c r="DK242" s="182" t="n">
        <f aca="false">IF(AJ242=0,DK230,AJ242)</f>
        <v>0.12</v>
      </c>
      <c r="DL242" s="182" t="n">
        <f aca="false">IF(AK242=0,DL230,AK242)</f>
        <v>0.15</v>
      </c>
      <c r="DM242" s="182" t="n">
        <f aca="false">IF(AL242=0,DM230,AL242)</f>
        <v>0.18</v>
      </c>
      <c r="DO242" s="182" t="n">
        <f aca="false">IF(AB242=0,DO230,AB242)</f>
        <v>0.08</v>
      </c>
      <c r="DP242" s="182" t="n">
        <f aca="false">IF(AC242=0,DP230,AC242)</f>
        <v>0.1</v>
      </c>
      <c r="DQ242" s="182" t="n">
        <f aca="false">IF(AD242=0,DQ230,AD242)</f>
        <v>0.12</v>
      </c>
    </row>
    <row r="243" customFormat="false" ht="12.75" hidden="false" customHeight="false" outlineLevel="0" collapsed="false">
      <c r="A243" s="133"/>
      <c r="B243" s="174" t="n">
        <v>43282</v>
      </c>
      <c r="C243" s="175" t="n">
        <v>62.5</v>
      </c>
      <c r="D243" s="175" t="n">
        <v>72.5</v>
      </c>
      <c r="E243" s="175" t="n">
        <v>82.5</v>
      </c>
      <c r="F243" s="159"/>
      <c r="G243" s="175" t="n">
        <v>29.0400009155273</v>
      </c>
      <c r="H243" s="175" t="n">
        <v>29.0400009155273</v>
      </c>
      <c r="I243" s="175" t="n">
        <v>29.0400009155273</v>
      </c>
      <c r="J243" s="140"/>
      <c r="K243" s="141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41"/>
      <c r="BG243" s="139"/>
      <c r="BH243" s="139"/>
      <c r="BI243" s="139"/>
      <c r="BJ243" s="139"/>
      <c r="BK243" s="139"/>
      <c r="BL243" s="139"/>
      <c r="BM243" s="139"/>
      <c r="BN243" s="139"/>
      <c r="BO243" s="139"/>
      <c r="BP243" s="139"/>
      <c r="BQ243" s="139"/>
      <c r="BR243" s="139"/>
      <c r="BS243" s="139"/>
      <c r="BT243" s="139"/>
      <c r="BU243" s="139"/>
      <c r="BV243" s="139"/>
      <c r="BW243" s="139"/>
      <c r="BX243" s="139"/>
      <c r="BY243" s="139"/>
      <c r="BZ243" s="139"/>
      <c r="CA243" s="139"/>
      <c r="CB243" s="139"/>
      <c r="CC243" s="139"/>
      <c r="CD243" s="139"/>
      <c r="CE243" s="139"/>
      <c r="CF243" s="0"/>
      <c r="CN243" s="0"/>
      <c r="CO243" s="0"/>
      <c r="CP243" s="0"/>
      <c r="CQ243" s="0"/>
      <c r="CR243" s="0"/>
      <c r="CW243" s="181" t="n">
        <f aca="false">EOMONTH(CW242,0)+1</f>
        <v>44166</v>
      </c>
      <c r="CX243" s="182" t="n">
        <f aca="false">IF(AF243=0,CX231,AF243)</f>
        <v>0.2</v>
      </c>
      <c r="CY243" s="182" t="n">
        <f aca="false">IF(AG243=0,CY231,AG243)</f>
        <v>0.25</v>
      </c>
      <c r="CZ243" s="182" t="n">
        <f aca="false">IF(AH243=0,CZ231,AH243)</f>
        <v>0.3</v>
      </c>
      <c r="DB243" s="161" t="n">
        <f aca="false">IF(X243=0,DB231,X243)</f>
        <v>0.16</v>
      </c>
      <c r="DC243" s="161" t="n">
        <f aca="false">IF(Y243=0,DC231,Y243)</f>
        <v>0.2</v>
      </c>
      <c r="DD243" s="161" t="n">
        <f aca="false">IF(Z243=0,DD231,Z243)</f>
        <v>0.24</v>
      </c>
      <c r="DF243" s="181" t="n">
        <f aca="false">IF(BF243=0,EOMONTH(DF242,0)+1,BF243)</f>
        <v>44166</v>
      </c>
      <c r="DG243" s="207" t="n">
        <f aca="false">IF(BG243=0,DG231,BG243)</f>
        <v>0.75</v>
      </c>
      <c r="DJ243" s="181" t="n">
        <f aca="false">CW243</f>
        <v>44166</v>
      </c>
      <c r="DK243" s="182" t="n">
        <f aca="false">IF(AJ243=0,DK231,AJ243)</f>
        <v>0.12</v>
      </c>
      <c r="DL243" s="182" t="n">
        <f aca="false">IF(AK243=0,DL231,AK243)</f>
        <v>0.15</v>
      </c>
      <c r="DM243" s="182" t="n">
        <f aca="false">IF(AL243=0,DM231,AL243)</f>
        <v>0.18</v>
      </c>
      <c r="DO243" s="182" t="n">
        <f aca="false">IF(AB243=0,DO231,AB243)</f>
        <v>0.08</v>
      </c>
      <c r="DP243" s="182" t="n">
        <f aca="false">IF(AC243=0,DP231,AC243)</f>
        <v>0.1</v>
      </c>
      <c r="DQ243" s="182" t="n">
        <f aca="false">IF(AD243=0,DQ231,AD243)</f>
        <v>0.12</v>
      </c>
    </row>
    <row r="244" customFormat="false" ht="12.75" hidden="false" customHeight="false" outlineLevel="0" collapsed="false">
      <c r="A244" s="133"/>
      <c r="B244" s="174" t="n">
        <v>43313</v>
      </c>
      <c r="C244" s="175" t="n">
        <v>62.5</v>
      </c>
      <c r="D244" s="175" t="n">
        <v>72.5</v>
      </c>
      <c r="E244" s="175" t="n">
        <v>82.5</v>
      </c>
      <c r="F244" s="159"/>
      <c r="G244" s="175" t="n">
        <v>30.0400009155273</v>
      </c>
      <c r="H244" s="175" t="n">
        <v>30.0400009155273</v>
      </c>
      <c r="I244" s="175" t="n">
        <v>30.0400009155273</v>
      </c>
      <c r="J244" s="140"/>
      <c r="K244" s="141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41"/>
      <c r="BG244" s="139"/>
      <c r="BH244" s="139"/>
      <c r="BI244" s="139"/>
      <c r="BJ244" s="139"/>
      <c r="BK244" s="139"/>
      <c r="BL244" s="139"/>
      <c r="BM244" s="139"/>
      <c r="BN244" s="139"/>
      <c r="BO244" s="139"/>
      <c r="BP244" s="139"/>
      <c r="BQ244" s="139"/>
      <c r="BR244" s="139"/>
      <c r="BS244" s="139"/>
      <c r="BT244" s="139"/>
      <c r="BU244" s="139"/>
      <c r="BV244" s="139"/>
      <c r="BW244" s="139"/>
      <c r="BX244" s="139"/>
      <c r="BY244" s="139"/>
      <c r="BZ244" s="139"/>
      <c r="CA244" s="139"/>
      <c r="CB244" s="139"/>
      <c r="CC244" s="139"/>
      <c r="CD244" s="139"/>
      <c r="CE244" s="139"/>
      <c r="CF244" s="0"/>
      <c r="CN244" s="0"/>
      <c r="CO244" s="0"/>
      <c r="CP244" s="0"/>
      <c r="CQ244" s="0"/>
      <c r="CR244" s="0"/>
      <c r="CW244" s="181" t="n">
        <f aca="false">EOMONTH(CW243,0)+1</f>
        <v>44197</v>
      </c>
      <c r="CX244" s="182" t="n">
        <f aca="false">IF(AF244=0,CX232,AF244)</f>
        <v>0.2</v>
      </c>
      <c r="CY244" s="182" t="n">
        <f aca="false">IF(AG244=0,CY232,AG244)</f>
        <v>0.25</v>
      </c>
      <c r="CZ244" s="182" t="n">
        <f aca="false">IF(AH244=0,CZ232,AH244)</f>
        <v>0.3</v>
      </c>
      <c r="DB244" s="161" t="n">
        <f aca="false">IF(X244=0,DB232,X244)</f>
        <v>0.16</v>
      </c>
      <c r="DC244" s="161" t="n">
        <f aca="false">IF(Y244=0,DC232,Y244)</f>
        <v>0.2</v>
      </c>
      <c r="DD244" s="161" t="n">
        <f aca="false">IF(Z244=0,DD232,Z244)</f>
        <v>0.24</v>
      </c>
      <c r="DF244" s="181" t="n">
        <f aca="false">IF(BF244=0,EOMONTH(DF243,0)+1,BF244)</f>
        <v>44197</v>
      </c>
      <c r="DG244" s="207" t="n">
        <f aca="false">IF(BG244=0,DG232,BG244)</f>
        <v>0.75</v>
      </c>
      <c r="DJ244" s="181" t="n">
        <f aca="false">CW244</f>
        <v>44197</v>
      </c>
      <c r="DK244" s="182" t="n">
        <f aca="false">IF(AJ244=0,DK232,AJ244)</f>
        <v>0.12</v>
      </c>
      <c r="DL244" s="182" t="n">
        <f aca="false">IF(AK244=0,DL232,AK244)</f>
        <v>0.15</v>
      </c>
      <c r="DM244" s="182" t="n">
        <f aca="false">IF(AL244=0,DM232,AL244)</f>
        <v>0.18</v>
      </c>
      <c r="DO244" s="182" t="n">
        <f aca="false">IF(AB244=0,DO232,AB244)</f>
        <v>0.08</v>
      </c>
      <c r="DP244" s="182" t="n">
        <f aca="false">IF(AC244=0,DP232,AC244)</f>
        <v>0.1</v>
      </c>
      <c r="DQ244" s="182" t="n">
        <f aca="false">IF(AD244=0,DQ232,AD244)</f>
        <v>0.12</v>
      </c>
    </row>
    <row r="245" customFormat="false" ht="12.75" hidden="false" customHeight="false" outlineLevel="0" collapsed="false">
      <c r="A245" s="133"/>
      <c r="B245" s="174" t="n">
        <v>43344</v>
      </c>
      <c r="C245" s="175" t="n">
        <v>31.2099990844727</v>
      </c>
      <c r="D245" s="175" t="n">
        <v>32.7099990844727</v>
      </c>
      <c r="E245" s="175" t="n">
        <v>34.2099990844727</v>
      </c>
      <c r="F245" s="159"/>
      <c r="G245" s="175" t="n">
        <v>24.0400009155273</v>
      </c>
      <c r="H245" s="175" t="n">
        <v>24.0400009155273</v>
      </c>
      <c r="I245" s="175" t="n">
        <v>24.0400009155273</v>
      </c>
      <c r="J245" s="140"/>
      <c r="K245" s="141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41"/>
      <c r="BG245" s="139"/>
      <c r="BH245" s="139"/>
      <c r="BI245" s="139"/>
      <c r="BJ245" s="139"/>
      <c r="BK245" s="139"/>
      <c r="BL245" s="139"/>
      <c r="BM245" s="139"/>
      <c r="BN245" s="139"/>
      <c r="BO245" s="139"/>
      <c r="BP245" s="139"/>
      <c r="BQ245" s="139"/>
      <c r="BR245" s="139"/>
      <c r="BS245" s="139"/>
      <c r="BT245" s="139"/>
      <c r="BU245" s="139"/>
      <c r="BV245" s="139"/>
      <c r="BW245" s="139"/>
      <c r="BX245" s="139"/>
      <c r="BY245" s="139"/>
      <c r="BZ245" s="139"/>
      <c r="CA245" s="139"/>
      <c r="CB245" s="139"/>
      <c r="CC245" s="139"/>
      <c r="CD245" s="139"/>
      <c r="CE245" s="139"/>
      <c r="CF245" s="0"/>
      <c r="CN245" s="0"/>
      <c r="CO245" s="0"/>
      <c r="CP245" s="0"/>
      <c r="CQ245" s="0"/>
      <c r="CR245" s="0"/>
      <c r="CW245" s="181" t="n">
        <f aca="false">EOMONTH(CW244,0)+1</f>
        <v>44228</v>
      </c>
      <c r="CX245" s="182" t="n">
        <f aca="false">IF(AF245=0,CX233,AF245)</f>
        <v>0.2</v>
      </c>
      <c r="CY245" s="182" t="n">
        <f aca="false">IF(AG245=0,CY233,AG245)</f>
        <v>0.25</v>
      </c>
      <c r="CZ245" s="182" t="n">
        <f aca="false">IF(AH245=0,CZ233,AH245)</f>
        <v>0.3</v>
      </c>
      <c r="DB245" s="161" t="n">
        <f aca="false">IF(X245=0,DB233,X245)</f>
        <v>0</v>
      </c>
      <c r="DC245" s="161" t="n">
        <f aca="false">IF(Y245=0,DC233,Y245)</f>
        <v>0</v>
      </c>
      <c r="DD245" s="161" t="n">
        <f aca="false">IF(Z245=0,DD233,Z245)</f>
        <v>0</v>
      </c>
      <c r="DF245" s="181" t="n">
        <f aca="false">IF(BF245=0,EOMONTH(DF244,0)+1,BF245)</f>
        <v>44228</v>
      </c>
      <c r="DG245" s="207" t="n">
        <f aca="false">IF(BG245=0,DG233,BG245)</f>
        <v>0</v>
      </c>
      <c r="DJ245" s="181" t="n">
        <f aca="false">CW245</f>
        <v>44228</v>
      </c>
      <c r="DK245" s="182" t="n">
        <f aca="false">IF(AJ245=0,DK233,AJ245)</f>
        <v>0.12</v>
      </c>
      <c r="DL245" s="182" t="n">
        <f aca="false">IF(AK245=0,DL233,AK245)</f>
        <v>0.15</v>
      </c>
      <c r="DM245" s="182" t="n">
        <f aca="false">IF(AL245=0,DM233,AL245)</f>
        <v>0.18</v>
      </c>
      <c r="DO245" s="182" t="n">
        <f aca="false">IF(AB245=0,DO233,AB245)</f>
        <v>0</v>
      </c>
      <c r="DP245" s="182" t="n">
        <f aca="false">IF(AC245=0,DP233,AC245)</f>
        <v>0</v>
      </c>
      <c r="DQ245" s="182" t="n">
        <f aca="false">IF(AD245=0,DQ233,AD245)</f>
        <v>0</v>
      </c>
    </row>
    <row r="246" customFormat="false" ht="12.75" hidden="false" customHeight="false" outlineLevel="0" collapsed="false">
      <c r="A246" s="133"/>
      <c r="B246" s="174" t="n">
        <v>43374</v>
      </c>
      <c r="C246" s="175" t="n">
        <v>35.6115684509277</v>
      </c>
      <c r="D246" s="175" t="n">
        <v>37.1115684509277</v>
      </c>
      <c r="E246" s="175" t="n">
        <v>38.6115684509277</v>
      </c>
      <c r="F246" s="159"/>
      <c r="G246" s="175" t="n">
        <v>23.540002822876</v>
      </c>
      <c r="H246" s="175" t="n">
        <v>23.540002822876</v>
      </c>
      <c r="I246" s="175" t="n">
        <v>23.540002822876</v>
      </c>
      <c r="J246" s="140"/>
      <c r="K246" s="141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41"/>
      <c r="BG246" s="139"/>
      <c r="BH246" s="139"/>
      <c r="BI246" s="139"/>
      <c r="BJ246" s="139"/>
      <c r="BK246" s="139"/>
      <c r="BL246" s="139"/>
      <c r="BM246" s="139"/>
      <c r="BN246" s="139"/>
      <c r="BO246" s="139"/>
      <c r="BP246" s="139"/>
      <c r="BQ246" s="139"/>
      <c r="BR246" s="139"/>
      <c r="BS246" s="139"/>
      <c r="BT246" s="139"/>
      <c r="BU246" s="139"/>
      <c r="BV246" s="139"/>
      <c r="BW246" s="139"/>
      <c r="BX246" s="139"/>
      <c r="BY246" s="139"/>
      <c r="BZ246" s="139"/>
      <c r="CA246" s="139"/>
      <c r="CB246" s="139"/>
      <c r="CC246" s="139"/>
      <c r="CD246" s="139"/>
      <c r="CE246" s="139"/>
      <c r="CF246" s="0"/>
      <c r="CN246" s="0"/>
      <c r="CO246" s="0"/>
      <c r="CP246" s="0"/>
      <c r="CQ246" s="0"/>
      <c r="CR246" s="0"/>
      <c r="CW246" s="181" t="n">
        <f aca="false">EOMONTH(CW245,0)+1</f>
        <v>44256</v>
      </c>
      <c r="CX246" s="182" t="n">
        <f aca="false">IF(AF246=0,CX234,AF246)</f>
        <v>0.2</v>
      </c>
      <c r="CY246" s="182" t="n">
        <f aca="false">IF(AG246=0,CY234,AG246)</f>
        <v>0.25</v>
      </c>
      <c r="CZ246" s="182" t="n">
        <f aca="false">IF(AH246=0,CZ234,AH246)</f>
        <v>0.3</v>
      </c>
      <c r="DB246" s="161" t="n">
        <f aca="false">IF(X246=0,DB234,X246)</f>
        <v>0.16</v>
      </c>
      <c r="DC246" s="161" t="n">
        <f aca="false">IF(Y246=0,DC234,Y246)</f>
        <v>0.2</v>
      </c>
      <c r="DD246" s="161" t="n">
        <f aca="false">IF(Z246=0,DD234,Z246)</f>
        <v>0.24</v>
      </c>
      <c r="DF246" s="181" t="n">
        <f aca="false">IF(BF246=0,EOMONTH(DF245,0)+1,BF246)</f>
        <v>44256</v>
      </c>
      <c r="DG246" s="207" t="n">
        <f aca="false">IF(BG246=0,DG234,BG246)</f>
        <v>0.75</v>
      </c>
      <c r="DJ246" s="181" t="n">
        <f aca="false">CW246</f>
        <v>44256</v>
      </c>
      <c r="DK246" s="182" t="n">
        <f aca="false">IF(AJ246=0,DK234,AJ246)</f>
        <v>0.12</v>
      </c>
      <c r="DL246" s="182" t="n">
        <f aca="false">IF(AK246=0,DL234,AK246)</f>
        <v>0.15</v>
      </c>
      <c r="DM246" s="182" t="n">
        <f aca="false">IF(AL246=0,DM234,AL246)</f>
        <v>0.18</v>
      </c>
      <c r="DO246" s="182" t="n">
        <f aca="false">IF(AB246=0,DO234,AB246)</f>
        <v>0.08</v>
      </c>
      <c r="DP246" s="182" t="n">
        <f aca="false">IF(AC246=0,DP234,AC246)</f>
        <v>0.1</v>
      </c>
      <c r="DQ246" s="182" t="n">
        <f aca="false">IF(AD246=0,DQ234,AD246)</f>
        <v>0.12</v>
      </c>
    </row>
    <row r="247" customFormat="false" ht="12.75" hidden="false" customHeight="false" outlineLevel="0" collapsed="false">
      <c r="A247" s="133"/>
      <c r="B247" s="174" t="n">
        <v>43405</v>
      </c>
      <c r="C247" s="175" t="n">
        <v>35.7115669250488</v>
      </c>
      <c r="D247" s="175" t="n">
        <v>37.2115669250488</v>
      </c>
      <c r="E247" s="175" t="n">
        <v>38.7115669250488</v>
      </c>
      <c r="F247" s="159"/>
      <c r="G247" s="175" t="n">
        <v>24.5400009155273</v>
      </c>
      <c r="H247" s="175" t="n">
        <v>24.5400009155273</v>
      </c>
      <c r="I247" s="175" t="n">
        <v>24.5400009155273</v>
      </c>
      <c r="J247" s="140"/>
      <c r="K247" s="141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41"/>
      <c r="BG247" s="139"/>
      <c r="BH247" s="139"/>
      <c r="BI247" s="139"/>
      <c r="BJ247" s="139"/>
      <c r="BK247" s="139"/>
      <c r="BL247" s="139"/>
      <c r="BM247" s="139"/>
      <c r="BN247" s="139"/>
      <c r="BO247" s="139"/>
      <c r="BP247" s="139"/>
      <c r="BQ247" s="139"/>
      <c r="BR247" s="139"/>
      <c r="BS247" s="139"/>
      <c r="BT247" s="139"/>
      <c r="BU247" s="139"/>
      <c r="BV247" s="139"/>
      <c r="BW247" s="139"/>
      <c r="BX247" s="139"/>
      <c r="BY247" s="139"/>
      <c r="BZ247" s="139"/>
      <c r="CA247" s="139"/>
      <c r="CB247" s="139"/>
      <c r="CC247" s="139"/>
      <c r="CD247" s="139"/>
      <c r="CE247" s="139"/>
      <c r="CF247" s="0"/>
      <c r="CN247" s="0"/>
      <c r="CO247" s="0"/>
      <c r="CP247" s="0"/>
      <c r="CQ247" s="0"/>
      <c r="CR247" s="0"/>
      <c r="CW247" s="181" t="n">
        <f aca="false">EOMONTH(CW246,0)+1</f>
        <v>44287</v>
      </c>
      <c r="CX247" s="182" t="n">
        <f aca="false">IF(AF247=0,CX235,AF247)</f>
        <v>0.2</v>
      </c>
      <c r="CY247" s="182" t="n">
        <f aca="false">IF(AG247=0,CY235,AG247)</f>
        <v>0.25</v>
      </c>
      <c r="CZ247" s="182" t="n">
        <f aca="false">IF(AH247=0,CZ235,AH247)</f>
        <v>0.3</v>
      </c>
      <c r="DB247" s="161" t="n">
        <f aca="false">IF(X247=0,DB235,X247)</f>
        <v>0.16</v>
      </c>
      <c r="DC247" s="161" t="n">
        <f aca="false">IF(Y247=0,DC235,Y247)</f>
        <v>0.2</v>
      </c>
      <c r="DD247" s="161" t="n">
        <f aca="false">IF(Z247=0,DD235,Z247)</f>
        <v>0.24</v>
      </c>
      <c r="DF247" s="181" t="n">
        <f aca="false">IF(BF247=0,EOMONTH(DF246,0)+1,BF247)</f>
        <v>44287</v>
      </c>
      <c r="DG247" s="207" t="n">
        <f aca="false">IF(BG247=0,DG235,BG247)</f>
        <v>0.75</v>
      </c>
      <c r="DJ247" s="181" t="n">
        <f aca="false">CW247</f>
        <v>44287</v>
      </c>
      <c r="DK247" s="182" t="n">
        <f aca="false">IF(AJ247=0,DK235,AJ247)</f>
        <v>0.12</v>
      </c>
      <c r="DL247" s="182" t="n">
        <f aca="false">IF(AK247=0,DL235,AK247)</f>
        <v>0.15</v>
      </c>
      <c r="DM247" s="182" t="n">
        <f aca="false">IF(AL247=0,DM235,AL247)</f>
        <v>0.18</v>
      </c>
      <c r="DO247" s="182" t="n">
        <f aca="false">IF(AB247=0,DO235,AB247)</f>
        <v>0.08</v>
      </c>
      <c r="DP247" s="182" t="n">
        <f aca="false">IF(AC247=0,DP235,AC247)</f>
        <v>0.1</v>
      </c>
      <c r="DQ247" s="182" t="n">
        <f aca="false">IF(AD247=0,DQ235,AD247)</f>
        <v>0.12</v>
      </c>
    </row>
    <row r="248" customFormat="false" ht="12.75" hidden="false" customHeight="false" outlineLevel="0" collapsed="false">
      <c r="A248" s="133"/>
      <c r="B248" s="174" t="n">
        <v>43435</v>
      </c>
      <c r="C248" s="175" t="n">
        <v>35.8115653991699</v>
      </c>
      <c r="D248" s="175" t="n">
        <v>37.3115653991699</v>
      </c>
      <c r="E248" s="175" t="n">
        <v>38.8115653991699</v>
      </c>
      <c r="F248" s="159"/>
      <c r="G248" s="175" t="n">
        <v>26.7900009155273</v>
      </c>
      <c r="H248" s="175" t="n">
        <v>26.7900009155273</v>
      </c>
      <c r="I248" s="175" t="n">
        <v>26.7900009155273</v>
      </c>
      <c r="J248" s="140"/>
      <c r="K248" s="141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41"/>
      <c r="BG248" s="139"/>
      <c r="BH248" s="139"/>
      <c r="BI248" s="139"/>
      <c r="BJ248" s="139"/>
      <c r="BK248" s="139"/>
      <c r="BL248" s="139"/>
      <c r="BM248" s="139"/>
      <c r="BN248" s="139"/>
      <c r="BO248" s="139"/>
      <c r="BP248" s="139"/>
      <c r="BQ248" s="139"/>
      <c r="BR248" s="139"/>
      <c r="BS248" s="139"/>
      <c r="BT248" s="139"/>
      <c r="BU248" s="139"/>
      <c r="BV248" s="139"/>
      <c r="BW248" s="139"/>
      <c r="BX248" s="139"/>
      <c r="BY248" s="139"/>
      <c r="BZ248" s="139"/>
      <c r="CA248" s="139"/>
      <c r="CB248" s="139"/>
      <c r="CC248" s="139"/>
      <c r="CD248" s="139"/>
      <c r="CE248" s="139"/>
      <c r="CF248" s="0"/>
      <c r="CG248" s="0"/>
      <c r="CH248" s="0"/>
      <c r="CI248" s="0"/>
      <c r="CN248" s="0"/>
      <c r="CO248" s="0"/>
      <c r="CP248" s="0"/>
      <c r="CQ248" s="0"/>
      <c r="CR248" s="0"/>
      <c r="CW248" s="181" t="n">
        <f aca="false">EOMONTH(CW247,0)+1</f>
        <v>44317</v>
      </c>
      <c r="CX248" s="182" t="n">
        <f aca="false">IF(AF248=0,CX236,AF248)</f>
        <v>0.2</v>
      </c>
      <c r="CY248" s="182" t="n">
        <f aca="false">IF(AG248=0,CY236,AG248)</f>
        <v>0.25</v>
      </c>
      <c r="CZ248" s="182" t="n">
        <f aca="false">IF(AH248=0,CZ236,AH248)</f>
        <v>0.3</v>
      </c>
      <c r="DB248" s="161" t="n">
        <f aca="false">IF(X248=0,DB236,X248)</f>
        <v>0.16</v>
      </c>
      <c r="DC248" s="161" t="n">
        <f aca="false">IF(Y248=0,DC236,Y248)</f>
        <v>0.2</v>
      </c>
      <c r="DD248" s="161" t="n">
        <f aca="false">IF(Z248=0,DD236,Z248)</f>
        <v>0.24</v>
      </c>
      <c r="DF248" s="181" t="n">
        <f aca="false">IF(BF248=0,EOMONTH(DF247,0)+1,BF248)</f>
        <v>44317</v>
      </c>
      <c r="DG248" s="207" t="n">
        <f aca="false">IF(BG248=0,DG236,BG248)</f>
        <v>0.75</v>
      </c>
      <c r="DJ248" s="181" t="n">
        <f aca="false">CW248</f>
        <v>44317</v>
      </c>
      <c r="DK248" s="182" t="n">
        <f aca="false">IF(AJ248=0,DK236,AJ248)</f>
        <v>0.12</v>
      </c>
      <c r="DL248" s="182" t="n">
        <f aca="false">IF(AK248=0,DL236,AK248)</f>
        <v>0.15</v>
      </c>
      <c r="DM248" s="182" t="n">
        <f aca="false">IF(AL248=0,DM236,AL248)</f>
        <v>0.18</v>
      </c>
      <c r="DO248" s="182" t="n">
        <f aca="false">IF(AB248=0,DO236,AB248)</f>
        <v>0.08</v>
      </c>
      <c r="DP248" s="182" t="n">
        <f aca="false">IF(AC248=0,DP236,AC248)</f>
        <v>0.1</v>
      </c>
      <c r="DQ248" s="182" t="n">
        <f aca="false">IF(AD248=0,DQ236,AD248)</f>
        <v>0.12</v>
      </c>
    </row>
    <row r="249" customFormat="false" ht="12.75" hidden="false" customHeight="false" outlineLevel="0" collapsed="false">
      <c r="A249" s="133"/>
      <c r="B249" s="174" t="n">
        <v>43466</v>
      </c>
      <c r="C249" s="175" t="n">
        <v>39.4957160949707</v>
      </c>
      <c r="D249" s="175" t="n">
        <v>40.9957160949707</v>
      </c>
      <c r="E249" s="175" t="n">
        <v>42.4957160949707</v>
      </c>
      <c r="F249" s="208"/>
      <c r="G249" s="175" t="n">
        <v>29</v>
      </c>
      <c r="H249" s="175" t="n">
        <v>29</v>
      </c>
      <c r="I249" s="175" t="n">
        <v>29</v>
      </c>
      <c r="J249" s="140"/>
      <c r="K249" s="141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41"/>
      <c r="BG249" s="139"/>
      <c r="BH249" s="139"/>
      <c r="BI249" s="139"/>
      <c r="BJ249" s="139"/>
      <c r="BK249" s="139"/>
      <c r="BL249" s="139"/>
      <c r="BM249" s="139"/>
      <c r="BN249" s="139"/>
      <c r="BO249" s="139"/>
      <c r="BP249" s="139"/>
      <c r="BQ249" s="139"/>
      <c r="BR249" s="139"/>
      <c r="BS249" s="139"/>
      <c r="BT249" s="139"/>
      <c r="BU249" s="139"/>
      <c r="BV249" s="139"/>
      <c r="BW249" s="139"/>
      <c r="BX249" s="139"/>
      <c r="BY249" s="139"/>
      <c r="BZ249" s="139"/>
      <c r="CA249" s="139"/>
      <c r="CB249" s="139"/>
      <c r="CC249" s="139"/>
      <c r="CD249" s="139"/>
      <c r="CE249" s="139"/>
      <c r="CF249" s="0"/>
      <c r="CG249" s="0"/>
      <c r="CH249" s="0"/>
      <c r="CI249" s="0"/>
      <c r="CN249" s="0"/>
      <c r="CO249" s="0"/>
      <c r="CP249" s="0"/>
      <c r="CQ249" s="0"/>
      <c r="CR249" s="0"/>
      <c r="CW249" s="181" t="n">
        <f aca="false">EOMONTH(CW248,0)+1</f>
        <v>44348</v>
      </c>
      <c r="CX249" s="182" t="n">
        <f aca="false">IF(AF249=0,CX237,AF249)</f>
        <v>0.2</v>
      </c>
      <c r="CY249" s="182" t="n">
        <f aca="false">IF(AG249=0,CY237,AG249)</f>
        <v>0.25</v>
      </c>
      <c r="CZ249" s="182" t="n">
        <f aca="false">IF(AH249=0,CZ237,AH249)</f>
        <v>0.3</v>
      </c>
      <c r="DB249" s="161" t="n">
        <f aca="false">IF(X249=0,DB237,X249)</f>
        <v>0.16</v>
      </c>
      <c r="DC249" s="161" t="n">
        <f aca="false">IF(Y249=0,DC237,Y249)</f>
        <v>0.2</v>
      </c>
      <c r="DD249" s="161" t="n">
        <f aca="false">IF(Z249=0,DD237,Z249)</f>
        <v>0.24</v>
      </c>
      <c r="DF249" s="181" t="n">
        <f aca="false">IF(BF249=0,EOMONTH(DF248,0)+1,BF249)</f>
        <v>44348</v>
      </c>
      <c r="DG249" s="207" t="n">
        <f aca="false">IF(BG249=0,DG237,BG249)</f>
        <v>0.75</v>
      </c>
      <c r="DJ249" s="181" t="n">
        <f aca="false">CW249</f>
        <v>44348</v>
      </c>
      <c r="DK249" s="182" t="n">
        <f aca="false">IF(AJ249=0,DK237,AJ249)</f>
        <v>0.12</v>
      </c>
      <c r="DL249" s="182" t="n">
        <f aca="false">IF(AK249=0,DL237,AK249)</f>
        <v>0.15</v>
      </c>
      <c r="DM249" s="182" t="n">
        <f aca="false">IF(AL249=0,DM237,AL249)</f>
        <v>0.18</v>
      </c>
      <c r="DO249" s="182" t="n">
        <f aca="false">IF(AB249=0,DO237,AB249)</f>
        <v>0.08</v>
      </c>
      <c r="DP249" s="182" t="n">
        <f aca="false">IF(AC249=0,DP237,AC249)</f>
        <v>0.1</v>
      </c>
      <c r="DQ249" s="182" t="n">
        <f aca="false">IF(AD249=0,DQ237,AD249)</f>
        <v>0.12</v>
      </c>
    </row>
    <row r="250" customFormat="false" ht="12.75" hidden="false" customHeight="false" outlineLevel="0" collapsed="false">
      <c r="A250" s="133"/>
      <c r="B250" s="174" t="n">
        <v>43497</v>
      </c>
      <c r="C250" s="175" t="n">
        <v>38.8957138061523</v>
      </c>
      <c r="D250" s="175" t="n">
        <v>40.3957138061523</v>
      </c>
      <c r="E250" s="175" t="n">
        <v>41.8957138061523</v>
      </c>
      <c r="F250" s="208"/>
      <c r="G250" s="175" t="n">
        <v>27.5</v>
      </c>
      <c r="H250" s="175" t="n">
        <v>27.5</v>
      </c>
      <c r="I250" s="175" t="n">
        <v>27.5</v>
      </c>
      <c r="J250" s="140"/>
      <c r="K250" s="141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41"/>
      <c r="BG250" s="139"/>
      <c r="BH250" s="139"/>
      <c r="BI250" s="139"/>
      <c r="BJ250" s="139"/>
      <c r="BK250" s="139"/>
      <c r="BL250" s="139"/>
      <c r="BM250" s="139"/>
      <c r="BN250" s="139"/>
      <c r="BO250" s="139"/>
      <c r="BP250" s="139"/>
      <c r="BQ250" s="139"/>
      <c r="BR250" s="139"/>
      <c r="BS250" s="139"/>
      <c r="BT250" s="139"/>
      <c r="BU250" s="139"/>
      <c r="BV250" s="139"/>
      <c r="BW250" s="139"/>
      <c r="BX250" s="139"/>
      <c r="BY250" s="139"/>
      <c r="BZ250" s="139"/>
      <c r="CA250" s="139"/>
      <c r="CB250" s="139"/>
      <c r="CC250" s="139"/>
      <c r="CD250" s="139"/>
      <c r="CE250" s="139"/>
      <c r="CF250" s="0"/>
      <c r="CG250" s="0"/>
      <c r="CH250" s="0"/>
      <c r="CI250" s="0"/>
      <c r="CN250" s="0"/>
      <c r="CO250" s="0"/>
      <c r="CP250" s="0"/>
      <c r="CQ250" s="0"/>
      <c r="CR250" s="0"/>
      <c r="CW250" s="181" t="n">
        <f aca="false">EOMONTH(CW249,0)+1</f>
        <v>44378</v>
      </c>
      <c r="CX250" s="182" t="n">
        <f aca="false">IF(AF250=0,CX238,AF250)</f>
        <v>0.2</v>
      </c>
      <c r="CY250" s="182" t="n">
        <f aca="false">IF(AG250=0,CY238,AG250)</f>
        <v>0.25</v>
      </c>
      <c r="CZ250" s="182" t="n">
        <f aca="false">IF(AH250=0,CZ238,AH250)</f>
        <v>0.3</v>
      </c>
      <c r="DB250" s="161" t="n">
        <f aca="false">IF(X250=0,DB238,X250)</f>
        <v>0.16</v>
      </c>
      <c r="DC250" s="161" t="n">
        <f aca="false">IF(Y250=0,DC238,Y250)</f>
        <v>0.2</v>
      </c>
      <c r="DD250" s="161" t="n">
        <f aca="false">IF(Z250=0,DD238,Z250)</f>
        <v>0.24</v>
      </c>
      <c r="DF250" s="181" t="n">
        <f aca="false">IF(BF250=0,EOMONTH(DF249,0)+1,BF250)</f>
        <v>44378</v>
      </c>
      <c r="DG250" s="207" t="n">
        <f aca="false">IF(BG250=0,DG238,BG250)</f>
        <v>0.75</v>
      </c>
      <c r="DJ250" s="181" t="n">
        <f aca="false">CW250</f>
        <v>44378</v>
      </c>
      <c r="DK250" s="182" t="n">
        <f aca="false">IF(AJ250=0,DK238,AJ250)</f>
        <v>0.12</v>
      </c>
      <c r="DL250" s="182" t="n">
        <f aca="false">IF(AK250=0,DL238,AK250)</f>
        <v>0.15</v>
      </c>
      <c r="DM250" s="182" t="n">
        <f aca="false">IF(AL250=0,DM238,AL250)</f>
        <v>0.18</v>
      </c>
      <c r="DO250" s="182" t="n">
        <f aca="false">IF(AB250=0,DO238,AB250)</f>
        <v>0.08</v>
      </c>
      <c r="DP250" s="182" t="n">
        <f aca="false">IF(AC250=0,DP238,AC250)</f>
        <v>0.1</v>
      </c>
      <c r="DQ250" s="182" t="n">
        <f aca="false">IF(AD250=0,DQ238,AD250)</f>
        <v>0.12</v>
      </c>
    </row>
    <row r="251" customFormat="false" ht="12.75" hidden="false" customHeight="false" outlineLevel="0" collapsed="false">
      <c r="A251" s="133"/>
      <c r="B251" s="174" t="n">
        <v>43525</v>
      </c>
      <c r="C251" s="175" t="n">
        <v>37.6076812744141</v>
      </c>
      <c r="D251" s="175" t="n">
        <v>39.1076812744141</v>
      </c>
      <c r="E251" s="175" t="n">
        <v>40.6076812744141</v>
      </c>
      <c r="F251" s="208"/>
      <c r="G251" s="175" t="n">
        <v>28.5</v>
      </c>
      <c r="H251" s="175" t="n">
        <v>28.5</v>
      </c>
      <c r="I251" s="175" t="n">
        <v>28.5</v>
      </c>
      <c r="J251" s="140"/>
      <c r="K251" s="141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41"/>
      <c r="BG251" s="139"/>
      <c r="BH251" s="139"/>
      <c r="BI251" s="139"/>
      <c r="BJ251" s="139"/>
      <c r="BK251" s="139"/>
      <c r="BL251" s="139"/>
      <c r="BM251" s="139"/>
      <c r="BN251" s="139"/>
      <c r="BO251" s="139"/>
      <c r="BP251" s="139"/>
      <c r="BQ251" s="139"/>
      <c r="BR251" s="139"/>
      <c r="BS251" s="139"/>
      <c r="BT251" s="139"/>
      <c r="BU251" s="139"/>
      <c r="BV251" s="139"/>
      <c r="BW251" s="139"/>
      <c r="BX251" s="139"/>
      <c r="BY251" s="139"/>
      <c r="BZ251" s="139"/>
      <c r="CA251" s="139"/>
      <c r="CB251" s="139"/>
      <c r="CC251" s="139"/>
      <c r="CD251" s="139"/>
      <c r="CE251" s="139"/>
      <c r="CF251" s="0"/>
      <c r="CG251" s="0"/>
      <c r="CH251" s="0"/>
      <c r="CI251" s="0"/>
      <c r="CN251" s="0"/>
      <c r="CO251" s="0"/>
      <c r="CP251" s="0"/>
      <c r="CQ251" s="0"/>
      <c r="CR251" s="0"/>
      <c r="CW251" s="181" t="n">
        <f aca="false">EOMONTH(CW250,0)+1</f>
        <v>44409</v>
      </c>
      <c r="CX251" s="182" t="n">
        <f aca="false">IF(AF251=0,CX239,AF251)</f>
        <v>0.32</v>
      </c>
      <c r="CY251" s="182" t="n">
        <f aca="false">IF(AG251=0,CY239,AG251)</f>
        <v>0.4</v>
      </c>
      <c r="CZ251" s="182" t="n">
        <f aca="false">IF(AH251=0,CZ239,AH251)</f>
        <v>0.48</v>
      </c>
      <c r="DB251" s="161" t="n">
        <f aca="false">IF(X251=0,DB239,X251)</f>
        <v>0.24</v>
      </c>
      <c r="DC251" s="161" t="n">
        <f aca="false">IF(Y251=0,DC239,Y251)</f>
        <v>0.3</v>
      </c>
      <c r="DD251" s="161" t="n">
        <f aca="false">IF(Z251=0,DD239,Z251)</f>
        <v>0.36</v>
      </c>
      <c r="DF251" s="181" t="n">
        <f aca="false">IF(BF251=0,EOMONTH(DF250,0)+1,BF251)</f>
        <v>44409</v>
      </c>
      <c r="DG251" s="207" t="n">
        <f aca="false">IF(BG251=0,DG239,BG251)</f>
        <v>0.75</v>
      </c>
      <c r="DJ251" s="181" t="n">
        <f aca="false">CW251</f>
        <v>44409</v>
      </c>
      <c r="DK251" s="182" t="n">
        <f aca="false">IF(AJ251=0,DK239,AJ251)</f>
        <v>0.192</v>
      </c>
      <c r="DL251" s="182" t="n">
        <f aca="false">IF(AK251=0,DL239,AK251)</f>
        <v>0.24</v>
      </c>
      <c r="DM251" s="182" t="n">
        <f aca="false">IF(AL251=0,DM239,AL251)</f>
        <v>0.288</v>
      </c>
      <c r="DO251" s="182" t="n">
        <f aca="false">IF(AB251=0,DO239,AB251)</f>
        <v>0.12</v>
      </c>
      <c r="DP251" s="182" t="n">
        <f aca="false">IF(AC251=0,DP239,AC251)</f>
        <v>0.15</v>
      </c>
      <c r="DQ251" s="182" t="n">
        <f aca="false">IF(AD251=0,DQ239,AD251)</f>
        <v>0.18</v>
      </c>
    </row>
    <row r="252" customFormat="false" ht="12.75" hidden="false" customHeight="false" outlineLevel="0" collapsed="false">
      <c r="A252" s="133"/>
      <c r="B252" s="174" t="n">
        <v>43556</v>
      </c>
      <c r="C252" s="175" t="n">
        <v>37.8076820373535</v>
      </c>
      <c r="D252" s="175" t="n">
        <v>39.3076820373535</v>
      </c>
      <c r="E252" s="175" t="n">
        <v>40.8076820373535</v>
      </c>
      <c r="F252" s="208"/>
      <c r="G252" s="175" t="n">
        <v>25.5</v>
      </c>
      <c r="H252" s="175" t="n">
        <v>25.5</v>
      </c>
      <c r="I252" s="175" t="n">
        <v>25.5</v>
      </c>
      <c r="J252" s="140"/>
      <c r="K252" s="141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41"/>
      <c r="BG252" s="139"/>
      <c r="BH252" s="139"/>
      <c r="BI252" s="139"/>
      <c r="BJ252" s="139"/>
      <c r="BK252" s="139"/>
      <c r="BL252" s="139"/>
      <c r="BM252" s="139"/>
      <c r="BN252" s="139"/>
      <c r="BO252" s="139"/>
      <c r="BP252" s="139"/>
      <c r="BQ252" s="139"/>
      <c r="BR252" s="139"/>
      <c r="BS252" s="139"/>
      <c r="BT252" s="139"/>
      <c r="BU252" s="139"/>
      <c r="BV252" s="139"/>
      <c r="BW252" s="139"/>
      <c r="BX252" s="139"/>
      <c r="BY252" s="139"/>
      <c r="BZ252" s="139"/>
      <c r="CA252" s="139"/>
      <c r="CB252" s="139"/>
      <c r="CC252" s="139"/>
      <c r="CD252" s="139"/>
      <c r="CE252" s="139"/>
      <c r="CF252" s="0"/>
      <c r="CG252" s="0"/>
      <c r="CH252" s="0"/>
      <c r="CI252" s="0"/>
      <c r="CN252" s="0"/>
      <c r="CO252" s="0"/>
      <c r="CP252" s="0"/>
      <c r="CQ252" s="0"/>
      <c r="CR252" s="0"/>
      <c r="CW252" s="181" t="n">
        <f aca="false">EOMONTH(CW251,0)+1</f>
        <v>44440</v>
      </c>
      <c r="CX252" s="182" t="n">
        <f aca="false">IF(AF252=0,CX240,AF252)</f>
        <v>0.32</v>
      </c>
      <c r="CY252" s="182" t="n">
        <f aca="false">IF(AG252=0,CY240,AG252)</f>
        <v>0.4</v>
      </c>
      <c r="CZ252" s="182" t="n">
        <f aca="false">IF(AH252=0,CZ240,AH252)</f>
        <v>0.48</v>
      </c>
      <c r="DB252" s="161" t="n">
        <f aca="false">IF(X252=0,DB240,X252)</f>
        <v>0.24</v>
      </c>
      <c r="DC252" s="161" t="n">
        <f aca="false">IF(Y252=0,DC240,Y252)</f>
        <v>0.3</v>
      </c>
      <c r="DD252" s="161" t="n">
        <f aca="false">IF(Z252=0,DD240,Z252)</f>
        <v>0.36</v>
      </c>
      <c r="DF252" s="181" t="n">
        <f aca="false">IF(BF252=0,EOMONTH(DF251,0)+1,BF252)</f>
        <v>44440</v>
      </c>
      <c r="DG252" s="207" t="n">
        <f aca="false">IF(BG252=0,DG240,BG252)</f>
        <v>0.75</v>
      </c>
      <c r="DJ252" s="181" t="n">
        <f aca="false">CW252</f>
        <v>44440</v>
      </c>
      <c r="DK252" s="182" t="n">
        <f aca="false">IF(AJ252=0,DK240,AJ252)</f>
        <v>0.192</v>
      </c>
      <c r="DL252" s="182" t="n">
        <f aca="false">IF(AK252=0,DL240,AK252)</f>
        <v>0.24</v>
      </c>
      <c r="DM252" s="182" t="n">
        <f aca="false">IF(AL252=0,DM240,AL252)</f>
        <v>0.288</v>
      </c>
      <c r="DO252" s="182" t="n">
        <f aca="false">IF(AB252=0,DO240,AB252)</f>
        <v>0.12</v>
      </c>
      <c r="DP252" s="182" t="n">
        <f aca="false">IF(AC252=0,DP240,AC252)</f>
        <v>0.15</v>
      </c>
      <c r="DQ252" s="182" t="n">
        <f aca="false">IF(AD252=0,DQ240,AD252)</f>
        <v>0.18</v>
      </c>
    </row>
    <row r="253" customFormat="false" ht="12.75" hidden="false" customHeight="false" outlineLevel="0" collapsed="false">
      <c r="A253" s="133"/>
      <c r="B253" s="174" t="n">
        <v>43586</v>
      </c>
      <c r="C253" s="175" t="n">
        <v>45.8350028991699</v>
      </c>
      <c r="D253" s="175" t="n">
        <v>48.3350028991699</v>
      </c>
      <c r="E253" s="175" t="n">
        <v>50.8350028991699</v>
      </c>
      <c r="F253" s="208"/>
      <c r="G253" s="175" t="n">
        <v>26.0400009155273</v>
      </c>
      <c r="H253" s="175" t="n">
        <v>26.0400009155273</v>
      </c>
      <c r="I253" s="175" t="n">
        <v>26.0400009155273</v>
      </c>
      <c r="J253" s="140"/>
      <c r="K253" s="141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41"/>
      <c r="BG253" s="139"/>
      <c r="BH253" s="139"/>
      <c r="BI253" s="139"/>
      <c r="BJ253" s="139"/>
      <c r="BK253" s="139"/>
      <c r="BL253" s="139"/>
      <c r="BM253" s="139"/>
      <c r="BN253" s="139"/>
      <c r="BO253" s="139"/>
      <c r="BP253" s="139"/>
      <c r="BQ253" s="139"/>
      <c r="BR253" s="139"/>
      <c r="BS253" s="139"/>
      <c r="BT253" s="139"/>
      <c r="BU253" s="139"/>
      <c r="BV253" s="139"/>
      <c r="BW253" s="139"/>
      <c r="BX253" s="139"/>
      <c r="BY253" s="139"/>
      <c r="BZ253" s="139"/>
      <c r="CA253" s="139"/>
      <c r="CB253" s="139"/>
      <c r="CC253" s="139"/>
      <c r="CD253" s="139"/>
      <c r="CE253" s="139"/>
      <c r="CF253" s="0"/>
      <c r="CG253" s="0"/>
      <c r="CH253" s="0"/>
      <c r="CI253" s="0"/>
      <c r="CN253" s="0"/>
      <c r="CO253" s="0"/>
      <c r="CP253" s="0"/>
      <c r="CQ253" s="0"/>
      <c r="CR253" s="0"/>
      <c r="CW253" s="181" t="n">
        <f aca="false">EOMONTH(CW252,0)+1</f>
        <v>44470</v>
      </c>
      <c r="CX253" s="182" t="n">
        <f aca="false">IF(AF253=0,CX241,AF253)</f>
        <v>0.2</v>
      </c>
      <c r="CY253" s="182" t="n">
        <f aca="false">IF(AG253=0,CY241,AG253)</f>
        <v>0.25</v>
      </c>
      <c r="CZ253" s="182" t="n">
        <f aca="false">IF(AH253=0,CZ241,AH253)</f>
        <v>0.3</v>
      </c>
      <c r="DB253" s="161" t="n">
        <f aca="false">IF(X253=0,DB241,X253)</f>
        <v>0.16</v>
      </c>
      <c r="DC253" s="161" t="n">
        <f aca="false">IF(Y253=0,DC241,Y253)</f>
        <v>0.2</v>
      </c>
      <c r="DD253" s="161" t="n">
        <f aca="false">IF(Z253=0,DD241,Z253)</f>
        <v>0.24</v>
      </c>
      <c r="DF253" s="181" t="n">
        <f aca="false">IF(BF253=0,EOMONTH(DF252,0)+1,BF253)</f>
        <v>44470</v>
      </c>
      <c r="DG253" s="207" t="n">
        <f aca="false">IF(BG253=0,DG241,BG253)</f>
        <v>0.75</v>
      </c>
      <c r="DJ253" s="181" t="n">
        <f aca="false">CW253</f>
        <v>44470</v>
      </c>
      <c r="DK253" s="182" t="n">
        <f aca="false">IF(AJ253=0,DK241,AJ253)</f>
        <v>0.12</v>
      </c>
      <c r="DL253" s="182" t="n">
        <f aca="false">IF(AK253=0,DL241,AK253)</f>
        <v>0.15</v>
      </c>
      <c r="DM253" s="182" t="n">
        <f aca="false">IF(AL253=0,DM241,AL253)</f>
        <v>0.18</v>
      </c>
      <c r="DO253" s="182" t="n">
        <f aca="false">IF(AB253=0,DO241,AB253)</f>
        <v>0.08</v>
      </c>
      <c r="DP253" s="182" t="n">
        <f aca="false">IF(AC253=0,DP241,AC253)</f>
        <v>0.1</v>
      </c>
      <c r="DQ253" s="182" t="n">
        <f aca="false">IF(AD253=0,DQ241,AD253)</f>
        <v>0.12</v>
      </c>
    </row>
    <row r="254" customFormat="false" ht="12.75" hidden="false" customHeight="false" outlineLevel="0" collapsed="false">
      <c r="A254" s="133"/>
      <c r="B254" s="174" t="n">
        <v>43617</v>
      </c>
      <c r="C254" s="175" t="n">
        <v>60.125</v>
      </c>
      <c r="D254" s="175" t="n">
        <v>65.125</v>
      </c>
      <c r="E254" s="175" t="n">
        <v>70.125</v>
      </c>
      <c r="F254" s="208"/>
      <c r="G254" s="175" t="n">
        <v>29.0400009155273</v>
      </c>
      <c r="H254" s="175" t="n">
        <v>29.0400009155273</v>
      </c>
      <c r="I254" s="175" t="n">
        <v>29.0400009155273</v>
      </c>
      <c r="J254" s="140"/>
      <c r="K254" s="141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41"/>
      <c r="BG254" s="139"/>
      <c r="BH254" s="139"/>
      <c r="BI254" s="139"/>
      <c r="BJ254" s="139"/>
      <c r="BK254" s="139"/>
      <c r="BL254" s="139"/>
      <c r="BM254" s="139"/>
      <c r="BN254" s="139"/>
      <c r="BO254" s="139"/>
      <c r="BP254" s="139"/>
      <c r="BQ254" s="139"/>
      <c r="BR254" s="139"/>
      <c r="BS254" s="139"/>
      <c r="BT254" s="139"/>
      <c r="BU254" s="139"/>
      <c r="BV254" s="139"/>
      <c r="BW254" s="139"/>
      <c r="BX254" s="139"/>
      <c r="BY254" s="139"/>
      <c r="BZ254" s="139"/>
      <c r="CA254" s="139"/>
      <c r="CB254" s="139"/>
      <c r="CC254" s="139"/>
      <c r="CD254" s="139"/>
      <c r="CE254" s="139"/>
      <c r="CF254" s="0"/>
      <c r="CG254" s="0"/>
      <c r="CH254" s="0"/>
      <c r="CI254" s="0"/>
      <c r="CN254" s="0"/>
      <c r="CO254" s="0"/>
      <c r="CP254" s="0"/>
      <c r="CQ254" s="0"/>
      <c r="CR254" s="0"/>
      <c r="CW254" s="181" t="n">
        <f aca="false">EOMONTH(CW253,0)+1</f>
        <v>44501</v>
      </c>
      <c r="CX254" s="182" t="n">
        <f aca="false">IF(AF254=0,CX242,AF254)</f>
        <v>0.2</v>
      </c>
      <c r="CY254" s="182" t="n">
        <f aca="false">IF(AG254=0,CY242,AG254)</f>
        <v>0.25</v>
      </c>
      <c r="CZ254" s="182" t="n">
        <f aca="false">IF(AH254=0,CZ242,AH254)</f>
        <v>0.3</v>
      </c>
      <c r="DB254" s="161" t="n">
        <f aca="false">IF(X254=0,DB242,X254)</f>
        <v>0.16</v>
      </c>
      <c r="DC254" s="161" t="n">
        <f aca="false">IF(Y254=0,DC242,Y254)</f>
        <v>0.2</v>
      </c>
      <c r="DD254" s="161" t="n">
        <f aca="false">IF(Z254=0,DD242,Z254)</f>
        <v>0.24</v>
      </c>
      <c r="DF254" s="181" t="n">
        <f aca="false">IF(BF254=0,EOMONTH(DF253,0)+1,BF254)</f>
        <v>44501</v>
      </c>
      <c r="DG254" s="207" t="n">
        <f aca="false">IF(BG254=0,DG242,BG254)</f>
        <v>0.75</v>
      </c>
      <c r="DJ254" s="181" t="n">
        <f aca="false">CW254</f>
        <v>44501</v>
      </c>
      <c r="DK254" s="182" t="n">
        <f aca="false">IF(AJ254=0,DK242,AJ254)</f>
        <v>0.12</v>
      </c>
      <c r="DL254" s="182" t="n">
        <f aca="false">IF(AK254=0,DL242,AK254)</f>
        <v>0.15</v>
      </c>
      <c r="DM254" s="182" t="n">
        <f aca="false">IF(AL254=0,DM242,AL254)</f>
        <v>0.18</v>
      </c>
      <c r="DO254" s="182" t="n">
        <f aca="false">IF(AB254=0,DO242,AB254)</f>
        <v>0.08</v>
      </c>
      <c r="DP254" s="182" t="n">
        <f aca="false">IF(AC254=0,DP242,AC254)</f>
        <v>0.1</v>
      </c>
      <c r="DQ254" s="182" t="n">
        <f aca="false">IF(AD254=0,DQ242,AD254)</f>
        <v>0.12</v>
      </c>
    </row>
    <row r="255" customFormat="false" ht="12.75" hidden="false" customHeight="false" outlineLevel="0" collapsed="false">
      <c r="A255" s="133"/>
      <c r="B255" s="174" t="n">
        <v>43647</v>
      </c>
      <c r="C255" s="175" t="n">
        <v>64.5</v>
      </c>
      <c r="D255" s="175" t="n">
        <v>74.5</v>
      </c>
      <c r="E255" s="175" t="n">
        <v>84.5</v>
      </c>
      <c r="F255" s="208"/>
      <c r="G255" s="175" t="n">
        <v>29.5400009155273</v>
      </c>
      <c r="H255" s="175" t="n">
        <v>29.5400009155273</v>
      </c>
      <c r="I255" s="175" t="n">
        <v>29.5400009155273</v>
      </c>
      <c r="J255" s="140"/>
      <c r="K255" s="141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41"/>
      <c r="BG255" s="139"/>
      <c r="BH255" s="139"/>
      <c r="BI255" s="139"/>
      <c r="BJ255" s="139"/>
      <c r="BK255" s="139"/>
      <c r="BL255" s="139"/>
      <c r="BM255" s="139"/>
      <c r="BN255" s="139"/>
      <c r="BO255" s="139"/>
      <c r="BP255" s="139"/>
      <c r="BQ255" s="139"/>
      <c r="BR255" s="139"/>
      <c r="BS255" s="139"/>
      <c r="BT255" s="139"/>
      <c r="BU255" s="139"/>
      <c r="BV255" s="139"/>
      <c r="BW255" s="139"/>
      <c r="BX255" s="139"/>
      <c r="BY255" s="139"/>
      <c r="BZ255" s="139"/>
      <c r="CA255" s="139"/>
      <c r="CB255" s="139"/>
      <c r="CC255" s="139"/>
      <c r="CD255" s="139"/>
      <c r="CE255" s="139"/>
      <c r="CF255" s="0"/>
      <c r="CG255" s="0"/>
      <c r="CH255" s="0"/>
      <c r="CI255" s="0"/>
      <c r="CN255" s="0"/>
      <c r="CO255" s="0"/>
      <c r="CP255" s="0"/>
      <c r="CQ255" s="0"/>
      <c r="CR255" s="0"/>
      <c r="CW255" s="181" t="n">
        <f aca="false">EOMONTH(CW254,0)+1</f>
        <v>44531</v>
      </c>
      <c r="CX255" s="182" t="n">
        <f aca="false">IF(AF255=0,CX243,AF255)</f>
        <v>0.2</v>
      </c>
      <c r="CY255" s="182" t="n">
        <f aca="false">IF(AG255=0,CY243,AG255)</f>
        <v>0.25</v>
      </c>
      <c r="CZ255" s="182" t="n">
        <f aca="false">IF(AH255=0,CZ243,AH255)</f>
        <v>0.3</v>
      </c>
      <c r="DB255" s="161" t="n">
        <f aca="false">IF(X255=0,DB243,X255)</f>
        <v>0.16</v>
      </c>
      <c r="DC255" s="161" t="n">
        <f aca="false">IF(Y255=0,DC243,Y255)</f>
        <v>0.2</v>
      </c>
      <c r="DD255" s="161" t="n">
        <f aca="false">IF(Z255=0,DD243,Z255)</f>
        <v>0.24</v>
      </c>
      <c r="DF255" s="181" t="n">
        <f aca="false">IF(BF255=0,EOMONTH(DF254,0)+1,BF255)</f>
        <v>44531</v>
      </c>
      <c r="DG255" s="207" t="n">
        <f aca="false">IF(BG255=0,DG243,BG255)</f>
        <v>0.75</v>
      </c>
      <c r="DJ255" s="181" t="n">
        <f aca="false">CW255</f>
        <v>44531</v>
      </c>
      <c r="DK255" s="182" t="n">
        <f aca="false">IF(AJ255=0,DK243,AJ255)</f>
        <v>0.12</v>
      </c>
      <c r="DL255" s="182" t="n">
        <f aca="false">IF(AK255=0,DL243,AK255)</f>
        <v>0.15</v>
      </c>
      <c r="DM255" s="182" t="n">
        <f aca="false">IF(AL255=0,DM243,AL255)</f>
        <v>0.18</v>
      </c>
      <c r="DO255" s="182" t="n">
        <f aca="false">IF(AB255=0,DO243,AB255)</f>
        <v>0.08</v>
      </c>
      <c r="DP255" s="182" t="n">
        <f aca="false">IF(AC255=0,DP243,AC255)</f>
        <v>0.1</v>
      </c>
      <c r="DQ255" s="182" t="n">
        <f aca="false">IF(AD255=0,DQ243,AD255)</f>
        <v>0.12</v>
      </c>
    </row>
    <row r="256" customFormat="false" ht="12.75" hidden="false" customHeight="false" outlineLevel="0" collapsed="false">
      <c r="A256" s="133"/>
      <c r="B256" s="174" t="n">
        <v>43678</v>
      </c>
      <c r="C256" s="175" t="n">
        <v>64.5</v>
      </c>
      <c r="D256" s="175" t="n">
        <v>74.5</v>
      </c>
      <c r="E256" s="175" t="n">
        <v>84.5</v>
      </c>
      <c r="F256" s="208"/>
      <c r="G256" s="175" t="n">
        <v>30.5400009155273</v>
      </c>
      <c r="H256" s="175" t="n">
        <v>30.5400009155273</v>
      </c>
      <c r="I256" s="175" t="n">
        <v>30.5400009155273</v>
      </c>
      <c r="J256" s="140"/>
      <c r="K256" s="141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41"/>
      <c r="BG256" s="139"/>
      <c r="BH256" s="139"/>
      <c r="BI256" s="139"/>
      <c r="BJ256" s="139"/>
      <c r="BK256" s="139"/>
      <c r="BL256" s="139"/>
      <c r="BM256" s="139"/>
      <c r="BN256" s="139"/>
      <c r="BO256" s="139"/>
      <c r="BP256" s="139"/>
      <c r="BQ256" s="139"/>
      <c r="BR256" s="139"/>
      <c r="BS256" s="139"/>
      <c r="BT256" s="139"/>
      <c r="BU256" s="139"/>
      <c r="BV256" s="139"/>
      <c r="BW256" s="139"/>
      <c r="BX256" s="139"/>
      <c r="BY256" s="139"/>
      <c r="BZ256" s="139"/>
      <c r="CA256" s="139"/>
      <c r="CB256" s="139"/>
      <c r="CC256" s="139"/>
      <c r="CD256" s="139"/>
      <c r="CE256" s="139"/>
      <c r="CF256" s="0"/>
      <c r="CG256" s="0"/>
      <c r="CH256" s="0"/>
      <c r="CI256" s="0"/>
      <c r="CN256" s="0"/>
      <c r="CO256" s="0"/>
      <c r="CP256" s="0"/>
      <c r="CQ256" s="0"/>
      <c r="CR256" s="0"/>
      <c r="CW256" s="181" t="n">
        <f aca="false">EOMONTH(CW255,0)+1</f>
        <v>44562</v>
      </c>
      <c r="CX256" s="182" t="n">
        <f aca="false">IF(AF256=0,CX244,AF256)</f>
        <v>0.2</v>
      </c>
      <c r="CY256" s="182" t="n">
        <f aca="false">IF(AG256=0,CY244,AG256)</f>
        <v>0.25</v>
      </c>
      <c r="CZ256" s="182" t="n">
        <f aca="false">IF(AH256=0,CZ244,AH256)</f>
        <v>0.3</v>
      </c>
      <c r="DB256" s="161" t="n">
        <f aca="false">IF(X256=0,DB244,X256)</f>
        <v>0.16</v>
      </c>
      <c r="DC256" s="161" t="n">
        <f aca="false">IF(Y256=0,DC244,Y256)</f>
        <v>0.2</v>
      </c>
      <c r="DD256" s="161" t="n">
        <f aca="false">IF(Z256=0,DD244,Z256)</f>
        <v>0.24</v>
      </c>
      <c r="DF256" s="181" t="n">
        <f aca="false">IF(BF256=0,EOMONTH(DF255,0)+1,BF256)</f>
        <v>44562</v>
      </c>
      <c r="DG256" s="207" t="n">
        <f aca="false">IF(BG256=0,DG244,BG256)</f>
        <v>0.75</v>
      </c>
      <c r="DJ256" s="181" t="n">
        <f aca="false">CW256</f>
        <v>44562</v>
      </c>
      <c r="DK256" s="182" t="n">
        <f aca="false">IF(AJ256=0,DK244,AJ256)</f>
        <v>0.12</v>
      </c>
      <c r="DL256" s="182" t="n">
        <f aca="false">IF(AK256=0,DL244,AK256)</f>
        <v>0.15</v>
      </c>
      <c r="DM256" s="182" t="n">
        <f aca="false">IF(AL256=0,DM244,AL256)</f>
        <v>0.18</v>
      </c>
      <c r="DO256" s="182" t="n">
        <f aca="false">IF(AB256=0,DO244,AB256)</f>
        <v>0.08</v>
      </c>
      <c r="DP256" s="182" t="n">
        <f aca="false">IF(AC256=0,DP244,AC256)</f>
        <v>0.1</v>
      </c>
      <c r="DQ256" s="182" t="n">
        <f aca="false">IF(AD256=0,DQ244,AD256)</f>
        <v>0.12</v>
      </c>
    </row>
    <row r="257" customFormat="false" ht="12.75" hidden="false" customHeight="false" outlineLevel="0" collapsed="false">
      <c r="A257" s="133"/>
      <c r="B257" s="174" t="n">
        <v>43709</v>
      </c>
      <c r="C257" s="175" t="n">
        <v>31.4599990844727</v>
      </c>
      <c r="D257" s="175" t="n">
        <v>32.9599990844727</v>
      </c>
      <c r="E257" s="175" t="n">
        <v>34.4599990844727</v>
      </c>
      <c r="F257" s="208"/>
      <c r="G257" s="175" t="n">
        <v>24.5400009155273</v>
      </c>
      <c r="H257" s="175" t="n">
        <v>24.5400009155273</v>
      </c>
      <c r="I257" s="175" t="n">
        <v>24.5400009155273</v>
      </c>
      <c r="J257" s="140"/>
      <c r="K257" s="141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41"/>
      <c r="BG257" s="139"/>
      <c r="BH257" s="139"/>
      <c r="BI257" s="139"/>
      <c r="BJ257" s="139"/>
      <c r="BK257" s="139"/>
      <c r="BL257" s="139"/>
      <c r="BM257" s="139"/>
      <c r="BN257" s="139"/>
      <c r="BO257" s="139"/>
      <c r="BP257" s="139"/>
      <c r="BQ257" s="139"/>
      <c r="BR257" s="139"/>
      <c r="BS257" s="139"/>
      <c r="BT257" s="139"/>
      <c r="BU257" s="139"/>
      <c r="BV257" s="139"/>
      <c r="BW257" s="139"/>
      <c r="BX257" s="139"/>
      <c r="BY257" s="139"/>
      <c r="BZ257" s="139"/>
      <c r="CA257" s="139"/>
      <c r="CB257" s="139"/>
      <c r="CC257" s="139"/>
      <c r="CD257" s="139"/>
      <c r="CE257" s="139"/>
      <c r="CF257" s="0"/>
      <c r="CG257" s="0"/>
      <c r="CH257" s="0"/>
      <c r="CI257" s="0"/>
      <c r="CN257" s="0"/>
      <c r="CO257" s="0"/>
      <c r="CP257" s="0"/>
      <c r="CQ257" s="0"/>
      <c r="CR257" s="0"/>
      <c r="CW257" s="181" t="n">
        <f aca="false">EOMONTH(CW256,0)+1</f>
        <v>44593</v>
      </c>
      <c r="CX257" s="182" t="n">
        <f aca="false">IF(AF257=0,CX245,AF257)</f>
        <v>0.2</v>
      </c>
      <c r="CY257" s="182" t="n">
        <f aca="false">IF(AG257=0,CY245,AG257)</f>
        <v>0.25</v>
      </c>
      <c r="CZ257" s="182" t="n">
        <f aca="false">IF(AH257=0,CZ245,AH257)</f>
        <v>0.3</v>
      </c>
      <c r="DB257" s="161" t="n">
        <f aca="false">IF(X257=0,DB245,X257)</f>
        <v>0</v>
      </c>
      <c r="DC257" s="161" t="n">
        <f aca="false">IF(Y257=0,DC245,Y257)</f>
        <v>0</v>
      </c>
      <c r="DD257" s="161" t="n">
        <f aca="false">IF(Z257=0,DD245,Z257)</f>
        <v>0</v>
      </c>
      <c r="DF257" s="181" t="n">
        <f aca="false">IF(BF257=0,EOMONTH(DF256,0)+1,BF257)</f>
        <v>44593</v>
      </c>
      <c r="DG257" s="207" t="n">
        <f aca="false">IF(BG257=0,DG245,BG257)</f>
        <v>0</v>
      </c>
      <c r="DJ257" s="181" t="n">
        <f aca="false">CW257</f>
        <v>44593</v>
      </c>
      <c r="DK257" s="182" t="n">
        <f aca="false">IF(AJ257=0,DK245,AJ257)</f>
        <v>0.12</v>
      </c>
      <c r="DL257" s="182" t="n">
        <f aca="false">IF(AK257=0,DL245,AK257)</f>
        <v>0.15</v>
      </c>
      <c r="DM257" s="182" t="n">
        <f aca="false">IF(AL257=0,DM245,AL257)</f>
        <v>0.18</v>
      </c>
      <c r="DO257" s="182" t="n">
        <f aca="false">IF(AB257=0,DO245,AB257)</f>
        <v>0</v>
      </c>
      <c r="DP257" s="182" t="n">
        <f aca="false">IF(AC257=0,DP245,AC257)</f>
        <v>0</v>
      </c>
      <c r="DQ257" s="182" t="n">
        <f aca="false">IF(AD257=0,DQ245,AD257)</f>
        <v>0</v>
      </c>
    </row>
    <row r="258" customFormat="false" ht="12.75" hidden="false" customHeight="false" outlineLevel="0" collapsed="false">
      <c r="A258" s="133"/>
      <c r="B258" s="174" t="n">
        <v>43739</v>
      </c>
      <c r="C258" s="175" t="n">
        <v>36.1115684509277</v>
      </c>
      <c r="D258" s="175" t="n">
        <v>37.6115684509277</v>
      </c>
      <c r="E258" s="175" t="n">
        <v>39.1115684509277</v>
      </c>
      <c r="F258" s="208"/>
      <c r="G258" s="175" t="n">
        <v>24.040002822876</v>
      </c>
      <c r="H258" s="175" t="n">
        <v>24.040002822876</v>
      </c>
      <c r="I258" s="175" t="n">
        <v>24.040002822876</v>
      </c>
      <c r="J258" s="140"/>
      <c r="K258" s="141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41"/>
      <c r="BG258" s="139"/>
      <c r="BH258" s="139"/>
      <c r="BI258" s="139"/>
      <c r="BJ258" s="139"/>
      <c r="BK258" s="139"/>
      <c r="BL258" s="139"/>
      <c r="BM258" s="139"/>
      <c r="BN258" s="139"/>
      <c r="BO258" s="139"/>
      <c r="BP258" s="139"/>
      <c r="BQ258" s="139"/>
      <c r="BR258" s="139"/>
      <c r="BS258" s="139"/>
      <c r="BT258" s="139"/>
      <c r="BU258" s="139"/>
      <c r="BV258" s="139"/>
      <c r="BW258" s="139"/>
      <c r="BX258" s="139"/>
      <c r="BY258" s="139"/>
      <c r="BZ258" s="139"/>
      <c r="CA258" s="139"/>
      <c r="CB258" s="139"/>
      <c r="CC258" s="139"/>
      <c r="CD258" s="139"/>
      <c r="CE258" s="139"/>
      <c r="CF258" s="0"/>
      <c r="CG258" s="0"/>
      <c r="CH258" s="0"/>
      <c r="CI258" s="0"/>
      <c r="CN258" s="0"/>
      <c r="CO258" s="0"/>
      <c r="CP258" s="0"/>
      <c r="CQ258" s="0"/>
      <c r="CR258" s="0"/>
      <c r="CW258" s="181" t="n">
        <f aca="false">EOMONTH(CW257,0)+1</f>
        <v>44621</v>
      </c>
      <c r="CX258" s="182" t="n">
        <f aca="false">IF(AF258=0,CX246,AF258)</f>
        <v>0.2</v>
      </c>
      <c r="CY258" s="182" t="n">
        <f aca="false">IF(AG258=0,CY246,AG258)</f>
        <v>0.25</v>
      </c>
      <c r="CZ258" s="182" t="n">
        <f aca="false">IF(AH258=0,CZ246,AH258)</f>
        <v>0.3</v>
      </c>
      <c r="DB258" s="161" t="n">
        <f aca="false">IF(X258=0,DB246,X258)</f>
        <v>0.16</v>
      </c>
      <c r="DC258" s="161" t="n">
        <f aca="false">IF(Y258=0,DC246,Y258)</f>
        <v>0.2</v>
      </c>
      <c r="DD258" s="161" t="n">
        <f aca="false">IF(Z258=0,DD246,Z258)</f>
        <v>0.24</v>
      </c>
      <c r="DF258" s="181" t="n">
        <f aca="false">IF(BF258=0,EOMONTH(DF257,0)+1,BF258)</f>
        <v>44621</v>
      </c>
      <c r="DG258" s="207" t="n">
        <f aca="false">IF(BG258=0,DG246,BG258)</f>
        <v>0.75</v>
      </c>
      <c r="DJ258" s="181" t="n">
        <f aca="false">CW258</f>
        <v>44621</v>
      </c>
      <c r="DK258" s="182" t="n">
        <f aca="false">IF(AJ258=0,DK246,AJ258)</f>
        <v>0.12</v>
      </c>
      <c r="DL258" s="182" t="n">
        <f aca="false">IF(AK258=0,DL246,AK258)</f>
        <v>0.15</v>
      </c>
      <c r="DM258" s="182" t="n">
        <f aca="false">IF(AL258=0,DM246,AL258)</f>
        <v>0.18</v>
      </c>
      <c r="DO258" s="182" t="n">
        <f aca="false">IF(AB258=0,DO246,AB258)</f>
        <v>0.08</v>
      </c>
      <c r="DP258" s="182" t="n">
        <f aca="false">IF(AC258=0,DP246,AC258)</f>
        <v>0.1</v>
      </c>
      <c r="DQ258" s="182" t="n">
        <f aca="false">IF(AD258=0,DQ246,AD258)</f>
        <v>0.12</v>
      </c>
    </row>
    <row r="259" customFormat="false" ht="12.75" hidden="false" customHeight="false" outlineLevel="0" collapsed="false">
      <c r="A259" s="133"/>
      <c r="B259" s="174" t="n">
        <v>43770</v>
      </c>
      <c r="C259" s="175" t="n">
        <v>36.2115669250488</v>
      </c>
      <c r="D259" s="175" t="n">
        <v>37.7115669250488</v>
      </c>
      <c r="E259" s="175" t="n">
        <v>39.2115669250488</v>
      </c>
      <c r="F259" s="208"/>
      <c r="G259" s="175" t="n">
        <v>25.0400009155273</v>
      </c>
      <c r="H259" s="175" t="n">
        <v>25.0400009155273</v>
      </c>
      <c r="I259" s="175" t="n">
        <v>25.0400009155273</v>
      </c>
      <c r="J259" s="140"/>
      <c r="K259" s="141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41"/>
      <c r="BG259" s="139"/>
      <c r="BH259" s="139"/>
      <c r="BI259" s="139"/>
      <c r="BJ259" s="139"/>
      <c r="BK259" s="139"/>
      <c r="BL259" s="139"/>
      <c r="BM259" s="139"/>
      <c r="BN259" s="139"/>
      <c r="BO259" s="139"/>
      <c r="BP259" s="139"/>
      <c r="BQ259" s="139"/>
      <c r="BR259" s="139"/>
      <c r="BS259" s="139"/>
      <c r="BT259" s="139"/>
      <c r="BU259" s="139"/>
      <c r="BV259" s="139"/>
      <c r="BW259" s="139"/>
      <c r="BX259" s="139"/>
      <c r="BY259" s="139"/>
      <c r="BZ259" s="139"/>
      <c r="CA259" s="139"/>
      <c r="CB259" s="139"/>
      <c r="CC259" s="139"/>
      <c r="CD259" s="139"/>
      <c r="CE259" s="139"/>
      <c r="CF259" s="0"/>
      <c r="CG259" s="0"/>
      <c r="CH259" s="0"/>
      <c r="CI259" s="0"/>
      <c r="CN259" s="0"/>
      <c r="CO259" s="0"/>
      <c r="CP259" s="0"/>
      <c r="CQ259" s="0"/>
      <c r="CR259" s="0"/>
      <c r="CW259" s="181" t="n">
        <f aca="false">EOMONTH(CW258,0)+1</f>
        <v>44652</v>
      </c>
      <c r="CX259" s="182" t="n">
        <f aca="false">IF(AF259=0,CX247,AF259)</f>
        <v>0.2</v>
      </c>
      <c r="CY259" s="182" t="n">
        <f aca="false">IF(AG259=0,CY247,AG259)</f>
        <v>0.25</v>
      </c>
      <c r="CZ259" s="182" t="n">
        <f aca="false">IF(AH259=0,CZ247,AH259)</f>
        <v>0.3</v>
      </c>
      <c r="DB259" s="161" t="n">
        <f aca="false">IF(X259=0,DB247,X259)</f>
        <v>0.16</v>
      </c>
      <c r="DC259" s="161" t="n">
        <f aca="false">IF(Y259=0,DC247,Y259)</f>
        <v>0.2</v>
      </c>
      <c r="DD259" s="161" t="n">
        <f aca="false">IF(Z259=0,DD247,Z259)</f>
        <v>0.24</v>
      </c>
      <c r="DF259" s="181" t="n">
        <f aca="false">IF(BF259=0,EOMONTH(DF258,0)+1,BF259)</f>
        <v>44652</v>
      </c>
      <c r="DG259" s="207" t="n">
        <f aca="false">IF(BG259=0,DG247,BG259)</f>
        <v>0.75</v>
      </c>
      <c r="DJ259" s="181" t="n">
        <f aca="false">CW259</f>
        <v>44652</v>
      </c>
      <c r="DK259" s="182" t="n">
        <f aca="false">IF(AJ259=0,DK247,AJ259)</f>
        <v>0.12</v>
      </c>
      <c r="DL259" s="182" t="n">
        <f aca="false">IF(AK259=0,DL247,AK259)</f>
        <v>0.15</v>
      </c>
      <c r="DM259" s="182" t="n">
        <f aca="false">IF(AL259=0,DM247,AL259)</f>
        <v>0.18</v>
      </c>
      <c r="DO259" s="182" t="n">
        <f aca="false">IF(AB259=0,DO247,AB259)</f>
        <v>0.08</v>
      </c>
      <c r="DP259" s="182" t="n">
        <f aca="false">IF(AC259=0,DP247,AC259)</f>
        <v>0.1</v>
      </c>
      <c r="DQ259" s="182" t="n">
        <f aca="false">IF(AD259=0,DQ247,AD259)</f>
        <v>0.12</v>
      </c>
    </row>
    <row r="260" customFormat="false" ht="12.75" hidden="false" customHeight="false" outlineLevel="0" collapsed="false">
      <c r="A260" s="133"/>
      <c r="B260" s="174" t="n">
        <v>43800</v>
      </c>
      <c r="C260" s="175" t="n">
        <v>36.3115653991699</v>
      </c>
      <c r="D260" s="175" t="n">
        <v>37.8115653991699</v>
      </c>
      <c r="E260" s="175" t="n">
        <v>39.3115653991699</v>
      </c>
      <c r="F260" s="208"/>
      <c r="G260" s="175" t="n">
        <v>27.2900009155273</v>
      </c>
      <c r="H260" s="175" t="n">
        <v>27.2900009155273</v>
      </c>
      <c r="I260" s="175" t="n">
        <v>27.2900009155273</v>
      </c>
      <c r="J260" s="140"/>
      <c r="K260" s="141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41"/>
      <c r="BG260" s="139"/>
      <c r="BH260" s="139"/>
      <c r="BI260" s="139"/>
      <c r="BJ260" s="139"/>
      <c r="BK260" s="139"/>
      <c r="BL260" s="139"/>
      <c r="BM260" s="139"/>
      <c r="BN260" s="139"/>
      <c r="BO260" s="139"/>
      <c r="BP260" s="139"/>
      <c r="BQ260" s="139"/>
      <c r="BR260" s="139"/>
      <c r="BS260" s="139"/>
      <c r="BT260" s="139"/>
      <c r="BU260" s="139"/>
      <c r="BV260" s="139"/>
      <c r="BW260" s="139"/>
      <c r="BX260" s="139"/>
      <c r="BY260" s="139"/>
      <c r="BZ260" s="139"/>
      <c r="CA260" s="139"/>
      <c r="CB260" s="139"/>
      <c r="CC260" s="139"/>
      <c r="CD260" s="139"/>
      <c r="CE260" s="139"/>
      <c r="CF260" s="0"/>
      <c r="CG260" s="0"/>
      <c r="CH260" s="0"/>
      <c r="CI260" s="0"/>
      <c r="CN260" s="0"/>
      <c r="CO260" s="0"/>
      <c r="CP260" s="0"/>
      <c r="CQ260" s="0"/>
      <c r="CR260" s="0"/>
      <c r="CW260" s="181" t="n">
        <f aca="false">EOMONTH(CW259,0)+1</f>
        <v>44682</v>
      </c>
      <c r="CX260" s="182" t="n">
        <f aca="false">IF(AF260=0,CX248,AF260)</f>
        <v>0.2</v>
      </c>
      <c r="CY260" s="182" t="n">
        <f aca="false">IF(AG260=0,CY248,AG260)</f>
        <v>0.25</v>
      </c>
      <c r="CZ260" s="182" t="n">
        <f aca="false">IF(AH260=0,CZ248,AH260)</f>
        <v>0.3</v>
      </c>
      <c r="DB260" s="161" t="n">
        <f aca="false">IF(X260=0,DB248,X260)</f>
        <v>0.16</v>
      </c>
      <c r="DC260" s="161" t="n">
        <f aca="false">IF(Y260=0,DC248,Y260)</f>
        <v>0.2</v>
      </c>
      <c r="DD260" s="161" t="n">
        <f aca="false">IF(Z260=0,DD248,Z260)</f>
        <v>0.24</v>
      </c>
      <c r="DF260" s="181" t="n">
        <f aca="false">IF(BF260=0,EOMONTH(DF259,0)+1,BF260)</f>
        <v>44682</v>
      </c>
      <c r="DG260" s="207" t="n">
        <f aca="false">IF(BG260=0,DG248,BG260)</f>
        <v>0.75</v>
      </c>
      <c r="DJ260" s="181" t="n">
        <f aca="false">CW260</f>
        <v>44682</v>
      </c>
      <c r="DK260" s="182" t="n">
        <f aca="false">IF(AJ260=0,DK248,AJ260)</f>
        <v>0.12</v>
      </c>
      <c r="DL260" s="182" t="n">
        <f aca="false">IF(AK260=0,DL248,AK260)</f>
        <v>0.15</v>
      </c>
      <c r="DM260" s="182" t="n">
        <f aca="false">IF(AL260=0,DM248,AL260)</f>
        <v>0.18</v>
      </c>
      <c r="DO260" s="182" t="n">
        <f aca="false">IF(AB260=0,DO248,AB260)</f>
        <v>0.08</v>
      </c>
      <c r="DP260" s="182" t="n">
        <f aca="false">IF(AC260=0,DP248,AC260)</f>
        <v>0.1</v>
      </c>
      <c r="DQ260" s="182" t="n">
        <f aca="false">IF(AD260=0,DQ248,AD260)</f>
        <v>0.12</v>
      </c>
    </row>
    <row r="261" customFormat="false" ht="12.75" hidden="false" customHeight="false" outlineLevel="0" collapsed="false">
      <c r="A261" s="133"/>
      <c r="B261" s="174" t="n">
        <v>43831</v>
      </c>
      <c r="C261" s="175" t="n">
        <v>36.8185081481934</v>
      </c>
      <c r="D261" s="175" t="n">
        <v>38.3185081481934</v>
      </c>
      <c r="E261" s="175" t="n">
        <v>39.8185081481934</v>
      </c>
      <c r="F261" s="208"/>
      <c r="G261" s="175" t="n">
        <v>27.2900009155273</v>
      </c>
      <c r="H261" s="175" t="n">
        <v>27.2900009155273</v>
      </c>
      <c r="I261" s="175" t="n">
        <v>27.2900009155273</v>
      </c>
      <c r="J261" s="140"/>
      <c r="K261" s="141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41"/>
      <c r="BG261" s="139"/>
      <c r="BH261" s="139"/>
      <c r="BI261" s="139"/>
      <c r="BJ261" s="139"/>
      <c r="BK261" s="139"/>
      <c r="BL261" s="139"/>
      <c r="BM261" s="139"/>
      <c r="BN261" s="139"/>
      <c r="BO261" s="139"/>
      <c r="BP261" s="139"/>
      <c r="BQ261" s="139"/>
      <c r="BR261" s="139"/>
      <c r="BS261" s="139"/>
      <c r="BT261" s="139"/>
      <c r="BU261" s="139"/>
      <c r="BV261" s="139"/>
      <c r="BW261" s="139"/>
      <c r="BX261" s="139"/>
      <c r="BY261" s="139"/>
      <c r="BZ261" s="139"/>
      <c r="CA261" s="139"/>
      <c r="CB261" s="139"/>
      <c r="CC261" s="139"/>
      <c r="CD261" s="139"/>
      <c r="CE261" s="139"/>
      <c r="CF261" s="0"/>
      <c r="CG261" s="0"/>
      <c r="CH261" s="0"/>
      <c r="CI261" s="0"/>
      <c r="CN261" s="0"/>
      <c r="CO261" s="0"/>
      <c r="CP261" s="0"/>
      <c r="CQ261" s="0"/>
      <c r="CR261" s="0"/>
      <c r="CW261" s="181" t="n">
        <f aca="false">EOMONTH(CW260,0)+1</f>
        <v>44713</v>
      </c>
      <c r="CX261" s="182" t="n">
        <f aca="false">IF(AF261=0,CX249,AF261)</f>
        <v>0.2</v>
      </c>
      <c r="CY261" s="182" t="n">
        <f aca="false">IF(AG261=0,CY249,AG261)</f>
        <v>0.25</v>
      </c>
      <c r="CZ261" s="182" t="n">
        <f aca="false">IF(AH261=0,CZ249,AH261)</f>
        <v>0.3</v>
      </c>
      <c r="DB261" s="161" t="n">
        <f aca="false">IF(X261=0,DB249,X261)</f>
        <v>0.16</v>
      </c>
      <c r="DC261" s="161" t="n">
        <f aca="false">IF(Y261=0,DC249,Y261)</f>
        <v>0.2</v>
      </c>
      <c r="DD261" s="161" t="n">
        <f aca="false">IF(Z261=0,DD249,Z261)</f>
        <v>0.24</v>
      </c>
      <c r="DF261" s="181" t="n">
        <f aca="false">IF(BF261=0,EOMONTH(DF260,0)+1,BF261)</f>
        <v>44713</v>
      </c>
      <c r="DG261" s="207" t="n">
        <f aca="false">IF(BG261=0,DG249,BG261)</f>
        <v>0.75</v>
      </c>
      <c r="DJ261" s="181" t="n">
        <f aca="false">CW261</f>
        <v>44713</v>
      </c>
      <c r="DK261" s="182" t="n">
        <f aca="false">IF(AJ261=0,DK249,AJ261)</f>
        <v>0.12</v>
      </c>
      <c r="DL261" s="182" t="n">
        <f aca="false">IF(AK261=0,DL249,AK261)</f>
        <v>0.15</v>
      </c>
      <c r="DM261" s="182" t="n">
        <f aca="false">IF(AL261=0,DM249,AL261)</f>
        <v>0.18</v>
      </c>
      <c r="DO261" s="182" t="n">
        <f aca="false">IF(AB261=0,DO249,AB261)</f>
        <v>0.08</v>
      </c>
      <c r="DP261" s="182" t="n">
        <f aca="false">IF(AC261=0,DP249,AC261)</f>
        <v>0.1</v>
      </c>
      <c r="DQ261" s="182" t="n">
        <f aca="false">IF(AD261=0,DQ249,AD261)</f>
        <v>0.12</v>
      </c>
    </row>
    <row r="262" customFormat="false" ht="12.75" hidden="false" customHeight="false" outlineLevel="0" collapsed="false">
      <c r="A262" s="133"/>
      <c r="B262" s="174" t="n">
        <v>43862</v>
      </c>
      <c r="C262" s="175" t="n">
        <v>36.8185081481934</v>
      </c>
      <c r="D262" s="175" t="n">
        <v>38.3185081481934</v>
      </c>
      <c r="E262" s="175" t="n">
        <v>39.8185081481934</v>
      </c>
      <c r="F262" s="208"/>
      <c r="G262" s="175" t="n">
        <v>27.2900009155273</v>
      </c>
      <c r="H262" s="175" t="n">
        <v>27.2900009155273</v>
      </c>
      <c r="I262" s="175" t="n">
        <v>27.2900009155273</v>
      </c>
      <c r="J262" s="140"/>
      <c r="K262" s="141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41"/>
      <c r="BG262" s="139"/>
      <c r="BH262" s="139"/>
      <c r="BI262" s="139"/>
      <c r="BJ262" s="139"/>
      <c r="BK262" s="139"/>
      <c r="BL262" s="139"/>
      <c r="BM262" s="139"/>
      <c r="BN262" s="139"/>
      <c r="BO262" s="139"/>
      <c r="BP262" s="139"/>
      <c r="BQ262" s="139"/>
      <c r="BR262" s="139"/>
      <c r="BS262" s="139"/>
      <c r="BT262" s="139"/>
      <c r="BU262" s="139"/>
      <c r="BV262" s="139"/>
      <c r="BW262" s="139"/>
      <c r="BX262" s="139"/>
      <c r="BY262" s="139"/>
      <c r="BZ262" s="139"/>
      <c r="CA262" s="139"/>
      <c r="CB262" s="139"/>
      <c r="CC262" s="139"/>
      <c r="CD262" s="139"/>
      <c r="CE262" s="139"/>
      <c r="CF262" s="0"/>
      <c r="CG262" s="0"/>
      <c r="CH262" s="0"/>
      <c r="CI262" s="0"/>
      <c r="CN262" s="0"/>
      <c r="CO262" s="0"/>
      <c r="CP262" s="0"/>
      <c r="CQ262" s="0"/>
      <c r="CR262" s="0"/>
      <c r="CW262" s="181" t="n">
        <f aca="false">EOMONTH(CW261,0)+1</f>
        <v>44743</v>
      </c>
      <c r="CX262" s="182" t="n">
        <f aca="false">IF(AF262=0,CX250,AF262)</f>
        <v>0.2</v>
      </c>
      <c r="CY262" s="182" t="n">
        <f aca="false">IF(AG262=0,CY250,AG262)</f>
        <v>0.25</v>
      </c>
      <c r="CZ262" s="182" t="n">
        <f aca="false">IF(AH262=0,CZ250,AH262)</f>
        <v>0.3</v>
      </c>
      <c r="DB262" s="161" t="n">
        <f aca="false">IF(X262=0,DB250,X262)</f>
        <v>0.16</v>
      </c>
      <c r="DC262" s="161" t="n">
        <f aca="false">IF(Y262=0,DC250,Y262)</f>
        <v>0.2</v>
      </c>
      <c r="DD262" s="161" t="n">
        <f aca="false">IF(Z262=0,DD250,Z262)</f>
        <v>0.24</v>
      </c>
      <c r="DF262" s="181" t="n">
        <f aca="false">IF(BF262=0,EOMONTH(DF261,0)+1,BF262)</f>
        <v>44743</v>
      </c>
      <c r="DG262" s="207" t="n">
        <f aca="false">IF(BG262=0,DG250,BG262)</f>
        <v>0.75</v>
      </c>
      <c r="DJ262" s="181" t="n">
        <f aca="false">CW262</f>
        <v>44743</v>
      </c>
      <c r="DK262" s="182" t="n">
        <f aca="false">IF(AJ262=0,DK250,AJ262)</f>
        <v>0.12</v>
      </c>
      <c r="DL262" s="182" t="n">
        <f aca="false">IF(AK262=0,DL250,AK262)</f>
        <v>0.15</v>
      </c>
      <c r="DM262" s="182" t="n">
        <f aca="false">IF(AL262=0,DM250,AL262)</f>
        <v>0.18</v>
      </c>
      <c r="DO262" s="182" t="n">
        <f aca="false">IF(AB262=0,DO250,AB262)</f>
        <v>0.08</v>
      </c>
      <c r="DP262" s="182" t="n">
        <f aca="false">IF(AC262=0,DP250,AC262)</f>
        <v>0.1</v>
      </c>
      <c r="DQ262" s="182" t="n">
        <f aca="false">IF(AD262=0,DQ250,AD262)</f>
        <v>0.12</v>
      </c>
    </row>
    <row r="263" customFormat="false" ht="12.75" hidden="false" customHeight="false" outlineLevel="0" collapsed="false">
      <c r="A263" s="133"/>
      <c r="B263" s="139"/>
      <c r="C263" s="139"/>
      <c r="D263" s="139"/>
      <c r="E263" s="139"/>
      <c r="F263" s="139"/>
      <c r="G263" s="139"/>
      <c r="H263" s="139"/>
      <c r="I263" s="139"/>
      <c r="J263" s="139"/>
      <c r="K263" s="141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41"/>
      <c r="BG263" s="139"/>
      <c r="BH263" s="139"/>
      <c r="BI263" s="139"/>
      <c r="BJ263" s="139"/>
      <c r="BK263" s="139"/>
      <c r="BL263" s="139"/>
      <c r="BM263" s="139"/>
      <c r="BN263" s="139"/>
      <c r="BO263" s="139"/>
      <c r="BP263" s="139"/>
      <c r="BQ263" s="139"/>
      <c r="BR263" s="139"/>
      <c r="BS263" s="139"/>
      <c r="BT263" s="139"/>
      <c r="BU263" s="139"/>
      <c r="BV263" s="139"/>
      <c r="BW263" s="139"/>
      <c r="BX263" s="139"/>
      <c r="BY263" s="139"/>
      <c r="BZ263" s="139"/>
      <c r="CA263" s="139"/>
      <c r="CB263" s="139"/>
      <c r="CC263" s="139"/>
      <c r="CD263" s="139"/>
      <c r="CE263" s="139"/>
      <c r="CF263" s="0"/>
      <c r="CG263" s="0"/>
      <c r="CH263" s="0"/>
      <c r="CI263" s="0"/>
      <c r="CN263" s="0"/>
      <c r="CO263" s="0"/>
      <c r="CP263" s="0"/>
      <c r="CQ263" s="0"/>
      <c r="CR263" s="0"/>
      <c r="CW263" s="181" t="n">
        <f aca="false">EOMONTH(CW262,0)+1</f>
        <v>44774</v>
      </c>
      <c r="CX263" s="182" t="n">
        <f aca="false">IF(AF263=0,CX251,AF263)</f>
        <v>0.32</v>
      </c>
      <c r="CY263" s="182" t="n">
        <f aca="false">IF(AG263=0,CY251,AG263)</f>
        <v>0.4</v>
      </c>
      <c r="CZ263" s="182" t="n">
        <f aca="false">IF(AH263=0,CZ251,AH263)</f>
        <v>0.48</v>
      </c>
      <c r="DB263" s="161" t="n">
        <f aca="false">IF(X263=0,DB251,X263)</f>
        <v>0.24</v>
      </c>
      <c r="DC263" s="161" t="n">
        <f aca="false">IF(Y263=0,DC251,Y263)</f>
        <v>0.3</v>
      </c>
      <c r="DD263" s="161" t="n">
        <f aca="false">IF(Z263=0,DD251,Z263)</f>
        <v>0.36</v>
      </c>
      <c r="DF263" s="181" t="n">
        <f aca="false">IF(BF263=0,EOMONTH(DF262,0)+1,BF263)</f>
        <v>44774</v>
      </c>
      <c r="DG263" s="207" t="n">
        <f aca="false">IF(BG263=0,DG251,BG263)</f>
        <v>0.75</v>
      </c>
      <c r="DJ263" s="181" t="n">
        <f aca="false">CW263</f>
        <v>44774</v>
      </c>
      <c r="DK263" s="182" t="n">
        <f aca="false">IF(AJ263=0,DK251,AJ263)</f>
        <v>0.192</v>
      </c>
      <c r="DL263" s="182" t="n">
        <f aca="false">IF(AK263=0,DL251,AK263)</f>
        <v>0.24</v>
      </c>
      <c r="DM263" s="182" t="n">
        <f aca="false">IF(AL263=0,DM251,AL263)</f>
        <v>0.288</v>
      </c>
      <c r="DO263" s="182" t="n">
        <f aca="false">IF(AB263=0,DO251,AB263)</f>
        <v>0.12</v>
      </c>
      <c r="DP263" s="182" t="n">
        <f aca="false">IF(AC263=0,DP251,AC263)</f>
        <v>0.15</v>
      </c>
      <c r="DQ263" s="182" t="n">
        <f aca="false">IF(AD263=0,DQ251,AD263)</f>
        <v>0.18</v>
      </c>
    </row>
    <row r="264" customFormat="false" ht="12.75" hidden="false" customHeight="false" outlineLevel="0" collapsed="false">
      <c r="A264" s="133"/>
      <c r="B264" s="139"/>
      <c r="C264" s="139"/>
      <c r="D264" s="139"/>
      <c r="E264" s="139"/>
      <c r="F264" s="139"/>
      <c r="G264" s="139"/>
      <c r="H264" s="139"/>
      <c r="I264" s="139"/>
      <c r="J264" s="139"/>
      <c r="K264" s="141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41"/>
      <c r="BG264" s="139"/>
      <c r="BH264" s="139"/>
      <c r="BI264" s="139"/>
      <c r="BJ264" s="139"/>
      <c r="BK264" s="139"/>
      <c r="BL264" s="139"/>
      <c r="BM264" s="139"/>
      <c r="BN264" s="139"/>
      <c r="BO264" s="139"/>
      <c r="BP264" s="139"/>
      <c r="BQ264" s="139"/>
      <c r="BR264" s="139"/>
      <c r="BS264" s="139"/>
      <c r="BT264" s="139"/>
      <c r="BU264" s="139"/>
      <c r="BV264" s="139"/>
      <c r="BW264" s="139"/>
      <c r="BX264" s="139"/>
      <c r="BY264" s="139"/>
      <c r="BZ264" s="139"/>
      <c r="CA264" s="139"/>
      <c r="CB264" s="139"/>
      <c r="CC264" s="139"/>
      <c r="CD264" s="139"/>
      <c r="CE264" s="139"/>
      <c r="CF264" s="0"/>
      <c r="CG264" s="0"/>
      <c r="CH264" s="0"/>
      <c r="CI264" s="0"/>
      <c r="CN264" s="0"/>
      <c r="CO264" s="0"/>
      <c r="CP264" s="0"/>
      <c r="CQ264" s="0"/>
      <c r="CR264" s="0"/>
      <c r="CW264" s="181" t="n">
        <f aca="false">EOMONTH(CW263,0)+1</f>
        <v>44805</v>
      </c>
      <c r="CX264" s="182" t="n">
        <f aca="false">IF(AF264=0,CX252,AF264)</f>
        <v>0.32</v>
      </c>
      <c r="CY264" s="182" t="n">
        <f aca="false">IF(AG264=0,CY252,AG264)</f>
        <v>0.4</v>
      </c>
      <c r="CZ264" s="182" t="n">
        <f aca="false">IF(AH264=0,CZ252,AH264)</f>
        <v>0.48</v>
      </c>
      <c r="DB264" s="161" t="n">
        <f aca="false">IF(X264=0,DB252,X264)</f>
        <v>0.24</v>
      </c>
      <c r="DC264" s="161" t="n">
        <f aca="false">IF(Y264=0,DC252,Y264)</f>
        <v>0.3</v>
      </c>
      <c r="DD264" s="161" t="n">
        <f aca="false">IF(Z264=0,DD252,Z264)</f>
        <v>0.36</v>
      </c>
      <c r="DF264" s="181" t="n">
        <f aca="false">IF(BF264=0,EOMONTH(DF263,0)+1,BF264)</f>
        <v>44805</v>
      </c>
      <c r="DG264" s="207" t="n">
        <f aca="false">IF(BG264=0,DG252,BG264)</f>
        <v>0.75</v>
      </c>
      <c r="DJ264" s="181" t="n">
        <f aca="false">CW264</f>
        <v>44805</v>
      </c>
      <c r="DK264" s="182" t="n">
        <f aca="false">IF(AJ264=0,DK252,AJ264)</f>
        <v>0.192</v>
      </c>
      <c r="DL264" s="182" t="n">
        <f aca="false">IF(AK264=0,DL252,AK264)</f>
        <v>0.24</v>
      </c>
      <c r="DM264" s="182" t="n">
        <f aca="false">IF(AL264=0,DM252,AL264)</f>
        <v>0.288</v>
      </c>
      <c r="DO264" s="182" t="n">
        <f aca="false">IF(AB264=0,DO252,AB264)</f>
        <v>0.12</v>
      </c>
      <c r="DP264" s="182" t="n">
        <f aca="false">IF(AC264=0,DP252,AC264)</f>
        <v>0.15</v>
      </c>
      <c r="DQ264" s="182" t="n">
        <f aca="false">IF(AD264=0,DQ252,AD264)</f>
        <v>0.18</v>
      </c>
    </row>
    <row r="265" customFormat="false" ht="12.75" hidden="false" customHeight="false" outlineLevel="0" collapsed="false">
      <c r="A265" s="133"/>
      <c r="B265" s="139"/>
      <c r="C265" s="139"/>
      <c r="D265" s="139"/>
      <c r="E265" s="139"/>
      <c r="F265" s="139"/>
      <c r="G265" s="139"/>
      <c r="H265" s="139"/>
      <c r="I265" s="139"/>
      <c r="J265" s="139"/>
      <c r="K265" s="141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41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0"/>
      <c r="CG265" s="0"/>
      <c r="CH265" s="0"/>
      <c r="CI265" s="0"/>
      <c r="CN265" s="0"/>
      <c r="CO265" s="0"/>
      <c r="CP265" s="0"/>
      <c r="CQ265" s="0"/>
      <c r="CR265" s="0"/>
      <c r="CW265" s="181" t="n">
        <f aca="false">EOMONTH(CW264,0)+1</f>
        <v>44835</v>
      </c>
      <c r="CX265" s="182" t="n">
        <f aca="false">IF(AF265=0,CX253,AF265)</f>
        <v>0.2</v>
      </c>
      <c r="CY265" s="182" t="n">
        <f aca="false">IF(AG265=0,CY253,AG265)</f>
        <v>0.25</v>
      </c>
      <c r="CZ265" s="182" t="n">
        <f aca="false">IF(AH265=0,CZ253,AH265)</f>
        <v>0.3</v>
      </c>
      <c r="DB265" s="161" t="n">
        <f aca="false">IF(X265=0,DB253,X265)</f>
        <v>0.16</v>
      </c>
      <c r="DC265" s="161" t="n">
        <f aca="false">IF(Y265=0,DC253,Y265)</f>
        <v>0.2</v>
      </c>
      <c r="DD265" s="161" t="n">
        <f aca="false">IF(Z265=0,DD253,Z265)</f>
        <v>0.24</v>
      </c>
      <c r="DF265" s="181" t="n">
        <f aca="false">IF(BF265=0,EOMONTH(DF264,0)+1,BF265)</f>
        <v>44835</v>
      </c>
      <c r="DG265" s="207" t="n">
        <f aca="false">IF(BG265=0,DG253,BG265)</f>
        <v>0.75</v>
      </c>
      <c r="DJ265" s="181" t="n">
        <f aca="false">CW265</f>
        <v>44835</v>
      </c>
      <c r="DK265" s="182" t="n">
        <f aca="false">IF(AJ265=0,DK253,AJ265)</f>
        <v>0.12</v>
      </c>
      <c r="DL265" s="182" t="n">
        <f aca="false">IF(AK265=0,DL253,AK265)</f>
        <v>0.15</v>
      </c>
      <c r="DM265" s="182" t="n">
        <f aca="false">IF(AL265=0,DM253,AL265)</f>
        <v>0.18</v>
      </c>
      <c r="DO265" s="182" t="n">
        <f aca="false">IF(AB265=0,DO253,AB265)</f>
        <v>0.08</v>
      </c>
      <c r="DP265" s="182" t="n">
        <f aca="false">IF(AC265=0,DP253,AC265)</f>
        <v>0.1</v>
      </c>
      <c r="DQ265" s="182" t="n">
        <f aca="false">IF(AD265=0,DQ253,AD265)</f>
        <v>0.12</v>
      </c>
    </row>
    <row r="266" customFormat="false" ht="12.75" hidden="false" customHeight="false" outlineLevel="0" collapsed="false">
      <c r="A266" s="133"/>
      <c r="B266" s="139"/>
      <c r="C266" s="139"/>
      <c r="D266" s="139"/>
      <c r="E266" s="139"/>
      <c r="F266" s="139"/>
      <c r="G266" s="139"/>
      <c r="H266" s="139"/>
      <c r="I266" s="139"/>
      <c r="J266" s="139"/>
      <c r="K266" s="141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41"/>
      <c r="BG266" s="139"/>
      <c r="BH266" s="139"/>
      <c r="BI266" s="139"/>
      <c r="BJ266" s="139"/>
      <c r="BK266" s="139"/>
      <c r="BL266" s="139"/>
      <c r="BM266" s="139"/>
      <c r="BN266" s="139"/>
      <c r="BO266" s="139"/>
      <c r="BP266" s="139"/>
      <c r="BQ266" s="139"/>
      <c r="BR266" s="139"/>
      <c r="BS266" s="139"/>
      <c r="BT266" s="139"/>
      <c r="BU266" s="139"/>
      <c r="BV266" s="139"/>
      <c r="BW266" s="139"/>
      <c r="BX266" s="139"/>
      <c r="BY266" s="139"/>
      <c r="BZ266" s="139"/>
      <c r="CA266" s="139"/>
      <c r="CB266" s="139"/>
      <c r="CC266" s="139"/>
      <c r="CD266" s="139"/>
      <c r="CE266" s="139"/>
      <c r="CF266" s="0"/>
      <c r="CG266" s="0"/>
      <c r="CH266" s="0"/>
      <c r="CI266" s="0"/>
      <c r="CN266" s="0"/>
      <c r="CO266" s="0"/>
      <c r="CP266" s="0"/>
      <c r="CQ266" s="0"/>
      <c r="CR266" s="0"/>
      <c r="CW266" s="181" t="n">
        <f aca="false">EOMONTH(CW265,0)+1</f>
        <v>44866</v>
      </c>
      <c r="CX266" s="182" t="n">
        <f aca="false">IF(AF266=0,CX254,AF266)</f>
        <v>0.2</v>
      </c>
      <c r="CY266" s="182" t="n">
        <f aca="false">IF(AG266=0,CY254,AG266)</f>
        <v>0.25</v>
      </c>
      <c r="CZ266" s="182" t="n">
        <f aca="false">IF(AH266=0,CZ254,AH266)</f>
        <v>0.3</v>
      </c>
      <c r="DB266" s="161" t="n">
        <f aca="false">IF(X266=0,DB254,X266)</f>
        <v>0.16</v>
      </c>
      <c r="DC266" s="161" t="n">
        <f aca="false">IF(Y266=0,DC254,Y266)</f>
        <v>0.2</v>
      </c>
      <c r="DD266" s="161" t="n">
        <f aca="false">IF(Z266=0,DD254,Z266)</f>
        <v>0.24</v>
      </c>
      <c r="DF266" s="181" t="n">
        <f aca="false">IF(BF266=0,EOMONTH(DF265,0)+1,BF266)</f>
        <v>44866</v>
      </c>
      <c r="DG266" s="207" t="n">
        <f aca="false">IF(BG266=0,DG254,BG266)</f>
        <v>0.75</v>
      </c>
      <c r="DJ266" s="181" t="n">
        <f aca="false">CW266</f>
        <v>44866</v>
      </c>
      <c r="DK266" s="182" t="n">
        <f aca="false">IF(AJ266=0,DK254,AJ266)</f>
        <v>0.12</v>
      </c>
      <c r="DL266" s="182" t="n">
        <f aca="false">IF(AK266=0,DL254,AK266)</f>
        <v>0.15</v>
      </c>
      <c r="DM266" s="182" t="n">
        <f aca="false">IF(AL266=0,DM254,AL266)</f>
        <v>0.18</v>
      </c>
      <c r="DO266" s="182" t="n">
        <f aca="false">IF(AB266=0,DO254,AB266)</f>
        <v>0.08</v>
      </c>
      <c r="DP266" s="182" t="n">
        <f aca="false">IF(AC266=0,DP254,AC266)</f>
        <v>0.1</v>
      </c>
      <c r="DQ266" s="182" t="n">
        <f aca="false">IF(AD266=0,DQ254,AD266)</f>
        <v>0.12</v>
      </c>
    </row>
    <row r="267" customFormat="false" ht="12.75" hidden="false" customHeight="false" outlineLevel="0" collapsed="false">
      <c r="A267" s="133"/>
      <c r="B267" s="139"/>
      <c r="C267" s="139"/>
      <c r="D267" s="139"/>
      <c r="E267" s="139"/>
      <c r="F267" s="139"/>
      <c r="G267" s="139"/>
      <c r="H267" s="139"/>
      <c r="I267" s="139"/>
      <c r="J267" s="139"/>
      <c r="K267" s="141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41"/>
      <c r="BG267" s="139"/>
      <c r="BH267" s="139"/>
      <c r="BI267" s="139"/>
      <c r="BJ267" s="139"/>
      <c r="BK267" s="139"/>
      <c r="BL267" s="139"/>
      <c r="BM267" s="139"/>
      <c r="BN267" s="139"/>
      <c r="BO267" s="139"/>
      <c r="BP267" s="139"/>
      <c r="BQ267" s="139"/>
      <c r="BR267" s="139"/>
      <c r="BS267" s="139"/>
      <c r="BT267" s="139"/>
      <c r="BU267" s="139"/>
      <c r="BV267" s="139"/>
      <c r="BW267" s="139"/>
      <c r="BX267" s="139"/>
      <c r="BY267" s="139"/>
      <c r="BZ267" s="139"/>
      <c r="CA267" s="139"/>
      <c r="CB267" s="139"/>
      <c r="CC267" s="139"/>
      <c r="CD267" s="139"/>
      <c r="CE267" s="139"/>
      <c r="CF267" s="0"/>
      <c r="CG267" s="0"/>
      <c r="CH267" s="0"/>
      <c r="CI267" s="0"/>
      <c r="CN267" s="0"/>
      <c r="CO267" s="0"/>
      <c r="CP267" s="0"/>
      <c r="CQ267" s="0"/>
      <c r="CR267" s="0"/>
      <c r="CW267" s="181" t="n">
        <f aca="false">EOMONTH(CW266,0)+1</f>
        <v>44896</v>
      </c>
      <c r="CX267" s="182" t="n">
        <f aca="false">IF(AF267=0,CX255,AF267)</f>
        <v>0.2</v>
      </c>
      <c r="CY267" s="182" t="n">
        <f aca="false">IF(AG267=0,CY255,AG267)</f>
        <v>0.25</v>
      </c>
      <c r="CZ267" s="182" t="n">
        <f aca="false">IF(AH267=0,CZ255,AH267)</f>
        <v>0.3</v>
      </c>
      <c r="DB267" s="161" t="n">
        <f aca="false">IF(X267=0,DB255,X267)</f>
        <v>0.16</v>
      </c>
      <c r="DC267" s="161" t="n">
        <f aca="false">IF(Y267=0,DC255,Y267)</f>
        <v>0.2</v>
      </c>
      <c r="DD267" s="161" t="n">
        <f aca="false">IF(Z267=0,DD255,Z267)</f>
        <v>0.24</v>
      </c>
      <c r="DF267" s="181" t="n">
        <f aca="false">IF(BF267=0,EOMONTH(DF266,0)+1,BF267)</f>
        <v>44896</v>
      </c>
      <c r="DG267" s="207" t="n">
        <f aca="false">IF(BG267=0,DG255,BG267)</f>
        <v>0.75</v>
      </c>
      <c r="DJ267" s="181" t="n">
        <f aca="false">CW267</f>
        <v>44896</v>
      </c>
      <c r="DK267" s="182" t="n">
        <f aca="false">IF(AJ267=0,DK255,AJ267)</f>
        <v>0.12</v>
      </c>
      <c r="DL267" s="182" t="n">
        <f aca="false">IF(AK267=0,DL255,AK267)</f>
        <v>0.15</v>
      </c>
      <c r="DM267" s="182" t="n">
        <f aca="false">IF(AL267=0,DM255,AL267)</f>
        <v>0.18</v>
      </c>
      <c r="DO267" s="182" t="n">
        <f aca="false">IF(AB267=0,DO255,AB267)</f>
        <v>0.08</v>
      </c>
      <c r="DP267" s="182" t="n">
        <f aca="false">IF(AC267=0,DP255,AC267)</f>
        <v>0.1</v>
      </c>
      <c r="DQ267" s="182" t="n">
        <f aca="false">IF(AD267=0,DQ255,AD267)</f>
        <v>0.12</v>
      </c>
    </row>
    <row r="268" customFormat="false" ht="12.75" hidden="false" customHeight="false" outlineLevel="0" collapsed="false">
      <c r="A268" s="133"/>
      <c r="B268" s="139"/>
      <c r="C268" s="139"/>
      <c r="D268" s="139"/>
      <c r="E268" s="139"/>
      <c r="F268" s="139"/>
      <c r="G268" s="139"/>
      <c r="H268" s="139"/>
      <c r="I268" s="139"/>
      <c r="J268" s="139"/>
      <c r="K268" s="141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41"/>
      <c r="BG268" s="139"/>
      <c r="BH268" s="139"/>
      <c r="BI268" s="139"/>
      <c r="BJ268" s="139"/>
      <c r="BK268" s="139"/>
      <c r="BL268" s="139"/>
      <c r="BM268" s="139"/>
      <c r="BN268" s="139"/>
      <c r="BO268" s="139"/>
      <c r="BP268" s="139"/>
      <c r="BQ268" s="139"/>
      <c r="BR268" s="139"/>
      <c r="BS268" s="139"/>
      <c r="BT268" s="139"/>
      <c r="BU268" s="139"/>
      <c r="BV268" s="139"/>
      <c r="BW268" s="139"/>
      <c r="BX268" s="139"/>
      <c r="BY268" s="139"/>
      <c r="BZ268" s="139"/>
      <c r="CA268" s="139"/>
      <c r="CB268" s="139"/>
      <c r="CC268" s="139"/>
      <c r="CD268" s="139"/>
      <c r="CE268" s="139"/>
      <c r="CF268" s="0"/>
      <c r="CG268" s="0"/>
      <c r="CH268" s="0"/>
      <c r="CI268" s="0"/>
      <c r="CN268" s="0"/>
      <c r="CO268" s="0"/>
      <c r="CP268" s="0"/>
      <c r="CQ268" s="0"/>
      <c r="CR268" s="0"/>
      <c r="CW268" s="181" t="n">
        <f aca="false">EOMONTH(CW267,0)+1</f>
        <v>44927</v>
      </c>
      <c r="CX268" s="182" t="n">
        <f aca="false">IF(AF268=0,CX256,AF268)</f>
        <v>0.2</v>
      </c>
      <c r="CY268" s="182" t="n">
        <f aca="false">IF(AG268=0,CY256,AG268)</f>
        <v>0.25</v>
      </c>
      <c r="CZ268" s="182" t="n">
        <f aca="false">IF(AH268=0,CZ256,AH268)</f>
        <v>0.3</v>
      </c>
      <c r="DB268" s="161" t="n">
        <f aca="false">IF(X268=0,DB256,X268)</f>
        <v>0.16</v>
      </c>
      <c r="DC268" s="161" t="n">
        <f aca="false">IF(Y268=0,DC256,Y268)</f>
        <v>0.2</v>
      </c>
      <c r="DD268" s="161" t="n">
        <f aca="false">IF(Z268=0,DD256,Z268)</f>
        <v>0.24</v>
      </c>
      <c r="DF268" s="181" t="n">
        <f aca="false">IF(BF268=0,EOMONTH(DF267,0)+1,BF268)</f>
        <v>44927</v>
      </c>
      <c r="DG268" s="207" t="n">
        <f aca="false">IF(BG268=0,DG256,BG268)</f>
        <v>0.75</v>
      </c>
      <c r="DJ268" s="181" t="n">
        <f aca="false">CW268</f>
        <v>44927</v>
      </c>
      <c r="DK268" s="182" t="n">
        <f aca="false">IF(AJ268=0,DK256,AJ268)</f>
        <v>0.12</v>
      </c>
      <c r="DL268" s="182" t="n">
        <f aca="false">IF(AK268=0,DL256,AK268)</f>
        <v>0.15</v>
      </c>
      <c r="DM268" s="182" t="n">
        <f aca="false">IF(AL268=0,DM256,AL268)</f>
        <v>0.18</v>
      </c>
      <c r="DO268" s="182" t="n">
        <f aca="false">IF(AB268=0,DO256,AB268)</f>
        <v>0.08</v>
      </c>
      <c r="DP268" s="182" t="n">
        <f aca="false">IF(AC268=0,DP256,AC268)</f>
        <v>0.1</v>
      </c>
      <c r="DQ268" s="182" t="n">
        <f aca="false">IF(AD268=0,DQ256,AD268)</f>
        <v>0.12</v>
      </c>
    </row>
    <row r="269" customFormat="false" ht="12.75" hidden="false" customHeight="false" outlineLevel="0" collapsed="false">
      <c r="A269" s="133"/>
      <c r="B269" s="139"/>
      <c r="C269" s="139"/>
      <c r="D269" s="139"/>
      <c r="E269" s="139"/>
      <c r="F269" s="139"/>
      <c r="G269" s="139"/>
      <c r="H269" s="139"/>
      <c r="I269" s="139"/>
      <c r="J269" s="139"/>
      <c r="K269" s="141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41"/>
      <c r="BG269" s="139"/>
      <c r="BH269" s="139"/>
      <c r="BI269" s="139"/>
      <c r="BJ269" s="139"/>
      <c r="BK269" s="139"/>
      <c r="BL269" s="139"/>
      <c r="BM269" s="139"/>
      <c r="BN269" s="139"/>
      <c r="BO269" s="139"/>
      <c r="BP269" s="139"/>
      <c r="BQ269" s="139"/>
      <c r="BR269" s="139"/>
      <c r="BS269" s="139"/>
      <c r="BT269" s="139"/>
      <c r="BU269" s="139"/>
      <c r="BV269" s="139"/>
      <c r="BW269" s="139"/>
      <c r="BX269" s="139"/>
      <c r="BY269" s="139"/>
      <c r="BZ269" s="139"/>
      <c r="CA269" s="139"/>
      <c r="CB269" s="139"/>
      <c r="CC269" s="139"/>
      <c r="CD269" s="139"/>
      <c r="CE269" s="139"/>
      <c r="CF269" s="0"/>
      <c r="CG269" s="0"/>
      <c r="CH269" s="0"/>
      <c r="CI269" s="0"/>
      <c r="CN269" s="0"/>
      <c r="CO269" s="0"/>
      <c r="CP269" s="0"/>
      <c r="CQ269" s="0"/>
      <c r="CR269" s="0"/>
      <c r="CW269" s="181" t="n">
        <f aca="false">EOMONTH(CW268,0)+1</f>
        <v>44958</v>
      </c>
      <c r="CX269" s="182" t="n">
        <f aca="false">IF(AF269=0,CX257,AF269)</f>
        <v>0.2</v>
      </c>
      <c r="CY269" s="182" t="n">
        <f aca="false">IF(AG269=0,CY257,AG269)</f>
        <v>0.25</v>
      </c>
      <c r="CZ269" s="182" t="n">
        <f aca="false">IF(AH269=0,CZ257,AH269)</f>
        <v>0.3</v>
      </c>
      <c r="DB269" s="161" t="n">
        <f aca="false">IF(X269=0,DB257,X269)</f>
        <v>0</v>
      </c>
      <c r="DC269" s="161" t="n">
        <f aca="false">IF(Y269=0,DC257,Y269)</f>
        <v>0</v>
      </c>
      <c r="DD269" s="161" t="n">
        <f aca="false">IF(Z269=0,DD257,Z269)</f>
        <v>0</v>
      </c>
      <c r="DF269" s="181" t="n">
        <f aca="false">IF(BF269=0,EOMONTH(DF268,0)+1,BF269)</f>
        <v>44958</v>
      </c>
      <c r="DG269" s="207" t="n">
        <f aca="false">IF(BG269=0,DG257,BG269)</f>
        <v>0</v>
      </c>
      <c r="DJ269" s="181" t="n">
        <f aca="false">CW269</f>
        <v>44958</v>
      </c>
      <c r="DK269" s="182" t="n">
        <f aca="false">IF(AJ269=0,DK257,AJ269)</f>
        <v>0.12</v>
      </c>
      <c r="DL269" s="182" t="n">
        <f aca="false">IF(AK269=0,DL257,AK269)</f>
        <v>0.15</v>
      </c>
      <c r="DM269" s="182" t="n">
        <f aca="false">IF(AL269=0,DM257,AL269)</f>
        <v>0.18</v>
      </c>
      <c r="DO269" s="182" t="n">
        <f aca="false">IF(AB269=0,DO257,AB269)</f>
        <v>0</v>
      </c>
      <c r="DP269" s="182" t="n">
        <f aca="false">IF(AC269=0,DP257,AC269)</f>
        <v>0</v>
      </c>
      <c r="DQ269" s="182" t="n">
        <f aca="false">IF(AD269=0,DQ257,AD269)</f>
        <v>0</v>
      </c>
    </row>
    <row r="270" customFormat="false" ht="12.75" hidden="false" customHeight="false" outlineLevel="0" collapsed="false">
      <c r="A270" s="133"/>
      <c r="B270" s="139"/>
      <c r="C270" s="139"/>
      <c r="D270" s="139"/>
      <c r="E270" s="139"/>
      <c r="F270" s="139"/>
      <c r="G270" s="139"/>
      <c r="H270" s="139"/>
      <c r="I270" s="139"/>
      <c r="J270" s="139"/>
      <c r="K270" s="141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41"/>
      <c r="BG270" s="139"/>
      <c r="BH270" s="139"/>
      <c r="BI270" s="139"/>
      <c r="BJ270" s="139"/>
      <c r="BK270" s="139"/>
      <c r="BL270" s="139"/>
      <c r="BM270" s="139"/>
      <c r="BN270" s="139"/>
      <c r="BO270" s="139"/>
      <c r="BP270" s="139"/>
      <c r="BQ270" s="139"/>
      <c r="BR270" s="139"/>
      <c r="BS270" s="139"/>
      <c r="BT270" s="139"/>
      <c r="BU270" s="139"/>
      <c r="BV270" s="139"/>
      <c r="BW270" s="139"/>
      <c r="BX270" s="139"/>
      <c r="BY270" s="139"/>
      <c r="BZ270" s="139"/>
      <c r="CA270" s="139"/>
      <c r="CB270" s="139"/>
      <c r="CC270" s="139"/>
      <c r="CD270" s="139"/>
      <c r="CE270" s="139"/>
      <c r="CF270" s="0"/>
      <c r="CG270" s="0"/>
      <c r="CH270" s="0"/>
      <c r="CI270" s="0"/>
      <c r="CN270" s="0"/>
      <c r="CO270" s="0"/>
      <c r="CP270" s="0"/>
      <c r="CQ270" s="0"/>
      <c r="CR270" s="0"/>
      <c r="CW270" s="181" t="n">
        <f aca="false">EOMONTH(CW269,0)+1</f>
        <v>44986</v>
      </c>
      <c r="CX270" s="182" t="n">
        <f aca="false">IF(AF270=0,CX258,AF270)</f>
        <v>0.2</v>
      </c>
      <c r="CY270" s="182" t="n">
        <f aca="false">IF(AG270=0,CY258,AG270)</f>
        <v>0.25</v>
      </c>
      <c r="CZ270" s="182" t="n">
        <f aca="false">IF(AH270=0,CZ258,AH270)</f>
        <v>0.3</v>
      </c>
      <c r="DB270" s="161" t="n">
        <f aca="false">IF(X270=0,DB258,X270)</f>
        <v>0.16</v>
      </c>
      <c r="DC270" s="161" t="n">
        <f aca="false">IF(Y270=0,DC258,Y270)</f>
        <v>0.2</v>
      </c>
      <c r="DD270" s="161" t="n">
        <f aca="false">IF(Z270=0,DD258,Z270)</f>
        <v>0.24</v>
      </c>
      <c r="DF270" s="181" t="n">
        <f aca="false">IF(BF270=0,EOMONTH(DF269,0)+1,BF270)</f>
        <v>44986</v>
      </c>
      <c r="DG270" s="207" t="n">
        <f aca="false">IF(BG270=0,DG258,BG270)</f>
        <v>0.75</v>
      </c>
      <c r="DJ270" s="181" t="n">
        <f aca="false">CW270</f>
        <v>44986</v>
      </c>
      <c r="DK270" s="182" t="n">
        <f aca="false">IF(AJ270=0,DK258,AJ270)</f>
        <v>0.12</v>
      </c>
      <c r="DL270" s="182" t="n">
        <f aca="false">IF(AK270=0,DL258,AK270)</f>
        <v>0.15</v>
      </c>
      <c r="DM270" s="182" t="n">
        <f aca="false">IF(AL270=0,DM258,AL270)</f>
        <v>0.18</v>
      </c>
      <c r="DO270" s="182" t="n">
        <f aca="false">IF(AB270=0,DO258,AB270)</f>
        <v>0.08</v>
      </c>
      <c r="DP270" s="182" t="n">
        <f aca="false">IF(AC270=0,DP258,AC270)</f>
        <v>0.1</v>
      </c>
      <c r="DQ270" s="182" t="n">
        <f aca="false">IF(AD270=0,DQ258,AD270)</f>
        <v>0.12</v>
      </c>
    </row>
    <row r="271" customFormat="false" ht="12.75" hidden="false" customHeight="false" outlineLevel="0" collapsed="false">
      <c r="A271" s="133"/>
      <c r="B271" s="139"/>
      <c r="C271" s="139"/>
      <c r="D271" s="139"/>
      <c r="E271" s="139"/>
      <c r="F271" s="139"/>
      <c r="G271" s="139"/>
      <c r="H271" s="139"/>
      <c r="I271" s="139"/>
      <c r="J271" s="139"/>
      <c r="K271" s="141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41"/>
      <c r="BG271" s="139"/>
      <c r="BH271" s="139"/>
      <c r="BI271" s="139"/>
      <c r="BJ271" s="139"/>
      <c r="BK271" s="139"/>
      <c r="BL271" s="139"/>
      <c r="BM271" s="139"/>
      <c r="BN271" s="139"/>
      <c r="BO271" s="139"/>
      <c r="BP271" s="139"/>
      <c r="BQ271" s="139"/>
      <c r="BR271" s="139"/>
      <c r="BS271" s="139"/>
      <c r="BT271" s="139"/>
      <c r="BU271" s="139"/>
      <c r="BV271" s="139"/>
      <c r="BW271" s="139"/>
      <c r="BX271" s="139"/>
      <c r="BY271" s="139"/>
      <c r="BZ271" s="139"/>
      <c r="CA271" s="139"/>
      <c r="CB271" s="139"/>
      <c r="CC271" s="139"/>
      <c r="CD271" s="139"/>
      <c r="CE271" s="139"/>
      <c r="CF271" s="0"/>
      <c r="CG271" s="0"/>
      <c r="CH271" s="0"/>
      <c r="CI271" s="0"/>
      <c r="CN271" s="0"/>
      <c r="CO271" s="0"/>
      <c r="CP271" s="0"/>
      <c r="CQ271" s="0"/>
      <c r="CR271" s="0"/>
      <c r="CW271" s="181" t="n">
        <f aca="false">EOMONTH(CW270,0)+1</f>
        <v>45017</v>
      </c>
      <c r="CX271" s="182" t="n">
        <f aca="false">IF(AF271=0,CX259,AF271)</f>
        <v>0.2</v>
      </c>
      <c r="CY271" s="182" t="n">
        <f aca="false">IF(AG271=0,CY259,AG271)</f>
        <v>0.25</v>
      </c>
      <c r="CZ271" s="182" t="n">
        <f aca="false">IF(AH271=0,CZ259,AH271)</f>
        <v>0.3</v>
      </c>
      <c r="DB271" s="161" t="n">
        <f aca="false">IF(X271=0,DB259,X271)</f>
        <v>0.16</v>
      </c>
      <c r="DC271" s="161" t="n">
        <f aca="false">IF(Y271=0,DC259,Y271)</f>
        <v>0.2</v>
      </c>
      <c r="DD271" s="161" t="n">
        <f aca="false">IF(Z271=0,DD259,Z271)</f>
        <v>0.24</v>
      </c>
      <c r="DF271" s="181" t="n">
        <f aca="false">IF(BF271=0,EOMONTH(DF270,0)+1,BF271)</f>
        <v>45017</v>
      </c>
      <c r="DG271" s="207" t="n">
        <f aca="false">IF(BG271=0,DG259,BG271)</f>
        <v>0.75</v>
      </c>
      <c r="DJ271" s="181" t="n">
        <f aca="false">CW271</f>
        <v>45017</v>
      </c>
      <c r="DK271" s="182" t="n">
        <f aca="false">IF(AJ271=0,DK259,AJ271)</f>
        <v>0.12</v>
      </c>
      <c r="DL271" s="182" t="n">
        <f aca="false">IF(AK271=0,DL259,AK271)</f>
        <v>0.15</v>
      </c>
      <c r="DM271" s="182" t="n">
        <f aca="false">IF(AL271=0,DM259,AL271)</f>
        <v>0.18</v>
      </c>
      <c r="DO271" s="182" t="n">
        <f aca="false">IF(AB271=0,DO259,AB271)</f>
        <v>0.08</v>
      </c>
      <c r="DP271" s="182" t="n">
        <f aca="false">IF(AC271=0,DP259,AC271)</f>
        <v>0.1</v>
      </c>
      <c r="DQ271" s="182" t="n">
        <f aca="false">IF(AD271=0,DQ259,AD271)</f>
        <v>0.12</v>
      </c>
    </row>
    <row r="272" customFormat="false" ht="12.75" hidden="false" customHeight="false" outlineLevel="0" collapsed="false">
      <c r="A272" s="133"/>
      <c r="B272" s="139"/>
      <c r="C272" s="139"/>
      <c r="D272" s="139"/>
      <c r="E272" s="139"/>
      <c r="F272" s="139"/>
      <c r="G272" s="139"/>
      <c r="H272" s="139"/>
      <c r="I272" s="139"/>
      <c r="J272" s="139"/>
      <c r="K272" s="141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41"/>
      <c r="BG272" s="139"/>
      <c r="BH272" s="139"/>
      <c r="BI272" s="139"/>
      <c r="BJ272" s="139"/>
      <c r="BK272" s="139"/>
      <c r="BL272" s="139"/>
      <c r="BM272" s="139"/>
      <c r="BN272" s="139"/>
      <c r="BO272" s="139"/>
      <c r="BP272" s="139"/>
      <c r="BQ272" s="139"/>
      <c r="BR272" s="139"/>
      <c r="BS272" s="139"/>
      <c r="BT272" s="139"/>
      <c r="BU272" s="139"/>
      <c r="BV272" s="139"/>
      <c r="BW272" s="139"/>
      <c r="BX272" s="139"/>
      <c r="BY272" s="139"/>
      <c r="BZ272" s="139"/>
      <c r="CA272" s="139"/>
      <c r="CB272" s="139"/>
      <c r="CC272" s="139"/>
      <c r="CD272" s="139"/>
      <c r="CE272" s="139"/>
      <c r="CF272" s="0"/>
      <c r="CG272" s="0"/>
      <c r="CH272" s="0"/>
      <c r="CI272" s="0"/>
      <c r="CN272" s="0"/>
      <c r="CO272" s="0"/>
      <c r="CP272" s="0"/>
      <c r="CQ272" s="0"/>
      <c r="CR272" s="0"/>
      <c r="CW272" s="181" t="n">
        <f aca="false">EOMONTH(CW271,0)+1</f>
        <v>45047</v>
      </c>
      <c r="CX272" s="182" t="n">
        <f aca="false">IF(AF272=0,CX260,AF272)</f>
        <v>0.2</v>
      </c>
      <c r="CY272" s="182" t="n">
        <f aca="false">IF(AG272=0,CY260,AG272)</f>
        <v>0.25</v>
      </c>
      <c r="CZ272" s="182" t="n">
        <f aca="false">IF(AH272=0,CZ260,AH272)</f>
        <v>0.3</v>
      </c>
      <c r="DB272" s="161" t="n">
        <f aca="false">IF(X272=0,DB260,X272)</f>
        <v>0.16</v>
      </c>
      <c r="DC272" s="161" t="n">
        <f aca="false">IF(Y272=0,DC260,Y272)</f>
        <v>0.2</v>
      </c>
      <c r="DD272" s="161" t="n">
        <f aca="false">IF(Z272=0,DD260,Z272)</f>
        <v>0.24</v>
      </c>
      <c r="DF272" s="181" t="n">
        <f aca="false">IF(BF272=0,EOMONTH(DF271,0)+1,BF272)</f>
        <v>45047</v>
      </c>
      <c r="DG272" s="207" t="n">
        <f aca="false">IF(BG272=0,DG260,BG272)</f>
        <v>0.75</v>
      </c>
      <c r="DJ272" s="181" t="n">
        <f aca="false">CW272</f>
        <v>45047</v>
      </c>
      <c r="DK272" s="182" t="n">
        <f aca="false">IF(AJ272=0,DK260,AJ272)</f>
        <v>0.12</v>
      </c>
      <c r="DL272" s="182" t="n">
        <f aca="false">IF(AK272=0,DL260,AK272)</f>
        <v>0.15</v>
      </c>
      <c r="DM272" s="182" t="n">
        <f aca="false">IF(AL272=0,DM260,AL272)</f>
        <v>0.18</v>
      </c>
      <c r="DO272" s="182" t="n">
        <f aca="false">IF(AB272=0,DO260,AB272)</f>
        <v>0.08</v>
      </c>
      <c r="DP272" s="182" t="n">
        <f aca="false">IF(AC272=0,DP260,AC272)</f>
        <v>0.1</v>
      </c>
      <c r="DQ272" s="182" t="n">
        <f aca="false">IF(AD272=0,DQ260,AD272)</f>
        <v>0.12</v>
      </c>
    </row>
    <row r="273" customFormat="false" ht="12.75" hidden="false" customHeight="false" outlineLevel="0" collapsed="false">
      <c r="A273" s="133"/>
      <c r="B273" s="139"/>
      <c r="C273" s="139"/>
      <c r="D273" s="139"/>
      <c r="E273" s="139"/>
      <c r="F273" s="139"/>
      <c r="G273" s="139"/>
      <c r="H273" s="139"/>
      <c r="I273" s="139"/>
      <c r="J273" s="139"/>
      <c r="K273" s="141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41"/>
      <c r="BG273" s="139"/>
      <c r="BH273" s="139"/>
      <c r="BI273" s="139"/>
      <c r="BJ273" s="139"/>
      <c r="BK273" s="139"/>
      <c r="BL273" s="139"/>
      <c r="BM273" s="139"/>
      <c r="BN273" s="139"/>
      <c r="BO273" s="139"/>
      <c r="BP273" s="139"/>
      <c r="BQ273" s="139"/>
      <c r="BR273" s="139"/>
      <c r="BS273" s="139"/>
      <c r="BT273" s="139"/>
      <c r="BU273" s="139"/>
      <c r="BV273" s="139"/>
      <c r="BW273" s="139"/>
      <c r="BX273" s="139"/>
      <c r="BY273" s="139"/>
      <c r="BZ273" s="139"/>
      <c r="CA273" s="139"/>
      <c r="CB273" s="139"/>
      <c r="CC273" s="139"/>
      <c r="CD273" s="139"/>
      <c r="CE273" s="139"/>
      <c r="CF273" s="0"/>
      <c r="CG273" s="0"/>
      <c r="CH273" s="0"/>
      <c r="CI273" s="0"/>
      <c r="CN273" s="0"/>
      <c r="CO273" s="0"/>
      <c r="CP273" s="0"/>
      <c r="CQ273" s="0"/>
      <c r="CR273" s="0"/>
      <c r="CW273" s="181" t="n">
        <f aca="false">EOMONTH(CW272,0)+1</f>
        <v>45078</v>
      </c>
      <c r="CX273" s="182" t="n">
        <f aca="false">IF(AF273=0,CX261,AF273)</f>
        <v>0.2</v>
      </c>
      <c r="CY273" s="182" t="n">
        <f aca="false">IF(AG273=0,CY261,AG273)</f>
        <v>0.25</v>
      </c>
      <c r="CZ273" s="182" t="n">
        <f aca="false">IF(AH273=0,CZ261,AH273)</f>
        <v>0.3</v>
      </c>
      <c r="DB273" s="161" t="n">
        <f aca="false">IF(X273=0,DB261,X273)</f>
        <v>0.16</v>
      </c>
      <c r="DC273" s="161" t="n">
        <f aca="false">IF(Y273=0,DC261,Y273)</f>
        <v>0.2</v>
      </c>
      <c r="DD273" s="161" t="n">
        <f aca="false">IF(Z273=0,DD261,Z273)</f>
        <v>0.24</v>
      </c>
      <c r="DF273" s="181" t="n">
        <f aca="false">IF(BF273=0,EOMONTH(DF272,0)+1,BF273)</f>
        <v>45078</v>
      </c>
      <c r="DG273" s="207" t="n">
        <f aca="false">IF(BG273=0,DG261,BG273)</f>
        <v>0.75</v>
      </c>
      <c r="DJ273" s="181" t="n">
        <f aca="false">CW273</f>
        <v>45078</v>
      </c>
      <c r="DK273" s="182" t="n">
        <f aca="false">IF(AJ273=0,DK261,AJ273)</f>
        <v>0.12</v>
      </c>
      <c r="DL273" s="182" t="n">
        <f aca="false">IF(AK273=0,DL261,AK273)</f>
        <v>0.15</v>
      </c>
      <c r="DM273" s="182" t="n">
        <f aca="false">IF(AL273=0,DM261,AL273)</f>
        <v>0.18</v>
      </c>
      <c r="DO273" s="182" t="n">
        <f aca="false">IF(AB273=0,DO261,AB273)</f>
        <v>0.08</v>
      </c>
      <c r="DP273" s="182" t="n">
        <f aca="false">IF(AC273=0,DP261,AC273)</f>
        <v>0.1</v>
      </c>
      <c r="DQ273" s="182" t="n">
        <f aca="false">IF(AD273=0,DQ261,AD273)</f>
        <v>0.12</v>
      </c>
    </row>
    <row r="274" customFormat="false" ht="12.75" hidden="false" customHeight="false" outlineLevel="0" collapsed="false">
      <c r="A274" s="133"/>
      <c r="B274" s="139"/>
      <c r="C274" s="139"/>
      <c r="D274" s="139"/>
      <c r="E274" s="139"/>
      <c r="F274" s="139"/>
      <c r="G274" s="139"/>
      <c r="H274" s="139"/>
      <c r="I274" s="139"/>
      <c r="J274" s="139"/>
      <c r="K274" s="141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41"/>
      <c r="BG274" s="139"/>
      <c r="BH274" s="139"/>
      <c r="BI274" s="139"/>
      <c r="BJ274" s="139"/>
      <c r="BK274" s="139"/>
      <c r="BL274" s="139"/>
      <c r="BM274" s="139"/>
      <c r="BN274" s="139"/>
      <c r="BO274" s="139"/>
      <c r="BP274" s="139"/>
      <c r="BQ274" s="139"/>
      <c r="BR274" s="139"/>
      <c r="BS274" s="139"/>
      <c r="BT274" s="139"/>
      <c r="BU274" s="139"/>
      <c r="BV274" s="139"/>
      <c r="BW274" s="139"/>
      <c r="BX274" s="139"/>
      <c r="BY274" s="139"/>
      <c r="BZ274" s="139"/>
      <c r="CA274" s="139"/>
      <c r="CB274" s="139"/>
      <c r="CC274" s="139"/>
      <c r="CD274" s="139"/>
      <c r="CE274" s="139"/>
      <c r="CF274" s="0"/>
      <c r="CG274" s="0"/>
      <c r="CH274" s="0"/>
      <c r="CI274" s="0"/>
      <c r="CN274" s="0"/>
      <c r="CO274" s="0"/>
      <c r="CP274" s="0"/>
      <c r="CQ274" s="0"/>
      <c r="CR274" s="0"/>
      <c r="CW274" s="181" t="n">
        <f aca="false">EOMONTH(CW273,0)+1</f>
        <v>45108</v>
      </c>
      <c r="CX274" s="182" t="n">
        <f aca="false">IF(AF274=0,CX262,AF274)</f>
        <v>0.2</v>
      </c>
      <c r="CY274" s="182" t="n">
        <f aca="false">IF(AG274=0,CY262,AG274)</f>
        <v>0.25</v>
      </c>
      <c r="CZ274" s="182" t="n">
        <f aca="false">IF(AH274=0,CZ262,AH274)</f>
        <v>0.3</v>
      </c>
      <c r="DB274" s="161" t="n">
        <f aca="false">IF(X274=0,DB262,X274)</f>
        <v>0.16</v>
      </c>
      <c r="DC274" s="161" t="n">
        <f aca="false">IF(Y274=0,DC262,Y274)</f>
        <v>0.2</v>
      </c>
      <c r="DD274" s="161" t="n">
        <f aca="false">IF(Z274=0,DD262,Z274)</f>
        <v>0.24</v>
      </c>
      <c r="DF274" s="181" t="n">
        <f aca="false">IF(BF274=0,EOMONTH(DF273,0)+1,BF274)</f>
        <v>45108</v>
      </c>
      <c r="DG274" s="207" t="n">
        <f aca="false">IF(BG274=0,DG262,BG274)</f>
        <v>0.75</v>
      </c>
      <c r="DJ274" s="181" t="n">
        <f aca="false">CW274</f>
        <v>45108</v>
      </c>
      <c r="DK274" s="182" t="n">
        <f aca="false">IF(AJ274=0,DK262,AJ274)</f>
        <v>0.12</v>
      </c>
      <c r="DL274" s="182" t="n">
        <f aca="false">IF(AK274=0,DL262,AK274)</f>
        <v>0.15</v>
      </c>
      <c r="DM274" s="182" t="n">
        <f aca="false">IF(AL274=0,DM262,AL274)</f>
        <v>0.18</v>
      </c>
      <c r="DO274" s="182" t="n">
        <f aca="false">IF(AB274=0,DO262,AB274)</f>
        <v>0.08</v>
      </c>
      <c r="DP274" s="182" t="n">
        <f aca="false">IF(AC274=0,DP262,AC274)</f>
        <v>0.1</v>
      </c>
      <c r="DQ274" s="182" t="n">
        <f aca="false">IF(AD274=0,DQ262,AD274)</f>
        <v>0.12</v>
      </c>
    </row>
    <row r="275" customFormat="false" ht="12.75" hidden="false" customHeight="false" outlineLevel="0" collapsed="false">
      <c r="A275" s="133"/>
      <c r="B275" s="139"/>
      <c r="C275" s="139"/>
      <c r="D275" s="139"/>
      <c r="E275" s="139"/>
      <c r="F275" s="139"/>
      <c r="G275" s="139"/>
      <c r="H275" s="139"/>
      <c r="I275" s="139"/>
      <c r="J275" s="139"/>
      <c r="K275" s="141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41"/>
      <c r="BG275" s="139"/>
      <c r="BH275" s="139"/>
      <c r="BI275" s="139"/>
      <c r="BJ275" s="139"/>
      <c r="BK275" s="139"/>
      <c r="BL275" s="139"/>
      <c r="BM275" s="139"/>
      <c r="BN275" s="139"/>
      <c r="BO275" s="139"/>
      <c r="BP275" s="139"/>
      <c r="BQ275" s="139"/>
      <c r="BR275" s="139"/>
      <c r="BS275" s="139"/>
      <c r="BT275" s="139"/>
      <c r="BU275" s="139"/>
      <c r="BV275" s="139"/>
      <c r="BW275" s="139"/>
      <c r="BX275" s="139"/>
      <c r="BY275" s="139"/>
      <c r="BZ275" s="139"/>
      <c r="CA275" s="139"/>
      <c r="CB275" s="139"/>
      <c r="CC275" s="139"/>
      <c r="CD275" s="139"/>
      <c r="CE275" s="139"/>
      <c r="CF275" s="0"/>
      <c r="CG275" s="0"/>
      <c r="CH275" s="0"/>
      <c r="CI275" s="0"/>
      <c r="CN275" s="0"/>
      <c r="CO275" s="0"/>
      <c r="CP275" s="0"/>
      <c r="CQ275" s="0"/>
      <c r="CR275" s="0"/>
      <c r="CW275" s="181" t="n">
        <f aca="false">EOMONTH(CW274,0)+1</f>
        <v>45139</v>
      </c>
      <c r="CX275" s="182" t="n">
        <f aca="false">IF(AF275=0,CX263,AF275)</f>
        <v>0.32</v>
      </c>
      <c r="CY275" s="182" t="n">
        <f aca="false">IF(AG275=0,CY263,AG275)</f>
        <v>0.4</v>
      </c>
      <c r="CZ275" s="182" t="n">
        <f aca="false">IF(AH275=0,CZ263,AH275)</f>
        <v>0.48</v>
      </c>
      <c r="DB275" s="161" t="n">
        <f aca="false">IF(X275=0,DB263,X275)</f>
        <v>0.24</v>
      </c>
      <c r="DC275" s="161" t="n">
        <f aca="false">IF(Y275=0,DC263,Y275)</f>
        <v>0.3</v>
      </c>
      <c r="DD275" s="161" t="n">
        <f aca="false">IF(Z275=0,DD263,Z275)</f>
        <v>0.36</v>
      </c>
      <c r="DF275" s="181" t="n">
        <f aca="false">IF(BF275=0,EOMONTH(DF274,0)+1,BF275)</f>
        <v>45139</v>
      </c>
      <c r="DG275" s="207" t="n">
        <f aca="false">IF(BG275=0,DG263,BG275)</f>
        <v>0.75</v>
      </c>
      <c r="DJ275" s="181" t="n">
        <f aca="false">CW275</f>
        <v>45139</v>
      </c>
      <c r="DK275" s="182" t="n">
        <f aca="false">IF(AJ275=0,DK263,AJ275)</f>
        <v>0.192</v>
      </c>
      <c r="DL275" s="182" t="n">
        <f aca="false">IF(AK275=0,DL263,AK275)</f>
        <v>0.24</v>
      </c>
      <c r="DM275" s="182" t="n">
        <f aca="false">IF(AL275=0,DM263,AL275)</f>
        <v>0.288</v>
      </c>
      <c r="DO275" s="182" t="n">
        <f aca="false">IF(AB275=0,DO263,AB275)</f>
        <v>0.12</v>
      </c>
      <c r="DP275" s="182" t="n">
        <f aca="false">IF(AC275=0,DP263,AC275)</f>
        <v>0.15</v>
      </c>
      <c r="DQ275" s="182" t="n">
        <f aca="false">IF(AD275=0,DQ263,AD275)</f>
        <v>0.18</v>
      </c>
    </row>
    <row r="276" customFormat="false" ht="12.75" hidden="false" customHeight="false" outlineLevel="0" collapsed="false">
      <c r="A276" s="133"/>
      <c r="B276" s="139"/>
      <c r="C276" s="139"/>
      <c r="D276" s="139"/>
      <c r="E276" s="139"/>
      <c r="F276" s="139"/>
      <c r="G276" s="139"/>
      <c r="H276" s="139"/>
      <c r="I276" s="139"/>
      <c r="J276" s="139"/>
      <c r="K276" s="141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41"/>
      <c r="BG276" s="139"/>
      <c r="BH276" s="139"/>
      <c r="BI276" s="139"/>
      <c r="BJ276" s="139"/>
      <c r="BK276" s="139"/>
      <c r="BL276" s="139"/>
      <c r="BM276" s="139"/>
      <c r="BN276" s="139"/>
      <c r="BO276" s="139"/>
      <c r="BP276" s="139"/>
      <c r="BQ276" s="139"/>
      <c r="BR276" s="139"/>
      <c r="BS276" s="139"/>
      <c r="BT276" s="139"/>
      <c r="BU276" s="139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0"/>
      <c r="CG276" s="0"/>
      <c r="CH276" s="0"/>
      <c r="CI276" s="0"/>
      <c r="CN276" s="0"/>
      <c r="CO276" s="0"/>
      <c r="CP276" s="0"/>
      <c r="CQ276" s="0"/>
      <c r="CR276" s="0"/>
      <c r="CW276" s="181" t="n">
        <f aca="false">EOMONTH(CW275,0)+1</f>
        <v>45170</v>
      </c>
      <c r="CX276" s="182" t="n">
        <f aca="false">IF(AF276=0,CX264,AF276)</f>
        <v>0.32</v>
      </c>
      <c r="CY276" s="182" t="n">
        <f aca="false">IF(AG276=0,CY264,AG276)</f>
        <v>0.4</v>
      </c>
      <c r="CZ276" s="182" t="n">
        <f aca="false">IF(AH276=0,CZ264,AH276)</f>
        <v>0.48</v>
      </c>
      <c r="DB276" s="161" t="n">
        <f aca="false">IF(X276=0,DB264,X276)</f>
        <v>0.24</v>
      </c>
      <c r="DC276" s="161" t="n">
        <f aca="false">IF(Y276=0,DC264,Y276)</f>
        <v>0.3</v>
      </c>
      <c r="DD276" s="161" t="n">
        <f aca="false">IF(Z276=0,DD264,Z276)</f>
        <v>0.36</v>
      </c>
      <c r="DF276" s="181" t="n">
        <f aca="false">IF(BF276=0,EOMONTH(DF275,0)+1,BF276)</f>
        <v>45170</v>
      </c>
      <c r="DG276" s="207" t="n">
        <f aca="false">IF(BG276=0,DG264,BG276)</f>
        <v>0.75</v>
      </c>
      <c r="DJ276" s="181" t="n">
        <f aca="false">CW276</f>
        <v>45170</v>
      </c>
      <c r="DK276" s="182" t="n">
        <f aca="false">IF(AJ276=0,DK264,AJ276)</f>
        <v>0.192</v>
      </c>
      <c r="DL276" s="182" t="n">
        <f aca="false">IF(AK276=0,DL264,AK276)</f>
        <v>0.24</v>
      </c>
      <c r="DM276" s="182" t="n">
        <f aca="false">IF(AL276=0,DM264,AL276)</f>
        <v>0.288</v>
      </c>
      <c r="DO276" s="182" t="n">
        <f aca="false">IF(AB276=0,DO264,AB276)</f>
        <v>0.12</v>
      </c>
      <c r="DP276" s="182" t="n">
        <f aca="false">IF(AC276=0,DP264,AC276)</f>
        <v>0.15</v>
      </c>
      <c r="DQ276" s="182" t="n">
        <f aca="false">IF(AD276=0,DQ264,AD276)</f>
        <v>0.18</v>
      </c>
    </row>
    <row r="277" customFormat="false" ht="12.75" hidden="false" customHeight="false" outlineLevel="0" collapsed="false">
      <c r="A277" s="133"/>
      <c r="B277" s="139"/>
      <c r="C277" s="139"/>
      <c r="D277" s="139"/>
      <c r="E277" s="139"/>
      <c r="F277" s="139"/>
      <c r="G277" s="139"/>
      <c r="H277" s="139"/>
      <c r="I277" s="139"/>
      <c r="J277" s="139"/>
      <c r="K277" s="141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41"/>
      <c r="BG277" s="139"/>
      <c r="BH277" s="139"/>
      <c r="BI277" s="139"/>
      <c r="BJ277" s="139"/>
      <c r="BK277" s="139"/>
      <c r="BL277" s="139"/>
      <c r="BM277" s="139"/>
      <c r="BN277" s="139"/>
      <c r="BO277" s="139"/>
      <c r="BP277" s="139"/>
      <c r="BQ277" s="139"/>
      <c r="BR277" s="139"/>
      <c r="BS277" s="139"/>
      <c r="BT277" s="139"/>
      <c r="BU277" s="139"/>
      <c r="BV277" s="139"/>
      <c r="BW277" s="139"/>
      <c r="BX277" s="139"/>
      <c r="BY277" s="139"/>
      <c r="BZ277" s="139"/>
      <c r="CA277" s="139"/>
      <c r="CB277" s="139"/>
      <c r="CC277" s="139"/>
      <c r="CD277" s="139"/>
      <c r="CE277" s="139"/>
      <c r="CF277" s="0"/>
      <c r="CG277" s="0"/>
      <c r="CH277" s="0"/>
      <c r="CI277" s="0"/>
      <c r="CN277" s="0"/>
      <c r="CO277" s="0"/>
      <c r="CP277" s="0"/>
      <c r="CQ277" s="0"/>
      <c r="CR277" s="0"/>
      <c r="CW277" s="181" t="n">
        <f aca="false">EOMONTH(CW276,0)+1</f>
        <v>45200</v>
      </c>
      <c r="CX277" s="182" t="n">
        <f aca="false">IF(AF277=0,CX265,AF277)</f>
        <v>0.2</v>
      </c>
      <c r="CY277" s="182" t="n">
        <f aca="false">IF(AG277=0,CY265,AG277)</f>
        <v>0.25</v>
      </c>
      <c r="CZ277" s="182" t="n">
        <f aca="false">IF(AH277=0,CZ265,AH277)</f>
        <v>0.3</v>
      </c>
      <c r="DB277" s="161" t="n">
        <f aca="false">IF(X277=0,DB265,X277)</f>
        <v>0.16</v>
      </c>
      <c r="DC277" s="161" t="n">
        <f aca="false">IF(Y277=0,DC265,Y277)</f>
        <v>0.2</v>
      </c>
      <c r="DD277" s="161" t="n">
        <f aca="false">IF(Z277=0,DD265,Z277)</f>
        <v>0.24</v>
      </c>
      <c r="DF277" s="181" t="n">
        <f aca="false">IF(BF277=0,EOMONTH(DF276,0)+1,BF277)</f>
        <v>45200</v>
      </c>
      <c r="DG277" s="207" t="n">
        <f aca="false">IF(BG277=0,DG265,BG277)</f>
        <v>0.75</v>
      </c>
      <c r="DJ277" s="181" t="n">
        <f aca="false">CW277</f>
        <v>45200</v>
      </c>
      <c r="DK277" s="182" t="n">
        <f aca="false">IF(AJ277=0,DK265,AJ277)</f>
        <v>0.12</v>
      </c>
      <c r="DL277" s="182" t="n">
        <f aca="false">IF(AK277=0,DL265,AK277)</f>
        <v>0.15</v>
      </c>
      <c r="DM277" s="182" t="n">
        <f aca="false">IF(AL277=0,DM265,AL277)</f>
        <v>0.18</v>
      </c>
      <c r="DO277" s="182" t="n">
        <f aca="false">IF(AB277=0,DO265,AB277)</f>
        <v>0.08</v>
      </c>
      <c r="DP277" s="182" t="n">
        <f aca="false">IF(AC277=0,DP265,AC277)</f>
        <v>0.1</v>
      </c>
      <c r="DQ277" s="182" t="n">
        <f aca="false">IF(AD277=0,DQ265,AD277)</f>
        <v>0.12</v>
      </c>
    </row>
    <row r="278" customFormat="false" ht="12.75" hidden="false" customHeight="false" outlineLevel="0" collapsed="false">
      <c r="A278" s="133"/>
      <c r="B278" s="139"/>
      <c r="C278" s="139"/>
      <c r="D278" s="139"/>
      <c r="E278" s="139"/>
      <c r="F278" s="139"/>
      <c r="G278" s="139"/>
      <c r="H278" s="139"/>
      <c r="I278" s="139"/>
      <c r="J278" s="139"/>
      <c r="K278" s="141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41"/>
      <c r="BG278" s="139"/>
      <c r="BH278" s="139"/>
      <c r="BI278" s="139"/>
      <c r="BJ278" s="139"/>
      <c r="BK278" s="139"/>
      <c r="BL278" s="139"/>
      <c r="BM278" s="139"/>
      <c r="BN278" s="139"/>
      <c r="BO278" s="139"/>
      <c r="BP278" s="139"/>
      <c r="BQ278" s="139"/>
      <c r="BR278" s="139"/>
      <c r="BS278" s="139"/>
      <c r="BT278" s="139"/>
      <c r="BU278" s="139"/>
      <c r="BV278" s="139"/>
      <c r="BW278" s="139"/>
      <c r="BX278" s="139"/>
      <c r="BY278" s="139"/>
      <c r="BZ278" s="139"/>
      <c r="CA278" s="139"/>
      <c r="CB278" s="139"/>
      <c r="CC278" s="139"/>
      <c r="CD278" s="139"/>
      <c r="CE278" s="139"/>
      <c r="CF278" s="0"/>
      <c r="CG278" s="0"/>
      <c r="CH278" s="0"/>
      <c r="CI278" s="0"/>
      <c r="CN278" s="0"/>
      <c r="CO278" s="0"/>
      <c r="CP278" s="0"/>
      <c r="CQ278" s="0"/>
      <c r="CR278" s="0"/>
      <c r="CW278" s="181" t="n">
        <f aca="false">EOMONTH(CW277,0)+1</f>
        <v>45231</v>
      </c>
      <c r="CX278" s="182" t="n">
        <f aca="false">IF(AF278=0,CX266,AF278)</f>
        <v>0.2</v>
      </c>
      <c r="CY278" s="182" t="n">
        <f aca="false">IF(AG278=0,CY266,AG278)</f>
        <v>0.25</v>
      </c>
      <c r="CZ278" s="182" t="n">
        <f aca="false">IF(AH278=0,CZ266,AH278)</f>
        <v>0.3</v>
      </c>
      <c r="DB278" s="161" t="n">
        <f aca="false">IF(X278=0,DB266,X278)</f>
        <v>0.16</v>
      </c>
      <c r="DC278" s="161" t="n">
        <f aca="false">IF(Y278=0,DC266,Y278)</f>
        <v>0.2</v>
      </c>
      <c r="DD278" s="161" t="n">
        <f aca="false">IF(Z278=0,DD266,Z278)</f>
        <v>0.24</v>
      </c>
      <c r="DF278" s="181" t="n">
        <f aca="false">IF(BF278=0,EOMONTH(DF277,0)+1,BF278)</f>
        <v>45231</v>
      </c>
      <c r="DG278" s="207" t="n">
        <f aca="false">IF(BG278=0,DG266,BG278)</f>
        <v>0.75</v>
      </c>
      <c r="DJ278" s="181" t="n">
        <f aca="false">CW278</f>
        <v>45231</v>
      </c>
      <c r="DK278" s="182" t="n">
        <f aca="false">IF(AJ278=0,DK266,AJ278)</f>
        <v>0.12</v>
      </c>
      <c r="DL278" s="182" t="n">
        <f aca="false">IF(AK278=0,DL266,AK278)</f>
        <v>0.15</v>
      </c>
      <c r="DM278" s="182" t="n">
        <f aca="false">IF(AL278=0,DM266,AL278)</f>
        <v>0.18</v>
      </c>
      <c r="DO278" s="182" t="n">
        <f aca="false">IF(AB278=0,DO266,AB278)</f>
        <v>0.08</v>
      </c>
      <c r="DP278" s="182" t="n">
        <f aca="false">IF(AC278=0,DP266,AC278)</f>
        <v>0.1</v>
      </c>
      <c r="DQ278" s="182" t="n">
        <f aca="false">IF(AD278=0,DQ266,AD278)</f>
        <v>0.12</v>
      </c>
    </row>
    <row r="279" customFormat="false" ht="12.75" hidden="false" customHeight="false" outlineLevel="0" collapsed="false">
      <c r="A279" s="133"/>
      <c r="B279" s="139"/>
      <c r="C279" s="139"/>
      <c r="D279" s="139"/>
      <c r="E279" s="139"/>
      <c r="F279" s="139"/>
      <c r="G279" s="139"/>
      <c r="H279" s="139"/>
      <c r="I279" s="139"/>
      <c r="J279" s="139"/>
      <c r="K279" s="141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41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0"/>
      <c r="CG279" s="0"/>
      <c r="CH279" s="0"/>
      <c r="CI279" s="0"/>
      <c r="CN279" s="0"/>
      <c r="CO279" s="0"/>
      <c r="CP279" s="0"/>
      <c r="CQ279" s="0"/>
      <c r="CR279" s="0"/>
      <c r="CW279" s="181" t="n">
        <f aca="false">EOMONTH(CW278,0)+1</f>
        <v>45261</v>
      </c>
      <c r="CX279" s="182" t="n">
        <f aca="false">IF(AF279=0,CX267,AF279)</f>
        <v>0.2</v>
      </c>
      <c r="CY279" s="182" t="n">
        <f aca="false">IF(AG279=0,CY267,AG279)</f>
        <v>0.25</v>
      </c>
      <c r="CZ279" s="182" t="n">
        <f aca="false">IF(AH279=0,CZ267,AH279)</f>
        <v>0.3</v>
      </c>
      <c r="DB279" s="161" t="n">
        <f aca="false">IF(X279=0,DB267,X279)</f>
        <v>0.16</v>
      </c>
      <c r="DC279" s="161" t="n">
        <f aca="false">IF(Y279=0,DC267,Y279)</f>
        <v>0.2</v>
      </c>
      <c r="DD279" s="161" t="n">
        <f aca="false">IF(Z279=0,DD267,Z279)</f>
        <v>0.24</v>
      </c>
      <c r="DF279" s="181" t="n">
        <f aca="false">IF(BF279=0,EOMONTH(DF278,0)+1,BF279)</f>
        <v>45261</v>
      </c>
      <c r="DG279" s="207" t="n">
        <f aca="false">IF(BG279=0,DG267,BG279)</f>
        <v>0.75</v>
      </c>
      <c r="DJ279" s="181" t="n">
        <f aca="false">CW279</f>
        <v>45261</v>
      </c>
      <c r="DK279" s="182" t="n">
        <f aca="false">IF(AJ279=0,DK267,AJ279)</f>
        <v>0.12</v>
      </c>
      <c r="DL279" s="182" t="n">
        <f aca="false">IF(AK279=0,DL267,AK279)</f>
        <v>0.15</v>
      </c>
      <c r="DM279" s="182" t="n">
        <f aca="false">IF(AL279=0,DM267,AL279)</f>
        <v>0.18</v>
      </c>
      <c r="DO279" s="182" t="n">
        <f aca="false">IF(AB279=0,DO267,AB279)</f>
        <v>0.08</v>
      </c>
      <c r="DP279" s="182" t="n">
        <f aca="false">IF(AC279=0,DP267,AC279)</f>
        <v>0.1</v>
      </c>
      <c r="DQ279" s="182" t="n">
        <f aca="false">IF(AD279=0,DQ267,AD279)</f>
        <v>0.12</v>
      </c>
    </row>
    <row r="280" customFormat="false" ht="12.75" hidden="false" customHeight="false" outlineLevel="0" collapsed="false">
      <c r="A280" s="133"/>
      <c r="B280" s="139"/>
      <c r="C280" s="139"/>
      <c r="D280" s="139"/>
      <c r="E280" s="139"/>
      <c r="F280" s="139"/>
      <c r="G280" s="139"/>
      <c r="H280" s="139"/>
      <c r="I280" s="139"/>
      <c r="J280" s="139"/>
      <c r="K280" s="141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41"/>
      <c r="BG280" s="139"/>
      <c r="BH280" s="139"/>
      <c r="BI280" s="139"/>
      <c r="BJ280" s="139"/>
      <c r="BK280" s="139"/>
      <c r="BL280" s="139"/>
      <c r="BM280" s="139"/>
      <c r="BN280" s="139"/>
      <c r="BO280" s="139"/>
      <c r="BP280" s="139"/>
      <c r="BQ280" s="139"/>
      <c r="BR280" s="139"/>
      <c r="BS280" s="139"/>
      <c r="BT280" s="139"/>
      <c r="BU280" s="139"/>
      <c r="BV280" s="139"/>
      <c r="BW280" s="139"/>
      <c r="BX280" s="139"/>
      <c r="BY280" s="139"/>
      <c r="BZ280" s="139"/>
      <c r="CA280" s="139"/>
      <c r="CB280" s="139"/>
      <c r="CC280" s="139"/>
      <c r="CD280" s="139"/>
      <c r="CE280" s="139"/>
      <c r="CF280" s="0"/>
      <c r="CG280" s="0"/>
      <c r="CH280" s="0"/>
      <c r="CI280" s="0"/>
      <c r="CN280" s="0"/>
      <c r="CO280" s="0"/>
      <c r="CP280" s="0"/>
      <c r="CQ280" s="0"/>
      <c r="CR280" s="0"/>
      <c r="CW280" s="181" t="n">
        <f aca="false">EOMONTH(CW279,0)+1</f>
        <v>45292</v>
      </c>
      <c r="CX280" s="182" t="n">
        <f aca="false">IF(AF280=0,CX268,AF280)</f>
        <v>0.2</v>
      </c>
      <c r="CY280" s="182" t="n">
        <f aca="false">IF(AG280=0,CY268,AG280)</f>
        <v>0.25</v>
      </c>
      <c r="CZ280" s="182" t="n">
        <f aca="false">IF(AH280=0,CZ268,AH280)</f>
        <v>0.3</v>
      </c>
      <c r="DB280" s="161" t="n">
        <f aca="false">IF(X280=0,DB268,X280)</f>
        <v>0.16</v>
      </c>
      <c r="DC280" s="161" t="n">
        <f aca="false">IF(Y280=0,DC268,Y280)</f>
        <v>0.2</v>
      </c>
      <c r="DD280" s="161" t="n">
        <f aca="false">IF(Z280=0,DD268,Z280)</f>
        <v>0.24</v>
      </c>
      <c r="DF280" s="181" t="n">
        <f aca="false">IF(BF280=0,EOMONTH(DF279,0)+1,BF280)</f>
        <v>45292</v>
      </c>
      <c r="DG280" s="207" t="n">
        <f aca="false">IF(BG280=0,DG268,BG280)</f>
        <v>0.75</v>
      </c>
      <c r="DJ280" s="181" t="n">
        <f aca="false">CW280</f>
        <v>45292</v>
      </c>
      <c r="DK280" s="182" t="n">
        <f aca="false">IF(AJ280=0,DK268,AJ280)</f>
        <v>0.12</v>
      </c>
      <c r="DL280" s="182" t="n">
        <f aca="false">IF(AK280=0,DL268,AK280)</f>
        <v>0.15</v>
      </c>
      <c r="DM280" s="182" t="n">
        <f aca="false">IF(AL280=0,DM268,AL280)</f>
        <v>0.18</v>
      </c>
      <c r="DO280" s="182" t="n">
        <f aca="false">IF(AB280=0,DO268,AB280)</f>
        <v>0.08</v>
      </c>
      <c r="DP280" s="182" t="n">
        <f aca="false">IF(AC280=0,DP268,AC280)</f>
        <v>0.1</v>
      </c>
      <c r="DQ280" s="182" t="n">
        <f aca="false">IF(AD280=0,DQ268,AD280)</f>
        <v>0.12</v>
      </c>
    </row>
    <row r="281" customFormat="false" ht="12.75" hidden="false" customHeight="false" outlineLevel="0" collapsed="false">
      <c r="A281" s="133"/>
      <c r="B281" s="139"/>
      <c r="C281" s="139"/>
      <c r="D281" s="139"/>
      <c r="E281" s="139"/>
      <c r="F281" s="139"/>
      <c r="G281" s="139"/>
      <c r="H281" s="139"/>
      <c r="I281" s="139"/>
      <c r="J281" s="139"/>
      <c r="K281" s="141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41"/>
      <c r="BG281" s="139"/>
      <c r="BH281" s="139"/>
      <c r="BI281" s="139"/>
      <c r="BJ281" s="139"/>
      <c r="BK281" s="139"/>
      <c r="BL281" s="139"/>
      <c r="BM281" s="139"/>
      <c r="BN281" s="139"/>
      <c r="BO281" s="139"/>
      <c r="BP281" s="139"/>
      <c r="BQ281" s="139"/>
      <c r="BR281" s="139"/>
      <c r="BS281" s="139"/>
      <c r="BT281" s="139"/>
      <c r="BU281" s="139"/>
      <c r="BV281" s="139"/>
      <c r="BW281" s="139"/>
      <c r="BX281" s="139"/>
      <c r="BY281" s="139"/>
      <c r="BZ281" s="139"/>
      <c r="CA281" s="139"/>
      <c r="CB281" s="139"/>
      <c r="CC281" s="139"/>
      <c r="CD281" s="139"/>
      <c r="CE281" s="139"/>
      <c r="CF281" s="0"/>
      <c r="CG281" s="0"/>
      <c r="CH281" s="0"/>
      <c r="CI281" s="0"/>
      <c r="CN281" s="0"/>
      <c r="CO281" s="0"/>
      <c r="CP281" s="0"/>
      <c r="CQ281" s="0"/>
      <c r="CR281" s="0"/>
      <c r="CW281" s="181" t="n">
        <f aca="false">EOMONTH(CW280,0)+1</f>
        <v>45323</v>
      </c>
      <c r="CX281" s="182" t="n">
        <f aca="false">IF(AF281=0,CX269,AF281)</f>
        <v>0.2</v>
      </c>
      <c r="CY281" s="182" t="n">
        <f aca="false">IF(AG281=0,CY269,AG281)</f>
        <v>0.25</v>
      </c>
      <c r="CZ281" s="182" t="n">
        <f aca="false">IF(AH281=0,CZ269,AH281)</f>
        <v>0.3</v>
      </c>
      <c r="DB281" s="161" t="n">
        <f aca="false">IF(X281=0,DB269,X281)</f>
        <v>0</v>
      </c>
      <c r="DC281" s="161" t="n">
        <f aca="false">IF(Y281=0,DC269,Y281)</f>
        <v>0</v>
      </c>
      <c r="DD281" s="161" t="n">
        <f aca="false">IF(Z281=0,DD269,Z281)</f>
        <v>0</v>
      </c>
      <c r="DF281" s="181" t="n">
        <f aca="false">IF(BF281=0,EOMONTH(DF280,0)+1,BF281)</f>
        <v>45323</v>
      </c>
      <c r="DG281" s="207" t="n">
        <f aca="false">IF(BG281=0,DG269,BG281)</f>
        <v>0</v>
      </c>
      <c r="DJ281" s="181" t="n">
        <f aca="false">CW281</f>
        <v>45323</v>
      </c>
      <c r="DK281" s="182" t="n">
        <f aca="false">IF(AJ281=0,DK269,AJ281)</f>
        <v>0.12</v>
      </c>
      <c r="DL281" s="182" t="n">
        <f aca="false">IF(AK281=0,DL269,AK281)</f>
        <v>0.15</v>
      </c>
      <c r="DM281" s="182" t="n">
        <f aca="false">IF(AL281=0,DM269,AL281)</f>
        <v>0.18</v>
      </c>
      <c r="DO281" s="182" t="n">
        <f aca="false">IF(AB281=0,DO269,AB281)</f>
        <v>0</v>
      </c>
      <c r="DP281" s="182" t="n">
        <f aca="false">IF(AC281=0,DP269,AC281)</f>
        <v>0</v>
      </c>
      <c r="DQ281" s="182" t="n">
        <f aca="false">IF(AD281=0,DQ269,AD281)</f>
        <v>0</v>
      </c>
    </row>
    <row r="282" customFormat="false" ht="12.75" hidden="false" customHeight="false" outlineLevel="0" collapsed="false">
      <c r="A282" s="133"/>
      <c r="B282" s="139"/>
      <c r="C282" s="139"/>
      <c r="D282" s="139"/>
      <c r="E282" s="139"/>
      <c r="F282" s="139"/>
      <c r="G282" s="139"/>
      <c r="H282" s="139"/>
      <c r="I282" s="139"/>
      <c r="J282" s="139"/>
      <c r="K282" s="141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39"/>
      <c r="BF282" s="141"/>
      <c r="BG282" s="139"/>
      <c r="BH282" s="139"/>
      <c r="BI282" s="139"/>
      <c r="BJ282" s="139"/>
      <c r="BK282" s="139"/>
      <c r="BL282" s="139"/>
      <c r="BM282" s="139"/>
      <c r="BN282" s="139"/>
      <c r="BO282" s="139"/>
      <c r="BP282" s="139"/>
      <c r="BQ282" s="139"/>
      <c r="BR282" s="139"/>
      <c r="BS282" s="139"/>
      <c r="BT282" s="139"/>
      <c r="BU282" s="139"/>
      <c r="BV282" s="139"/>
      <c r="BW282" s="139"/>
      <c r="BX282" s="139"/>
      <c r="BY282" s="139"/>
      <c r="BZ282" s="139"/>
      <c r="CA282" s="139"/>
      <c r="CB282" s="139"/>
      <c r="CC282" s="139"/>
      <c r="CD282" s="139"/>
      <c r="CE282" s="139"/>
      <c r="CF282" s="0"/>
      <c r="CG282" s="0"/>
      <c r="CH282" s="0"/>
      <c r="CI282" s="0"/>
      <c r="CN282" s="0"/>
      <c r="CO282" s="0"/>
      <c r="CP282" s="0"/>
      <c r="CQ282" s="0"/>
      <c r="CR282" s="0"/>
      <c r="CW282" s="181" t="n">
        <f aca="false">EOMONTH(CW281,0)+1</f>
        <v>45352</v>
      </c>
      <c r="CX282" s="182" t="n">
        <f aca="false">IF(AF282=0,CX270,AF282)</f>
        <v>0.2</v>
      </c>
      <c r="CY282" s="182" t="n">
        <f aca="false">IF(AG282=0,CY270,AG282)</f>
        <v>0.25</v>
      </c>
      <c r="CZ282" s="182" t="n">
        <f aca="false">IF(AH282=0,CZ270,AH282)</f>
        <v>0.3</v>
      </c>
      <c r="DB282" s="161" t="n">
        <f aca="false">IF(X282=0,DB270,X282)</f>
        <v>0.16</v>
      </c>
      <c r="DC282" s="161" t="n">
        <f aca="false">IF(Y282=0,DC270,Y282)</f>
        <v>0.2</v>
      </c>
      <c r="DD282" s="161" t="n">
        <f aca="false">IF(Z282=0,DD270,Z282)</f>
        <v>0.24</v>
      </c>
      <c r="DF282" s="181" t="n">
        <f aca="false">IF(BF282=0,EOMONTH(DF281,0)+1,BF282)</f>
        <v>45352</v>
      </c>
      <c r="DG282" s="207" t="n">
        <f aca="false">IF(BG282=0,DG270,BG282)</f>
        <v>0.75</v>
      </c>
      <c r="DJ282" s="181" t="n">
        <f aca="false">CW282</f>
        <v>45352</v>
      </c>
      <c r="DK282" s="182" t="n">
        <f aca="false">IF(AJ282=0,DK270,AJ282)</f>
        <v>0.12</v>
      </c>
      <c r="DL282" s="182" t="n">
        <f aca="false">IF(AK282=0,DL270,AK282)</f>
        <v>0.15</v>
      </c>
      <c r="DM282" s="182" t="n">
        <f aca="false">IF(AL282=0,DM270,AL282)</f>
        <v>0.18</v>
      </c>
      <c r="DO282" s="182" t="n">
        <f aca="false">IF(AB282=0,DO270,AB282)</f>
        <v>0.08</v>
      </c>
      <c r="DP282" s="182" t="n">
        <f aca="false">IF(AC282=0,DP270,AC282)</f>
        <v>0.1</v>
      </c>
      <c r="DQ282" s="182" t="n">
        <f aca="false">IF(AD282=0,DQ270,AD282)</f>
        <v>0.12</v>
      </c>
    </row>
    <row r="283" customFormat="false" ht="12.75" hidden="false" customHeight="false" outlineLevel="0" collapsed="false">
      <c r="A283" s="133"/>
      <c r="B283" s="139"/>
      <c r="C283" s="139"/>
      <c r="D283" s="139"/>
      <c r="E283" s="139"/>
      <c r="F283" s="139"/>
      <c r="G283" s="139"/>
      <c r="H283" s="139"/>
      <c r="I283" s="139"/>
      <c r="J283" s="139"/>
      <c r="K283" s="141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41"/>
      <c r="BG283" s="139"/>
      <c r="BH283" s="139"/>
      <c r="BI283" s="139"/>
      <c r="BJ283" s="139"/>
      <c r="BK283" s="139"/>
      <c r="BL283" s="139"/>
      <c r="BM283" s="139"/>
      <c r="BN283" s="139"/>
      <c r="BO283" s="139"/>
      <c r="BP283" s="139"/>
      <c r="BQ283" s="139"/>
      <c r="BR283" s="139"/>
      <c r="BS283" s="139"/>
      <c r="BT283" s="139"/>
      <c r="BU283" s="139"/>
      <c r="BV283" s="139"/>
      <c r="BW283" s="139"/>
      <c r="BX283" s="139"/>
      <c r="BY283" s="139"/>
      <c r="BZ283" s="139"/>
      <c r="CA283" s="139"/>
      <c r="CB283" s="139"/>
      <c r="CC283" s="139"/>
      <c r="CD283" s="139"/>
      <c r="CE283" s="139"/>
      <c r="CF283" s="0"/>
      <c r="CG283" s="0"/>
      <c r="CH283" s="0"/>
      <c r="CI283" s="0"/>
      <c r="CN283" s="0"/>
      <c r="CO283" s="0"/>
      <c r="CP283" s="0"/>
      <c r="CQ283" s="0"/>
      <c r="CR283" s="0"/>
      <c r="CW283" s="181" t="n">
        <f aca="false">EOMONTH(CW282,0)+1</f>
        <v>45383</v>
      </c>
      <c r="CX283" s="182" t="n">
        <f aca="false">IF(AF283=0,CX271,AF283)</f>
        <v>0.2</v>
      </c>
      <c r="CY283" s="182" t="n">
        <f aca="false">IF(AG283=0,CY271,AG283)</f>
        <v>0.25</v>
      </c>
      <c r="CZ283" s="182" t="n">
        <f aca="false">IF(AH283=0,CZ271,AH283)</f>
        <v>0.3</v>
      </c>
      <c r="DB283" s="161" t="n">
        <f aca="false">IF(X283=0,DB271,X283)</f>
        <v>0.16</v>
      </c>
      <c r="DC283" s="161" t="n">
        <f aca="false">IF(Y283=0,DC271,Y283)</f>
        <v>0.2</v>
      </c>
      <c r="DD283" s="161" t="n">
        <f aca="false">IF(Z283=0,DD271,Z283)</f>
        <v>0.24</v>
      </c>
      <c r="DF283" s="181" t="n">
        <f aca="false">IF(BF283=0,EOMONTH(DF282,0)+1,BF283)</f>
        <v>45383</v>
      </c>
      <c r="DG283" s="207" t="n">
        <f aca="false">IF(BG283=0,DG271,BG283)</f>
        <v>0.75</v>
      </c>
      <c r="DJ283" s="181" t="n">
        <f aca="false">CW283</f>
        <v>45383</v>
      </c>
      <c r="DK283" s="182" t="n">
        <f aca="false">IF(AJ283=0,DK271,AJ283)</f>
        <v>0.12</v>
      </c>
      <c r="DL283" s="182" t="n">
        <f aca="false">IF(AK283=0,DL271,AK283)</f>
        <v>0.15</v>
      </c>
      <c r="DM283" s="182" t="n">
        <f aca="false">IF(AL283=0,DM271,AL283)</f>
        <v>0.18</v>
      </c>
      <c r="DO283" s="182" t="n">
        <f aca="false">IF(AB283=0,DO271,AB283)</f>
        <v>0.08</v>
      </c>
      <c r="DP283" s="182" t="n">
        <f aca="false">IF(AC283=0,DP271,AC283)</f>
        <v>0.1</v>
      </c>
      <c r="DQ283" s="182" t="n">
        <f aca="false">IF(AD283=0,DQ271,AD283)</f>
        <v>0.12</v>
      </c>
    </row>
    <row r="284" customFormat="false" ht="12.75" hidden="false" customHeight="false" outlineLevel="0" collapsed="false">
      <c r="A284" s="133"/>
      <c r="B284" s="139"/>
      <c r="C284" s="139"/>
      <c r="D284" s="139"/>
      <c r="E284" s="139"/>
      <c r="F284" s="139"/>
      <c r="G284" s="139"/>
      <c r="H284" s="139"/>
      <c r="I284" s="139"/>
      <c r="J284" s="139"/>
      <c r="K284" s="141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41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  <c r="BT284" s="139"/>
      <c r="BU284" s="139"/>
      <c r="BV284" s="139"/>
      <c r="BW284" s="139"/>
      <c r="BX284" s="139"/>
      <c r="BY284" s="139"/>
      <c r="BZ284" s="139"/>
      <c r="CA284" s="139"/>
      <c r="CB284" s="139"/>
      <c r="CC284" s="139"/>
      <c r="CD284" s="139"/>
      <c r="CE284" s="139"/>
      <c r="CF284" s="0"/>
      <c r="CG284" s="0"/>
      <c r="CH284" s="0"/>
      <c r="CI284" s="0"/>
      <c r="CN284" s="0"/>
      <c r="CO284" s="0"/>
      <c r="CP284" s="0"/>
      <c r="CQ284" s="0"/>
      <c r="CR284" s="0"/>
      <c r="CW284" s="181" t="n">
        <f aca="false">EOMONTH(CW283,0)+1</f>
        <v>45413</v>
      </c>
      <c r="CX284" s="182" t="n">
        <f aca="false">IF(AF284=0,CX272,AF284)</f>
        <v>0.2</v>
      </c>
      <c r="CY284" s="182" t="n">
        <f aca="false">IF(AG284=0,CY272,AG284)</f>
        <v>0.25</v>
      </c>
      <c r="CZ284" s="182" t="n">
        <f aca="false">IF(AH284=0,CZ272,AH284)</f>
        <v>0.3</v>
      </c>
      <c r="DB284" s="161" t="n">
        <f aca="false">IF(X284=0,DB272,X284)</f>
        <v>0.16</v>
      </c>
      <c r="DC284" s="161" t="n">
        <f aca="false">IF(Y284=0,DC272,Y284)</f>
        <v>0.2</v>
      </c>
      <c r="DD284" s="161" t="n">
        <f aca="false">IF(Z284=0,DD272,Z284)</f>
        <v>0.24</v>
      </c>
      <c r="DF284" s="181" t="n">
        <f aca="false">IF(BF284=0,EOMONTH(DF283,0)+1,BF284)</f>
        <v>45413</v>
      </c>
      <c r="DG284" s="207" t="n">
        <f aca="false">IF(BG284=0,DG272,BG284)</f>
        <v>0.75</v>
      </c>
      <c r="DJ284" s="181" t="n">
        <f aca="false">CW284</f>
        <v>45413</v>
      </c>
      <c r="DK284" s="182" t="n">
        <f aca="false">IF(AJ284=0,DK272,AJ284)</f>
        <v>0.12</v>
      </c>
      <c r="DL284" s="182" t="n">
        <f aca="false">IF(AK284=0,DL272,AK284)</f>
        <v>0.15</v>
      </c>
      <c r="DM284" s="182" t="n">
        <f aca="false">IF(AL284=0,DM272,AL284)</f>
        <v>0.18</v>
      </c>
      <c r="DO284" s="182" t="n">
        <f aca="false">IF(AB284=0,DO272,AB284)</f>
        <v>0.08</v>
      </c>
      <c r="DP284" s="182" t="n">
        <f aca="false">IF(AC284=0,DP272,AC284)</f>
        <v>0.1</v>
      </c>
      <c r="DQ284" s="182" t="n">
        <f aca="false">IF(AD284=0,DQ272,AD284)</f>
        <v>0.12</v>
      </c>
    </row>
    <row r="285" customFormat="false" ht="12.75" hidden="false" customHeight="false" outlineLevel="0" collapsed="false">
      <c r="A285" s="133"/>
      <c r="B285" s="139"/>
      <c r="C285" s="139"/>
      <c r="D285" s="139"/>
      <c r="E285" s="139"/>
      <c r="F285" s="139"/>
      <c r="G285" s="139"/>
      <c r="H285" s="139"/>
      <c r="I285" s="139"/>
      <c r="J285" s="139"/>
      <c r="K285" s="141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41"/>
      <c r="BG285" s="139"/>
      <c r="BH285" s="139"/>
      <c r="BI285" s="139"/>
      <c r="BJ285" s="139"/>
      <c r="BK285" s="139"/>
      <c r="BL285" s="139"/>
      <c r="BM285" s="139"/>
      <c r="BN285" s="139"/>
      <c r="BO285" s="139"/>
      <c r="BP285" s="139"/>
      <c r="BQ285" s="139"/>
      <c r="BR285" s="139"/>
      <c r="BS285" s="139"/>
      <c r="BT285" s="139"/>
      <c r="BU285" s="139"/>
      <c r="BV285" s="139"/>
      <c r="BW285" s="139"/>
      <c r="BX285" s="139"/>
      <c r="BY285" s="139"/>
      <c r="BZ285" s="139"/>
      <c r="CA285" s="139"/>
      <c r="CB285" s="139"/>
      <c r="CC285" s="139"/>
      <c r="CD285" s="139"/>
      <c r="CE285" s="139"/>
      <c r="CF285" s="0"/>
      <c r="CG285" s="0"/>
      <c r="CH285" s="0"/>
      <c r="CI285" s="0"/>
      <c r="CN285" s="0"/>
      <c r="CO285" s="0"/>
      <c r="CP285" s="0"/>
      <c r="CQ285" s="0"/>
      <c r="CR285" s="0"/>
      <c r="CW285" s="181" t="n">
        <f aca="false">EOMONTH(CW284,0)+1</f>
        <v>45444</v>
      </c>
      <c r="CX285" s="182" t="n">
        <f aca="false">IF(AF285=0,CX273,AF285)</f>
        <v>0.2</v>
      </c>
      <c r="CY285" s="182" t="n">
        <f aca="false">IF(AG285=0,CY273,AG285)</f>
        <v>0.25</v>
      </c>
      <c r="CZ285" s="182" t="n">
        <f aca="false">IF(AH285=0,CZ273,AH285)</f>
        <v>0.3</v>
      </c>
      <c r="DB285" s="161" t="n">
        <f aca="false">IF(X285=0,DB273,X285)</f>
        <v>0.16</v>
      </c>
      <c r="DC285" s="161" t="n">
        <f aca="false">IF(Y285=0,DC273,Y285)</f>
        <v>0.2</v>
      </c>
      <c r="DD285" s="161" t="n">
        <f aca="false">IF(Z285=0,DD273,Z285)</f>
        <v>0.24</v>
      </c>
      <c r="DF285" s="181" t="n">
        <f aca="false">IF(BF285=0,EOMONTH(DF284,0)+1,BF285)</f>
        <v>45444</v>
      </c>
      <c r="DG285" s="207" t="n">
        <f aca="false">IF(BG285=0,DG273,BG285)</f>
        <v>0.75</v>
      </c>
      <c r="DJ285" s="181" t="n">
        <f aca="false">CW285</f>
        <v>45444</v>
      </c>
      <c r="DK285" s="182" t="n">
        <f aca="false">IF(AJ285=0,DK273,AJ285)</f>
        <v>0.12</v>
      </c>
      <c r="DL285" s="182" t="n">
        <f aca="false">IF(AK285=0,DL273,AK285)</f>
        <v>0.15</v>
      </c>
      <c r="DM285" s="182" t="n">
        <f aca="false">IF(AL285=0,DM273,AL285)</f>
        <v>0.18</v>
      </c>
      <c r="DO285" s="182" t="n">
        <f aca="false">IF(AB285=0,DO273,AB285)</f>
        <v>0.08</v>
      </c>
      <c r="DP285" s="182" t="n">
        <f aca="false">IF(AC285=0,DP273,AC285)</f>
        <v>0.1</v>
      </c>
      <c r="DQ285" s="182" t="n">
        <f aca="false">IF(AD285=0,DQ273,AD285)</f>
        <v>0.12</v>
      </c>
    </row>
    <row r="286" customFormat="false" ht="12.75" hidden="false" customHeight="false" outlineLevel="0" collapsed="false">
      <c r="A286" s="133"/>
      <c r="B286" s="139"/>
      <c r="C286" s="139"/>
      <c r="D286" s="139"/>
      <c r="E286" s="139"/>
      <c r="F286" s="139"/>
      <c r="G286" s="139"/>
      <c r="H286" s="139"/>
      <c r="I286" s="139"/>
      <c r="J286" s="139"/>
      <c r="K286" s="141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41"/>
      <c r="BG286" s="139"/>
      <c r="BH286" s="139"/>
      <c r="BI286" s="139"/>
      <c r="BJ286" s="139"/>
      <c r="BK286" s="139"/>
      <c r="BL286" s="139"/>
      <c r="BM286" s="139"/>
      <c r="BN286" s="139"/>
      <c r="BO286" s="139"/>
      <c r="BP286" s="139"/>
      <c r="BQ286" s="139"/>
      <c r="BR286" s="139"/>
      <c r="BS286" s="139"/>
      <c r="BT286" s="139"/>
      <c r="BU286" s="139"/>
      <c r="BV286" s="139"/>
      <c r="BW286" s="139"/>
      <c r="BX286" s="139"/>
      <c r="BY286" s="139"/>
      <c r="BZ286" s="139"/>
      <c r="CA286" s="139"/>
      <c r="CB286" s="139"/>
      <c r="CC286" s="139"/>
      <c r="CD286" s="139"/>
      <c r="CE286" s="139"/>
      <c r="CF286" s="0"/>
      <c r="CG286" s="0"/>
      <c r="CH286" s="0"/>
      <c r="CI286" s="0"/>
      <c r="CN286" s="0"/>
      <c r="CO286" s="0"/>
      <c r="CP286" s="0"/>
      <c r="CQ286" s="0"/>
      <c r="CR286" s="0"/>
      <c r="CW286" s="181" t="n">
        <f aca="false">EOMONTH(CW285,0)+1</f>
        <v>45474</v>
      </c>
      <c r="CX286" s="182" t="n">
        <f aca="false">IF(AF286=0,CX274,AF286)</f>
        <v>0.2</v>
      </c>
      <c r="CY286" s="182" t="n">
        <f aca="false">IF(AG286=0,CY274,AG286)</f>
        <v>0.25</v>
      </c>
      <c r="CZ286" s="182" t="n">
        <f aca="false">IF(AH286=0,CZ274,AH286)</f>
        <v>0.3</v>
      </c>
      <c r="DB286" s="161" t="n">
        <f aca="false">IF(X286=0,DB274,X286)</f>
        <v>0.16</v>
      </c>
      <c r="DC286" s="161" t="n">
        <f aca="false">IF(Y286=0,DC274,Y286)</f>
        <v>0.2</v>
      </c>
      <c r="DD286" s="161" t="n">
        <f aca="false">IF(Z286=0,DD274,Z286)</f>
        <v>0.24</v>
      </c>
      <c r="DF286" s="181" t="n">
        <f aca="false">IF(BF286=0,EOMONTH(DF285,0)+1,BF286)</f>
        <v>45474</v>
      </c>
      <c r="DG286" s="207" t="n">
        <f aca="false">IF(BG286=0,DG274,BG286)</f>
        <v>0.75</v>
      </c>
      <c r="DJ286" s="181" t="n">
        <f aca="false">CW286</f>
        <v>45474</v>
      </c>
      <c r="DK286" s="182" t="n">
        <f aca="false">IF(AJ286=0,DK274,AJ286)</f>
        <v>0.12</v>
      </c>
      <c r="DL286" s="182" t="n">
        <f aca="false">IF(AK286=0,DL274,AK286)</f>
        <v>0.15</v>
      </c>
      <c r="DM286" s="182" t="n">
        <f aca="false">IF(AL286=0,DM274,AL286)</f>
        <v>0.18</v>
      </c>
      <c r="DO286" s="182" t="n">
        <f aca="false">IF(AB286=0,DO274,AB286)</f>
        <v>0.08</v>
      </c>
      <c r="DP286" s="182" t="n">
        <f aca="false">IF(AC286=0,DP274,AC286)</f>
        <v>0.1</v>
      </c>
      <c r="DQ286" s="182" t="n">
        <f aca="false">IF(AD286=0,DQ274,AD286)</f>
        <v>0.12</v>
      </c>
    </row>
    <row r="287" customFormat="false" ht="12.75" hidden="false" customHeight="false" outlineLevel="0" collapsed="false">
      <c r="A287" s="133"/>
      <c r="B287" s="139"/>
      <c r="C287" s="139"/>
      <c r="D287" s="139"/>
      <c r="E287" s="139"/>
      <c r="F287" s="139"/>
      <c r="G287" s="139"/>
      <c r="H287" s="139"/>
      <c r="I287" s="139"/>
      <c r="J287" s="139"/>
      <c r="K287" s="141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41"/>
      <c r="BG287" s="139"/>
      <c r="BH287" s="139"/>
      <c r="BI287" s="139"/>
      <c r="BJ287" s="139"/>
      <c r="BK287" s="139"/>
      <c r="BL287" s="139"/>
      <c r="BM287" s="139"/>
      <c r="BN287" s="139"/>
      <c r="BO287" s="139"/>
      <c r="BP287" s="139"/>
      <c r="BQ287" s="139"/>
      <c r="BR287" s="139"/>
      <c r="BS287" s="139"/>
      <c r="BT287" s="139"/>
      <c r="BU287" s="139"/>
      <c r="BV287" s="139"/>
      <c r="BW287" s="139"/>
      <c r="BX287" s="139"/>
      <c r="BY287" s="139"/>
      <c r="BZ287" s="139"/>
      <c r="CA287" s="139"/>
      <c r="CB287" s="139"/>
      <c r="CC287" s="139"/>
      <c r="CD287" s="139"/>
      <c r="CE287" s="139"/>
      <c r="CF287" s="0"/>
      <c r="CG287" s="0"/>
      <c r="CH287" s="0"/>
      <c r="CI287" s="0"/>
      <c r="CN287" s="0"/>
      <c r="CO287" s="0"/>
      <c r="CP287" s="0"/>
      <c r="CQ287" s="0"/>
      <c r="CR287" s="0"/>
      <c r="CW287" s="181" t="n">
        <f aca="false">EOMONTH(CW286,0)+1</f>
        <v>45505</v>
      </c>
      <c r="CX287" s="182" t="n">
        <f aca="false">IF(AF287=0,CX275,AF287)</f>
        <v>0.32</v>
      </c>
      <c r="CY287" s="182" t="n">
        <f aca="false">IF(AG287=0,CY275,AG287)</f>
        <v>0.4</v>
      </c>
      <c r="CZ287" s="182" t="n">
        <f aca="false">IF(AH287=0,CZ275,AH287)</f>
        <v>0.48</v>
      </c>
      <c r="DB287" s="161" t="n">
        <f aca="false">IF(X287=0,DB275,X287)</f>
        <v>0.24</v>
      </c>
      <c r="DC287" s="161" t="n">
        <f aca="false">IF(Y287=0,DC275,Y287)</f>
        <v>0.3</v>
      </c>
      <c r="DD287" s="161" t="n">
        <f aca="false">IF(Z287=0,DD275,Z287)</f>
        <v>0.36</v>
      </c>
      <c r="DF287" s="181" t="n">
        <f aca="false">IF(BF287=0,EOMONTH(DF286,0)+1,BF287)</f>
        <v>45505</v>
      </c>
      <c r="DG287" s="207" t="n">
        <f aca="false">IF(BG287=0,DG275,BG287)</f>
        <v>0.75</v>
      </c>
      <c r="DJ287" s="181" t="n">
        <f aca="false">CW287</f>
        <v>45505</v>
      </c>
      <c r="DK287" s="182" t="n">
        <f aca="false">IF(AJ287=0,DK275,AJ287)</f>
        <v>0.192</v>
      </c>
      <c r="DL287" s="182" t="n">
        <f aca="false">IF(AK287=0,DL275,AK287)</f>
        <v>0.24</v>
      </c>
      <c r="DM287" s="182" t="n">
        <f aca="false">IF(AL287=0,DM275,AL287)</f>
        <v>0.288</v>
      </c>
      <c r="DO287" s="182" t="n">
        <f aca="false">IF(AB287=0,DO275,AB287)</f>
        <v>0.12</v>
      </c>
      <c r="DP287" s="182" t="n">
        <f aca="false">IF(AC287=0,DP275,AC287)</f>
        <v>0.15</v>
      </c>
      <c r="DQ287" s="182" t="n">
        <f aca="false">IF(AD287=0,DQ275,AD287)</f>
        <v>0.18</v>
      </c>
    </row>
    <row r="288" customFormat="false" ht="12.75" hidden="false" customHeight="false" outlineLevel="0" collapsed="false">
      <c r="A288" s="133"/>
      <c r="B288" s="139"/>
      <c r="C288" s="139"/>
      <c r="D288" s="139"/>
      <c r="E288" s="139"/>
      <c r="F288" s="139"/>
      <c r="G288" s="139"/>
      <c r="H288" s="139"/>
      <c r="I288" s="139"/>
      <c r="J288" s="139"/>
      <c r="K288" s="141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41"/>
      <c r="BG288" s="139"/>
      <c r="BH288" s="139"/>
      <c r="BI288" s="139"/>
      <c r="BJ288" s="139"/>
      <c r="BK288" s="139"/>
      <c r="BL288" s="139"/>
      <c r="BM288" s="139"/>
      <c r="BN288" s="139"/>
      <c r="BO288" s="139"/>
      <c r="BP288" s="139"/>
      <c r="BQ288" s="139"/>
      <c r="BR288" s="139"/>
      <c r="BS288" s="139"/>
      <c r="BT288" s="139"/>
      <c r="BU288" s="139"/>
      <c r="BV288" s="139"/>
      <c r="BW288" s="139"/>
      <c r="BX288" s="139"/>
      <c r="BY288" s="139"/>
      <c r="BZ288" s="139"/>
      <c r="CA288" s="139"/>
      <c r="CB288" s="139"/>
      <c r="CC288" s="139"/>
      <c r="CD288" s="139"/>
      <c r="CE288" s="139"/>
      <c r="CF288" s="0"/>
      <c r="CG288" s="0"/>
      <c r="CH288" s="0"/>
      <c r="CI288" s="0"/>
      <c r="CN288" s="0"/>
      <c r="CO288" s="0"/>
      <c r="CP288" s="0"/>
      <c r="CQ288" s="0"/>
      <c r="CR288" s="0"/>
      <c r="CW288" s="181" t="n">
        <f aca="false">EOMONTH(CW287,0)+1</f>
        <v>45536</v>
      </c>
      <c r="CX288" s="182" t="n">
        <f aca="false">IF(AF288=0,CX276,AF288)</f>
        <v>0.32</v>
      </c>
      <c r="CY288" s="182" t="n">
        <f aca="false">IF(AG288=0,CY276,AG288)</f>
        <v>0.4</v>
      </c>
      <c r="CZ288" s="182" t="n">
        <f aca="false">IF(AH288=0,CZ276,AH288)</f>
        <v>0.48</v>
      </c>
      <c r="DB288" s="161" t="n">
        <f aca="false">IF(X288=0,DB276,X288)</f>
        <v>0.24</v>
      </c>
      <c r="DC288" s="161" t="n">
        <f aca="false">IF(Y288=0,DC276,Y288)</f>
        <v>0.3</v>
      </c>
      <c r="DD288" s="161" t="n">
        <f aca="false">IF(Z288=0,DD276,Z288)</f>
        <v>0.36</v>
      </c>
      <c r="DF288" s="181" t="n">
        <f aca="false">IF(BF288=0,EOMONTH(DF287,0)+1,BF288)</f>
        <v>45536</v>
      </c>
      <c r="DG288" s="207" t="n">
        <f aca="false">IF(BG288=0,DG276,BG288)</f>
        <v>0.75</v>
      </c>
      <c r="DJ288" s="181" t="n">
        <f aca="false">CW288</f>
        <v>45536</v>
      </c>
      <c r="DK288" s="182" t="n">
        <f aca="false">IF(AJ288=0,DK276,AJ288)</f>
        <v>0.192</v>
      </c>
      <c r="DL288" s="182" t="n">
        <f aca="false">IF(AK288=0,DL276,AK288)</f>
        <v>0.24</v>
      </c>
      <c r="DM288" s="182" t="n">
        <f aca="false">IF(AL288=0,DM276,AL288)</f>
        <v>0.288</v>
      </c>
      <c r="DO288" s="182" t="n">
        <f aca="false">IF(AB288=0,DO276,AB288)</f>
        <v>0.12</v>
      </c>
      <c r="DP288" s="182" t="n">
        <f aca="false">IF(AC288=0,DP276,AC288)</f>
        <v>0.15</v>
      </c>
      <c r="DQ288" s="182" t="n">
        <f aca="false">IF(AD288=0,DQ276,AD288)</f>
        <v>0.18</v>
      </c>
    </row>
    <row r="289" customFormat="false" ht="12.75" hidden="false" customHeight="false" outlineLevel="0" collapsed="false">
      <c r="A289" s="133"/>
      <c r="B289" s="139"/>
      <c r="C289" s="139"/>
      <c r="D289" s="139"/>
      <c r="E289" s="139"/>
      <c r="F289" s="139"/>
      <c r="G289" s="139"/>
      <c r="H289" s="139"/>
      <c r="I289" s="139"/>
      <c r="J289" s="139"/>
      <c r="K289" s="141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41"/>
      <c r="BG289" s="139"/>
      <c r="BH289" s="139"/>
      <c r="BI289" s="139"/>
      <c r="BJ289" s="139"/>
      <c r="BK289" s="139"/>
      <c r="BL289" s="139"/>
      <c r="BM289" s="139"/>
      <c r="BN289" s="139"/>
      <c r="BO289" s="139"/>
      <c r="BP289" s="139"/>
      <c r="BQ289" s="139"/>
      <c r="BR289" s="139"/>
      <c r="BS289" s="139"/>
      <c r="BT289" s="139"/>
      <c r="BU289" s="139"/>
      <c r="BV289" s="139"/>
      <c r="BW289" s="139"/>
      <c r="BX289" s="139"/>
      <c r="BY289" s="139"/>
      <c r="BZ289" s="139"/>
      <c r="CA289" s="139"/>
      <c r="CB289" s="139"/>
      <c r="CC289" s="139"/>
      <c r="CD289" s="139"/>
      <c r="CE289" s="139"/>
      <c r="CF289" s="0"/>
      <c r="CG289" s="0"/>
      <c r="CH289" s="0"/>
      <c r="CI289" s="0"/>
      <c r="CN289" s="0"/>
      <c r="CO289" s="0"/>
      <c r="CP289" s="0"/>
      <c r="CQ289" s="0"/>
      <c r="CR289" s="0"/>
      <c r="CW289" s="181" t="n">
        <f aca="false">EOMONTH(CW288,0)+1</f>
        <v>45566</v>
      </c>
      <c r="CX289" s="182" t="n">
        <f aca="false">IF(AF289=0,CX277,AF289)</f>
        <v>0.2</v>
      </c>
      <c r="CY289" s="182" t="n">
        <f aca="false">IF(AG289=0,CY277,AG289)</f>
        <v>0.25</v>
      </c>
      <c r="CZ289" s="182" t="n">
        <f aca="false">IF(AH289=0,CZ277,AH289)</f>
        <v>0.3</v>
      </c>
      <c r="DB289" s="161" t="n">
        <f aca="false">IF(X289=0,DB277,X289)</f>
        <v>0.16</v>
      </c>
      <c r="DC289" s="161" t="n">
        <f aca="false">IF(Y289=0,DC277,Y289)</f>
        <v>0.2</v>
      </c>
      <c r="DD289" s="161" t="n">
        <f aca="false">IF(Z289=0,DD277,Z289)</f>
        <v>0.24</v>
      </c>
      <c r="DF289" s="181" t="n">
        <f aca="false">IF(BF289=0,EOMONTH(DF288,0)+1,BF289)</f>
        <v>45566</v>
      </c>
      <c r="DG289" s="207" t="n">
        <f aca="false">IF(BG289=0,DG277,BG289)</f>
        <v>0.75</v>
      </c>
      <c r="DJ289" s="181" t="n">
        <f aca="false">CW289</f>
        <v>45566</v>
      </c>
      <c r="DK289" s="182" t="n">
        <f aca="false">IF(AJ289=0,DK277,AJ289)</f>
        <v>0.12</v>
      </c>
      <c r="DL289" s="182" t="n">
        <f aca="false">IF(AK289=0,DL277,AK289)</f>
        <v>0.15</v>
      </c>
      <c r="DM289" s="182" t="n">
        <f aca="false">IF(AL289=0,DM277,AL289)</f>
        <v>0.18</v>
      </c>
      <c r="DO289" s="182" t="n">
        <f aca="false">IF(AB289=0,DO277,AB289)</f>
        <v>0.08</v>
      </c>
      <c r="DP289" s="182" t="n">
        <f aca="false">IF(AC289=0,DP277,AC289)</f>
        <v>0.1</v>
      </c>
      <c r="DQ289" s="182" t="n">
        <f aca="false">IF(AD289=0,DQ277,AD289)</f>
        <v>0.12</v>
      </c>
    </row>
    <row r="290" customFormat="false" ht="12.75" hidden="false" customHeight="false" outlineLevel="0" collapsed="false">
      <c r="A290" s="133"/>
      <c r="B290" s="139"/>
      <c r="C290" s="139"/>
      <c r="D290" s="139"/>
      <c r="E290" s="139"/>
      <c r="F290" s="139"/>
      <c r="G290" s="139"/>
      <c r="H290" s="139"/>
      <c r="I290" s="139"/>
      <c r="J290" s="139"/>
      <c r="K290" s="141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41"/>
      <c r="BG290" s="139"/>
      <c r="BH290" s="139"/>
      <c r="BI290" s="139"/>
      <c r="BJ290" s="139"/>
      <c r="BK290" s="139"/>
      <c r="BL290" s="139"/>
      <c r="BM290" s="139"/>
      <c r="BN290" s="139"/>
      <c r="BO290" s="139"/>
      <c r="BP290" s="139"/>
      <c r="BQ290" s="139"/>
      <c r="BR290" s="139"/>
      <c r="BS290" s="139"/>
      <c r="BT290" s="139"/>
      <c r="BU290" s="139"/>
      <c r="BV290" s="139"/>
      <c r="BW290" s="139"/>
      <c r="BX290" s="139"/>
      <c r="BY290" s="139"/>
      <c r="BZ290" s="139"/>
      <c r="CA290" s="139"/>
      <c r="CB290" s="139"/>
      <c r="CC290" s="139"/>
      <c r="CD290" s="139"/>
      <c r="CE290" s="139"/>
      <c r="CF290" s="0"/>
      <c r="CG290" s="0"/>
      <c r="CH290" s="0"/>
      <c r="CI290" s="0"/>
      <c r="CN290" s="0"/>
      <c r="CO290" s="0"/>
      <c r="CP290" s="0"/>
      <c r="CQ290" s="0"/>
      <c r="CR290" s="0"/>
      <c r="CW290" s="181" t="n">
        <f aca="false">EOMONTH(CW289,0)+1</f>
        <v>45597</v>
      </c>
      <c r="CX290" s="182" t="n">
        <f aca="false">IF(AF290=0,CX278,AF290)</f>
        <v>0.2</v>
      </c>
      <c r="CY290" s="182" t="n">
        <f aca="false">IF(AG290=0,CY278,AG290)</f>
        <v>0.25</v>
      </c>
      <c r="CZ290" s="182" t="n">
        <f aca="false">IF(AH290=0,CZ278,AH290)</f>
        <v>0.3</v>
      </c>
      <c r="DB290" s="161" t="n">
        <f aca="false">IF(X290=0,DB278,X290)</f>
        <v>0.16</v>
      </c>
      <c r="DC290" s="161" t="n">
        <f aca="false">IF(Y290=0,DC278,Y290)</f>
        <v>0.2</v>
      </c>
      <c r="DD290" s="161" t="n">
        <f aca="false">IF(Z290=0,DD278,Z290)</f>
        <v>0.24</v>
      </c>
      <c r="DF290" s="181" t="n">
        <f aca="false">IF(BF290=0,EOMONTH(DF289,0)+1,BF290)</f>
        <v>45597</v>
      </c>
      <c r="DG290" s="207" t="n">
        <f aca="false">IF(BG290=0,DG278,BG290)</f>
        <v>0.75</v>
      </c>
      <c r="DJ290" s="181" t="n">
        <f aca="false">CW290</f>
        <v>45597</v>
      </c>
      <c r="DK290" s="182" t="n">
        <f aca="false">IF(AJ290=0,DK278,AJ290)</f>
        <v>0.12</v>
      </c>
      <c r="DL290" s="182" t="n">
        <f aca="false">IF(AK290=0,DL278,AK290)</f>
        <v>0.15</v>
      </c>
      <c r="DM290" s="182" t="n">
        <f aca="false">IF(AL290=0,DM278,AL290)</f>
        <v>0.18</v>
      </c>
      <c r="DO290" s="182" t="n">
        <f aca="false">IF(AB290=0,DO278,AB290)</f>
        <v>0.08</v>
      </c>
      <c r="DP290" s="182" t="n">
        <f aca="false">IF(AC290=0,DP278,AC290)</f>
        <v>0.1</v>
      </c>
      <c r="DQ290" s="182" t="n">
        <f aca="false">IF(AD290=0,DQ278,AD290)</f>
        <v>0.12</v>
      </c>
    </row>
    <row r="291" customFormat="false" ht="12.75" hidden="false" customHeight="false" outlineLevel="0" collapsed="false">
      <c r="A291" s="133"/>
      <c r="B291" s="139"/>
      <c r="C291" s="139"/>
      <c r="D291" s="139"/>
      <c r="E291" s="139"/>
      <c r="F291" s="139"/>
      <c r="G291" s="139"/>
      <c r="H291" s="139"/>
      <c r="I291" s="139"/>
      <c r="J291" s="139"/>
      <c r="K291" s="141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39"/>
      <c r="BB291" s="139"/>
      <c r="BC291" s="139"/>
      <c r="BD291" s="139"/>
      <c r="BE291" s="139"/>
      <c r="BF291" s="141"/>
      <c r="BG291" s="139"/>
      <c r="BH291" s="139"/>
      <c r="BI291" s="139"/>
      <c r="BJ291" s="139"/>
      <c r="BK291" s="139"/>
      <c r="BL291" s="139"/>
      <c r="BM291" s="139"/>
      <c r="BN291" s="139"/>
      <c r="BO291" s="139"/>
      <c r="BP291" s="139"/>
      <c r="BQ291" s="139"/>
      <c r="BR291" s="139"/>
      <c r="BS291" s="139"/>
      <c r="BT291" s="139"/>
      <c r="BU291" s="139"/>
      <c r="BV291" s="139"/>
      <c r="BW291" s="139"/>
      <c r="BX291" s="139"/>
      <c r="BY291" s="139"/>
      <c r="BZ291" s="139"/>
      <c r="CA291" s="139"/>
      <c r="CB291" s="139"/>
      <c r="CC291" s="139"/>
      <c r="CD291" s="139"/>
      <c r="CE291" s="139"/>
      <c r="CF291" s="0"/>
      <c r="CG291" s="0"/>
      <c r="CH291" s="0"/>
      <c r="CI291" s="0"/>
      <c r="CN291" s="0"/>
      <c r="CO291" s="0"/>
      <c r="CP291" s="0"/>
      <c r="CQ291" s="0"/>
      <c r="CR291" s="0"/>
      <c r="CS291" s="0"/>
      <c r="CT291" s="209"/>
      <c r="CU291" s="210"/>
      <c r="CV291" s="210"/>
      <c r="CW291" s="181" t="n">
        <f aca="false">EOMONTH(CW290,0)+1</f>
        <v>45627</v>
      </c>
      <c r="CX291" s="182" t="n">
        <f aca="false">IF(AF291=0,CX279,AF291)</f>
        <v>0.2</v>
      </c>
      <c r="CY291" s="182" t="n">
        <f aca="false">IF(AG291=0,CY279,AG291)</f>
        <v>0.25</v>
      </c>
      <c r="CZ291" s="182" t="n">
        <f aca="false">IF(AH291=0,CZ279,AH291)</f>
        <v>0.3</v>
      </c>
      <c r="DB291" s="161" t="n">
        <f aca="false">IF(X291=0,DB279,X291)</f>
        <v>0.16</v>
      </c>
      <c r="DC291" s="161" t="n">
        <f aca="false">IF(Y291=0,DC279,Y291)</f>
        <v>0.2</v>
      </c>
      <c r="DD291" s="161" t="n">
        <f aca="false">IF(Z291=0,DD279,Z291)</f>
        <v>0.24</v>
      </c>
      <c r="DE291" s="211"/>
      <c r="DF291" s="181" t="n">
        <f aca="false">IF(BF291=0,EOMONTH(DF290,0)+1,BF291)</f>
        <v>45627</v>
      </c>
      <c r="DG291" s="207" t="n">
        <f aca="false">IF(BG291=0,DG279,BG291)</f>
        <v>0.75</v>
      </c>
      <c r="DJ291" s="181" t="n">
        <f aca="false">CW291</f>
        <v>45627</v>
      </c>
      <c r="DK291" s="182" t="n">
        <f aca="false">IF(AJ291=0,DK279,AJ291)</f>
        <v>0.12</v>
      </c>
      <c r="DL291" s="182" t="n">
        <f aca="false">IF(AK291=0,DL279,AK291)</f>
        <v>0.15</v>
      </c>
      <c r="DM291" s="182" t="n">
        <f aca="false">IF(AL291=0,DM279,AL291)</f>
        <v>0.18</v>
      </c>
      <c r="DO291" s="182" t="n">
        <f aca="false">IF(AB291=0,DO279,AB291)</f>
        <v>0.08</v>
      </c>
      <c r="DP291" s="182" t="n">
        <f aca="false">IF(AC291=0,DP279,AC291)</f>
        <v>0.1</v>
      </c>
      <c r="DQ291" s="182" t="n">
        <f aca="false">IF(AD291=0,DQ279,AD291)</f>
        <v>0.12</v>
      </c>
    </row>
    <row r="292" customFormat="false" ht="12.75" hidden="false" customHeight="false" outlineLevel="0" collapsed="false">
      <c r="A292" s="133"/>
      <c r="B292" s="139"/>
      <c r="C292" s="139"/>
      <c r="D292" s="139"/>
      <c r="E292" s="139"/>
      <c r="F292" s="139"/>
      <c r="G292" s="139"/>
      <c r="H292" s="139"/>
      <c r="I292" s="139"/>
      <c r="J292" s="139"/>
      <c r="K292" s="141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  <c r="AX292" s="139"/>
      <c r="AY292" s="139"/>
      <c r="AZ292" s="139"/>
      <c r="BA292" s="139"/>
      <c r="BB292" s="139"/>
      <c r="BC292" s="139"/>
      <c r="BD292" s="139"/>
      <c r="BE292" s="139"/>
      <c r="BF292" s="141"/>
      <c r="BG292" s="139"/>
      <c r="BH292" s="139"/>
      <c r="BI292" s="139"/>
      <c r="BJ292" s="139"/>
      <c r="BK292" s="139"/>
      <c r="BL292" s="139"/>
      <c r="BM292" s="139"/>
      <c r="BN292" s="139"/>
      <c r="BO292" s="139"/>
      <c r="BP292" s="139"/>
      <c r="BQ292" s="139"/>
      <c r="BR292" s="139"/>
      <c r="BS292" s="139"/>
      <c r="BT292" s="139"/>
      <c r="BU292" s="139"/>
      <c r="BV292" s="139"/>
      <c r="BW292" s="139"/>
      <c r="BX292" s="139"/>
      <c r="BY292" s="139"/>
      <c r="BZ292" s="139"/>
      <c r="CA292" s="139"/>
      <c r="CB292" s="139"/>
      <c r="CC292" s="139"/>
      <c r="CD292" s="139"/>
      <c r="CE292" s="139"/>
      <c r="CF292" s="0"/>
      <c r="CG292" s="0"/>
      <c r="CH292" s="0"/>
      <c r="CI292" s="0"/>
      <c r="CN292" s="0"/>
      <c r="CO292" s="0"/>
      <c r="CP292" s="0"/>
      <c r="CQ292" s="0"/>
      <c r="CR292" s="0"/>
      <c r="CS292" s="0"/>
      <c r="CT292" s="209"/>
      <c r="CU292" s="210"/>
      <c r="CV292" s="210"/>
      <c r="CW292" s="181" t="n">
        <f aca="false">EOMONTH(CW291,0)+1</f>
        <v>45658</v>
      </c>
      <c r="CX292" s="182" t="n">
        <f aca="false">IF(AF292=0,CX280,AF292)</f>
        <v>0.2</v>
      </c>
      <c r="CY292" s="182" t="n">
        <f aca="false">IF(AG292=0,CY280,AG292)</f>
        <v>0.25</v>
      </c>
      <c r="CZ292" s="182" t="n">
        <f aca="false">IF(AH292=0,CZ280,AH292)</f>
        <v>0.3</v>
      </c>
      <c r="DB292" s="161" t="n">
        <f aca="false">IF(X292=0,DB280,X292)</f>
        <v>0.16</v>
      </c>
      <c r="DC292" s="161" t="n">
        <f aca="false">IF(Y292=0,DC280,Y292)</f>
        <v>0.2</v>
      </c>
      <c r="DD292" s="161" t="n">
        <f aca="false">IF(Z292=0,DD280,Z292)</f>
        <v>0.24</v>
      </c>
      <c r="DE292" s="211"/>
      <c r="DF292" s="181" t="n">
        <f aca="false">IF(BF292=0,EOMONTH(DF291,0)+1,BF292)</f>
        <v>45658</v>
      </c>
      <c r="DG292" s="207" t="n">
        <f aca="false">IF(BG292=0,DG280,BG292)</f>
        <v>0.75</v>
      </c>
      <c r="DJ292" s="181" t="n">
        <f aca="false">CW292</f>
        <v>45658</v>
      </c>
      <c r="DK292" s="182" t="n">
        <f aca="false">IF(AJ292=0,DK280,AJ292)</f>
        <v>0.12</v>
      </c>
      <c r="DL292" s="182" t="n">
        <f aca="false">IF(AK292=0,DL280,AK292)</f>
        <v>0.15</v>
      </c>
      <c r="DM292" s="182" t="n">
        <f aca="false">IF(AL292=0,DM280,AL292)</f>
        <v>0.18</v>
      </c>
      <c r="DO292" s="182" t="n">
        <f aca="false">IF(AB292=0,DO280,AB292)</f>
        <v>0.08</v>
      </c>
      <c r="DP292" s="182" t="n">
        <f aca="false">IF(AC292=0,DP280,AC292)</f>
        <v>0.1</v>
      </c>
      <c r="DQ292" s="182" t="n">
        <f aca="false">IF(AD292=0,DQ280,AD292)</f>
        <v>0.12</v>
      </c>
    </row>
    <row r="293" customFormat="false" ht="12.75" hidden="false" customHeight="false" outlineLevel="0" collapsed="false">
      <c r="A293" s="133"/>
      <c r="B293" s="139"/>
      <c r="C293" s="139"/>
      <c r="D293" s="139"/>
      <c r="E293" s="139"/>
      <c r="F293" s="139"/>
      <c r="G293" s="139"/>
      <c r="H293" s="139"/>
      <c r="I293" s="139"/>
      <c r="J293" s="139"/>
      <c r="K293" s="141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41"/>
      <c r="BG293" s="139"/>
      <c r="BH293" s="139"/>
      <c r="BI293" s="139"/>
      <c r="BJ293" s="139"/>
      <c r="BK293" s="139"/>
      <c r="BL293" s="139"/>
      <c r="BM293" s="139"/>
      <c r="BN293" s="139"/>
      <c r="BO293" s="139"/>
      <c r="BP293" s="139"/>
      <c r="BQ293" s="139"/>
      <c r="BR293" s="139"/>
      <c r="BS293" s="139"/>
      <c r="BT293" s="139"/>
      <c r="BU293" s="139"/>
      <c r="BV293" s="139"/>
      <c r="BW293" s="139"/>
      <c r="BX293" s="139"/>
      <c r="BY293" s="139"/>
      <c r="BZ293" s="139"/>
      <c r="CA293" s="139"/>
      <c r="CB293" s="139"/>
      <c r="CC293" s="139"/>
      <c r="CD293" s="139"/>
      <c r="CE293" s="139"/>
      <c r="CF293" s="0"/>
      <c r="CG293" s="0"/>
      <c r="CH293" s="0"/>
      <c r="CI293" s="0"/>
      <c r="CN293" s="0"/>
      <c r="CO293" s="0"/>
      <c r="CP293" s="0"/>
      <c r="CQ293" s="0"/>
      <c r="CR293" s="0"/>
      <c r="CS293" s="0"/>
      <c r="CT293" s="209"/>
      <c r="CU293" s="210"/>
      <c r="CV293" s="210"/>
      <c r="CW293" s="181" t="n">
        <f aca="false">EOMONTH(CW292,0)+1</f>
        <v>45689</v>
      </c>
      <c r="CX293" s="182" t="n">
        <f aca="false">IF(AF293=0,CX281,AF293)</f>
        <v>0.2</v>
      </c>
      <c r="CY293" s="182" t="n">
        <f aca="false">IF(AG293=0,CY281,AG293)</f>
        <v>0.25</v>
      </c>
      <c r="CZ293" s="182" t="n">
        <f aca="false">IF(AH293=0,CZ281,AH293)</f>
        <v>0.3</v>
      </c>
      <c r="DB293" s="161" t="n">
        <f aca="false">IF(X293=0,DB281,X293)</f>
        <v>0</v>
      </c>
      <c r="DC293" s="161" t="n">
        <f aca="false">IF(Y293=0,DC281,Y293)</f>
        <v>0</v>
      </c>
      <c r="DD293" s="161" t="n">
        <f aca="false">IF(Z293=0,DD281,Z293)</f>
        <v>0</v>
      </c>
      <c r="DE293" s="211"/>
      <c r="DF293" s="181" t="n">
        <f aca="false">IF(BF293=0,EOMONTH(DF292,0)+1,BF293)</f>
        <v>45689</v>
      </c>
      <c r="DG293" s="207" t="n">
        <f aca="false">IF(BG293=0,DG281,BG293)</f>
        <v>0</v>
      </c>
      <c r="DJ293" s="181" t="n">
        <f aca="false">CW293</f>
        <v>45689</v>
      </c>
      <c r="DK293" s="182" t="n">
        <f aca="false">IF(AJ293=0,DK281,AJ293)</f>
        <v>0.12</v>
      </c>
      <c r="DL293" s="182" t="n">
        <f aca="false">IF(AK293=0,DL281,AK293)</f>
        <v>0.15</v>
      </c>
      <c r="DM293" s="182" t="n">
        <f aca="false">IF(AL293=0,DM281,AL293)</f>
        <v>0.18</v>
      </c>
      <c r="DO293" s="182" t="n">
        <f aca="false">IF(AB293=0,DO281,AB293)</f>
        <v>0</v>
      </c>
      <c r="DP293" s="182" t="n">
        <f aca="false">IF(AC293=0,DP281,AC293)</f>
        <v>0</v>
      </c>
      <c r="DQ293" s="182" t="n">
        <f aca="false">IF(AD293=0,DQ281,AD293)</f>
        <v>0</v>
      </c>
    </row>
    <row r="294" customFormat="false" ht="12.75" hidden="false" customHeight="false" outlineLevel="0" collapsed="false">
      <c r="A294" s="133"/>
      <c r="B294" s="139"/>
      <c r="C294" s="139"/>
      <c r="D294" s="139"/>
      <c r="E294" s="139"/>
      <c r="F294" s="139"/>
      <c r="G294" s="139"/>
      <c r="H294" s="139"/>
      <c r="I294" s="139"/>
      <c r="J294" s="139"/>
      <c r="K294" s="141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41"/>
      <c r="BG294" s="139"/>
      <c r="BH294" s="139"/>
      <c r="BI294" s="139"/>
      <c r="BJ294" s="139"/>
      <c r="BK294" s="139"/>
      <c r="BL294" s="139"/>
      <c r="BM294" s="139"/>
      <c r="BN294" s="139"/>
      <c r="BO294" s="139"/>
      <c r="BP294" s="139"/>
      <c r="BQ294" s="139"/>
      <c r="BR294" s="139"/>
      <c r="BS294" s="139"/>
      <c r="BT294" s="139"/>
      <c r="BU294" s="139"/>
      <c r="BV294" s="139"/>
      <c r="BW294" s="139"/>
      <c r="BX294" s="139"/>
      <c r="BY294" s="139"/>
      <c r="BZ294" s="139"/>
      <c r="CA294" s="139"/>
      <c r="CB294" s="139"/>
      <c r="CC294" s="139"/>
      <c r="CD294" s="139"/>
      <c r="CE294" s="139"/>
      <c r="CF294" s="0"/>
      <c r="CG294" s="0"/>
      <c r="CH294" s="0"/>
      <c r="CI294" s="0"/>
      <c r="CN294" s="0"/>
      <c r="CO294" s="0"/>
      <c r="CP294" s="0"/>
      <c r="CQ294" s="0"/>
      <c r="CR294" s="0"/>
      <c r="CS294" s="0"/>
      <c r="CT294" s="209"/>
      <c r="CU294" s="210"/>
      <c r="CV294" s="210"/>
      <c r="CW294" s="181" t="n">
        <f aca="false">EOMONTH(CW293,0)+1</f>
        <v>45717</v>
      </c>
      <c r="CX294" s="182" t="n">
        <f aca="false">IF(AF294=0,CX282,AF294)</f>
        <v>0.2</v>
      </c>
      <c r="CY294" s="182" t="n">
        <f aca="false">IF(AG294=0,CY282,AG294)</f>
        <v>0.25</v>
      </c>
      <c r="CZ294" s="182" t="n">
        <f aca="false">IF(AH294=0,CZ282,AH294)</f>
        <v>0.3</v>
      </c>
      <c r="DB294" s="161" t="n">
        <f aca="false">IF(X294=0,DB282,X294)</f>
        <v>0.16</v>
      </c>
      <c r="DC294" s="161" t="n">
        <f aca="false">IF(Y294=0,DC282,Y294)</f>
        <v>0.2</v>
      </c>
      <c r="DD294" s="161" t="n">
        <f aca="false">IF(Z294=0,DD282,Z294)</f>
        <v>0.24</v>
      </c>
      <c r="DE294" s="211"/>
      <c r="DF294" s="181" t="n">
        <f aca="false">IF(BF294=0,EOMONTH(DF293,0)+1,BF294)</f>
        <v>45717</v>
      </c>
      <c r="DG294" s="207" t="n">
        <f aca="false">IF(BG294=0,DG282,BG294)</f>
        <v>0.75</v>
      </c>
      <c r="DJ294" s="181" t="n">
        <f aca="false">CW294</f>
        <v>45717</v>
      </c>
      <c r="DK294" s="182" t="n">
        <f aca="false">IF(AJ294=0,DK282,AJ294)</f>
        <v>0.12</v>
      </c>
      <c r="DL294" s="182" t="n">
        <f aca="false">IF(AK294=0,DL282,AK294)</f>
        <v>0.15</v>
      </c>
      <c r="DM294" s="182" t="n">
        <f aca="false">IF(AL294=0,DM282,AL294)</f>
        <v>0.18</v>
      </c>
      <c r="DO294" s="182" t="n">
        <f aca="false">IF(AB294=0,DO282,AB294)</f>
        <v>0.08</v>
      </c>
      <c r="DP294" s="182" t="n">
        <f aca="false">IF(AC294=0,DP282,AC294)</f>
        <v>0.1</v>
      </c>
      <c r="DQ294" s="182" t="n">
        <f aca="false">IF(AD294=0,DQ282,AD294)</f>
        <v>0.12</v>
      </c>
    </row>
    <row r="295" customFormat="false" ht="12.75" hidden="false" customHeight="false" outlineLevel="0" collapsed="false">
      <c r="A295" s="133"/>
      <c r="B295" s="139"/>
      <c r="C295" s="139"/>
      <c r="D295" s="139"/>
      <c r="E295" s="139"/>
      <c r="F295" s="139"/>
      <c r="G295" s="139"/>
      <c r="H295" s="139"/>
      <c r="I295" s="139"/>
      <c r="J295" s="139"/>
      <c r="K295" s="141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41"/>
      <c r="BG295" s="139"/>
      <c r="BH295" s="139"/>
      <c r="BI295" s="139"/>
      <c r="BJ295" s="139"/>
      <c r="BK295" s="139"/>
      <c r="BL295" s="139"/>
      <c r="BM295" s="139"/>
      <c r="BN295" s="139"/>
      <c r="BO295" s="139"/>
      <c r="BP295" s="139"/>
      <c r="BQ295" s="139"/>
      <c r="BR295" s="139"/>
      <c r="BS295" s="139"/>
      <c r="BT295" s="139"/>
      <c r="BU295" s="139"/>
      <c r="BV295" s="139"/>
      <c r="BW295" s="139"/>
      <c r="BX295" s="139"/>
      <c r="BY295" s="139"/>
      <c r="BZ295" s="139"/>
      <c r="CA295" s="139"/>
      <c r="CB295" s="139"/>
      <c r="CC295" s="139"/>
      <c r="CD295" s="139"/>
      <c r="CE295" s="139"/>
      <c r="CF295" s="0"/>
      <c r="CG295" s="0"/>
      <c r="CH295" s="0"/>
      <c r="CI295" s="0"/>
      <c r="CN295" s="0"/>
      <c r="CO295" s="0"/>
      <c r="CP295" s="0"/>
      <c r="CQ295" s="0"/>
      <c r="CR295" s="0"/>
      <c r="CS295" s="0"/>
      <c r="CT295" s="209"/>
      <c r="CU295" s="210"/>
      <c r="CV295" s="210"/>
      <c r="CW295" s="181" t="n">
        <f aca="false">EOMONTH(CW294,0)+1</f>
        <v>45748</v>
      </c>
      <c r="CX295" s="182" t="n">
        <f aca="false">IF(AF295=0,CX283,AF295)</f>
        <v>0.2</v>
      </c>
      <c r="CY295" s="182" t="n">
        <f aca="false">IF(AG295=0,CY283,AG295)</f>
        <v>0.25</v>
      </c>
      <c r="CZ295" s="182" t="n">
        <f aca="false">IF(AH295=0,CZ283,AH295)</f>
        <v>0.3</v>
      </c>
      <c r="DB295" s="161" t="n">
        <f aca="false">IF(X295=0,DB283,X295)</f>
        <v>0.16</v>
      </c>
      <c r="DC295" s="161" t="n">
        <f aca="false">IF(Y295=0,DC283,Y295)</f>
        <v>0.2</v>
      </c>
      <c r="DD295" s="161" t="n">
        <f aca="false">IF(Z295=0,DD283,Z295)</f>
        <v>0.24</v>
      </c>
      <c r="DE295" s="211"/>
      <c r="DF295" s="181" t="n">
        <f aca="false">IF(BF295=0,EOMONTH(DF294,0)+1,BF295)</f>
        <v>45748</v>
      </c>
      <c r="DG295" s="207" t="n">
        <f aca="false">IF(BG295=0,DG283,BG295)</f>
        <v>0.75</v>
      </c>
      <c r="DJ295" s="181" t="n">
        <f aca="false">CW295</f>
        <v>45748</v>
      </c>
      <c r="DK295" s="182" t="n">
        <f aca="false">IF(AJ295=0,DK283,AJ295)</f>
        <v>0.12</v>
      </c>
      <c r="DL295" s="182" t="n">
        <f aca="false">IF(AK295=0,DL283,AK295)</f>
        <v>0.15</v>
      </c>
      <c r="DM295" s="182" t="n">
        <f aca="false">IF(AL295=0,DM283,AL295)</f>
        <v>0.18</v>
      </c>
      <c r="DO295" s="182" t="n">
        <f aca="false">IF(AB295=0,DO283,AB295)</f>
        <v>0.08</v>
      </c>
      <c r="DP295" s="182" t="n">
        <f aca="false">IF(AC295=0,DP283,AC295)</f>
        <v>0.1</v>
      </c>
      <c r="DQ295" s="182" t="n">
        <f aca="false">IF(AD295=0,DQ283,AD295)</f>
        <v>0.12</v>
      </c>
    </row>
    <row r="296" customFormat="false" ht="12.75" hidden="false" customHeight="false" outlineLevel="0" collapsed="false">
      <c r="A296" s="133"/>
      <c r="B296" s="139"/>
      <c r="C296" s="139"/>
      <c r="D296" s="139"/>
      <c r="E296" s="139"/>
      <c r="F296" s="139"/>
      <c r="G296" s="139"/>
      <c r="H296" s="139"/>
      <c r="I296" s="139"/>
      <c r="J296" s="139"/>
      <c r="K296" s="141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41"/>
      <c r="BG296" s="139"/>
      <c r="BH296" s="139"/>
      <c r="BI296" s="139"/>
      <c r="BJ296" s="139"/>
      <c r="BK296" s="139"/>
      <c r="BL296" s="139"/>
      <c r="BM296" s="139"/>
      <c r="BN296" s="139"/>
      <c r="BO296" s="139"/>
      <c r="BP296" s="139"/>
      <c r="BQ296" s="139"/>
      <c r="BR296" s="139"/>
      <c r="BS296" s="139"/>
      <c r="BT296" s="139"/>
      <c r="BU296" s="139"/>
      <c r="BV296" s="139"/>
      <c r="BW296" s="139"/>
      <c r="BX296" s="139"/>
      <c r="BY296" s="139"/>
      <c r="BZ296" s="139"/>
      <c r="CA296" s="139"/>
      <c r="CB296" s="139"/>
      <c r="CC296" s="139"/>
      <c r="CD296" s="139"/>
      <c r="CE296" s="139"/>
      <c r="CF296" s="0"/>
      <c r="CG296" s="0"/>
      <c r="CH296" s="0"/>
      <c r="CI296" s="0"/>
      <c r="CN296" s="0"/>
      <c r="CO296" s="0"/>
      <c r="CP296" s="0"/>
      <c r="CQ296" s="0"/>
      <c r="CR296" s="0"/>
      <c r="CS296" s="0"/>
      <c r="CT296" s="209"/>
      <c r="CU296" s="210"/>
      <c r="CV296" s="210"/>
      <c r="CW296" s="181" t="n">
        <f aca="false">EOMONTH(CW295,0)+1</f>
        <v>45778</v>
      </c>
      <c r="CX296" s="182" t="n">
        <f aca="false">IF(AF296=0,CX284,AF296)</f>
        <v>0.2</v>
      </c>
      <c r="CY296" s="182" t="n">
        <f aca="false">IF(AG296=0,CY284,AG296)</f>
        <v>0.25</v>
      </c>
      <c r="CZ296" s="182" t="n">
        <f aca="false">IF(AH296=0,CZ284,AH296)</f>
        <v>0.3</v>
      </c>
      <c r="DB296" s="161" t="n">
        <f aca="false">IF(X296=0,DB284,X296)</f>
        <v>0.16</v>
      </c>
      <c r="DC296" s="161" t="n">
        <f aca="false">IF(Y296=0,DC284,Y296)</f>
        <v>0.2</v>
      </c>
      <c r="DD296" s="161" t="n">
        <f aca="false">IF(Z296=0,DD284,Z296)</f>
        <v>0.24</v>
      </c>
      <c r="DE296" s="211"/>
      <c r="DF296" s="181" t="n">
        <f aca="false">IF(BF296=0,EOMONTH(DF295,0)+1,BF296)</f>
        <v>45778</v>
      </c>
      <c r="DG296" s="207" t="n">
        <f aca="false">IF(BG296=0,DG284,BG296)</f>
        <v>0.75</v>
      </c>
      <c r="DJ296" s="181" t="n">
        <f aca="false">CW296</f>
        <v>45778</v>
      </c>
      <c r="DK296" s="182" t="n">
        <f aca="false">IF(AJ296=0,DK284,AJ296)</f>
        <v>0.12</v>
      </c>
      <c r="DL296" s="182" t="n">
        <f aca="false">IF(AK296=0,DL284,AK296)</f>
        <v>0.15</v>
      </c>
      <c r="DM296" s="182" t="n">
        <f aca="false">IF(AL296=0,DM284,AL296)</f>
        <v>0.18</v>
      </c>
      <c r="DO296" s="182" t="n">
        <f aca="false">IF(AB296=0,DO284,AB296)</f>
        <v>0.08</v>
      </c>
      <c r="DP296" s="182" t="n">
        <f aca="false">IF(AC296=0,DP284,AC296)</f>
        <v>0.1</v>
      </c>
      <c r="DQ296" s="182" t="n">
        <f aca="false">IF(AD296=0,DQ284,AD296)</f>
        <v>0.12</v>
      </c>
    </row>
    <row r="297" customFormat="false" ht="12.75" hidden="false" customHeight="false" outlineLevel="0" collapsed="false">
      <c r="A297" s="133"/>
      <c r="B297" s="139"/>
      <c r="C297" s="139"/>
      <c r="D297" s="139"/>
      <c r="E297" s="139"/>
      <c r="F297" s="139"/>
      <c r="G297" s="139"/>
      <c r="H297" s="139"/>
      <c r="I297" s="139"/>
      <c r="J297" s="139"/>
      <c r="K297" s="141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41"/>
      <c r="BG297" s="139"/>
      <c r="BH297" s="139"/>
      <c r="BI297" s="139"/>
      <c r="BJ297" s="139"/>
      <c r="BK297" s="139"/>
      <c r="BL297" s="139"/>
      <c r="BM297" s="139"/>
      <c r="BN297" s="139"/>
      <c r="BO297" s="139"/>
      <c r="BP297" s="139"/>
      <c r="BQ297" s="139"/>
      <c r="BR297" s="139"/>
      <c r="BS297" s="139"/>
      <c r="BT297" s="139"/>
      <c r="BU297" s="139"/>
      <c r="BV297" s="139"/>
      <c r="BW297" s="139"/>
      <c r="BX297" s="139"/>
      <c r="BY297" s="139"/>
      <c r="BZ297" s="139"/>
      <c r="CA297" s="139"/>
      <c r="CB297" s="139"/>
      <c r="CC297" s="139"/>
      <c r="CD297" s="139"/>
      <c r="CE297" s="139"/>
      <c r="CF297" s="0"/>
      <c r="CG297" s="0"/>
      <c r="CH297" s="0"/>
      <c r="CI297" s="0"/>
      <c r="CN297" s="0"/>
      <c r="CO297" s="0"/>
      <c r="CP297" s="0"/>
      <c r="CQ297" s="0"/>
      <c r="CR297" s="0"/>
      <c r="CS297" s="0"/>
      <c r="CT297" s="209"/>
      <c r="CU297" s="210"/>
      <c r="CV297" s="210"/>
      <c r="CW297" s="181" t="n">
        <f aca="false">EOMONTH(CW296,0)+1</f>
        <v>45809</v>
      </c>
      <c r="CX297" s="182" t="n">
        <f aca="false">IF(AF297=0,CX285,AF297)</f>
        <v>0.2</v>
      </c>
      <c r="CY297" s="182" t="n">
        <f aca="false">IF(AG297=0,CY285,AG297)</f>
        <v>0.25</v>
      </c>
      <c r="CZ297" s="182" t="n">
        <f aca="false">IF(AH297=0,CZ285,AH297)</f>
        <v>0.3</v>
      </c>
      <c r="DB297" s="161" t="n">
        <f aca="false">IF(X297=0,DB285,X297)</f>
        <v>0.16</v>
      </c>
      <c r="DC297" s="161" t="n">
        <f aca="false">IF(Y297=0,DC285,Y297)</f>
        <v>0.2</v>
      </c>
      <c r="DD297" s="161" t="n">
        <f aca="false">IF(Z297=0,DD285,Z297)</f>
        <v>0.24</v>
      </c>
      <c r="DE297" s="211"/>
      <c r="DF297" s="181" t="n">
        <f aca="false">IF(BF297=0,EOMONTH(DF296,0)+1,BF297)</f>
        <v>45809</v>
      </c>
      <c r="DG297" s="207" t="n">
        <f aca="false">IF(BG297=0,DG285,BG297)</f>
        <v>0.75</v>
      </c>
      <c r="DJ297" s="181" t="n">
        <f aca="false">CW297</f>
        <v>45809</v>
      </c>
      <c r="DK297" s="182" t="n">
        <f aca="false">IF(AJ297=0,DK285,AJ297)</f>
        <v>0.12</v>
      </c>
      <c r="DL297" s="182" t="n">
        <f aca="false">IF(AK297=0,DL285,AK297)</f>
        <v>0.15</v>
      </c>
      <c r="DM297" s="182" t="n">
        <f aca="false">IF(AL297=0,DM285,AL297)</f>
        <v>0.18</v>
      </c>
      <c r="DO297" s="182" t="n">
        <f aca="false">IF(AB297=0,DO285,AB297)</f>
        <v>0.08</v>
      </c>
      <c r="DP297" s="182" t="n">
        <f aca="false">IF(AC297=0,DP285,AC297)</f>
        <v>0.1</v>
      </c>
      <c r="DQ297" s="182" t="n">
        <f aca="false">IF(AD297=0,DQ285,AD297)</f>
        <v>0.12</v>
      </c>
    </row>
    <row r="298" customFormat="false" ht="12.75" hidden="false" customHeight="false" outlineLevel="0" collapsed="false">
      <c r="A298" s="133"/>
      <c r="B298" s="139"/>
      <c r="C298" s="139"/>
      <c r="D298" s="139"/>
      <c r="E298" s="139"/>
      <c r="F298" s="139"/>
      <c r="G298" s="139"/>
      <c r="H298" s="139"/>
      <c r="I298" s="139"/>
      <c r="J298" s="139"/>
      <c r="K298" s="141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41"/>
      <c r="BG298" s="139"/>
      <c r="BH298" s="139"/>
      <c r="BI298" s="139"/>
      <c r="BJ298" s="139"/>
      <c r="BK298" s="139"/>
      <c r="BL298" s="139"/>
      <c r="BM298" s="139"/>
      <c r="BN298" s="139"/>
      <c r="BO298" s="139"/>
      <c r="BP298" s="139"/>
      <c r="BQ298" s="139"/>
      <c r="BR298" s="139"/>
      <c r="BS298" s="139"/>
      <c r="BT298" s="139"/>
      <c r="BU298" s="139"/>
      <c r="BV298" s="139"/>
      <c r="BW298" s="139"/>
      <c r="BX298" s="139"/>
      <c r="BY298" s="139"/>
      <c r="BZ298" s="139"/>
      <c r="CA298" s="139"/>
      <c r="CB298" s="139"/>
      <c r="CC298" s="139"/>
      <c r="CD298" s="139"/>
      <c r="CE298" s="139"/>
      <c r="CF298" s="0"/>
      <c r="CG298" s="0"/>
      <c r="CH298" s="0"/>
      <c r="CI298" s="0"/>
      <c r="CN298" s="0"/>
      <c r="CO298" s="0"/>
      <c r="CP298" s="0"/>
      <c r="CQ298" s="0"/>
      <c r="CR298" s="0"/>
      <c r="CS298" s="0"/>
      <c r="CT298" s="209"/>
      <c r="CU298" s="210"/>
      <c r="CV298" s="210"/>
      <c r="CW298" s="181" t="n">
        <f aca="false">EOMONTH(CW297,0)+1</f>
        <v>45839</v>
      </c>
      <c r="CX298" s="182" t="n">
        <f aca="false">IF(AF298=0,CX286,AF298)</f>
        <v>0.2</v>
      </c>
      <c r="CY298" s="182" t="n">
        <f aca="false">IF(AG298=0,CY286,AG298)</f>
        <v>0.25</v>
      </c>
      <c r="CZ298" s="182" t="n">
        <f aca="false">IF(AH298=0,CZ286,AH298)</f>
        <v>0.3</v>
      </c>
      <c r="DB298" s="161" t="n">
        <f aca="false">IF(X298=0,DB286,X298)</f>
        <v>0.16</v>
      </c>
      <c r="DC298" s="161" t="n">
        <f aca="false">IF(Y298=0,DC286,Y298)</f>
        <v>0.2</v>
      </c>
      <c r="DD298" s="161" t="n">
        <f aca="false">IF(Z298=0,DD286,Z298)</f>
        <v>0.24</v>
      </c>
      <c r="DE298" s="211"/>
      <c r="DF298" s="181" t="n">
        <f aca="false">IF(BF298=0,EOMONTH(DF297,0)+1,BF298)</f>
        <v>45839</v>
      </c>
      <c r="DG298" s="207" t="n">
        <f aca="false">IF(BG298=0,DG286,BG298)</f>
        <v>0.75</v>
      </c>
      <c r="DJ298" s="181" t="n">
        <f aca="false">CW298</f>
        <v>45839</v>
      </c>
      <c r="DK298" s="182" t="n">
        <f aca="false">IF(AJ298=0,DK286,AJ298)</f>
        <v>0.12</v>
      </c>
      <c r="DL298" s="182" t="n">
        <f aca="false">IF(AK298=0,DL286,AK298)</f>
        <v>0.15</v>
      </c>
      <c r="DM298" s="182" t="n">
        <f aca="false">IF(AL298=0,DM286,AL298)</f>
        <v>0.18</v>
      </c>
      <c r="DO298" s="182" t="n">
        <f aca="false">IF(AB298=0,DO286,AB298)</f>
        <v>0.08</v>
      </c>
      <c r="DP298" s="182" t="n">
        <f aca="false">IF(AC298=0,DP286,AC298)</f>
        <v>0.1</v>
      </c>
      <c r="DQ298" s="182" t="n">
        <f aca="false">IF(AD298=0,DQ286,AD298)</f>
        <v>0.12</v>
      </c>
    </row>
    <row r="299" customFormat="false" ht="12.75" hidden="false" customHeight="false" outlineLevel="0" collapsed="false">
      <c r="A299" s="133"/>
      <c r="B299" s="139"/>
      <c r="C299" s="139"/>
      <c r="D299" s="139"/>
      <c r="E299" s="139"/>
      <c r="F299" s="139"/>
      <c r="G299" s="139"/>
      <c r="H299" s="139"/>
      <c r="I299" s="139"/>
      <c r="J299" s="139"/>
      <c r="K299" s="141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41"/>
      <c r="BG299" s="139"/>
      <c r="BH299" s="139"/>
      <c r="BI299" s="139"/>
      <c r="BJ299" s="139"/>
      <c r="BK299" s="139"/>
      <c r="BL299" s="139"/>
      <c r="BM299" s="139"/>
      <c r="BN299" s="139"/>
      <c r="BO299" s="139"/>
      <c r="BP299" s="139"/>
      <c r="BQ299" s="139"/>
      <c r="BR299" s="139"/>
      <c r="BS299" s="139"/>
      <c r="BT299" s="139"/>
      <c r="BU299" s="139"/>
      <c r="BV299" s="139"/>
      <c r="BW299" s="139"/>
      <c r="BX299" s="139"/>
      <c r="BY299" s="139"/>
      <c r="BZ299" s="139"/>
      <c r="CA299" s="139"/>
      <c r="CB299" s="139"/>
      <c r="CC299" s="139"/>
      <c r="CD299" s="139"/>
      <c r="CE299" s="139"/>
      <c r="CF299" s="0"/>
      <c r="CG299" s="0"/>
      <c r="CH299" s="0"/>
      <c r="CI299" s="0"/>
      <c r="CN299" s="0"/>
      <c r="CO299" s="0"/>
      <c r="CP299" s="0"/>
      <c r="CQ299" s="0"/>
      <c r="CR299" s="0"/>
      <c r="CS299" s="0"/>
      <c r="CT299" s="209"/>
      <c r="CU299" s="210"/>
      <c r="CV299" s="210"/>
      <c r="CW299" s="181" t="n">
        <f aca="false">EOMONTH(CW298,0)+1</f>
        <v>45870</v>
      </c>
      <c r="CX299" s="182" t="n">
        <f aca="false">IF(AF299=0,CX287,AF299)</f>
        <v>0.32</v>
      </c>
      <c r="CY299" s="182" t="n">
        <f aca="false">IF(AG299=0,CY287,AG299)</f>
        <v>0.4</v>
      </c>
      <c r="CZ299" s="182" t="n">
        <f aca="false">IF(AH299=0,CZ287,AH299)</f>
        <v>0.48</v>
      </c>
      <c r="DB299" s="161" t="n">
        <f aca="false">IF(X299=0,DB287,X299)</f>
        <v>0.24</v>
      </c>
      <c r="DC299" s="161" t="n">
        <f aca="false">IF(Y299=0,DC287,Y299)</f>
        <v>0.3</v>
      </c>
      <c r="DD299" s="161" t="n">
        <f aca="false">IF(Z299=0,DD287,Z299)</f>
        <v>0.36</v>
      </c>
      <c r="DE299" s="211"/>
      <c r="DF299" s="181" t="n">
        <f aca="false">IF(BF299=0,EOMONTH(DF298,0)+1,BF299)</f>
        <v>45870</v>
      </c>
      <c r="DG299" s="207" t="n">
        <f aca="false">IF(BG299=0,DG287,BG299)</f>
        <v>0.75</v>
      </c>
      <c r="DJ299" s="181" t="n">
        <f aca="false">CW299</f>
        <v>45870</v>
      </c>
      <c r="DK299" s="182" t="n">
        <f aca="false">IF(AJ299=0,DK287,AJ299)</f>
        <v>0.192</v>
      </c>
      <c r="DL299" s="182" t="n">
        <f aca="false">IF(AK299=0,DL287,AK299)</f>
        <v>0.24</v>
      </c>
      <c r="DM299" s="182" t="n">
        <f aca="false">IF(AL299=0,DM287,AL299)</f>
        <v>0.288</v>
      </c>
      <c r="DO299" s="182" t="n">
        <f aca="false">IF(AB299=0,DO287,AB299)</f>
        <v>0.12</v>
      </c>
      <c r="DP299" s="182" t="n">
        <f aca="false">IF(AC299=0,DP287,AC299)</f>
        <v>0.15</v>
      </c>
      <c r="DQ299" s="182" t="n">
        <f aca="false">IF(AD299=0,DQ287,AD299)</f>
        <v>0.18</v>
      </c>
    </row>
    <row r="300" customFormat="false" ht="12.75" hidden="false" customHeight="false" outlineLevel="0" collapsed="false">
      <c r="A300" s="133"/>
      <c r="B300" s="139"/>
      <c r="C300" s="139"/>
      <c r="D300" s="139"/>
      <c r="E300" s="139"/>
      <c r="F300" s="139"/>
      <c r="G300" s="139"/>
      <c r="H300" s="139"/>
      <c r="I300" s="139"/>
      <c r="J300" s="139"/>
      <c r="K300" s="141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41"/>
      <c r="BG300" s="139"/>
      <c r="BH300" s="139"/>
      <c r="BI300" s="139"/>
      <c r="BJ300" s="139"/>
      <c r="BK300" s="139"/>
      <c r="BL300" s="139"/>
      <c r="BM300" s="139"/>
      <c r="BN300" s="139"/>
      <c r="BO300" s="139"/>
      <c r="BP300" s="139"/>
      <c r="BQ300" s="139"/>
      <c r="BR300" s="139"/>
      <c r="BS300" s="139"/>
      <c r="BT300" s="139"/>
      <c r="BU300" s="139"/>
      <c r="BV300" s="139"/>
      <c r="BW300" s="139"/>
      <c r="BX300" s="139"/>
      <c r="BY300" s="139"/>
      <c r="BZ300" s="139"/>
      <c r="CA300" s="139"/>
      <c r="CB300" s="139"/>
      <c r="CC300" s="139"/>
      <c r="CD300" s="139"/>
      <c r="CE300" s="139"/>
      <c r="CF300" s="0"/>
      <c r="CG300" s="0"/>
      <c r="CH300" s="0"/>
      <c r="CI300" s="0"/>
      <c r="CN300" s="0"/>
      <c r="CO300" s="0"/>
      <c r="CP300" s="0"/>
      <c r="CQ300" s="0"/>
      <c r="CR300" s="0"/>
      <c r="CS300" s="0"/>
      <c r="CT300" s="209"/>
      <c r="CU300" s="210"/>
      <c r="CV300" s="210"/>
      <c r="CW300" s="181" t="n">
        <f aca="false">EOMONTH(CW299,0)+1</f>
        <v>45901</v>
      </c>
      <c r="CX300" s="182" t="n">
        <f aca="false">IF(AF300=0,CX288,AF300)</f>
        <v>0.32</v>
      </c>
      <c r="CY300" s="182" t="n">
        <f aca="false">IF(AG300=0,CY288,AG300)</f>
        <v>0.4</v>
      </c>
      <c r="CZ300" s="182" t="n">
        <f aca="false">IF(AH300=0,CZ288,AH300)</f>
        <v>0.48</v>
      </c>
      <c r="DB300" s="161" t="n">
        <f aca="false">IF(X300=0,DB288,X300)</f>
        <v>0.24</v>
      </c>
      <c r="DC300" s="161" t="n">
        <f aca="false">IF(Y300=0,DC288,Y300)</f>
        <v>0.3</v>
      </c>
      <c r="DD300" s="161" t="n">
        <f aca="false">IF(Z300=0,DD288,Z300)</f>
        <v>0.36</v>
      </c>
      <c r="DE300" s="211"/>
      <c r="DF300" s="181" t="n">
        <f aca="false">IF(BF300=0,EOMONTH(DF299,0)+1,BF300)</f>
        <v>45901</v>
      </c>
      <c r="DG300" s="207" t="n">
        <f aca="false">IF(BG300=0,DG288,BG300)</f>
        <v>0.75</v>
      </c>
      <c r="DJ300" s="181" t="n">
        <f aca="false">CW300</f>
        <v>45901</v>
      </c>
      <c r="DK300" s="182" t="n">
        <f aca="false">IF(AJ300=0,DK288,AJ300)</f>
        <v>0.192</v>
      </c>
      <c r="DL300" s="182" t="n">
        <f aca="false">IF(AK300=0,DL288,AK300)</f>
        <v>0.24</v>
      </c>
      <c r="DM300" s="182" t="n">
        <f aca="false">IF(AL300=0,DM288,AL300)</f>
        <v>0.288</v>
      </c>
      <c r="DO300" s="182" t="n">
        <f aca="false">IF(AB300=0,DO288,AB300)</f>
        <v>0.12</v>
      </c>
      <c r="DP300" s="182" t="n">
        <f aca="false">IF(AC300=0,DP288,AC300)</f>
        <v>0.15</v>
      </c>
      <c r="DQ300" s="182" t="n">
        <f aca="false">IF(AD300=0,DQ288,AD300)</f>
        <v>0.18</v>
      </c>
    </row>
    <row r="301" customFormat="false" ht="12.75" hidden="false" customHeight="false" outlineLevel="0" collapsed="false">
      <c r="A301" s="133"/>
      <c r="B301" s="139"/>
      <c r="C301" s="139"/>
      <c r="D301" s="139"/>
      <c r="E301" s="139"/>
      <c r="F301" s="139"/>
      <c r="G301" s="139"/>
      <c r="H301" s="139"/>
      <c r="I301" s="139"/>
      <c r="J301" s="139"/>
      <c r="K301" s="141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41"/>
      <c r="BG301" s="139"/>
      <c r="BH301" s="139"/>
      <c r="BI301" s="139"/>
      <c r="BJ301" s="139"/>
      <c r="BK301" s="139"/>
      <c r="BL301" s="139"/>
      <c r="BM301" s="139"/>
      <c r="BN301" s="139"/>
      <c r="BO301" s="139"/>
      <c r="BP301" s="139"/>
      <c r="BQ301" s="139"/>
      <c r="BR301" s="139"/>
      <c r="BS301" s="139"/>
      <c r="BT301" s="139"/>
      <c r="BU301" s="139"/>
      <c r="BV301" s="139"/>
      <c r="BW301" s="139"/>
      <c r="BX301" s="139"/>
      <c r="BY301" s="139"/>
      <c r="BZ301" s="139"/>
      <c r="CA301" s="139"/>
      <c r="CB301" s="139"/>
      <c r="CC301" s="139"/>
      <c r="CD301" s="139"/>
      <c r="CE301" s="139"/>
      <c r="CF301" s="0"/>
      <c r="CG301" s="0"/>
      <c r="CH301" s="0"/>
      <c r="CI301" s="0"/>
      <c r="CN301" s="0"/>
      <c r="CO301" s="0"/>
      <c r="CP301" s="0"/>
      <c r="CQ301" s="0"/>
      <c r="CR301" s="0"/>
      <c r="CS301" s="0"/>
      <c r="CT301" s="209"/>
      <c r="CU301" s="210"/>
      <c r="CV301" s="210"/>
      <c r="CW301" s="181" t="n">
        <f aca="false">EOMONTH(CW300,0)+1</f>
        <v>45931</v>
      </c>
      <c r="CX301" s="182" t="n">
        <f aca="false">IF(AF301=0,CX289,AF301)</f>
        <v>0.2</v>
      </c>
      <c r="CY301" s="182" t="n">
        <f aca="false">IF(AG301=0,CY289,AG301)</f>
        <v>0.25</v>
      </c>
      <c r="CZ301" s="182" t="n">
        <f aca="false">IF(AH301=0,CZ289,AH301)</f>
        <v>0.3</v>
      </c>
      <c r="DB301" s="161" t="n">
        <f aca="false">IF(X301=0,DB289,X301)</f>
        <v>0.16</v>
      </c>
      <c r="DC301" s="161" t="n">
        <f aca="false">IF(Y301=0,DC289,Y301)</f>
        <v>0.2</v>
      </c>
      <c r="DD301" s="161" t="n">
        <f aca="false">IF(Z301=0,DD289,Z301)</f>
        <v>0.24</v>
      </c>
      <c r="DE301" s="210"/>
      <c r="DF301" s="181" t="n">
        <f aca="false">IF(BF301=0,EOMONTH(DF300,0)+1,BF301)</f>
        <v>45931</v>
      </c>
      <c r="DG301" s="207" t="n">
        <f aca="false">IF(BG301=0,DG289,BG301)</f>
        <v>0.75</v>
      </c>
      <c r="DJ301" s="181" t="n">
        <f aca="false">CW301</f>
        <v>45931</v>
      </c>
      <c r="DK301" s="182" t="n">
        <f aca="false">IF(AJ301=0,DK289,AJ301)</f>
        <v>0.12</v>
      </c>
      <c r="DL301" s="182" t="n">
        <f aca="false">IF(AK301=0,DL289,AK301)</f>
        <v>0.15</v>
      </c>
      <c r="DM301" s="182" t="n">
        <f aca="false">IF(AL301=0,DM289,AL301)</f>
        <v>0.18</v>
      </c>
      <c r="DO301" s="182" t="n">
        <f aca="false">IF(AB301=0,DO289,AB301)</f>
        <v>0.08</v>
      </c>
      <c r="DP301" s="182" t="n">
        <f aca="false">IF(AC301=0,DP289,AC301)</f>
        <v>0.1</v>
      </c>
      <c r="DQ301" s="182" t="n">
        <f aca="false">IF(AD301=0,DQ289,AD301)</f>
        <v>0.12</v>
      </c>
    </row>
    <row r="302" customFormat="false" ht="12.75" hidden="false" customHeight="false" outlineLevel="0" collapsed="false">
      <c r="A302" s="133"/>
      <c r="B302" s="139"/>
      <c r="C302" s="139"/>
      <c r="D302" s="139"/>
      <c r="E302" s="139"/>
      <c r="F302" s="139"/>
      <c r="G302" s="139"/>
      <c r="H302" s="139"/>
      <c r="I302" s="139"/>
      <c r="J302" s="139"/>
      <c r="K302" s="141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41"/>
      <c r="BG302" s="139"/>
      <c r="BH302" s="139"/>
      <c r="BI302" s="139"/>
      <c r="BJ302" s="139"/>
      <c r="BK302" s="139"/>
      <c r="BL302" s="139"/>
      <c r="BM302" s="139"/>
      <c r="BN302" s="139"/>
      <c r="BO302" s="139"/>
      <c r="BP302" s="139"/>
      <c r="BQ302" s="139"/>
      <c r="BR302" s="139"/>
      <c r="BS302" s="139"/>
      <c r="BT302" s="139"/>
      <c r="BU302" s="139"/>
      <c r="BV302" s="139"/>
      <c r="BW302" s="139"/>
      <c r="BX302" s="139"/>
      <c r="BY302" s="139"/>
      <c r="BZ302" s="139"/>
      <c r="CA302" s="139"/>
      <c r="CB302" s="139"/>
      <c r="CC302" s="139"/>
      <c r="CD302" s="139"/>
      <c r="CE302" s="139"/>
      <c r="CF302" s="0"/>
      <c r="CG302" s="0"/>
      <c r="CH302" s="0"/>
      <c r="CI302" s="0"/>
      <c r="CN302" s="0"/>
      <c r="CO302" s="0"/>
      <c r="CP302" s="0"/>
      <c r="CQ302" s="0"/>
      <c r="CR302" s="0"/>
      <c r="CS302" s="0"/>
      <c r="CT302" s="209"/>
      <c r="CU302" s="210"/>
      <c r="CV302" s="210"/>
      <c r="CW302" s="181" t="n">
        <f aca="false">EOMONTH(CW301,0)+1</f>
        <v>45962</v>
      </c>
      <c r="CX302" s="182" t="n">
        <f aca="false">IF(AF302=0,CX290,AF302)</f>
        <v>0.2</v>
      </c>
      <c r="CY302" s="182" t="n">
        <f aca="false">IF(AG302=0,CY290,AG302)</f>
        <v>0.25</v>
      </c>
      <c r="CZ302" s="182" t="n">
        <f aca="false">IF(AH302=0,CZ290,AH302)</f>
        <v>0.3</v>
      </c>
      <c r="DB302" s="161" t="n">
        <f aca="false">IF(X302=0,DB290,X302)</f>
        <v>0.16</v>
      </c>
      <c r="DC302" s="161" t="n">
        <f aca="false">IF(Y302=0,DC290,Y302)</f>
        <v>0.2</v>
      </c>
      <c r="DD302" s="161" t="n">
        <f aca="false">IF(Z302=0,DD290,Z302)</f>
        <v>0.24</v>
      </c>
      <c r="DE302" s="210"/>
      <c r="DF302" s="181" t="n">
        <f aca="false">IF(BF302=0,EOMONTH(DF301,0)+1,BF302)</f>
        <v>45962</v>
      </c>
      <c r="DG302" s="207" t="n">
        <f aca="false">IF(BG302=0,DG290,BG302)</f>
        <v>0.75</v>
      </c>
      <c r="DJ302" s="181" t="n">
        <f aca="false">CW302</f>
        <v>45962</v>
      </c>
      <c r="DK302" s="182" t="n">
        <f aca="false">IF(AJ302=0,DK290,AJ302)</f>
        <v>0.12</v>
      </c>
      <c r="DL302" s="182" t="n">
        <f aca="false">IF(AK302=0,DL290,AK302)</f>
        <v>0.15</v>
      </c>
      <c r="DM302" s="182" t="n">
        <f aca="false">IF(AL302=0,DM290,AL302)</f>
        <v>0.18</v>
      </c>
      <c r="DO302" s="182" t="n">
        <f aca="false">IF(AB302=0,DO290,AB302)</f>
        <v>0.08</v>
      </c>
      <c r="DP302" s="182" t="n">
        <f aca="false">IF(AC302=0,DP290,AC302)</f>
        <v>0.1</v>
      </c>
      <c r="DQ302" s="182" t="n">
        <f aca="false">IF(AD302=0,DQ290,AD302)</f>
        <v>0.12</v>
      </c>
    </row>
    <row r="303" customFormat="false" ht="12.75" hidden="false" customHeight="false" outlineLevel="0" collapsed="false">
      <c r="A303" s="133"/>
      <c r="B303" s="139"/>
      <c r="C303" s="139"/>
      <c r="D303" s="139"/>
      <c r="E303" s="139"/>
      <c r="F303" s="139"/>
      <c r="G303" s="139"/>
      <c r="H303" s="139"/>
      <c r="I303" s="139"/>
      <c r="J303" s="139"/>
      <c r="K303" s="141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41"/>
      <c r="BG303" s="139"/>
      <c r="BH303" s="139"/>
      <c r="BI303" s="139"/>
      <c r="BJ303" s="139"/>
      <c r="BK303" s="139"/>
      <c r="BL303" s="139"/>
      <c r="BM303" s="139"/>
      <c r="BN303" s="139"/>
      <c r="BO303" s="139"/>
      <c r="BP303" s="139"/>
      <c r="BQ303" s="139"/>
      <c r="BR303" s="139"/>
      <c r="BS303" s="139"/>
      <c r="BT303" s="139"/>
      <c r="BU303" s="139"/>
      <c r="BV303" s="139"/>
      <c r="BW303" s="139"/>
      <c r="BX303" s="139"/>
      <c r="BY303" s="139"/>
      <c r="BZ303" s="139"/>
      <c r="CA303" s="139"/>
      <c r="CB303" s="139"/>
      <c r="CC303" s="139"/>
      <c r="CD303" s="139"/>
      <c r="CE303" s="139"/>
      <c r="CF303" s="0"/>
      <c r="CG303" s="0"/>
      <c r="CH303" s="0"/>
      <c r="CI303" s="0"/>
      <c r="CN303" s="0"/>
      <c r="CO303" s="0"/>
      <c r="CP303" s="0"/>
      <c r="CQ303" s="0"/>
      <c r="CR303" s="0"/>
      <c r="CS303" s="0"/>
      <c r="CT303" s="209"/>
      <c r="CU303" s="210"/>
      <c r="CV303" s="210"/>
      <c r="CW303" s="181" t="n">
        <f aca="false">EOMONTH(CW302,0)+1</f>
        <v>45992</v>
      </c>
      <c r="CX303" s="182" t="n">
        <f aca="false">IF(AF303=0,CX291,AF303)</f>
        <v>0.2</v>
      </c>
      <c r="CY303" s="182" t="n">
        <f aca="false">IF(AG303=0,CY291,AG303)</f>
        <v>0.25</v>
      </c>
      <c r="CZ303" s="182" t="n">
        <f aca="false">IF(AH303=0,CZ291,AH303)</f>
        <v>0.3</v>
      </c>
      <c r="DB303" s="161" t="n">
        <f aca="false">IF(X303=0,DB291,X303)</f>
        <v>0.16</v>
      </c>
      <c r="DC303" s="161" t="n">
        <f aca="false">IF(Y303=0,DC291,Y303)</f>
        <v>0.2</v>
      </c>
      <c r="DD303" s="161" t="n">
        <f aca="false">IF(Z303=0,DD291,Z303)</f>
        <v>0.24</v>
      </c>
      <c r="DE303" s="210"/>
      <c r="DF303" s="181" t="n">
        <f aca="false">IF(BF303=0,EOMONTH(DF302,0)+1,BF303)</f>
        <v>45992</v>
      </c>
      <c r="DG303" s="207" t="n">
        <f aca="false">IF(BG303=0,DG291,BG303)</f>
        <v>0.75</v>
      </c>
      <c r="DJ303" s="181" t="n">
        <f aca="false">CW303</f>
        <v>45992</v>
      </c>
      <c r="DK303" s="182" t="n">
        <f aca="false">IF(AJ303=0,DK291,AJ303)</f>
        <v>0.12</v>
      </c>
      <c r="DL303" s="182" t="n">
        <f aca="false">IF(AK303=0,DL291,AK303)</f>
        <v>0.15</v>
      </c>
      <c r="DM303" s="182" t="n">
        <f aca="false">IF(AL303=0,DM291,AL303)</f>
        <v>0.18</v>
      </c>
      <c r="DO303" s="182" t="n">
        <f aca="false">IF(AB303=0,DO291,AB303)</f>
        <v>0.08</v>
      </c>
      <c r="DP303" s="182" t="n">
        <f aca="false">IF(AC303=0,DP291,AC303)</f>
        <v>0.1</v>
      </c>
      <c r="DQ303" s="182" t="n">
        <f aca="false">IF(AD303=0,DQ291,AD303)</f>
        <v>0.12</v>
      </c>
    </row>
    <row r="304" customFormat="false" ht="12.75" hidden="false" customHeight="false" outlineLevel="0" collapsed="false">
      <c r="A304" s="133"/>
      <c r="B304" s="139"/>
      <c r="C304" s="139"/>
      <c r="D304" s="139"/>
      <c r="E304" s="139"/>
      <c r="F304" s="139"/>
      <c r="G304" s="139"/>
      <c r="H304" s="139"/>
      <c r="I304" s="139"/>
      <c r="J304" s="139"/>
      <c r="K304" s="141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41"/>
      <c r="BG304" s="139"/>
      <c r="BH304" s="139"/>
      <c r="BI304" s="139"/>
      <c r="BJ304" s="139"/>
      <c r="BK304" s="139"/>
      <c r="BL304" s="139"/>
      <c r="BM304" s="139"/>
      <c r="BN304" s="139"/>
      <c r="BO304" s="139"/>
      <c r="BP304" s="139"/>
      <c r="BQ304" s="139"/>
      <c r="BR304" s="139"/>
      <c r="BS304" s="139"/>
      <c r="BT304" s="139"/>
      <c r="BU304" s="139"/>
      <c r="BV304" s="139"/>
      <c r="BW304" s="139"/>
      <c r="BX304" s="139"/>
      <c r="BY304" s="139"/>
      <c r="BZ304" s="139"/>
      <c r="CA304" s="139"/>
      <c r="CB304" s="139"/>
      <c r="CC304" s="139"/>
      <c r="CD304" s="139"/>
      <c r="CE304" s="139"/>
      <c r="CF304" s="0"/>
      <c r="CG304" s="0"/>
      <c r="CH304" s="0"/>
      <c r="CI304" s="0"/>
      <c r="CN304" s="0"/>
      <c r="CO304" s="0"/>
      <c r="CP304" s="0"/>
      <c r="CQ304" s="0"/>
      <c r="CR304" s="0"/>
      <c r="CS304" s="0"/>
      <c r="CT304" s="209"/>
      <c r="CU304" s="210"/>
      <c r="CV304" s="210"/>
      <c r="CW304" s="181" t="n">
        <f aca="false">EOMONTH(CW303,0)+1</f>
        <v>46023</v>
      </c>
      <c r="CX304" s="182" t="n">
        <f aca="false">IF(AF304=0,CX292,AF304)</f>
        <v>0.2</v>
      </c>
      <c r="CY304" s="182" t="n">
        <f aca="false">IF(AG304=0,CY292,AG304)</f>
        <v>0.25</v>
      </c>
      <c r="CZ304" s="182" t="n">
        <f aca="false">IF(AH304=0,CZ292,AH304)</f>
        <v>0.3</v>
      </c>
      <c r="DB304" s="161" t="n">
        <f aca="false">IF(X304=0,DB292,X304)</f>
        <v>0.16</v>
      </c>
      <c r="DC304" s="161" t="n">
        <f aca="false">IF(Y304=0,DC292,Y304)</f>
        <v>0.2</v>
      </c>
      <c r="DD304" s="161" t="n">
        <f aca="false">IF(Z304=0,DD292,Z304)</f>
        <v>0.24</v>
      </c>
      <c r="DE304" s="210"/>
      <c r="DF304" s="181" t="n">
        <f aca="false">IF(BF304=0,EOMONTH(DF303,0)+1,BF304)</f>
        <v>46023</v>
      </c>
      <c r="DG304" s="207" t="n">
        <f aca="false">IF(BG304=0,DG292,BG304)</f>
        <v>0.75</v>
      </c>
      <c r="DJ304" s="181" t="n">
        <f aca="false">CW304</f>
        <v>46023</v>
      </c>
      <c r="DK304" s="182" t="n">
        <f aca="false">IF(AJ304=0,DK292,AJ304)</f>
        <v>0.12</v>
      </c>
      <c r="DL304" s="182" t="n">
        <f aca="false">IF(AK304=0,DL292,AK304)</f>
        <v>0.15</v>
      </c>
      <c r="DM304" s="182" t="n">
        <f aca="false">IF(AL304=0,DM292,AL304)</f>
        <v>0.18</v>
      </c>
      <c r="DO304" s="182" t="n">
        <f aca="false">IF(AB304=0,DO292,AB304)</f>
        <v>0.08</v>
      </c>
      <c r="DP304" s="182" t="n">
        <f aca="false">IF(AC304=0,DP292,AC304)</f>
        <v>0.1</v>
      </c>
      <c r="DQ304" s="182" t="n">
        <f aca="false">IF(AD304=0,DQ292,AD304)</f>
        <v>0.12</v>
      </c>
    </row>
    <row r="305" customFormat="false" ht="12.75" hidden="false" customHeight="false" outlineLevel="0" collapsed="false">
      <c r="A305" s="133"/>
      <c r="B305" s="139"/>
      <c r="C305" s="139"/>
      <c r="D305" s="139"/>
      <c r="E305" s="139"/>
      <c r="F305" s="139"/>
      <c r="G305" s="139"/>
      <c r="H305" s="139"/>
      <c r="I305" s="139"/>
      <c r="J305" s="139"/>
      <c r="K305" s="141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41"/>
      <c r="BG305" s="139"/>
      <c r="BH305" s="139"/>
      <c r="BI305" s="139"/>
      <c r="BJ305" s="139"/>
      <c r="BK305" s="139"/>
      <c r="BL305" s="139"/>
      <c r="BM305" s="139"/>
      <c r="BN305" s="139"/>
      <c r="BO305" s="139"/>
      <c r="BP305" s="139"/>
      <c r="BQ305" s="139"/>
      <c r="BR305" s="139"/>
      <c r="BS305" s="139"/>
      <c r="BT305" s="139"/>
      <c r="BU305" s="139"/>
      <c r="BV305" s="139"/>
      <c r="BW305" s="139"/>
      <c r="BX305" s="139"/>
      <c r="BY305" s="139"/>
      <c r="BZ305" s="139"/>
      <c r="CA305" s="139"/>
      <c r="CB305" s="139"/>
      <c r="CC305" s="139"/>
      <c r="CD305" s="139"/>
      <c r="CE305" s="139"/>
      <c r="CF305" s="0"/>
      <c r="CG305" s="0"/>
      <c r="CH305" s="0"/>
      <c r="CI305" s="0"/>
      <c r="CN305" s="0"/>
      <c r="CO305" s="0"/>
      <c r="CP305" s="0"/>
      <c r="CQ305" s="0"/>
      <c r="CR305" s="0"/>
      <c r="CS305" s="120"/>
      <c r="CT305" s="209"/>
      <c r="CU305" s="210"/>
      <c r="CV305" s="210"/>
      <c r="CW305" s="181" t="n">
        <f aca="false">EOMONTH(CW304,0)+1</f>
        <v>46054</v>
      </c>
      <c r="CX305" s="182" t="n">
        <f aca="false">IF(AF305=0,CX293,AF305)</f>
        <v>0.2</v>
      </c>
      <c r="CY305" s="182" t="n">
        <f aca="false">IF(AG305=0,CY293,AG305)</f>
        <v>0.25</v>
      </c>
      <c r="CZ305" s="182" t="n">
        <f aca="false">IF(AH305=0,CZ293,AH305)</f>
        <v>0.3</v>
      </c>
      <c r="DB305" s="161" t="n">
        <f aca="false">IF(X305=0,DB293,X305)</f>
        <v>0</v>
      </c>
      <c r="DC305" s="161" t="n">
        <f aca="false">IF(Y305=0,DC293,Y305)</f>
        <v>0</v>
      </c>
      <c r="DD305" s="161" t="n">
        <f aca="false">IF(Z305=0,DD293,Z305)</f>
        <v>0</v>
      </c>
      <c r="DE305" s="210"/>
      <c r="DF305" s="181" t="n">
        <f aca="false">IF(BF305=0,EOMONTH(DF304,0)+1,BF305)</f>
        <v>46054</v>
      </c>
      <c r="DG305" s="207" t="n">
        <f aca="false">IF(BG305=0,DG293,BG305)</f>
        <v>0</v>
      </c>
      <c r="DJ305" s="181" t="n">
        <f aca="false">CW305</f>
        <v>46054</v>
      </c>
      <c r="DK305" s="182" t="n">
        <f aca="false">IF(AJ305=0,DK293,AJ305)</f>
        <v>0.12</v>
      </c>
      <c r="DL305" s="182" t="n">
        <f aca="false">IF(AK305=0,DL293,AK305)</f>
        <v>0.15</v>
      </c>
      <c r="DM305" s="182" t="n">
        <f aca="false">IF(AL305=0,DM293,AL305)</f>
        <v>0.18</v>
      </c>
      <c r="DO305" s="182" t="n">
        <f aca="false">IF(AB305=0,DO293,AB305)</f>
        <v>0</v>
      </c>
      <c r="DP305" s="182" t="n">
        <f aca="false">IF(AC305=0,DP293,AC305)</f>
        <v>0</v>
      </c>
      <c r="DQ305" s="182" t="n">
        <f aca="false">IF(AD305=0,DQ293,AD305)</f>
        <v>0</v>
      </c>
    </row>
    <row r="306" customFormat="false" ht="12.75" hidden="false" customHeight="false" outlineLevel="0" collapsed="false">
      <c r="A306" s="133"/>
      <c r="B306" s="139"/>
      <c r="C306" s="139"/>
      <c r="D306" s="139"/>
      <c r="E306" s="139"/>
      <c r="F306" s="139"/>
      <c r="G306" s="139"/>
      <c r="H306" s="139"/>
      <c r="I306" s="139"/>
      <c r="J306" s="139"/>
      <c r="K306" s="141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41"/>
      <c r="BG306" s="139"/>
      <c r="BH306" s="139"/>
      <c r="BI306" s="139"/>
      <c r="BJ306" s="139"/>
      <c r="BK306" s="139"/>
      <c r="BL306" s="139"/>
      <c r="BM306" s="139"/>
      <c r="BN306" s="139"/>
      <c r="BO306" s="139"/>
      <c r="BP306" s="139"/>
      <c r="BQ306" s="139"/>
      <c r="BR306" s="139"/>
      <c r="BS306" s="139"/>
      <c r="BT306" s="139"/>
      <c r="BU306" s="139"/>
      <c r="BV306" s="139"/>
      <c r="BW306" s="139"/>
      <c r="BX306" s="139"/>
      <c r="BY306" s="139"/>
      <c r="BZ306" s="139"/>
      <c r="CA306" s="139"/>
      <c r="CB306" s="139"/>
      <c r="CC306" s="139"/>
      <c r="CD306" s="139"/>
      <c r="CE306" s="139"/>
      <c r="CF306" s="0"/>
      <c r="CG306" s="0"/>
      <c r="CH306" s="0"/>
      <c r="CI306" s="0"/>
      <c r="CN306" s="0"/>
      <c r="CO306" s="0"/>
      <c r="CP306" s="0"/>
      <c r="CQ306" s="0"/>
      <c r="CR306" s="0"/>
      <c r="CS306" s="120"/>
      <c r="CT306" s="209"/>
      <c r="CU306" s="210"/>
      <c r="CV306" s="210"/>
      <c r="CW306" s="181" t="n">
        <f aca="false">EOMONTH(CW305,0)+1</f>
        <v>46082</v>
      </c>
      <c r="CX306" s="182" t="n">
        <f aca="false">IF(AF306=0,CX294,AF306)</f>
        <v>0.2</v>
      </c>
      <c r="CY306" s="182" t="n">
        <f aca="false">IF(AG306=0,CY294,AG306)</f>
        <v>0.25</v>
      </c>
      <c r="CZ306" s="182" t="n">
        <f aca="false">IF(AH306=0,CZ294,AH306)</f>
        <v>0.3</v>
      </c>
      <c r="DB306" s="161" t="n">
        <f aca="false">IF(X306=0,DB294,X306)</f>
        <v>0.16</v>
      </c>
      <c r="DC306" s="161" t="n">
        <f aca="false">IF(Y306=0,DC294,Y306)</f>
        <v>0.2</v>
      </c>
      <c r="DD306" s="161" t="n">
        <f aca="false">IF(Z306=0,DD294,Z306)</f>
        <v>0.24</v>
      </c>
      <c r="DE306" s="210"/>
      <c r="DF306" s="181" t="n">
        <f aca="false">IF(BF306=0,EOMONTH(DF305,0)+1,BF306)</f>
        <v>46082</v>
      </c>
      <c r="DG306" s="207" t="n">
        <f aca="false">IF(BG306=0,DG294,BG306)</f>
        <v>0.75</v>
      </c>
      <c r="DJ306" s="181" t="n">
        <f aca="false">CW306</f>
        <v>46082</v>
      </c>
      <c r="DK306" s="182" t="n">
        <f aca="false">IF(AJ306=0,DK294,AJ306)</f>
        <v>0.12</v>
      </c>
      <c r="DL306" s="182" t="n">
        <f aca="false">IF(AK306=0,DL294,AK306)</f>
        <v>0.15</v>
      </c>
      <c r="DM306" s="182" t="n">
        <f aca="false">IF(AL306=0,DM294,AL306)</f>
        <v>0.18</v>
      </c>
      <c r="DO306" s="182" t="n">
        <f aca="false">IF(AB306=0,DO294,AB306)</f>
        <v>0.08</v>
      </c>
      <c r="DP306" s="182" t="n">
        <f aca="false">IF(AC306=0,DP294,AC306)</f>
        <v>0.1</v>
      </c>
      <c r="DQ306" s="182" t="n">
        <f aca="false">IF(AD306=0,DQ294,AD306)</f>
        <v>0.12</v>
      </c>
    </row>
    <row r="307" customFormat="false" ht="12.75" hidden="false" customHeight="false" outlineLevel="0" collapsed="false">
      <c r="A307" s="133"/>
      <c r="B307" s="139"/>
      <c r="C307" s="139"/>
      <c r="D307" s="139"/>
      <c r="E307" s="139"/>
      <c r="F307" s="139"/>
      <c r="G307" s="139"/>
      <c r="H307" s="139"/>
      <c r="I307" s="139"/>
      <c r="J307" s="139"/>
      <c r="K307" s="141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41"/>
      <c r="BG307" s="139"/>
      <c r="BH307" s="139"/>
      <c r="BI307" s="139"/>
      <c r="BJ307" s="139"/>
      <c r="BK307" s="139"/>
      <c r="BL307" s="139"/>
      <c r="BM307" s="139"/>
      <c r="BN307" s="139"/>
      <c r="BO307" s="139"/>
      <c r="BP307" s="139"/>
      <c r="BQ307" s="139"/>
      <c r="BR307" s="139"/>
      <c r="BS307" s="139"/>
      <c r="BT307" s="139"/>
      <c r="BU307" s="139"/>
      <c r="BV307" s="139"/>
      <c r="BW307" s="139"/>
      <c r="BX307" s="139"/>
      <c r="BY307" s="139"/>
      <c r="BZ307" s="139"/>
      <c r="CA307" s="139"/>
      <c r="CB307" s="139"/>
      <c r="CC307" s="139"/>
      <c r="CD307" s="139"/>
      <c r="CE307" s="139"/>
      <c r="CF307" s="0"/>
      <c r="CN307" s="0"/>
      <c r="CO307" s="0"/>
      <c r="CP307" s="0"/>
      <c r="CQ307" s="0"/>
      <c r="CR307" s="0"/>
      <c r="CS307" s="120"/>
      <c r="CT307" s="209"/>
      <c r="CU307" s="210"/>
      <c r="CV307" s="210"/>
      <c r="CW307" s="181" t="n">
        <f aca="false">EOMONTH(CW306,0)+1</f>
        <v>46113</v>
      </c>
      <c r="CX307" s="182" t="n">
        <f aca="false">IF(AF307=0,CX295,AF307)</f>
        <v>0.2</v>
      </c>
      <c r="CY307" s="182" t="n">
        <f aca="false">IF(AG307=0,CY295,AG307)</f>
        <v>0.25</v>
      </c>
      <c r="CZ307" s="182" t="n">
        <f aca="false">IF(AH307=0,CZ295,AH307)</f>
        <v>0.3</v>
      </c>
      <c r="DB307" s="161" t="n">
        <f aca="false">IF(X307=0,DB295,X307)</f>
        <v>0.16</v>
      </c>
      <c r="DC307" s="161" t="n">
        <f aca="false">IF(Y307=0,DC295,Y307)</f>
        <v>0.2</v>
      </c>
      <c r="DD307" s="161" t="n">
        <f aca="false">IF(Z307=0,DD295,Z307)</f>
        <v>0.24</v>
      </c>
      <c r="DE307" s="210"/>
      <c r="DF307" s="181" t="n">
        <f aca="false">IF(BF307=0,EOMONTH(DF306,0)+1,BF307)</f>
        <v>46113</v>
      </c>
      <c r="DG307" s="207" t="n">
        <f aca="false">IF(BG307=0,DG295,BG307)</f>
        <v>0.75</v>
      </c>
      <c r="DJ307" s="181" t="n">
        <f aca="false">CW307</f>
        <v>46113</v>
      </c>
      <c r="DK307" s="182" t="n">
        <f aca="false">IF(AJ307=0,DK295,AJ307)</f>
        <v>0.12</v>
      </c>
      <c r="DL307" s="182" t="n">
        <f aca="false">IF(AK307=0,DL295,AK307)</f>
        <v>0.15</v>
      </c>
      <c r="DM307" s="182" t="n">
        <f aca="false">IF(AL307=0,DM295,AL307)</f>
        <v>0.18</v>
      </c>
      <c r="DO307" s="182" t="n">
        <f aca="false">IF(AB307=0,DO295,AB307)</f>
        <v>0.08</v>
      </c>
      <c r="DP307" s="182" t="n">
        <f aca="false">IF(AC307=0,DP295,AC307)</f>
        <v>0.1</v>
      </c>
      <c r="DQ307" s="182" t="n">
        <f aca="false">IF(AD307=0,DQ295,AD307)</f>
        <v>0.12</v>
      </c>
    </row>
    <row r="308" customFormat="false" ht="12.75" hidden="false" customHeight="false" outlineLevel="0" collapsed="false">
      <c r="A308" s="133"/>
      <c r="B308" s="139"/>
      <c r="C308" s="139"/>
      <c r="D308" s="139"/>
      <c r="E308" s="139"/>
      <c r="F308" s="139"/>
      <c r="G308" s="139"/>
      <c r="H308" s="139"/>
      <c r="I308" s="139"/>
      <c r="J308" s="139"/>
      <c r="K308" s="141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41"/>
      <c r="BG308" s="139"/>
      <c r="BH308" s="139"/>
      <c r="BI308" s="139"/>
      <c r="BJ308" s="139"/>
      <c r="BK308" s="139"/>
      <c r="BL308" s="139"/>
      <c r="BM308" s="139"/>
      <c r="BN308" s="139"/>
      <c r="BO308" s="139"/>
      <c r="BP308" s="139"/>
      <c r="BQ308" s="139"/>
      <c r="BR308" s="139"/>
      <c r="BS308" s="139"/>
      <c r="BT308" s="139"/>
      <c r="BU308" s="139"/>
      <c r="BV308" s="139"/>
      <c r="BW308" s="139"/>
      <c r="BX308" s="139"/>
      <c r="BY308" s="139"/>
      <c r="BZ308" s="139"/>
      <c r="CA308" s="139"/>
      <c r="CB308" s="139"/>
      <c r="CC308" s="139"/>
      <c r="CD308" s="139"/>
      <c r="CE308" s="139"/>
      <c r="CF308" s="0"/>
      <c r="CN308" s="0"/>
      <c r="CO308" s="0"/>
      <c r="CP308" s="0"/>
      <c r="CQ308" s="0"/>
      <c r="CR308" s="0"/>
      <c r="CS308" s="120"/>
      <c r="CT308" s="209"/>
      <c r="CU308" s="210"/>
      <c r="CV308" s="210"/>
      <c r="CW308" s="181" t="n">
        <f aca="false">EOMONTH(CW307,0)+1</f>
        <v>46143</v>
      </c>
      <c r="CX308" s="182" t="n">
        <f aca="false">IF(AF308=0,CX296,AF308)</f>
        <v>0.2</v>
      </c>
      <c r="CY308" s="182" t="n">
        <f aca="false">IF(AG308=0,CY296,AG308)</f>
        <v>0.25</v>
      </c>
      <c r="CZ308" s="182" t="n">
        <f aca="false">IF(AH308=0,CZ296,AH308)</f>
        <v>0.3</v>
      </c>
      <c r="DB308" s="161" t="n">
        <f aca="false">IF(X308=0,DB296,X308)</f>
        <v>0.16</v>
      </c>
      <c r="DC308" s="161" t="n">
        <f aca="false">IF(Y308=0,DC296,Y308)</f>
        <v>0.2</v>
      </c>
      <c r="DD308" s="161" t="n">
        <f aca="false">IF(Z308=0,DD296,Z308)</f>
        <v>0.24</v>
      </c>
      <c r="DE308" s="210"/>
      <c r="DF308" s="181" t="n">
        <f aca="false">IF(BF308=0,EOMONTH(DF307,0)+1,BF308)</f>
        <v>46143</v>
      </c>
      <c r="DG308" s="207" t="n">
        <f aca="false">IF(BG308=0,DG296,BG308)</f>
        <v>0.75</v>
      </c>
      <c r="DJ308" s="181" t="n">
        <f aca="false">CW308</f>
        <v>46143</v>
      </c>
      <c r="DK308" s="182" t="n">
        <f aca="false">IF(AJ308=0,DK296,AJ308)</f>
        <v>0.12</v>
      </c>
      <c r="DL308" s="182" t="n">
        <f aca="false">IF(AK308=0,DL296,AK308)</f>
        <v>0.15</v>
      </c>
      <c r="DM308" s="182" t="n">
        <f aca="false">IF(AL308=0,DM296,AL308)</f>
        <v>0.18</v>
      </c>
      <c r="DO308" s="182" t="n">
        <f aca="false">IF(AB308=0,DO296,AB308)</f>
        <v>0.08</v>
      </c>
      <c r="DP308" s="182" t="n">
        <f aca="false">IF(AC308=0,DP296,AC308)</f>
        <v>0.1</v>
      </c>
      <c r="DQ308" s="182" t="n">
        <f aca="false">IF(AD308=0,DQ296,AD308)</f>
        <v>0.12</v>
      </c>
    </row>
    <row r="309" customFormat="false" ht="12.75" hidden="false" customHeight="false" outlineLevel="0" collapsed="false">
      <c r="A309" s="133"/>
      <c r="B309" s="139"/>
      <c r="C309" s="139"/>
      <c r="D309" s="139"/>
      <c r="E309" s="139"/>
      <c r="F309" s="139"/>
      <c r="G309" s="139"/>
      <c r="H309" s="139"/>
      <c r="I309" s="139"/>
      <c r="J309" s="139"/>
      <c r="K309" s="141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41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139"/>
      <c r="BS309" s="139"/>
      <c r="BT309" s="139"/>
      <c r="BU309" s="139"/>
      <c r="BV309" s="139"/>
      <c r="BW309" s="139"/>
      <c r="BX309" s="139"/>
      <c r="BY309" s="139"/>
      <c r="BZ309" s="139"/>
      <c r="CA309" s="139"/>
      <c r="CB309" s="139"/>
      <c r="CC309" s="139"/>
      <c r="CD309" s="139"/>
      <c r="CE309" s="139"/>
      <c r="CF309" s="0"/>
      <c r="CN309" s="0"/>
      <c r="CO309" s="0"/>
      <c r="CP309" s="0"/>
      <c r="CQ309" s="0"/>
      <c r="CR309" s="0"/>
      <c r="CS309" s="120"/>
      <c r="CT309" s="209"/>
      <c r="CU309" s="210"/>
      <c r="CV309" s="210"/>
      <c r="CW309" s="181" t="n">
        <f aca="false">EOMONTH(CW308,0)+1</f>
        <v>46174</v>
      </c>
      <c r="CX309" s="182" t="n">
        <f aca="false">IF(AF309=0,CX297,AF309)</f>
        <v>0.2</v>
      </c>
      <c r="CY309" s="182" t="n">
        <f aca="false">IF(AG309=0,CY297,AG309)</f>
        <v>0.25</v>
      </c>
      <c r="CZ309" s="182" t="n">
        <f aca="false">IF(AH309=0,CZ297,AH309)</f>
        <v>0.3</v>
      </c>
      <c r="DB309" s="161" t="n">
        <f aca="false">IF(X309=0,DB297,X309)</f>
        <v>0.16</v>
      </c>
      <c r="DC309" s="161" t="n">
        <f aca="false">IF(Y309=0,DC297,Y309)</f>
        <v>0.2</v>
      </c>
      <c r="DD309" s="161" t="n">
        <f aca="false">IF(Z309=0,DD297,Z309)</f>
        <v>0.24</v>
      </c>
      <c r="DE309" s="210"/>
      <c r="DF309" s="181" t="n">
        <f aca="false">IF(BF309=0,EOMONTH(DF308,0)+1,BF309)</f>
        <v>46174</v>
      </c>
      <c r="DG309" s="207" t="n">
        <f aca="false">IF(BG309=0,DG297,BG309)</f>
        <v>0.75</v>
      </c>
      <c r="DJ309" s="181" t="n">
        <f aca="false">CW309</f>
        <v>46174</v>
      </c>
      <c r="DK309" s="182" t="n">
        <f aca="false">IF(AJ309=0,DK297,AJ309)</f>
        <v>0.12</v>
      </c>
      <c r="DL309" s="182" t="n">
        <f aca="false">IF(AK309=0,DL297,AK309)</f>
        <v>0.15</v>
      </c>
      <c r="DM309" s="182" t="n">
        <f aca="false">IF(AL309=0,DM297,AL309)</f>
        <v>0.18</v>
      </c>
      <c r="DO309" s="182" t="n">
        <f aca="false">IF(AB309=0,DO297,AB309)</f>
        <v>0.08</v>
      </c>
      <c r="DP309" s="182" t="n">
        <f aca="false">IF(AC309=0,DP297,AC309)</f>
        <v>0.1</v>
      </c>
      <c r="DQ309" s="182" t="n">
        <f aca="false">IF(AD309=0,DQ297,AD309)</f>
        <v>0.12</v>
      </c>
    </row>
    <row r="310" customFormat="false" ht="12.75" hidden="false" customHeight="false" outlineLevel="0" collapsed="false">
      <c r="A310" s="133"/>
      <c r="B310" s="139"/>
      <c r="C310" s="139"/>
      <c r="D310" s="139"/>
      <c r="E310" s="139"/>
      <c r="F310" s="139"/>
      <c r="G310" s="139"/>
      <c r="H310" s="139"/>
      <c r="I310" s="139"/>
      <c r="J310" s="139"/>
      <c r="K310" s="141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41"/>
      <c r="BG310" s="139"/>
      <c r="BH310" s="139"/>
      <c r="BI310" s="139"/>
      <c r="BJ310" s="139"/>
      <c r="BK310" s="139"/>
      <c r="BL310" s="139"/>
      <c r="BM310" s="139"/>
      <c r="BN310" s="139"/>
      <c r="BO310" s="139"/>
      <c r="BP310" s="139"/>
      <c r="BQ310" s="139"/>
      <c r="BR310" s="139"/>
      <c r="BS310" s="139"/>
      <c r="BT310" s="139"/>
      <c r="BU310" s="139"/>
      <c r="BV310" s="139"/>
      <c r="BW310" s="139"/>
      <c r="BX310" s="139"/>
      <c r="BY310" s="139"/>
      <c r="BZ310" s="139"/>
      <c r="CA310" s="139"/>
      <c r="CB310" s="139"/>
      <c r="CC310" s="139"/>
      <c r="CD310" s="139"/>
      <c r="CE310" s="139"/>
      <c r="CF310" s="0"/>
      <c r="CN310" s="0"/>
      <c r="CO310" s="0"/>
      <c r="CP310" s="0"/>
      <c r="CQ310" s="0"/>
      <c r="CR310" s="0"/>
      <c r="CS310" s="120"/>
      <c r="CT310" s="209"/>
      <c r="CU310" s="210"/>
      <c r="CV310" s="210"/>
      <c r="CW310" s="181" t="n">
        <f aca="false">EOMONTH(CW309,0)+1</f>
        <v>46204</v>
      </c>
      <c r="CX310" s="182" t="n">
        <f aca="false">IF(AF310=0,CX298,AF310)</f>
        <v>0.2</v>
      </c>
      <c r="CY310" s="182" t="n">
        <f aca="false">IF(AG310=0,CY298,AG310)</f>
        <v>0.25</v>
      </c>
      <c r="CZ310" s="182" t="n">
        <f aca="false">IF(AH310=0,CZ298,AH310)</f>
        <v>0.3</v>
      </c>
      <c r="DB310" s="161" t="n">
        <f aca="false">IF(X310=0,DB298,X310)</f>
        <v>0.16</v>
      </c>
      <c r="DC310" s="161" t="n">
        <f aca="false">IF(Y310=0,DC298,Y310)</f>
        <v>0.2</v>
      </c>
      <c r="DD310" s="161" t="n">
        <f aca="false">IF(Z310=0,DD298,Z310)</f>
        <v>0.24</v>
      </c>
      <c r="DE310" s="210"/>
      <c r="DF310" s="181" t="n">
        <f aca="false">IF(BF310=0,EOMONTH(DF309,0)+1,BF310)</f>
        <v>46204</v>
      </c>
      <c r="DG310" s="207" t="n">
        <f aca="false">IF(BG310=0,DG298,BG310)</f>
        <v>0.75</v>
      </c>
      <c r="DJ310" s="181" t="n">
        <f aca="false">CW310</f>
        <v>46204</v>
      </c>
      <c r="DK310" s="182" t="n">
        <f aca="false">IF(AJ310=0,DK298,AJ310)</f>
        <v>0.12</v>
      </c>
      <c r="DL310" s="182" t="n">
        <f aca="false">IF(AK310=0,DL298,AK310)</f>
        <v>0.15</v>
      </c>
      <c r="DM310" s="182" t="n">
        <f aca="false">IF(AL310=0,DM298,AL310)</f>
        <v>0.18</v>
      </c>
      <c r="DO310" s="182" t="n">
        <f aca="false">IF(AB310=0,DO298,AB310)</f>
        <v>0.08</v>
      </c>
      <c r="DP310" s="182" t="n">
        <f aca="false">IF(AC310=0,DP298,AC310)</f>
        <v>0.1</v>
      </c>
      <c r="DQ310" s="182" t="n">
        <f aca="false">IF(AD310=0,DQ298,AD310)</f>
        <v>0.12</v>
      </c>
    </row>
    <row r="311" customFormat="false" ht="12.75" hidden="false" customHeight="false" outlineLevel="0" collapsed="false">
      <c r="A311" s="133"/>
      <c r="B311" s="139"/>
      <c r="C311" s="139"/>
      <c r="D311" s="139"/>
      <c r="E311" s="139"/>
      <c r="F311" s="139"/>
      <c r="G311" s="139"/>
      <c r="H311" s="139"/>
      <c r="I311" s="139"/>
      <c r="J311" s="139"/>
      <c r="K311" s="141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41"/>
      <c r="BG311" s="139"/>
      <c r="BH311" s="139"/>
      <c r="BI311" s="139"/>
      <c r="BJ311" s="139"/>
      <c r="BK311" s="139"/>
      <c r="BL311" s="139"/>
      <c r="BM311" s="139"/>
      <c r="BN311" s="139"/>
      <c r="BO311" s="139"/>
      <c r="BP311" s="139"/>
      <c r="BQ311" s="139"/>
      <c r="BR311" s="139"/>
      <c r="BS311" s="139"/>
      <c r="BT311" s="139"/>
      <c r="BU311" s="139"/>
      <c r="BV311" s="139"/>
      <c r="BW311" s="139"/>
      <c r="BX311" s="139"/>
      <c r="BY311" s="139"/>
      <c r="BZ311" s="139"/>
      <c r="CA311" s="139"/>
      <c r="CB311" s="139"/>
      <c r="CC311" s="139"/>
      <c r="CD311" s="139"/>
      <c r="CE311" s="139"/>
      <c r="CF311" s="0"/>
      <c r="CN311" s="0"/>
      <c r="CO311" s="0"/>
      <c r="CP311" s="0"/>
      <c r="CQ311" s="0"/>
      <c r="CR311" s="0"/>
      <c r="CS311" s="120"/>
      <c r="CT311" s="209"/>
      <c r="CU311" s="210"/>
      <c r="CV311" s="210"/>
      <c r="CW311" s="181" t="n">
        <f aca="false">EOMONTH(CW310,0)+1</f>
        <v>46235</v>
      </c>
      <c r="CX311" s="182" t="n">
        <f aca="false">IF(AF311=0,CX299,AF311)</f>
        <v>0.32</v>
      </c>
      <c r="CY311" s="182" t="n">
        <f aca="false">IF(AG311=0,CY299,AG311)</f>
        <v>0.4</v>
      </c>
      <c r="CZ311" s="182" t="n">
        <f aca="false">IF(AH311=0,CZ299,AH311)</f>
        <v>0.48</v>
      </c>
      <c r="DB311" s="161" t="n">
        <f aca="false">IF(X311=0,DB299,X311)</f>
        <v>0.24</v>
      </c>
      <c r="DC311" s="161" t="n">
        <f aca="false">IF(Y311=0,DC299,Y311)</f>
        <v>0.3</v>
      </c>
      <c r="DD311" s="161" t="n">
        <f aca="false">IF(Z311=0,DD299,Z311)</f>
        <v>0.36</v>
      </c>
      <c r="DE311" s="210"/>
      <c r="DF311" s="181" t="n">
        <f aca="false">IF(BF311=0,EOMONTH(DF310,0)+1,BF311)</f>
        <v>46235</v>
      </c>
      <c r="DG311" s="207" t="n">
        <f aca="false">IF(BG311=0,DG299,BG311)</f>
        <v>0.75</v>
      </c>
      <c r="DJ311" s="181" t="n">
        <f aca="false">CW311</f>
        <v>46235</v>
      </c>
      <c r="DK311" s="182" t="n">
        <f aca="false">IF(AJ311=0,DK299,AJ311)</f>
        <v>0.192</v>
      </c>
      <c r="DL311" s="182" t="n">
        <f aca="false">IF(AK311=0,DL299,AK311)</f>
        <v>0.24</v>
      </c>
      <c r="DM311" s="182" t="n">
        <f aca="false">IF(AL311=0,DM299,AL311)</f>
        <v>0.288</v>
      </c>
      <c r="DO311" s="182" t="n">
        <f aca="false">IF(AB311=0,DO299,AB311)</f>
        <v>0.12</v>
      </c>
      <c r="DP311" s="182" t="n">
        <f aca="false">IF(AC311=0,DP299,AC311)</f>
        <v>0.15</v>
      </c>
      <c r="DQ311" s="182" t="n">
        <f aca="false">IF(AD311=0,DQ299,AD311)</f>
        <v>0.18</v>
      </c>
    </row>
    <row r="312" customFormat="false" ht="12.75" hidden="false" customHeight="false" outlineLevel="0" collapsed="false">
      <c r="A312" s="133"/>
      <c r="B312" s="139"/>
      <c r="C312" s="139"/>
      <c r="D312" s="139"/>
      <c r="E312" s="139"/>
      <c r="F312" s="139"/>
      <c r="G312" s="139"/>
      <c r="H312" s="139"/>
      <c r="I312" s="139"/>
      <c r="J312" s="139"/>
      <c r="K312" s="141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41"/>
      <c r="BG312" s="139"/>
      <c r="BH312" s="139"/>
      <c r="BI312" s="139"/>
      <c r="BJ312" s="139"/>
      <c r="BK312" s="139"/>
      <c r="BL312" s="139"/>
      <c r="BM312" s="139"/>
      <c r="BN312" s="139"/>
      <c r="BO312" s="139"/>
      <c r="BP312" s="139"/>
      <c r="BQ312" s="139"/>
      <c r="BR312" s="139"/>
      <c r="BS312" s="139"/>
      <c r="BT312" s="139"/>
      <c r="BU312" s="139"/>
      <c r="BV312" s="139"/>
      <c r="BW312" s="139"/>
      <c r="BX312" s="139"/>
      <c r="BY312" s="139"/>
      <c r="BZ312" s="139"/>
      <c r="CA312" s="139"/>
      <c r="CB312" s="139"/>
      <c r="CC312" s="139"/>
      <c r="CD312" s="139"/>
      <c r="CE312" s="139"/>
      <c r="CF312" s="0"/>
      <c r="CN312" s="0"/>
      <c r="CO312" s="0"/>
      <c r="CP312" s="0"/>
      <c r="CQ312" s="0"/>
      <c r="CR312" s="0"/>
      <c r="CS312" s="120"/>
      <c r="CT312" s="209"/>
      <c r="CU312" s="210"/>
      <c r="CV312" s="210"/>
      <c r="CW312" s="181" t="n">
        <f aca="false">EOMONTH(CW311,0)+1</f>
        <v>46266</v>
      </c>
      <c r="CX312" s="182" t="n">
        <f aca="false">IF(AF312=0,CX300,AF312)</f>
        <v>0.32</v>
      </c>
      <c r="CY312" s="182" t="n">
        <f aca="false">IF(AG312=0,CY300,AG312)</f>
        <v>0.4</v>
      </c>
      <c r="CZ312" s="182" t="n">
        <f aca="false">IF(AH312=0,CZ300,AH312)</f>
        <v>0.48</v>
      </c>
      <c r="DB312" s="161" t="n">
        <f aca="false">IF(X312=0,DB300,X312)</f>
        <v>0.24</v>
      </c>
      <c r="DC312" s="161" t="n">
        <f aca="false">IF(Y312=0,DC300,Y312)</f>
        <v>0.3</v>
      </c>
      <c r="DD312" s="161" t="n">
        <f aca="false">IF(Z312=0,DD300,Z312)</f>
        <v>0.36</v>
      </c>
      <c r="DE312" s="210"/>
      <c r="DF312" s="181" t="n">
        <f aca="false">IF(BF312=0,EOMONTH(DF311,0)+1,BF312)</f>
        <v>46266</v>
      </c>
      <c r="DG312" s="207" t="n">
        <f aca="false">IF(BG312=0,DG300,BG312)</f>
        <v>0.75</v>
      </c>
      <c r="DJ312" s="181" t="n">
        <f aca="false">CW312</f>
        <v>46266</v>
      </c>
      <c r="DK312" s="182" t="n">
        <f aca="false">IF(AJ312=0,DK300,AJ312)</f>
        <v>0.192</v>
      </c>
      <c r="DL312" s="182" t="n">
        <f aca="false">IF(AK312=0,DL300,AK312)</f>
        <v>0.24</v>
      </c>
      <c r="DM312" s="182" t="n">
        <f aca="false">IF(AL312=0,DM300,AL312)</f>
        <v>0.288</v>
      </c>
      <c r="DO312" s="182" t="n">
        <f aca="false">IF(AB312=0,DO300,AB312)</f>
        <v>0.12</v>
      </c>
      <c r="DP312" s="182" t="n">
        <f aca="false">IF(AC312=0,DP300,AC312)</f>
        <v>0.15</v>
      </c>
      <c r="DQ312" s="182" t="n">
        <f aca="false">IF(AD312=0,DQ300,AD312)</f>
        <v>0.18</v>
      </c>
    </row>
    <row r="313" customFormat="false" ht="12.75" hidden="false" customHeight="false" outlineLevel="0" collapsed="false">
      <c r="A313" s="133"/>
      <c r="B313" s="139"/>
      <c r="C313" s="139"/>
      <c r="D313" s="139"/>
      <c r="E313" s="139"/>
      <c r="F313" s="139"/>
      <c r="G313" s="139"/>
      <c r="H313" s="139"/>
      <c r="I313" s="139"/>
      <c r="J313" s="139"/>
      <c r="K313" s="141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41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139"/>
      <c r="BS313" s="139"/>
      <c r="BT313" s="139"/>
      <c r="BU313" s="139"/>
      <c r="BV313" s="139"/>
      <c r="BW313" s="139"/>
      <c r="BX313" s="139"/>
      <c r="BY313" s="139"/>
      <c r="BZ313" s="139"/>
      <c r="CA313" s="139"/>
      <c r="CB313" s="139"/>
      <c r="CC313" s="139"/>
      <c r="CD313" s="139"/>
      <c r="CE313" s="139"/>
      <c r="CF313" s="0"/>
      <c r="CN313" s="0"/>
      <c r="CO313" s="0"/>
      <c r="CP313" s="0"/>
      <c r="CQ313" s="0"/>
      <c r="CR313" s="0"/>
      <c r="CS313" s="120"/>
      <c r="CT313" s="209"/>
      <c r="CU313" s="210"/>
      <c r="CV313" s="210"/>
      <c r="CW313" s="181" t="n">
        <f aca="false">EOMONTH(CW312,0)+1</f>
        <v>46296</v>
      </c>
      <c r="CX313" s="182" t="n">
        <f aca="false">IF(AF313=0,CX301,AF313)</f>
        <v>0.2</v>
      </c>
      <c r="CY313" s="182" t="n">
        <f aca="false">IF(AG313=0,CY301,AG313)</f>
        <v>0.25</v>
      </c>
      <c r="CZ313" s="182" t="n">
        <f aca="false">IF(AH313=0,CZ301,AH313)</f>
        <v>0.3</v>
      </c>
      <c r="DB313" s="161" t="n">
        <f aca="false">IF(X313=0,DB301,X313)</f>
        <v>0.16</v>
      </c>
      <c r="DC313" s="161" t="n">
        <f aca="false">IF(Y313=0,DC301,Y313)</f>
        <v>0.2</v>
      </c>
      <c r="DD313" s="161" t="n">
        <f aca="false">IF(Z313=0,DD301,Z313)</f>
        <v>0.24</v>
      </c>
      <c r="DE313" s="210"/>
      <c r="DF313" s="181" t="n">
        <f aca="false">IF(BF313=0,EOMONTH(DF312,0)+1,BF313)</f>
        <v>46296</v>
      </c>
      <c r="DG313" s="207" t="n">
        <f aca="false">IF(BG313=0,DG301,BG313)</f>
        <v>0.75</v>
      </c>
      <c r="DJ313" s="181" t="n">
        <f aca="false">CW313</f>
        <v>46296</v>
      </c>
      <c r="DK313" s="182" t="n">
        <f aca="false">IF(AJ313=0,DK301,AJ313)</f>
        <v>0.12</v>
      </c>
      <c r="DL313" s="182" t="n">
        <f aca="false">IF(AK313=0,DL301,AK313)</f>
        <v>0.15</v>
      </c>
      <c r="DM313" s="182" t="n">
        <f aca="false">IF(AL313=0,DM301,AL313)</f>
        <v>0.18</v>
      </c>
      <c r="DO313" s="182" t="n">
        <f aca="false">IF(AB313=0,DO301,AB313)</f>
        <v>0.08</v>
      </c>
      <c r="DP313" s="182" t="n">
        <f aca="false">IF(AC313=0,DP301,AC313)</f>
        <v>0.1</v>
      </c>
      <c r="DQ313" s="182" t="n">
        <f aca="false">IF(AD313=0,DQ301,AD313)</f>
        <v>0.12</v>
      </c>
    </row>
    <row r="314" customFormat="false" ht="12.75" hidden="false" customHeight="false" outlineLevel="0" collapsed="false">
      <c r="A314" s="133"/>
      <c r="B314" s="139"/>
      <c r="C314" s="139"/>
      <c r="D314" s="139"/>
      <c r="E314" s="139"/>
      <c r="F314" s="139"/>
      <c r="G314" s="139"/>
      <c r="H314" s="139"/>
      <c r="I314" s="139"/>
      <c r="J314" s="139"/>
      <c r="K314" s="141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41"/>
      <c r="BG314" s="139"/>
      <c r="BH314" s="139"/>
      <c r="BI314" s="139"/>
      <c r="BJ314" s="139"/>
      <c r="BK314" s="139"/>
      <c r="BL314" s="139"/>
      <c r="BM314" s="139"/>
      <c r="BN314" s="139"/>
      <c r="BO314" s="139"/>
      <c r="BP314" s="139"/>
      <c r="BQ314" s="139"/>
      <c r="BR314" s="139"/>
      <c r="BS314" s="139"/>
      <c r="BT314" s="139"/>
      <c r="BU314" s="139"/>
      <c r="BV314" s="139"/>
      <c r="BW314" s="139"/>
      <c r="BX314" s="139"/>
      <c r="BY314" s="139"/>
      <c r="BZ314" s="139"/>
      <c r="CA314" s="139"/>
      <c r="CB314" s="139"/>
      <c r="CC314" s="139"/>
      <c r="CD314" s="139"/>
      <c r="CE314" s="139"/>
      <c r="CF314" s="0"/>
      <c r="CN314" s="0"/>
      <c r="CO314" s="0"/>
      <c r="CP314" s="0"/>
      <c r="CQ314" s="0"/>
      <c r="CR314" s="0"/>
      <c r="CS314" s="120"/>
      <c r="CT314" s="209"/>
      <c r="CU314" s="210"/>
      <c r="CV314" s="210"/>
      <c r="CW314" s="181" t="n">
        <f aca="false">EOMONTH(CW313,0)+1</f>
        <v>46327</v>
      </c>
      <c r="CX314" s="182" t="n">
        <f aca="false">IF(AF314=0,CX302,AF314)</f>
        <v>0.2</v>
      </c>
      <c r="CY314" s="182" t="n">
        <f aca="false">IF(AG314=0,CY302,AG314)</f>
        <v>0.25</v>
      </c>
      <c r="CZ314" s="182" t="n">
        <f aca="false">IF(AH314=0,CZ302,AH314)</f>
        <v>0.3</v>
      </c>
      <c r="DB314" s="161" t="n">
        <f aca="false">IF(X314=0,DB302,X314)</f>
        <v>0.16</v>
      </c>
      <c r="DC314" s="161" t="n">
        <f aca="false">IF(Y314=0,DC302,Y314)</f>
        <v>0.2</v>
      </c>
      <c r="DD314" s="161" t="n">
        <f aca="false">IF(Z314=0,DD302,Z314)</f>
        <v>0.24</v>
      </c>
      <c r="DE314" s="210"/>
      <c r="DF314" s="181" t="n">
        <f aca="false">IF(BF314=0,EOMONTH(DF313,0)+1,BF314)</f>
        <v>46327</v>
      </c>
      <c r="DG314" s="207" t="n">
        <f aca="false">IF(BG314=0,DG302,BG314)</f>
        <v>0.75</v>
      </c>
      <c r="DJ314" s="181" t="n">
        <f aca="false">CW314</f>
        <v>46327</v>
      </c>
      <c r="DK314" s="182" t="n">
        <f aca="false">IF(AJ314=0,DK302,AJ314)</f>
        <v>0.12</v>
      </c>
      <c r="DL314" s="182" t="n">
        <f aca="false">IF(AK314=0,DL302,AK314)</f>
        <v>0.15</v>
      </c>
      <c r="DM314" s="182" t="n">
        <f aca="false">IF(AL314=0,DM302,AL314)</f>
        <v>0.18</v>
      </c>
      <c r="DO314" s="182" t="n">
        <f aca="false">IF(AB314=0,DO302,AB314)</f>
        <v>0.08</v>
      </c>
      <c r="DP314" s="182" t="n">
        <f aca="false">IF(AC314=0,DP302,AC314)</f>
        <v>0.1</v>
      </c>
      <c r="DQ314" s="182" t="n">
        <f aca="false">IF(AD314=0,DQ302,AD314)</f>
        <v>0.12</v>
      </c>
    </row>
    <row r="315" customFormat="false" ht="12.75" hidden="false" customHeight="false" outlineLevel="0" collapsed="false">
      <c r="A315" s="133"/>
      <c r="B315" s="139"/>
      <c r="C315" s="139"/>
      <c r="D315" s="139"/>
      <c r="E315" s="139"/>
      <c r="F315" s="139"/>
      <c r="G315" s="139"/>
      <c r="H315" s="139"/>
      <c r="I315" s="139"/>
      <c r="J315" s="139"/>
      <c r="K315" s="141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41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139"/>
      <c r="BS315" s="139"/>
      <c r="BT315" s="139"/>
      <c r="BU315" s="139"/>
      <c r="BV315" s="139"/>
      <c r="BW315" s="139"/>
      <c r="BX315" s="139"/>
      <c r="BY315" s="139"/>
      <c r="BZ315" s="139"/>
      <c r="CA315" s="139"/>
      <c r="CB315" s="139"/>
      <c r="CC315" s="139"/>
      <c r="CD315" s="139"/>
      <c r="CE315" s="139"/>
      <c r="CF315" s="0"/>
      <c r="CN315" s="0"/>
      <c r="CO315" s="0"/>
      <c r="CP315" s="0"/>
      <c r="CQ315" s="0"/>
      <c r="CR315" s="0"/>
      <c r="CS315" s="120"/>
      <c r="CT315" s="209"/>
      <c r="CU315" s="210"/>
      <c r="CV315" s="210"/>
      <c r="CW315" s="181" t="n">
        <f aca="false">EOMONTH(CW314,0)+1</f>
        <v>46357</v>
      </c>
      <c r="CX315" s="182" t="n">
        <f aca="false">IF(AF315=0,CX303,AF315)</f>
        <v>0.2</v>
      </c>
      <c r="CY315" s="182" t="n">
        <f aca="false">IF(AG315=0,CY303,AG315)</f>
        <v>0.25</v>
      </c>
      <c r="CZ315" s="182" t="n">
        <f aca="false">IF(AH315=0,CZ303,AH315)</f>
        <v>0.3</v>
      </c>
      <c r="DB315" s="161" t="n">
        <f aca="false">IF(X315=0,DB303,X315)</f>
        <v>0.16</v>
      </c>
      <c r="DC315" s="161" t="n">
        <f aca="false">IF(Y315=0,DC303,Y315)</f>
        <v>0.2</v>
      </c>
      <c r="DD315" s="161" t="n">
        <f aca="false">IF(Z315=0,DD303,Z315)</f>
        <v>0.24</v>
      </c>
      <c r="DE315" s="210"/>
      <c r="DF315" s="181" t="n">
        <f aca="false">IF(BF315=0,EOMONTH(DF314,0)+1,BF315)</f>
        <v>46357</v>
      </c>
      <c r="DG315" s="207" t="n">
        <f aca="false">IF(BG315=0,DG303,BG315)</f>
        <v>0.75</v>
      </c>
      <c r="DJ315" s="181" t="n">
        <f aca="false">CW315</f>
        <v>46357</v>
      </c>
      <c r="DK315" s="182" t="n">
        <f aca="false">IF(AJ315=0,DK303,AJ315)</f>
        <v>0.12</v>
      </c>
      <c r="DL315" s="182" t="n">
        <f aca="false">IF(AK315=0,DL303,AK315)</f>
        <v>0.15</v>
      </c>
      <c r="DM315" s="182" t="n">
        <f aca="false">IF(AL315=0,DM303,AL315)</f>
        <v>0.18</v>
      </c>
      <c r="DO315" s="182" t="n">
        <f aca="false">IF(AB315=0,DO303,AB315)</f>
        <v>0.08</v>
      </c>
      <c r="DP315" s="182" t="n">
        <f aca="false">IF(AC315=0,DP303,AC315)</f>
        <v>0.1</v>
      </c>
      <c r="DQ315" s="182" t="n">
        <f aca="false">IF(AD315=0,DQ303,AD315)</f>
        <v>0.12</v>
      </c>
    </row>
    <row r="316" customFormat="false" ht="12.75" hidden="false" customHeight="false" outlineLevel="0" collapsed="false">
      <c r="A316" s="133"/>
      <c r="B316" s="139"/>
      <c r="C316" s="139"/>
      <c r="D316" s="139"/>
      <c r="E316" s="139"/>
      <c r="F316" s="139"/>
      <c r="G316" s="139"/>
      <c r="H316" s="139"/>
      <c r="I316" s="139"/>
      <c r="J316" s="139"/>
      <c r="K316" s="141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41"/>
      <c r="BG316" s="139"/>
      <c r="BH316" s="139"/>
      <c r="BI316" s="139"/>
      <c r="BJ316" s="139"/>
      <c r="BK316" s="139"/>
      <c r="BL316" s="139"/>
      <c r="BM316" s="139"/>
      <c r="BN316" s="139"/>
      <c r="BO316" s="139"/>
      <c r="BP316" s="139"/>
      <c r="BQ316" s="139"/>
      <c r="BR316" s="139"/>
      <c r="BS316" s="139"/>
      <c r="BT316" s="139"/>
      <c r="BU316" s="139"/>
      <c r="BV316" s="139"/>
      <c r="BW316" s="139"/>
      <c r="BX316" s="139"/>
      <c r="BY316" s="139"/>
      <c r="BZ316" s="139"/>
      <c r="CA316" s="139"/>
      <c r="CB316" s="139"/>
      <c r="CC316" s="139"/>
      <c r="CD316" s="139"/>
      <c r="CE316" s="139"/>
      <c r="CF316" s="0"/>
      <c r="CN316" s="0"/>
      <c r="CO316" s="0"/>
      <c r="CP316" s="0"/>
      <c r="CQ316" s="0"/>
      <c r="CR316" s="0"/>
      <c r="CS316" s="120"/>
      <c r="CT316" s="209"/>
      <c r="CU316" s="210"/>
      <c r="CV316" s="210"/>
      <c r="CW316" s="181" t="n">
        <f aca="false">EOMONTH(CW315,0)+1</f>
        <v>46388</v>
      </c>
      <c r="CX316" s="182" t="n">
        <f aca="false">IF(AF316=0,CX304,AF316)</f>
        <v>0.2</v>
      </c>
      <c r="CY316" s="182" t="n">
        <f aca="false">IF(AG316=0,CY304,AG316)</f>
        <v>0.25</v>
      </c>
      <c r="CZ316" s="182" t="n">
        <f aca="false">IF(AH316=0,CZ304,AH316)</f>
        <v>0.3</v>
      </c>
      <c r="DB316" s="161" t="n">
        <f aca="false">IF(X316=0,DB304,X316)</f>
        <v>0.16</v>
      </c>
      <c r="DC316" s="161" t="n">
        <f aca="false">IF(Y316=0,DC304,Y316)</f>
        <v>0.2</v>
      </c>
      <c r="DD316" s="161" t="n">
        <f aca="false">IF(Z316=0,DD304,Z316)</f>
        <v>0.24</v>
      </c>
      <c r="DE316" s="210"/>
      <c r="DF316" s="181" t="n">
        <f aca="false">IF(BF316=0,EOMONTH(DF315,0)+1,BF316)</f>
        <v>46388</v>
      </c>
      <c r="DG316" s="207" t="n">
        <f aca="false">IF(BG316=0,DG304,BG316)</f>
        <v>0.75</v>
      </c>
      <c r="DJ316" s="181" t="n">
        <f aca="false">CW316</f>
        <v>46388</v>
      </c>
      <c r="DK316" s="182" t="n">
        <f aca="false">IF(AJ316=0,DK304,AJ316)</f>
        <v>0.12</v>
      </c>
      <c r="DL316" s="182" t="n">
        <f aca="false">IF(AK316=0,DL304,AK316)</f>
        <v>0.15</v>
      </c>
      <c r="DM316" s="182" t="n">
        <f aca="false">IF(AL316=0,DM304,AL316)</f>
        <v>0.18</v>
      </c>
      <c r="DO316" s="182" t="n">
        <f aca="false">IF(AB316=0,DO304,AB316)</f>
        <v>0.08</v>
      </c>
      <c r="DP316" s="182" t="n">
        <f aca="false">IF(AC316=0,DP304,AC316)</f>
        <v>0.1</v>
      </c>
      <c r="DQ316" s="182" t="n">
        <f aca="false">IF(AD316=0,DQ304,AD316)</f>
        <v>0.12</v>
      </c>
    </row>
    <row r="317" customFormat="false" ht="12.75" hidden="false" customHeight="false" outlineLevel="0" collapsed="false">
      <c r="A317" s="133"/>
      <c r="B317" s="139"/>
      <c r="C317" s="139"/>
      <c r="D317" s="139"/>
      <c r="E317" s="139"/>
      <c r="F317" s="139"/>
      <c r="G317" s="139"/>
      <c r="H317" s="139"/>
      <c r="I317" s="139"/>
      <c r="J317" s="139"/>
      <c r="K317" s="141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41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139"/>
      <c r="BS317" s="139"/>
      <c r="BT317" s="139"/>
      <c r="BU317" s="139"/>
      <c r="BV317" s="139"/>
      <c r="BW317" s="139"/>
      <c r="BX317" s="139"/>
      <c r="BY317" s="139"/>
      <c r="BZ317" s="139"/>
      <c r="CA317" s="139"/>
      <c r="CB317" s="139"/>
      <c r="CC317" s="139"/>
      <c r="CD317" s="139"/>
      <c r="CE317" s="139"/>
      <c r="CF317" s="0"/>
      <c r="CN317" s="0"/>
      <c r="CO317" s="0"/>
      <c r="CP317" s="0"/>
      <c r="CQ317" s="0"/>
      <c r="CR317" s="0"/>
      <c r="CS317" s="120"/>
      <c r="CT317" s="209"/>
      <c r="CU317" s="210"/>
      <c r="CV317" s="210"/>
      <c r="CW317" s="181" t="n">
        <f aca="false">EOMONTH(CW316,0)+1</f>
        <v>46419</v>
      </c>
      <c r="CX317" s="182" t="n">
        <f aca="false">IF(AF317=0,CX305,AF317)</f>
        <v>0.2</v>
      </c>
      <c r="CY317" s="182" t="n">
        <f aca="false">IF(AG317=0,CY305,AG317)</f>
        <v>0.25</v>
      </c>
      <c r="CZ317" s="182" t="n">
        <f aca="false">IF(AH317=0,CZ305,AH317)</f>
        <v>0.3</v>
      </c>
      <c r="DB317" s="161" t="n">
        <f aca="false">IF(X317=0,DB305,X317)</f>
        <v>0</v>
      </c>
      <c r="DC317" s="161" t="n">
        <f aca="false">IF(Y317=0,DC305,Y317)</f>
        <v>0</v>
      </c>
      <c r="DD317" s="161" t="n">
        <f aca="false">IF(Z317=0,DD305,Z317)</f>
        <v>0</v>
      </c>
      <c r="DE317" s="210"/>
      <c r="DF317" s="181" t="n">
        <f aca="false">IF(BF317=0,EOMONTH(DF316,0)+1,BF317)</f>
        <v>46419</v>
      </c>
      <c r="DG317" s="207" t="n">
        <f aca="false">IF(BG317=0,DG305,BG317)</f>
        <v>0</v>
      </c>
      <c r="DJ317" s="181" t="n">
        <f aca="false">CW317</f>
        <v>46419</v>
      </c>
      <c r="DK317" s="182" t="n">
        <f aca="false">IF(AJ317=0,DK305,AJ317)</f>
        <v>0.12</v>
      </c>
      <c r="DL317" s="182" t="n">
        <f aca="false">IF(AK317=0,DL305,AK317)</f>
        <v>0.15</v>
      </c>
      <c r="DM317" s="182" t="n">
        <f aca="false">IF(AL317=0,DM305,AL317)</f>
        <v>0.18</v>
      </c>
      <c r="DO317" s="182" t="n">
        <f aca="false">IF(AB317=0,DO305,AB317)</f>
        <v>0</v>
      </c>
      <c r="DP317" s="182" t="n">
        <f aca="false">IF(AC317=0,DP305,AC317)</f>
        <v>0</v>
      </c>
      <c r="DQ317" s="182" t="n">
        <f aca="false">IF(AD317=0,DQ305,AD317)</f>
        <v>0</v>
      </c>
    </row>
    <row r="318" customFormat="false" ht="12.75" hidden="false" customHeight="false" outlineLevel="0" collapsed="false">
      <c r="A318" s="133"/>
      <c r="B318" s="139"/>
      <c r="C318" s="139"/>
      <c r="D318" s="139"/>
      <c r="E318" s="139"/>
      <c r="F318" s="139"/>
      <c r="G318" s="139"/>
      <c r="H318" s="139"/>
      <c r="I318" s="139"/>
      <c r="J318" s="139"/>
      <c r="K318" s="141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41"/>
      <c r="BG318" s="139"/>
      <c r="BH318" s="139"/>
      <c r="BI318" s="139"/>
      <c r="BJ318" s="139"/>
      <c r="BK318" s="139"/>
      <c r="BL318" s="139"/>
      <c r="BM318" s="139"/>
      <c r="BN318" s="139"/>
      <c r="BO318" s="139"/>
      <c r="BP318" s="139"/>
      <c r="BQ318" s="139"/>
      <c r="BR318" s="139"/>
      <c r="BS318" s="139"/>
      <c r="BT318" s="139"/>
      <c r="BU318" s="139"/>
      <c r="BV318" s="139"/>
      <c r="BW318" s="139"/>
      <c r="BX318" s="139"/>
      <c r="BY318" s="139"/>
      <c r="BZ318" s="139"/>
      <c r="CA318" s="139"/>
      <c r="CB318" s="139"/>
      <c r="CC318" s="139"/>
      <c r="CD318" s="139"/>
      <c r="CE318" s="139"/>
      <c r="CF318" s="0"/>
      <c r="CN318" s="0"/>
      <c r="CO318" s="0"/>
      <c r="CP318" s="0"/>
      <c r="CQ318" s="0"/>
      <c r="CR318" s="0"/>
      <c r="CS318" s="120"/>
      <c r="CT318" s="209"/>
      <c r="CU318" s="210"/>
      <c r="CV318" s="210"/>
      <c r="CW318" s="181" t="n">
        <f aca="false">EOMONTH(CW317,0)+1</f>
        <v>46447</v>
      </c>
      <c r="CX318" s="182" t="n">
        <f aca="false">IF(AF318=0,CX306,AF318)</f>
        <v>0.2</v>
      </c>
      <c r="CY318" s="182" t="n">
        <f aca="false">IF(AG318=0,CY306,AG318)</f>
        <v>0.25</v>
      </c>
      <c r="CZ318" s="182" t="n">
        <f aca="false">IF(AH318=0,CZ306,AH318)</f>
        <v>0.3</v>
      </c>
      <c r="DB318" s="161" t="n">
        <f aca="false">IF(X318=0,DB306,X318)</f>
        <v>0.16</v>
      </c>
      <c r="DC318" s="161" t="n">
        <f aca="false">IF(Y318=0,DC306,Y318)</f>
        <v>0.2</v>
      </c>
      <c r="DD318" s="161" t="n">
        <f aca="false">IF(Z318=0,DD306,Z318)</f>
        <v>0.24</v>
      </c>
      <c r="DE318" s="210"/>
      <c r="DF318" s="181" t="n">
        <f aca="false">IF(BF318=0,EOMONTH(DF317,0)+1,BF318)</f>
        <v>46447</v>
      </c>
      <c r="DG318" s="207" t="n">
        <f aca="false">IF(BG318=0,DG306,BG318)</f>
        <v>0.75</v>
      </c>
      <c r="DJ318" s="181" t="n">
        <f aca="false">CW318</f>
        <v>46447</v>
      </c>
      <c r="DK318" s="182" t="n">
        <f aca="false">IF(AJ318=0,DK306,AJ318)</f>
        <v>0.12</v>
      </c>
      <c r="DL318" s="182" t="n">
        <f aca="false">IF(AK318=0,DL306,AK318)</f>
        <v>0.15</v>
      </c>
      <c r="DM318" s="182" t="n">
        <f aca="false">IF(AL318=0,DM306,AL318)</f>
        <v>0.18</v>
      </c>
      <c r="DO318" s="182" t="n">
        <f aca="false">IF(AB318=0,DO306,AB318)</f>
        <v>0.08</v>
      </c>
      <c r="DP318" s="182" t="n">
        <f aca="false">IF(AC318=0,DP306,AC318)</f>
        <v>0.1</v>
      </c>
      <c r="DQ318" s="182" t="n">
        <f aca="false">IF(AD318=0,DQ306,AD318)</f>
        <v>0.12</v>
      </c>
    </row>
    <row r="319" customFormat="false" ht="12.75" hidden="false" customHeight="false" outlineLevel="0" collapsed="false">
      <c r="A319" s="133"/>
      <c r="B319" s="139"/>
      <c r="C319" s="139"/>
      <c r="D319" s="139"/>
      <c r="E319" s="139"/>
      <c r="F319" s="139"/>
      <c r="G319" s="139"/>
      <c r="H319" s="139"/>
      <c r="I319" s="139"/>
      <c r="J319" s="139"/>
      <c r="K319" s="141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41"/>
      <c r="BG319" s="139"/>
      <c r="BH319" s="139"/>
      <c r="BI319" s="139"/>
      <c r="BJ319" s="139"/>
      <c r="BK319" s="139"/>
      <c r="BL319" s="139"/>
      <c r="BM319" s="139"/>
      <c r="BN319" s="139"/>
      <c r="BO319" s="139"/>
      <c r="BP319" s="139"/>
      <c r="BQ319" s="139"/>
      <c r="BR319" s="139"/>
      <c r="BS319" s="139"/>
      <c r="BT319" s="139"/>
      <c r="BU319" s="139"/>
      <c r="BV319" s="139"/>
      <c r="BW319" s="139"/>
      <c r="BX319" s="139"/>
      <c r="BY319" s="139"/>
      <c r="BZ319" s="139"/>
      <c r="CA319" s="139"/>
      <c r="CB319" s="139"/>
      <c r="CC319" s="139"/>
      <c r="CD319" s="139"/>
      <c r="CE319" s="139"/>
      <c r="CF319" s="0"/>
      <c r="CN319" s="0"/>
      <c r="CO319" s="0"/>
      <c r="CP319" s="0"/>
      <c r="CQ319" s="0"/>
      <c r="CR319" s="0"/>
      <c r="CS319" s="120"/>
      <c r="CT319" s="209"/>
      <c r="CU319" s="210"/>
      <c r="CV319" s="210"/>
      <c r="CW319" s="181" t="n">
        <f aca="false">EOMONTH(CW318,0)+1</f>
        <v>46478</v>
      </c>
      <c r="CX319" s="182" t="n">
        <f aca="false">IF(AF319=0,CX307,AF319)</f>
        <v>0.2</v>
      </c>
      <c r="CY319" s="182" t="n">
        <f aca="false">IF(AG319=0,CY307,AG319)</f>
        <v>0.25</v>
      </c>
      <c r="CZ319" s="182" t="n">
        <f aca="false">IF(AH319=0,CZ307,AH319)</f>
        <v>0.3</v>
      </c>
      <c r="DB319" s="161" t="n">
        <f aca="false">IF(X319=0,DB307,X319)</f>
        <v>0.16</v>
      </c>
      <c r="DC319" s="161" t="n">
        <f aca="false">IF(Y319=0,DC307,Y319)</f>
        <v>0.2</v>
      </c>
      <c r="DD319" s="161" t="n">
        <f aca="false">IF(Z319=0,DD307,Z319)</f>
        <v>0.24</v>
      </c>
      <c r="DE319" s="210"/>
      <c r="DF319" s="181" t="n">
        <f aca="false">IF(BF319=0,EOMONTH(DF318,0)+1,BF319)</f>
        <v>46478</v>
      </c>
      <c r="DG319" s="207" t="n">
        <f aca="false">IF(BG319=0,DG307,BG319)</f>
        <v>0.75</v>
      </c>
      <c r="DJ319" s="181" t="n">
        <f aca="false">CW319</f>
        <v>46478</v>
      </c>
      <c r="DK319" s="182" t="n">
        <f aca="false">IF(AJ319=0,DK307,AJ319)</f>
        <v>0.12</v>
      </c>
      <c r="DL319" s="182" t="n">
        <f aca="false">IF(AK319=0,DL307,AK319)</f>
        <v>0.15</v>
      </c>
      <c r="DM319" s="182" t="n">
        <f aca="false">IF(AL319=0,DM307,AL319)</f>
        <v>0.18</v>
      </c>
      <c r="DO319" s="182" t="n">
        <f aca="false">IF(AB319=0,DO307,AB319)</f>
        <v>0.08</v>
      </c>
      <c r="DP319" s="182" t="n">
        <f aca="false">IF(AC319=0,DP307,AC319)</f>
        <v>0.1</v>
      </c>
      <c r="DQ319" s="182" t="n">
        <f aca="false">IF(AD319=0,DQ307,AD319)</f>
        <v>0.12</v>
      </c>
    </row>
    <row r="320" customFormat="false" ht="12.75" hidden="false" customHeight="false" outlineLevel="0" collapsed="false">
      <c r="A320" s="133"/>
      <c r="B320" s="139"/>
      <c r="C320" s="139"/>
      <c r="D320" s="139"/>
      <c r="E320" s="139"/>
      <c r="F320" s="139"/>
      <c r="G320" s="139"/>
      <c r="H320" s="139"/>
      <c r="I320" s="139"/>
      <c r="J320" s="139"/>
      <c r="K320" s="141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41"/>
      <c r="BG320" s="139"/>
      <c r="BH320" s="139"/>
      <c r="BI320" s="139"/>
      <c r="BJ320" s="139"/>
      <c r="BK320" s="139"/>
      <c r="BL320" s="139"/>
      <c r="BM320" s="139"/>
      <c r="BN320" s="139"/>
      <c r="BO320" s="139"/>
      <c r="BP320" s="139"/>
      <c r="BQ320" s="139"/>
      <c r="BR320" s="139"/>
      <c r="BS320" s="139"/>
      <c r="BT320" s="139"/>
      <c r="BU320" s="139"/>
      <c r="BV320" s="139"/>
      <c r="BW320" s="139"/>
      <c r="BX320" s="139"/>
      <c r="BY320" s="139"/>
      <c r="BZ320" s="139"/>
      <c r="CA320" s="139"/>
      <c r="CB320" s="139"/>
      <c r="CC320" s="139"/>
      <c r="CD320" s="139"/>
      <c r="CE320" s="139"/>
      <c r="CF320" s="0"/>
      <c r="CN320" s="0"/>
      <c r="CO320" s="0"/>
      <c r="CP320" s="0"/>
      <c r="CQ320" s="0"/>
      <c r="CR320" s="0"/>
      <c r="CS320" s="120"/>
      <c r="CT320" s="209"/>
      <c r="CU320" s="210"/>
      <c r="CV320" s="210"/>
      <c r="CW320" s="181" t="n">
        <f aca="false">EOMONTH(CW319,0)+1</f>
        <v>46508</v>
      </c>
      <c r="CX320" s="182" t="n">
        <f aca="false">IF(AF320=0,CX308,AF320)</f>
        <v>0.2</v>
      </c>
      <c r="CY320" s="182" t="n">
        <f aca="false">IF(AG320=0,CY308,AG320)</f>
        <v>0.25</v>
      </c>
      <c r="CZ320" s="182" t="n">
        <f aca="false">IF(AH320=0,CZ308,AH320)</f>
        <v>0.3</v>
      </c>
      <c r="DB320" s="161" t="n">
        <f aca="false">IF(X320=0,DB308,X320)</f>
        <v>0.16</v>
      </c>
      <c r="DC320" s="161" t="n">
        <f aca="false">IF(Y320=0,DC308,Y320)</f>
        <v>0.2</v>
      </c>
      <c r="DD320" s="161" t="n">
        <f aca="false">IF(Z320=0,DD308,Z320)</f>
        <v>0.24</v>
      </c>
      <c r="DE320" s="210"/>
      <c r="DF320" s="181" t="n">
        <f aca="false">IF(BF320=0,EOMONTH(DF319,0)+1,BF320)</f>
        <v>46508</v>
      </c>
      <c r="DG320" s="207" t="n">
        <f aca="false">IF(BG320=0,DG308,BG320)</f>
        <v>0.75</v>
      </c>
      <c r="DJ320" s="181" t="n">
        <f aca="false">CW320</f>
        <v>46508</v>
      </c>
      <c r="DK320" s="182" t="n">
        <f aca="false">IF(AJ320=0,DK308,AJ320)</f>
        <v>0.12</v>
      </c>
      <c r="DL320" s="182" t="n">
        <f aca="false">IF(AK320=0,DL308,AK320)</f>
        <v>0.15</v>
      </c>
      <c r="DM320" s="182" t="n">
        <f aca="false">IF(AL320=0,DM308,AL320)</f>
        <v>0.18</v>
      </c>
      <c r="DO320" s="182" t="n">
        <f aca="false">IF(AB320=0,DO308,AB320)</f>
        <v>0.08</v>
      </c>
      <c r="DP320" s="182" t="n">
        <f aca="false">IF(AC320=0,DP308,AC320)</f>
        <v>0.1</v>
      </c>
      <c r="DQ320" s="182" t="n">
        <f aca="false">IF(AD320=0,DQ308,AD320)</f>
        <v>0.12</v>
      </c>
    </row>
    <row r="321" customFormat="false" ht="12.75" hidden="false" customHeight="false" outlineLevel="0" collapsed="false">
      <c r="A321" s="133"/>
      <c r="B321" s="139"/>
      <c r="C321" s="139"/>
      <c r="D321" s="139"/>
      <c r="E321" s="139"/>
      <c r="F321" s="139"/>
      <c r="G321" s="139"/>
      <c r="H321" s="139"/>
      <c r="I321" s="139"/>
      <c r="J321" s="139"/>
      <c r="K321" s="141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41"/>
      <c r="BG321" s="139"/>
      <c r="BH321" s="139"/>
      <c r="BI321" s="139"/>
      <c r="BJ321" s="139"/>
      <c r="BK321" s="139"/>
      <c r="BL321" s="139"/>
      <c r="BM321" s="139"/>
      <c r="BN321" s="139"/>
      <c r="BO321" s="139"/>
      <c r="BP321" s="139"/>
      <c r="BQ321" s="139"/>
      <c r="BR321" s="139"/>
      <c r="BS321" s="139"/>
      <c r="BT321" s="139"/>
      <c r="BU321" s="139"/>
      <c r="BV321" s="139"/>
      <c r="BW321" s="139"/>
      <c r="BX321" s="139"/>
      <c r="BY321" s="139"/>
      <c r="BZ321" s="139"/>
      <c r="CA321" s="139"/>
      <c r="CB321" s="139"/>
      <c r="CC321" s="139"/>
      <c r="CD321" s="139"/>
      <c r="CE321" s="139"/>
      <c r="CF321" s="0"/>
      <c r="CN321" s="0"/>
      <c r="CO321" s="0"/>
      <c r="CP321" s="0"/>
      <c r="CQ321" s="0"/>
      <c r="CR321" s="0"/>
      <c r="CS321" s="120"/>
      <c r="CT321" s="209"/>
      <c r="CU321" s="210"/>
      <c r="CV321" s="210"/>
      <c r="CW321" s="181" t="n">
        <f aca="false">EOMONTH(CW320,0)+1</f>
        <v>46539</v>
      </c>
      <c r="CX321" s="182" t="n">
        <f aca="false">IF(AF321=0,CX309,AF321)</f>
        <v>0.2</v>
      </c>
      <c r="CY321" s="182" t="n">
        <f aca="false">IF(AG321=0,CY309,AG321)</f>
        <v>0.25</v>
      </c>
      <c r="CZ321" s="182" t="n">
        <f aca="false">IF(AH321=0,CZ309,AH321)</f>
        <v>0.3</v>
      </c>
      <c r="DB321" s="161" t="n">
        <f aca="false">IF(X321=0,DB309,X321)</f>
        <v>0.16</v>
      </c>
      <c r="DC321" s="161" t="n">
        <f aca="false">IF(Y321=0,DC309,Y321)</f>
        <v>0.2</v>
      </c>
      <c r="DD321" s="161" t="n">
        <f aca="false">IF(Z321=0,DD309,Z321)</f>
        <v>0.24</v>
      </c>
      <c r="DE321" s="210"/>
      <c r="DF321" s="181" t="n">
        <f aca="false">IF(BF321=0,EOMONTH(DF320,0)+1,BF321)</f>
        <v>46539</v>
      </c>
      <c r="DG321" s="207" t="n">
        <f aca="false">IF(BG321=0,DG309,BG321)</f>
        <v>0.75</v>
      </c>
      <c r="DJ321" s="181" t="n">
        <f aca="false">CW321</f>
        <v>46539</v>
      </c>
      <c r="DK321" s="182" t="n">
        <f aca="false">IF(AJ321=0,DK309,AJ321)</f>
        <v>0.12</v>
      </c>
      <c r="DL321" s="182" t="n">
        <f aca="false">IF(AK321=0,DL309,AK321)</f>
        <v>0.15</v>
      </c>
      <c r="DM321" s="182" t="n">
        <f aca="false">IF(AL321=0,DM309,AL321)</f>
        <v>0.18</v>
      </c>
      <c r="DO321" s="182" t="n">
        <f aca="false">IF(AB321=0,DO309,AB321)</f>
        <v>0.08</v>
      </c>
      <c r="DP321" s="182" t="n">
        <f aca="false">IF(AC321=0,DP309,AC321)</f>
        <v>0.1</v>
      </c>
      <c r="DQ321" s="182" t="n">
        <f aca="false">IF(AD321=0,DQ309,AD321)</f>
        <v>0.12</v>
      </c>
    </row>
    <row r="322" customFormat="false" ht="12.75" hidden="false" customHeight="false" outlineLevel="0" collapsed="false">
      <c r="A322" s="133"/>
      <c r="B322" s="139"/>
      <c r="C322" s="139"/>
      <c r="D322" s="139"/>
      <c r="E322" s="139"/>
      <c r="F322" s="139"/>
      <c r="G322" s="139"/>
      <c r="H322" s="139"/>
      <c r="I322" s="139"/>
      <c r="J322" s="139"/>
      <c r="K322" s="141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41"/>
      <c r="BG322" s="139"/>
      <c r="BH322" s="139"/>
      <c r="BI322" s="139"/>
      <c r="BJ322" s="139"/>
      <c r="BK322" s="139"/>
      <c r="BL322" s="139"/>
      <c r="BM322" s="139"/>
      <c r="BN322" s="139"/>
      <c r="BO322" s="139"/>
      <c r="BP322" s="139"/>
      <c r="BQ322" s="139"/>
      <c r="BR322" s="139"/>
      <c r="BS322" s="139"/>
      <c r="BT322" s="139"/>
      <c r="BU322" s="139"/>
      <c r="BV322" s="139"/>
      <c r="BW322" s="139"/>
      <c r="BX322" s="139"/>
      <c r="BY322" s="139"/>
      <c r="BZ322" s="139"/>
      <c r="CA322" s="139"/>
      <c r="CB322" s="139"/>
      <c r="CC322" s="139"/>
      <c r="CD322" s="139"/>
      <c r="CE322" s="139"/>
      <c r="CF322" s="0"/>
      <c r="CN322" s="0"/>
      <c r="CO322" s="0"/>
      <c r="CP322" s="0"/>
      <c r="CQ322" s="0"/>
      <c r="CR322" s="0"/>
      <c r="CS322" s="120"/>
      <c r="CT322" s="209"/>
      <c r="CU322" s="210"/>
      <c r="CV322" s="210"/>
      <c r="CW322" s="181" t="n">
        <f aca="false">EOMONTH(CW321,0)+1</f>
        <v>46569</v>
      </c>
      <c r="CX322" s="182" t="n">
        <f aca="false">IF(AF322=0,CX310,AF322)</f>
        <v>0.2</v>
      </c>
      <c r="CY322" s="182" t="n">
        <f aca="false">IF(AG322=0,CY310,AG322)</f>
        <v>0.25</v>
      </c>
      <c r="CZ322" s="182" t="n">
        <f aca="false">IF(AH322=0,CZ310,AH322)</f>
        <v>0.3</v>
      </c>
      <c r="DB322" s="161" t="n">
        <f aca="false">IF(X322=0,DB310,X322)</f>
        <v>0.16</v>
      </c>
      <c r="DC322" s="161" t="n">
        <f aca="false">IF(Y322=0,DC310,Y322)</f>
        <v>0.2</v>
      </c>
      <c r="DD322" s="161" t="n">
        <f aca="false">IF(Z322=0,DD310,Z322)</f>
        <v>0.24</v>
      </c>
      <c r="DE322" s="210"/>
      <c r="DF322" s="181" t="n">
        <f aca="false">IF(BF322=0,EOMONTH(DF321,0)+1,BF322)</f>
        <v>46569</v>
      </c>
      <c r="DG322" s="207" t="n">
        <f aca="false">IF(BG322=0,DG310,BG322)</f>
        <v>0.75</v>
      </c>
      <c r="DJ322" s="181" t="n">
        <f aca="false">CW322</f>
        <v>46569</v>
      </c>
      <c r="DK322" s="182" t="n">
        <f aca="false">IF(AJ322=0,DK310,AJ322)</f>
        <v>0.12</v>
      </c>
      <c r="DL322" s="182" t="n">
        <f aca="false">IF(AK322=0,DL310,AK322)</f>
        <v>0.15</v>
      </c>
      <c r="DM322" s="182" t="n">
        <f aca="false">IF(AL322=0,DM310,AL322)</f>
        <v>0.18</v>
      </c>
      <c r="DO322" s="182" t="n">
        <f aca="false">IF(AB322=0,DO310,AB322)</f>
        <v>0.08</v>
      </c>
      <c r="DP322" s="182" t="n">
        <f aca="false">IF(AC322=0,DP310,AC322)</f>
        <v>0.1</v>
      </c>
      <c r="DQ322" s="182" t="n">
        <f aca="false">IF(AD322=0,DQ310,AD322)</f>
        <v>0.12</v>
      </c>
    </row>
    <row r="323" customFormat="false" ht="12.75" hidden="false" customHeight="false" outlineLevel="0" collapsed="false">
      <c r="A323" s="133"/>
      <c r="B323" s="139"/>
      <c r="C323" s="139"/>
      <c r="D323" s="139"/>
      <c r="E323" s="139"/>
      <c r="F323" s="139"/>
      <c r="G323" s="139"/>
      <c r="H323" s="139"/>
      <c r="I323" s="139"/>
      <c r="J323" s="139"/>
      <c r="K323" s="141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41"/>
      <c r="BG323" s="139"/>
      <c r="BH323" s="139"/>
      <c r="BI323" s="139"/>
      <c r="BJ323" s="139"/>
      <c r="BK323" s="139"/>
      <c r="BL323" s="139"/>
      <c r="BM323" s="139"/>
      <c r="BN323" s="139"/>
      <c r="BO323" s="139"/>
      <c r="BP323" s="139"/>
      <c r="BQ323" s="139"/>
      <c r="BR323" s="139"/>
      <c r="BS323" s="139"/>
      <c r="BT323" s="139"/>
      <c r="BU323" s="139"/>
      <c r="BV323" s="139"/>
      <c r="BW323" s="139"/>
      <c r="BX323" s="139"/>
      <c r="BY323" s="139"/>
      <c r="BZ323" s="139"/>
      <c r="CA323" s="139"/>
      <c r="CB323" s="139"/>
      <c r="CC323" s="139"/>
      <c r="CD323" s="139"/>
      <c r="CE323" s="139"/>
      <c r="CF323" s="0"/>
      <c r="CN323" s="0"/>
      <c r="CO323" s="0"/>
      <c r="CP323" s="0"/>
      <c r="CQ323" s="0"/>
      <c r="CR323" s="0"/>
      <c r="CS323" s="120"/>
      <c r="CT323" s="209"/>
      <c r="CU323" s="210"/>
      <c r="CV323" s="210"/>
      <c r="CW323" s="181" t="n">
        <f aca="false">EOMONTH(CW322,0)+1</f>
        <v>46600</v>
      </c>
      <c r="CX323" s="182" t="n">
        <f aca="false">IF(AF323=0,CX311,AF323)</f>
        <v>0.32</v>
      </c>
      <c r="CY323" s="182" t="n">
        <f aca="false">IF(AG323=0,CY311,AG323)</f>
        <v>0.4</v>
      </c>
      <c r="CZ323" s="182" t="n">
        <f aca="false">IF(AH323=0,CZ311,AH323)</f>
        <v>0.48</v>
      </c>
      <c r="DB323" s="161" t="n">
        <f aca="false">IF(X323=0,DB311,X323)</f>
        <v>0.24</v>
      </c>
      <c r="DC323" s="161" t="n">
        <f aca="false">IF(Y323=0,DC311,Y323)</f>
        <v>0.3</v>
      </c>
      <c r="DD323" s="161" t="n">
        <f aca="false">IF(Z323=0,DD311,Z323)</f>
        <v>0.36</v>
      </c>
      <c r="DE323" s="210"/>
      <c r="DF323" s="181" t="n">
        <f aca="false">IF(BF323=0,EOMONTH(DF322,0)+1,BF323)</f>
        <v>46600</v>
      </c>
      <c r="DG323" s="207" t="n">
        <f aca="false">IF(BG323=0,DG311,BG323)</f>
        <v>0.75</v>
      </c>
      <c r="DJ323" s="181" t="n">
        <f aca="false">CW323</f>
        <v>46600</v>
      </c>
      <c r="DK323" s="182" t="n">
        <f aca="false">IF(AJ323=0,DK311,AJ323)</f>
        <v>0.192</v>
      </c>
      <c r="DL323" s="182" t="n">
        <f aca="false">IF(AK323=0,DL311,AK323)</f>
        <v>0.24</v>
      </c>
      <c r="DM323" s="182" t="n">
        <f aca="false">IF(AL323=0,DM311,AL323)</f>
        <v>0.288</v>
      </c>
      <c r="DO323" s="182" t="n">
        <f aca="false">IF(AB323=0,DO311,AB323)</f>
        <v>0.12</v>
      </c>
      <c r="DP323" s="182" t="n">
        <f aca="false">IF(AC323=0,DP311,AC323)</f>
        <v>0.15</v>
      </c>
      <c r="DQ323" s="182" t="n">
        <f aca="false">IF(AD323=0,DQ311,AD323)</f>
        <v>0.18</v>
      </c>
    </row>
    <row r="324" customFormat="false" ht="12.75" hidden="false" customHeight="false" outlineLevel="0" collapsed="false">
      <c r="A324" s="133"/>
      <c r="B324" s="139"/>
      <c r="C324" s="139"/>
      <c r="D324" s="139"/>
      <c r="E324" s="139"/>
      <c r="F324" s="139"/>
      <c r="G324" s="139"/>
      <c r="H324" s="139"/>
      <c r="I324" s="139"/>
      <c r="J324" s="139"/>
      <c r="K324" s="141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41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139"/>
      <c r="BS324" s="139"/>
      <c r="BT324" s="139"/>
      <c r="BU324" s="139"/>
      <c r="BV324" s="139"/>
      <c r="BW324" s="139"/>
      <c r="BX324" s="139"/>
      <c r="BY324" s="139"/>
      <c r="BZ324" s="139"/>
      <c r="CA324" s="139"/>
      <c r="CB324" s="139"/>
      <c r="CC324" s="139"/>
      <c r="CD324" s="139"/>
      <c r="CE324" s="139"/>
      <c r="CF324" s="0"/>
      <c r="CN324" s="0"/>
      <c r="CO324" s="0"/>
      <c r="CP324" s="0"/>
      <c r="CQ324" s="0"/>
      <c r="CR324" s="0"/>
      <c r="CS324" s="120"/>
      <c r="CT324" s="209"/>
      <c r="CU324" s="210"/>
      <c r="CV324" s="210"/>
      <c r="CW324" s="181" t="n">
        <f aca="false">EOMONTH(CW323,0)+1</f>
        <v>46631</v>
      </c>
      <c r="CX324" s="182" t="n">
        <f aca="false">IF(AF324=0,CX312,AF324)</f>
        <v>0.32</v>
      </c>
      <c r="CY324" s="182" t="n">
        <f aca="false">IF(AG324=0,CY312,AG324)</f>
        <v>0.4</v>
      </c>
      <c r="CZ324" s="182" t="n">
        <f aca="false">IF(AH324=0,CZ312,AH324)</f>
        <v>0.48</v>
      </c>
      <c r="DB324" s="161" t="n">
        <f aca="false">IF(X324=0,DB312,X324)</f>
        <v>0.24</v>
      </c>
      <c r="DC324" s="161" t="n">
        <f aca="false">IF(Y324=0,DC312,Y324)</f>
        <v>0.3</v>
      </c>
      <c r="DD324" s="161" t="n">
        <f aca="false">IF(Z324=0,DD312,Z324)</f>
        <v>0.36</v>
      </c>
      <c r="DE324" s="210"/>
      <c r="DF324" s="181" t="n">
        <f aca="false">IF(BF324=0,EOMONTH(DF323,0)+1,BF324)</f>
        <v>46631</v>
      </c>
      <c r="DG324" s="207" t="n">
        <f aca="false">IF(BG324=0,DG312,BG324)</f>
        <v>0.75</v>
      </c>
      <c r="DJ324" s="181" t="n">
        <f aca="false">CW324</f>
        <v>46631</v>
      </c>
      <c r="DK324" s="182" t="n">
        <f aca="false">IF(AJ324=0,DK312,AJ324)</f>
        <v>0.192</v>
      </c>
      <c r="DL324" s="182" t="n">
        <f aca="false">IF(AK324=0,DL312,AK324)</f>
        <v>0.24</v>
      </c>
      <c r="DM324" s="182" t="n">
        <f aca="false">IF(AL324=0,DM312,AL324)</f>
        <v>0.288</v>
      </c>
      <c r="DO324" s="182" t="n">
        <f aca="false">IF(AB324=0,DO312,AB324)</f>
        <v>0.12</v>
      </c>
      <c r="DP324" s="182" t="n">
        <f aca="false">IF(AC324=0,DP312,AC324)</f>
        <v>0.15</v>
      </c>
      <c r="DQ324" s="182" t="n">
        <f aca="false">IF(AD324=0,DQ312,AD324)</f>
        <v>0.18</v>
      </c>
    </row>
    <row r="325" customFormat="false" ht="12.75" hidden="false" customHeight="false" outlineLevel="0" collapsed="false">
      <c r="A325" s="133"/>
      <c r="B325" s="139"/>
      <c r="C325" s="139"/>
      <c r="D325" s="139"/>
      <c r="E325" s="139"/>
      <c r="F325" s="139"/>
      <c r="G325" s="139"/>
      <c r="H325" s="139"/>
      <c r="I325" s="139"/>
      <c r="J325" s="139"/>
      <c r="K325" s="141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41"/>
      <c r="BG325" s="139"/>
      <c r="BH325" s="139"/>
      <c r="BI325" s="139"/>
      <c r="BJ325" s="139"/>
      <c r="BK325" s="139"/>
      <c r="BL325" s="139"/>
      <c r="BM325" s="139"/>
      <c r="BN325" s="139"/>
      <c r="BO325" s="139"/>
      <c r="BP325" s="139"/>
      <c r="BQ325" s="139"/>
      <c r="BR325" s="139"/>
      <c r="BS325" s="139"/>
      <c r="BT325" s="139"/>
      <c r="BU325" s="139"/>
      <c r="BV325" s="139"/>
      <c r="BW325" s="139"/>
      <c r="BX325" s="139"/>
      <c r="BY325" s="139"/>
      <c r="BZ325" s="139"/>
      <c r="CA325" s="139"/>
      <c r="CB325" s="139"/>
      <c r="CC325" s="139"/>
      <c r="CD325" s="139"/>
      <c r="CE325" s="139"/>
      <c r="CF325" s="0"/>
      <c r="CN325" s="0"/>
      <c r="CO325" s="0"/>
      <c r="CP325" s="0"/>
      <c r="CQ325" s="0"/>
      <c r="CR325" s="0"/>
      <c r="CS325" s="120"/>
      <c r="CT325" s="209"/>
      <c r="CU325" s="210"/>
      <c r="CV325" s="210"/>
      <c r="CW325" s="181" t="n">
        <f aca="false">EOMONTH(CW324,0)+1</f>
        <v>46661</v>
      </c>
      <c r="CX325" s="182" t="n">
        <f aca="false">IF(AF325=0,CX313,AF325)</f>
        <v>0.2</v>
      </c>
      <c r="CY325" s="182" t="n">
        <f aca="false">IF(AG325=0,CY313,AG325)</f>
        <v>0.25</v>
      </c>
      <c r="CZ325" s="182" t="n">
        <f aca="false">IF(AH325=0,CZ313,AH325)</f>
        <v>0.3</v>
      </c>
      <c r="DB325" s="161" t="n">
        <f aca="false">IF(X325=0,DB313,X325)</f>
        <v>0.16</v>
      </c>
      <c r="DC325" s="161" t="n">
        <f aca="false">IF(Y325=0,DC313,Y325)</f>
        <v>0.2</v>
      </c>
      <c r="DD325" s="161" t="n">
        <f aca="false">IF(Z325=0,DD313,Z325)</f>
        <v>0.24</v>
      </c>
      <c r="DE325" s="210"/>
      <c r="DF325" s="181" t="n">
        <f aca="false">IF(BF325=0,EOMONTH(DF324,0)+1,BF325)</f>
        <v>46661</v>
      </c>
      <c r="DG325" s="207" t="n">
        <f aca="false">IF(BG325=0,DG313,BG325)</f>
        <v>0.75</v>
      </c>
      <c r="DJ325" s="181" t="n">
        <f aca="false">CW325</f>
        <v>46661</v>
      </c>
      <c r="DK325" s="182" t="n">
        <f aca="false">IF(AJ325=0,DK313,AJ325)</f>
        <v>0.12</v>
      </c>
      <c r="DL325" s="182" t="n">
        <f aca="false">IF(AK325=0,DL313,AK325)</f>
        <v>0.15</v>
      </c>
      <c r="DM325" s="182" t="n">
        <f aca="false">IF(AL325=0,DM313,AL325)</f>
        <v>0.18</v>
      </c>
      <c r="DO325" s="182" t="n">
        <f aca="false">IF(AB325=0,DO313,AB325)</f>
        <v>0.08</v>
      </c>
      <c r="DP325" s="182" t="n">
        <f aca="false">IF(AC325=0,DP313,AC325)</f>
        <v>0.1</v>
      </c>
      <c r="DQ325" s="182" t="n">
        <f aca="false">IF(AD325=0,DQ313,AD325)</f>
        <v>0.12</v>
      </c>
    </row>
    <row r="326" customFormat="false" ht="12.75" hidden="false" customHeight="false" outlineLevel="0" collapsed="false">
      <c r="A326" s="133"/>
      <c r="B326" s="139"/>
      <c r="C326" s="139"/>
      <c r="D326" s="139"/>
      <c r="E326" s="139"/>
      <c r="F326" s="139"/>
      <c r="G326" s="139"/>
      <c r="H326" s="139"/>
      <c r="I326" s="139"/>
      <c r="J326" s="139"/>
      <c r="K326" s="141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41"/>
      <c r="BG326" s="139"/>
      <c r="BH326" s="139"/>
      <c r="BI326" s="139"/>
      <c r="BJ326" s="139"/>
      <c r="BK326" s="139"/>
      <c r="BL326" s="139"/>
      <c r="BM326" s="139"/>
      <c r="BN326" s="139"/>
      <c r="BO326" s="139"/>
      <c r="BP326" s="139"/>
      <c r="BQ326" s="139"/>
      <c r="BR326" s="139"/>
      <c r="BS326" s="139"/>
      <c r="BT326" s="139"/>
      <c r="BU326" s="139"/>
      <c r="BV326" s="139"/>
      <c r="BW326" s="139"/>
      <c r="BX326" s="139"/>
      <c r="BY326" s="139"/>
      <c r="BZ326" s="139"/>
      <c r="CA326" s="139"/>
      <c r="CB326" s="139"/>
      <c r="CC326" s="139"/>
      <c r="CD326" s="139"/>
      <c r="CE326" s="139"/>
      <c r="CF326" s="0"/>
      <c r="CN326" s="0"/>
      <c r="CO326" s="0"/>
      <c r="CP326" s="0"/>
      <c r="CQ326" s="0"/>
      <c r="CR326" s="0"/>
      <c r="CS326" s="120"/>
      <c r="CT326" s="209"/>
      <c r="CU326" s="210"/>
      <c r="CV326" s="210"/>
      <c r="CW326" s="181" t="n">
        <f aca="false">EOMONTH(CW325,0)+1</f>
        <v>46692</v>
      </c>
      <c r="CX326" s="182" t="n">
        <f aca="false">IF(AF326=0,CX314,AF326)</f>
        <v>0.2</v>
      </c>
      <c r="CY326" s="182" t="n">
        <f aca="false">IF(AG326=0,CY314,AG326)</f>
        <v>0.25</v>
      </c>
      <c r="CZ326" s="182" t="n">
        <f aca="false">IF(AH326=0,CZ314,AH326)</f>
        <v>0.3</v>
      </c>
      <c r="DB326" s="161" t="n">
        <f aca="false">IF(X326=0,DB314,X326)</f>
        <v>0.16</v>
      </c>
      <c r="DC326" s="161" t="n">
        <f aca="false">IF(Y326=0,DC314,Y326)</f>
        <v>0.2</v>
      </c>
      <c r="DD326" s="161" t="n">
        <f aca="false">IF(Z326=0,DD314,Z326)</f>
        <v>0.24</v>
      </c>
      <c r="DE326" s="210"/>
      <c r="DF326" s="181" t="n">
        <f aca="false">IF(BF326=0,EOMONTH(DF325,0)+1,BF326)</f>
        <v>46692</v>
      </c>
      <c r="DG326" s="207" t="n">
        <f aca="false">IF(BG326=0,DG314,BG326)</f>
        <v>0.75</v>
      </c>
      <c r="DJ326" s="181" t="n">
        <f aca="false">CW326</f>
        <v>46692</v>
      </c>
      <c r="DK326" s="182" t="n">
        <f aca="false">IF(AJ326=0,DK314,AJ326)</f>
        <v>0.12</v>
      </c>
      <c r="DL326" s="182" t="n">
        <f aca="false">IF(AK326=0,DL314,AK326)</f>
        <v>0.15</v>
      </c>
      <c r="DM326" s="182" t="n">
        <f aca="false">IF(AL326=0,DM314,AL326)</f>
        <v>0.18</v>
      </c>
      <c r="DO326" s="182" t="n">
        <f aca="false">IF(AB326=0,DO314,AB326)</f>
        <v>0.08</v>
      </c>
      <c r="DP326" s="182" t="n">
        <f aca="false">IF(AC326=0,DP314,AC326)</f>
        <v>0.1</v>
      </c>
      <c r="DQ326" s="182" t="n">
        <f aca="false">IF(AD326=0,DQ314,AD326)</f>
        <v>0.12</v>
      </c>
    </row>
    <row r="327" customFormat="false" ht="12.75" hidden="false" customHeight="false" outlineLevel="0" collapsed="false">
      <c r="A327" s="133"/>
      <c r="B327" s="139"/>
      <c r="C327" s="139"/>
      <c r="D327" s="139"/>
      <c r="E327" s="139"/>
      <c r="F327" s="139"/>
      <c r="G327" s="139"/>
      <c r="H327" s="139"/>
      <c r="I327" s="139"/>
      <c r="J327" s="139"/>
      <c r="K327" s="141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41"/>
      <c r="BG327" s="139"/>
      <c r="BH327" s="139"/>
      <c r="BI327" s="139"/>
      <c r="BJ327" s="139"/>
      <c r="BK327" s="139"/>
      <c r="BL327" s="139"/>
      <c r="BM327" s="139"/>
      <c r="BN327" s="139"/>
      <c r="BO327" s="139"/>
      <c r="BP327" s="139"/>
      <c r="BQ327" s="139"/>
      <c r="BR327" s="139"/>
      <c r="BS327" s="139"/>
      <c r="BT327" s="139"/>
      <c r="BU327" s="139"/>
      <c r="BV327" s="139"/>
      <c r="BW327" s="139"/>
      <c r="BX327" s="139"/>
      <c r="BY327" s="139"/>
      <c r="BZ327" s="139"/>
      <c r="CA327" s="139"/>
      <c r="CB327" s="139"/>
      <c r="CC327" s="139"/>
      <c r="CD327" s="139"/>
      <c r="CE327" s="139"/>
      <c r="CF327" s="0"/>
      <c r="CN327" s="0"/>
      <c r="CO327" s="0"/>
      <c r="CP327" s="0"/>
      <c r="CQ327" s="0"/>
      <c r="CR327" s="0"/>
      <c r="CS327" s="120"/>
      <c r="CT327" s="209"/>
      <c r="CU327" s="210"/>
      <c r="CV327" s="210"/>
      <c r="CW327" s="181" t="n">
        <f aca="false">EOMONTH(CW326,0)+1</f>
        <v>46722</v>
      </c>
      <c r="CX327" s="182" t="n">
        <f aca="false">IF(AF327=0,CX315,AF327)</f>
        <v>0.2</v>
      </c>
      <c r="CY327" s="182" t="n">
        <f aca="false">IF(AG327=0,CY315,AG327)</f>
        <v>0.25</v>
      </c>
      <c r="CZ327" s="182" t="n">
        <f aca="false">IF(AH327=0,CZ315,AH327)</f>
        <v>0.3</v>
      </c>
      <c r="DB327" s="161" t="n">
        <f aca="false">IF(X327=0,DB315,X327)</f>
        <v>0.16</v>
      </c>
      <c r="DC327" s="161" t="n">
        <f aca="false">IF(Y327=0,DC315,Y327)</f>
        <v>0.2</v>
      </c>
      <c r="DD327" s="161" t="n">
        <f aca="false">IF(Z327=0,DD315,Z327)</f>
        <v>0.24</v>
      </c>
      <c r="DE327" s="210"/>
      <c r="DF327" s="181" t="n">
        <f aca="false">IF(BF327=0,EOMONTH(DF326,0)+1,BF327)</f>
        <v>46722</v>
      </c>
      <c r="DG327" s="207" t="n">
        <f aca="false">IF(BG327=0,DG315,BG327)</f>
        <v>0.75</v>
      </c>
      <c r="DJ327" s="181" t="n">
        <f aca="false">CW327</f>
        <v>46722</v>
      </c>
      <c r="DK327" s="182" t="n">
        <f aca="false">IF(AJ327=0,DK315,AJ327)</f>
        <v>0.12</v>
      </c>
      <c r="DL327" s="182" t="n">
        <f aca="false">IF(AK327=0,DL315,AK327)</f>
        <v>0.15</v>
      </c>
      <c r="DM327" s="182" t="n">
        <f aca="false">IF(AL327=0,DM315,AL327)</f>
        <v>0.18</v>
      </c>
      <c r="DO327" s="182" t="n">
        <f aca="false">IF(AB327=0,DO315,AB327)</f>
        <v>0.08</v>
      </c>
      <c r="DP327" s="182" t="n">
        <f aca="false">IF(AC327=0,DP315,AC327)</f>
        <v>0.1</v>
      </c>
      <c r="DQ327" s="182" t="n">
        <f aca="false">IF(AD327=0,DQ315,AD327)</f>
        <v>0.12</v>
      </c>
    </row>
    <row r="328" customFormat="false" ht="12.75" hidden="false" customHeight="false" outlineLevel="0" collapsed="false">
      <c r="A328" s="133"/>
      <c r="B328" s="139"/>
      <c r="C328" s="139"/>
      <c r="D328" s="139"/>
      <c r="E328" s="139"/>
      <c r="F328" s="139"/>
      <c r="G328" s="139"/>
      <c r="H328" s="139"/>
      <c r="I328" s="139"/>
      <c r="J328" s="139"/>
      <c r="K328" s="141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41"/>
      <c r="BG328" s="139"/>
      <c r="BH328" s="139"/>
      <c r="BI328" s="139"/>
      <c r="BJ328" s="139"/>
      <c r="BK328" s="139"/>
      <c r="BL328" s="139"/>
      <c r="BM328" s="139"/>
      <c r="BN328" s="139"/>
      <c r="BO328" s="139"/>
      <c r="BP328" s="139"/>
      <c r="BQ328" s="139"/>
      <c r="BR328" s="139"/>
      <c r="BS328" s="139"/>
      <c r="BT328" s="139"/>
      <c r="BU328" s="139"/>
      <c r="BV328" s="139"/>
      <c r="BW328" s="139"/>
      <c r="BX328" s="139"/>
      <c r="BY328" s="139"/>
      <c r="BZ328" s="139"/>
      <c r="CA328" s="139"/>
      <c r="CB328" s="139"/>
      <c r="CC328" s="139"/>
      <c r="CD328" s="139"/>
      <c r="CE328" s="139"/>
      <c r="CF328" s="0"/>
      <c r="CN328" s="0"/>
      <c r="CO328" s="0"/>
      <c r="CP328" s="0"/>
      <c r="CQ328" s="0"/>
      <c r="CR328" s="0"/>
      <c r="CS328" s="120"/>
      <c r="CT328" s="209"/>
      <c r="CU328" s="210"/>
      <c r="CV328" s="210"/>
      <c r="CW328" s="181" t="n">
        <f aca="false">EOMONTH(CW327,0)+1</f>
        <v>46753</v>
      </c>
      <c r="CX328" s="182" t="n">
        <f aca="false">IF(AF328=0,CX316,AF328)</f>
        <v>0.2</v>
      </c>
      <c r="CY328" s="182" t="n">
        <f aca="false">IF(AG328=0,CY316,AG328)</f>
        <v>0.25</v>
      </c>
      <c r="CZ328" s="182" t="n">
        <f aca="false">IF(AH328=0,CZ316,AH328)</f>
        <v>0.3</v>
      </c>
      <c r="DB328" s="161" t="n">
        <f aca="false">IF(X328=0,DB316,X328)</f>
        <v>0.16</v>
      </c>
      <c r="DC328" s="161" t="n">
        <f aca="false">IF(Y328=0,DC316,Y328)</f>
        <v>0.2</v>
      </c>
      <c r="DD328" s="161" t="n">
        <f aca="false">IF(Z328=0,DD316,Z328)</f>
        <v>0.24</v>
      </c>
      <c r="DE328" s="210"/>
      <c r="DF328" s="181" t="n">
        <f aca="false">IF(BF328=0,EOMONTH(DF327,0)+1,BF328)</f>
        <v>46753</v>
      </c>
      <c r="DG328" s="207" t="n">
        <f aca="false">IF(BG328=0,DG316,BG328)</f>
        <v>0.75</v>
      </c>
      <c r="DJ328" s="181" t="n">
        <f aca="false">CW328</f>
        <v>46753</v>
      </c>
      <c r="DK328" s="182" t="n">
        <f aca="false">IF(AJ328=0,DK316,AJ328)</f>
        <v>0.12</v>
      </c>
      <c r="DL328" s="182" t="n">
        <f aca="false">IF(AK328=0,DL316,AK328)</f>
        <v>0.15</v>
      </c>
      <c r="DM328" s="182" t="n">
        <f aca="false">IF(AL328=0,DM316,AL328)</f>
        <v>0.18</v>
      </c>
      <c r="DO328" s="182" t="n">
        <f aca="false">IF(AB328=0,DO316,AB328)</f>
        <v>0.08</v>
      </c>
      <c r="DP328" s="182" t="n">
        <f aca="false">IF(AC328=0,DP316,AC328)</f>
        <v>0.1</v>
      </c>
      <c r="DQ328" s="182" t="n">
        <f aca="false">IF(AD328=0,DQ316,AD328)</f>
        <v>0.12</v>
      </c>
    </row>
    <row r="329" customFormat="false" ht="12.75" hidden="false" customHeight="false" outlineLevel="0" collapsed="false">
      <c r="A329" s="133"/>
      <c r="B329" s="139"/>
      <c r="C329" s="139"/>
      <c r="D329" s="139"/>
      <c r="E329" s="139"/>
      <c r="F329" s="139"/>
      <c r="G329" s="139"/>
      <c r="H329" s="139"/>
      <c r="I329" s="139"/>
      <c r="J329" s="139"/>
      <c r="K329" s="141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41"/>
      <c r="BG329" s="139"/>
      <c r="BH329" s="139"/>
      <c r="BI329" s="139"/>
      <c r="BJ329" s="139"/>
      <c r="BK329" s="139"/>
      <c r="BL329" s="139"/>
      <c r="BM329" s="139"/>
      <c r="BN329" s="139"/>
      <c r="BO329" s="139"/>
      <c r="BP329" s="139"/>
      <c r="BQ329" s="139"/>
      <c r="BR329" s="139"/>
      <c r="BS329" s="139"/>
      <c r="BT329" s="139"/>
      <c r="BU329" s="139"/>
      <c r="BV329" s="139"/>
      <c r="BW329" s="139"/>
      <c r="BX329" s="139"/>
      <c r="BY329" s="139"/>
      <c r="BZ329" s="139"/>
      <c r="CA329" s="139"/>
      <c r="CB329" s="139"/>
      <c r="CC329" s="139"/>
      <c r="CD329" s="139"/>
      <c r="CE329" s="139"/>
      <c r="CF329" s="0"/>
      <c r="CN329" s="0"/>
      <c r="CO329" s="0"/>
      <c r="CP329" s="0"/>
      <c r="CQ329" s="0"/>
      <c r="CR329" s="0"/>
      <c r="CS329" s="120"/>
      <c r="CT329" s="209"/>
      <c r="CU329" s="210"/>
      <c r="CV329" s="210"/>
      <c r="CW329" s="181" t="n">
        <f aca="false">EOMONTH(CW328,0)+1</f>
        <v>46784</v>
      </c>
      <c r="CX329" s="182" t="n">
        <f aca="false">IF(AF329=0,CX317,AF329)</f>
        <v>0.2</v>
      </c>
      <c r="CY329" s="182" t="n">
        <f aca="false">IF(AG329=0,CY317,AG329)</f>
        <v>0.25</v>
      </c>
      <c r="CZ329" s="182" t="n">
        <f aca="false">IF(AH329=0,CZ317,AH329)</f>
        <v>0.3</v>
      </c>
      <c r="DB329" s="161" t="n">
        <f aca="false">IF(X329=0,DB317,X329)</f>
        <v>0</v>
      </c>
      <c r="DC329" s="161" t="n">
        <f aca="false">IF(Y329=0,DC317,Y329)</f>
        <v>0</v>
      </c>
      <c r="DD329" s="161" t="n">
        <f aca="false">IF(Z329=0,DD317,Z329)</f>
        <v>0</v>
      </c>
      <c r="DE329" s="210"/>
      <c r="DF329" s="181" t="n">
        <f aca="false">IF(BF329=0,EOMONTH(DF328,0)+1,BF329)</f>
        <v>46784</v>
      </c>
      <c r="DG329" s="207" t="n">
        <f aca="false">IF(BG329=0,DG317,BG329)</f>
        <v>0</v>
      </c>
      <c r="DJ329" s="181" t="n">
        <f aca="false">CW329</f>
        <v>46784</v>
      </c>
      <c r="DK329" s="182" t="n">
        <f aca="false">IF(AJ329=0,DK317,AJ329)</f>
        <v>0.12</v>
      </c>
      <c r="DL329" s="182" t="n">
        <f aca="false">IF(AK329=0,DL317,AK329)</f>
        <v>0.15</v>
      </c>
      <c r="DM329" s="182" t="n">
        <f aca="false">IF(AL329=0,DM317,AL329)</f>
        <v>0.18</v>
      </c>
      <c r="DO329" s="182" t="n">
        <f aca="false">IF(AB329=0,DO317,AB329)</f>
        <v>0</v>
      </c>
      <c r="DP329" s="182" t="n">
        <f aca="false">IF(AC329=0,DP317,AC329)</f>
        <v>0</v>
      </c>
      <c r="DQ329" s="182" t="n">
        <f aca="false">IF(AD329=0,DQ317,AD329)</f>
        <v>0</v>
      </c>
    </row>
    <row r="330" customFormat="false" ht="12.75" hidden="false" customHeight="false" outlineLevel="0" collapsed="false">
      <c r="A330" s="133"/>
      <c r="B330" s="139"/>
      <c r="C330" s="139"/>
      <c r="D330" s="139"/>
      <c r="E330" s="139"/>
      <c r="F330" s="139"/>
      <c r="G330" s="139"/>
      <c r="H330" s="139"/>
      <c r="I330" s="139"/>
      <c r="J330" s="139"/>
      <c r="K330" s="141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41"/>
      <c r="BG330" s="139"/>
      <c r="BH330" s="139"/>
      <c r="BI330" s="139"/>
      <c r="BJ330" s="139"/>
      <c r="BK330" s="139"/>
      <c r="BL330" s="139"/>
      <c r="BM330" s="139"/>
      <c r="BN330" s="139"/>
      <c r="BO330" s="139"/>
      <c r="BP330" s="139"/>
      <c r="BQ330" s="139"/>
      <c r="BR330" s="139"/>
      <c r="BS330" s="139"/>
      <c r="BT330" s="139"/>
      <c r="BU330" s="139"/>
      <c r="BV330" s="139"/>
      <c r="BW330" s="139"/>
      <c r="BX330" s="139"/>
      <c r="BY330" s="139"/>
      <c r="BZ330" s="139"/>
      <c r="CA330" s="139"/>
      <c r="CB330" s="139"/>
      <c r="CC330" s="139"/>
      <c r="CD330" s="139"/>
      <c r="CE330" s="139"/>
      <c r="CF330" s="0"/>
      <c r="CN330" s="0"/>
      <c r="CO330" s="0"/>
      <c r="CP330" s="0"/>
      <c r="CQ330" s="0"/>
      <c r="CR330" s="0"/>
      <c r="CS330" s="120"/>
      <c r="CT330" s="209"/>
      <c r="CU330" s="210"/>
      <c r="CV330" s="210"/>
      <c r="CW330" s="181" t="n">
        <f aca="false">EOMONTH(CW329,0)+1</f>
        <v>46813</v>
      </c>
      <c r="CX330" s="182" t="n">
        <f aca="false">IF(AF330=0,CX318,AF330)</f>
        <v>0.2</v>
      </c>
      <c r="CY330" s="182" t="n">
        <f aca="false">IF(AG330=0,CY318,AG330)</f>
        <v>0.25</v>
      </c>
      <c r="CZ330" s="182" t="n">
        <f aca="false">IF(AH330=0,CZ318,AH330)</f>
        <v>0.3</v>
      </c>
      <c r="DB330" s="161" t="n">
        <f aca="false">IF(X330=0,DB318,X330)</f>
        <v>0.16</v>
      </c>
      <c r="DC330" s="161" t="n">
        <f aca="false">IF(Y330=0,DC318,Y330)</f>
        <v>0.2</v>
      </c>
      <c r="DD330" s="161" t="n">
        <f aca="false">IF(Z330=0,DD318,Z330)</f>
        <v>0.24</v>
      </c>
      <c r="DE330" s="210"/>
      <c r="DF330" s="181" t="n">
        <f aca="false">IF(BF330=0,EOMONTH(DF329,0)+1,BF330)</f>
        <v>46813</v>
      </c>
      <c r="DG330" s="207" t="n">
        <f aca="false">IF(BG330=0,DG318,BG330)</f>
        <v>0.75</v>
      </c>
      <c r="DJ330" s="181" t="n">
        <f aca="false">CW330</f>
        <v>46813</v>
      </c>
      <c r="DK330" s="182" t="n">
        <f aca="false">IF(AJ330=0,DK318,AJ330)</f>
        <v>0.12</v>
      </c>
      <c r="DL330" s="182" t="n">
        <f aca="false">IF(AK330=0,DL318,AK330)</f>
        <v>0.15</v>
      </c>
      <c r="DM330" s="182" t="n">
        <f aca="false">IF(AL330=0,DM318,AL330)</f>
        <v>0.18</v>
      </c>
      <c r="DO330" s="182" t="n">
        <f aca="false">IF(AB330=0,DO318,AB330)</f>
        <v>0.08</v>
      </c>
      <c r="DP330" s="182" t="n">
        <f aca="false">IF(AC330=0,DP318,AC330)</f>
        <v>0.1</v>
      </c>
      <c r="DQ330" s="182" t="n">
        <f aca="false">IF(AD330=0,DQ318,AD330)</f>
        <v>0.12</v>
      </c>
    </row>
    <row r="331" customFormat="false" ht="12.75" hidden="false" customHeight="false" outlineLevel="0" collapsed="false">
      <c r="A331" s="133"/>
      <c r="B331" s="139"/>
      <c r="C331" s="139"/>
      <c r="D331" s="139"/>
      <c r="E331" s="139"/>
      <c r="F331" s="139"/>
      <c r="G331" s="139"/>
      <c r="H331" s="139"/>
      <c r="I331" s="139"/>
      <c r="J331" s="139"/>
      <c r="K331" s="141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41"/>
      <c r="BG331" s="139"/>
      <c r="BH331" s="139"/>
      <c r="BI331" s="139"/>
      <c r="BJ331" s="139"/>
      <c r="BK331" s="139"/>
      <c r="BL331" s="139"/>
      <c r="BM331" s="139"/>
      <c r="BN331" s="139"/>
      <c r="BO331" s="139"/>
      <c r="BP331" s="139"/>
      <c r="BQ331" s="139"/>
      <c r="BR331" s="139"/>
      <c r="BS331" s="139"/>
      <c r="BT331" s="139"/>
      <c r="BU331" s="139"/>
      <c r="BV331" s="139"/>
      <c r="BW331" s="139"/>
      <c r="BX331" s="139"/>
      <c r="BY331" s="139"/>
      <c r="BZ331" s="139"/>
      <c r="CA331" s="139"/>
      <c r="CB331" s="139"/>
      <c r="CC331" s="139"/>
      <c r="CD331" s="139"/>
      <c r="CE331" s="139"/>
      <c r="CF331" s="0"/>
      <c r="CN331" s="0"/>
      <c r="CO331" s="0"/>
      <c r="CP331" s="0"/>
      <c r="CQ331" s="0"/>
      <c r="CR331" s="0"/>
      <c r="CS331" s="120"/>
      <c r="CT331" s="209"/>
      <c r="CU331" s="210"/>
      <c r="CV331" s="210"/>
      <c r="CW331" s="181" t="n">
        <f aca="false">EOMONTH(CW330,0)+1</f>
        <v>46844</v>
      </c>
      <c r="CX331" s="182" t="n">
        <f aca="false">IF(AF331=0,CX319,AF331)</f>
        <v>0.2</v>
      </c>
      <c r="CY331" s="182" t="n">
        <f aca="false">IF(AG331=0,CY319,AG331)</f>
        <v>0.25</v>
      </c>
      <c r="CZ331" s="182" t="n">
        <f aca="false">IF(AH331=0,CZ319,AH331)</f>
        <v>0.3</v>
      </c>
      <c r="DB331" s="161" t="n">
        <f aca="false">IF(X331=0,DB319,X331)</f>
        <v>0.16</v>
      </c>
      <c r="DC331" s="161" t="n">
        <f aca="false">IF(Y331=0,DC319,Y331)</f>
        <v>0.2</v>
      </c>
      <c r="DD331" s="161" t="n">
        <f aca="false">IF(Z331=0,DD319,Z331)</f>
        <v>0.24</v>
      </c>
      <c r="DE331" s="210"/>
      <c r="DF331" s="181" t="n">
        <f aca="false">IF(BF331=0,EOMONTH(DF330,0)+1,BF331)</f>
        <v>46844</v>
      </c>
      <c r="DG331" s="207" t="n">
        <f aca="false">IF(BG331=0,DG319,BG331)</f>
        <v>0.75</v>
      </c>
      <c r="DJ331" s="181" t="n">
        <f aca="false">CW331</f>
        <v>46844</v>
      </c>
      <c r="DK331" s="182" t="n">
        <f aca="false">IF(AJ331=0,DK319,AJ331)</f>
        <v>0.12</v>
      </c>
      <c r="DL331" s="182" t="n">
        <f aca="false">IF(AK331=0,DL319,AK331)</f>
        <v>0.15</v>
      </c>
      <c r="DM331" s="182" t="n">
        <f aca="false">IF(AL331=0,DM319,AL331)</f>
        <v>0.18</v>
      </c>
      <c r="DO331" s="182" t="n">
        <f aca="false">IF(AB331=0,DO319,AB331)</f>
        <v>0.08</v>
      </c>
      <c r="DP331" s="182" t="n">
        <f aca="false">IF(AC331=0,DP319,AC331)</f>
        <v>0.1</v>
      </c>
      <c r="DQ331" s="182" t="n">
        <f aca="false">IF(AD331=0,DQ319,AD331)</f>
        <v>0.12</v>
      </c>
    </row>
    <row r="332" customFormat="false" ht="12.75" hidden="false" customHeight="false" outlineLevel="0" collapsed="false">
      <c r="A332" s="133"/>
      <c r="B332" s="139"/>
      <c r="C332" s="139"/>
      <c r="D332" s="139"/>
      <c r="E332" s="139"/>
      <c r="F332" s="139"/>
      <c r="G332" s="139"/>
      <c r="H332" s="139"/>
      <c r="I332" s="139"/>
      <c r="J332" s="139"/>
      <c r="K332" s="141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41"/>
      <c r="BG332" s="139"/>
      <c r="BH332" s="139"/>
      <c r="BI332" s="139"/>
      <c r="BJ332" s="139"/>
      <c r="BK332" s="139"/>
      <c r="BL332" s="139"/>
      <c r="BM332" s="139"/>
      <c r="BN332" s="139"/>
      <c r="BO332" s="139"/>
      <c r="BP332" s="139"/>
      <c r="BQ332" s="139"/>
      <c r="BR332" s="139"/>
      <c r="BS332" s="139"/>
      <c r="BT332" s="139"/>
      <c r="BU332" s="139"/>
      <c r="BV332" s="139"/>
      <c r="BW332" s="139"/>
      <c r="BX332" s="139"/>
      <c r="BY332" s="139"/>
      <c r="BZ332" s="139"/>
      <c r="CA332" s="139"/>
      <c r="CB332" s="139"/>
      <c r="CC332" s="139"/>
      <c r="CD332" s="139"/>
      <c r="CE332" s="139"/>
      <c r="CF332" s="0"/>
      <c r="CN332" s="0"/>
      <c r="CO332" s="0"/>
      <c r="CP332" s="0"/>
      <c r="CQ332" s="0"/>
      <c r="CR332" s="0"/>
      <c r="CS332" s="120"/>
      <c r="CT332" s="209"/>
      <c r="CU332" s="210"/>
      <c r="CV332" s="210"/>
      <c r="CW332" s="181" t="n">
        <f aca="false">EOMONTH(CW331,0)+1</f>
        <v>46874</v>
      </c>
      <c r="CX332" s="182" t="n">
        <f aca="false">IF(AF332=0,CX320,AF332)</f>
        <v>0.2</v>
      </c>
      <c r="CY332" s="182" t="n">
        <f aca="false">IF(AG332=0,CY320,AG332)</f>
        <v>0.25</v>
      </c>
      <c r="CZ332" s="182" t="n">
        <f aca="false">IF(AH332=0,CZ320,AH332)</f>
        <v>0.3</v>
      </c>
      <c r="DB332" s="161" t="n">
        <f aca="false">IF(X332=0,DB320,X332)</f>
        <v>0.16</v>
      </c>
      <c r="DC332" s="161" t="n">
        <f aca="false">IF(Y332=0,DC320,Y332)</f>
        <v>0.2</v>
      </c>
      <c r="DD332" s="161" t="n">
        <f aca="false">IF(Z332=0,DD320,Z332)</f>
        <v>0.24</v>
      </c>
      <c r="DE332" s="210"/>
      <c r="DF332" s="181" t="n">
        <f aca="false">IF(BF332=0,EOMONTH(DF331,0)+1,BF332)</f>
        <v>46874</v>
      </c>
      <c r="DG332" s="207" t="n">
        <f aca="false">IF(BG332=0,DG320,BG332)</f>
        <v>0.75</v>
      </c>
      <c r="DJ332" s="181" t="n">
        <f aca="false">CW332</f>
        <v>46874</v>
      </c>
      <c r="DK332" s="182" t="n">
        <f aca="false">IF(AJ332=0,DK320,AJ332)</f>
        <v>0.12</v>
      </c>
      <c r="DL332" s="182" t="n">
        <f aca="false">IF(AK332=0,DL320,AK332)</f>
        <v>0.15</v>
      </c>
      <c r="DM332" s="182" t="n">
        <f aca="false">IF(AL332=0,DM320,AL332)</f>
        <v>0.18</v>
      </c>
      <c r="DO332" s="182" t="n">
        <f aca="false">IF(AB332=0,DO320,AB332)</f>
        <v>0.08</v>
      </c>
      <c r="DP332" s="182" t="n">
        <f aca="false">IF(AC332=0,DP320,AC332)</f>
        <v>0.1</v>
      </c>
      <c r="DQ332" s="182" t="n">
        <f aca="false">IF(AD332=0,DQ320,AD332)</f>
        <v>0.12</v>
      </c>
    </row>
    <row r="333" customFormat="false" ht="12.75" hidden="false" customHeight="false" outlineLevel="0" collapsed="false">
      <c r="A333" s="133"/>
      <c r="B333" s="139"/>
      <c r="C333" s="139"/>
      <c r="D333" s="139"/>
      <c r="E333" s="139"/>
      <c r="F333" s="139"/>
      <c r="G333" s="139"/>
      <c r="H333" s="139"/>
      <c r="I333" s="139"/>
      <c r="J333" s="139"/>
      <c r="K333" s="141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41"/>
      <c r="BG333" s="139"/>
      <c r="BH333" s="139"/>
      <c r="BI333" s="139"/>
      <c r="BJ333" s="139"/>
      <c r="BK333" s="139"/>
      <c r="BL333" s="139"/>
      <c r="BM333" s="139"/>
      <c r="BN333" s="139"/>
      <c r="BO333" s="139"/>
      <c r="BP333" s="139"/>
      <c r="BQ333" s="139"/>
      <c r="BR333" s="139"/>
      <c r="BS333" s="139"/>
      <c r="BT333" s="139"/>
      <c r="BU333" s="139"/>
      <c r="BV333" s="139"/>
      <c r="BW333" s="139"/>
      <c r="BX333" s="139"/>
      <c r="BY333" s="139"/>
      <c r="BZ333" s="139"/>
      <c r="CA333" s="139"/>
      <c r="CB333" s="139"/>
      <c r="CC333" s="139"/>
      <c r="CD333" s="139"/>
      <c r="CE333" s="139"/>
      <c r="CF333" s="0"/>
      <c r="CN333" s="0"/>
      <c r="CO333" s="0"/>
      <c r="CP333" s="0"/>
      <c r="CQ333" s="0"/>
      <c r="CR333" s="0"/>
      <c r="CS333" s="120"/>
      <c r="CT333" s="209"/>
      <c r="CU333" s="210"/>
      <c r="CV333" s="210"/>
      <c r="CW333" s="181" t="n">
        <f aca="false">EOMONTH(CW332,0)+1</f>
        <v>46905</v>
      </c>
      <c r="CX333" s="182" t="n">
        <f aca="false">IF(AF333=0,CX321,AF333)</f>
        <v>0.2</v>
      </c>
      <c r="CY333" s="182" t="n">
        <f aca="false">IF(AG333=0,CY321,AG333)</f>
        <v>0.25</v>
      </c>
      <c r="CZ333" s="182" t="n">
        <f aca="false">IF(AH333=0,CZ321,AH333)</f>
        <v>0.3</v>
      </c>
      <c r="DB333" s="161" t="n">
        <f aca="false">IF(X333=0,DB321,X333)</f>
        <v>0.16</v>
      </c>
      <c r="DC333" s="161" t="n">
        <f aca="false">IF(Y333=0,DC321,Y333)</f>
        <v>0.2</v>
      </c>
      <c r="DD333" s="161" t="n">
        <f aca="false">IF(Z333=0,DD321,Z333)</f>
        <v>0.24</v>
      </c>
      <c r="DE333" s="210"/>
      <c r="DF333" s="181" t="n">
        <f aca="false">IF(BF333=0,EOMONTH(DF332,0)+1,BF333)</f>
        <v>46905</v>
      </c>
      <c r="DG333" s="207" t="n">
        <f aca="false">IF(BG333=0,DG321,BG333)</f>
        <v>0.75</v>
      </c>
      <c r="DJ333" s="181" t="n">
        <f aca="false">CW333</f>
        <v>46905</v>
      </c>
      <c r="DK333" s="182" t="n">
        <f aca="false">IF(AJ333=0,DK321,AJ333)</f>
        <v>0.12</v>
      </c>
      <c r="DL333" s="182" t="n">
        <f aca="false">IF(AK333=0,DL321,AK333)</f>
        <v>0.15</v>
      </c>
      <c r="DM333" s="182" t="n">
        <f aca="false">IF(AL333=0,DM321,AL333)</f>
        <v>0.18</v>
      </c>
      <c r="DO333" s="182" t="n">
        <f aca="false">IF(AB333=0,DO321,AB333)</f>
        <v>0.08</v>
      </c>
      <c r="DP333" s="182" t="n">
        <f aca="false">IF(AC333=0,DP321,AC333)</f>
        <v>0.1</v>
      </c>
      <c r="DQ333" s="182" t="n">
        <f aca="false">IF(AD333=0,DQ321,AD333)</f>
        <v>0.12</v>
      </c>
    </row>
    <row r="334" customFormat="false" ht="12.75" hidden="false" customHeight="false" outlineLevel="0" collapsed="false">
      <c r="A334" s="133"/>
      <c r="B334" s="139"/>
      <c r="C334" s="139"/>
      <c r="D334" s="139"/>
      <c r="E334" s="139"/>
      <c r="F334" s="139"/>
      <c r="G334" s="139"/>
      <c r="H334" s="139"/>
      <c r="I334" s="139"/>
      <c r="J334" s="139"/>
      <c r="K334" s="141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41"/>
      <c r="BG334" s="139"/>
      <c r="BH334" s="139"/>
      <c r="BI334" s="139"/>
      <c r="BJ334" s="139"/>
      <c r="BK334" s="139"/>
      <c r="BL334" s="139"/>
      <c r="BM334" s="139"/>
      <c r="BN334" s="139"/>
      <c r="BO334" s="139"/>
      <c r="BP334" s="139"/>
      <c r="BQ334" s="139"/>
      <c r="BR334" s="139"/>
      <c r="BS334" s="139"/>
      <c r="BT334" s="139"/>
      <c r="BU334" s="139"/>
      <c r="BV334" s="139"/>
      <c r="BW334" s="139"/>
      <c r="BX334" s="139"/>
      <c r="BY334" s="139"/>
      <c r="BZ334" s="139"/>
      <c r="CA334" s="139"/>
      <c r="CB334" s="139"/>
      <c r="CC334" s="139"/>
      <c r="CD334" s="139"/>
      <c r="CE334" s="139"/>
      <c r="CF334" s="0"/>
      <c r="CN334" s="0"/>
      <c r="CO334" s="0"/>
      <c r="CP334" s="0"/>
      <c r="CQ334" s="0"/>
      <c r="CR334" s="0"/>
      <c r="CS334" s="120"/>
      <c r="CT334" s="209"/>
      <c r="CU334" s="210"/>
      <c r="CV334" s="210"/>
      <c r="CW334" s="181" t="n">
        <f aca="false">EOMONTH(CW333,0)+1</f>
        <v>46935</v>
      </c>
      <c r="CX334" s="182" t="n">
        <f aca="false">IF(AF334=0,CX322,AF334)</f>
        <v>0.2</v>
      </c>
      <c r="CY334" s="182" t="n">
        <f aca="false">IF(AG334=0,CY322,AG334)</f>
        <v>0.25</v>
      </c>
      <c r="CZ334" s="182" t="n">
        <f aca="false">IF(AH334=0,CZ322,AH334)</f>
        <v>0.3</v>
      </c>
      <c r="DB334" s="161" t="n">
        <f aca="false">IF(X334=0,DB322,X334)</f>
        <v>0.16</v>
      </c>
      <c r="DC334" s="161" t="n">
        <f aca="false">IF(Y334=0,DC322,Y334)</f>
        <v>0.2</v>
      </c>
      <c r="DD334" s="161" t="n">
        <f aca="false">IF(Z334=0,DD322,Z334)</f>
        <v>0.24</v>
      </c>
      <c r="DE334" s="210"/>
      <c r="DF334" s="181" t="n">
        <f aca="false">IF(BF334=0,EOMONTH(DF333,0)+1,BF334)</f>
        <v>46935</v>
      </c>
      <c r="DG334" s="207" t="n">
        <f aca="false">IF(BG334=0,DG322,BG334)</f>
        <v>0.75</v>
      </c>
      <c r="DJ334" s="181" t="n">
        <f aca="false">CW334</f>
        <v>46935</v>
      </c>
      <c r="DK334" s="182" t="n">
        <f aca="false">IF(AJ334=0,DK322,AJ334)</f>
        <v>0.12</v>
      </c>
      <c r="DL334" s="182" t="n">
        <f aca="false">IF(AK334=0,DL322,AK334)</f>
        <v>0.15</v>
      </c>
      <c r="DM334" s="182" t="n">
        <f aca="false">IF(AL334=0,DM322,AL334)</f>
        <v>0.18</v>
      </c>
      <c r="DO334" s="182" t="n">
        <f aca="false">IF(AB334=0,DO322,AB334)</f>
        <v>0.08</v>
      </c>
      <c r="DP334" s="182" t="n">
        <f aca="false">IF(AC334=0,DP322,AC334)</f>
        <v>0.1</v>
      </c>
      <c r="DQ334" s="182" t="n">
        <f aca="false">IF(AD334=0,DQ322,AD334)</f>
        <v>0.12</v>
      </c>
    </row>
    <row r="335" customFormat="false" ht="12.75" hidden="false" customHeight="false" outlineLevel="0" collapsed="false">
      <c r="A335" s="133"/>
      <c r="B335" s="139"/>
      <c r="C335" s="139"/>
      <c r="D335" s="139"/>
      <c r="E335" s="139"/>
      <c r="F335" s="139"/>
      <c r="G335" s="139"/>
      <c r="H335" s="139"/>
      <c r="I335" s="139"/>
      <c r="J335" s="139"/>
      <c r="K335" s="141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41"/>
      <c r="BG335" s="139"/>
      <c r="BH335" s="139"/>
      <c r="BI335" s="139"/>
      <c r="BJ335" s="139"/>
      <c r="BK335" s="139"/>
      <c r="BL335" s="139"/>
      <c r="BM335" s="139"/>
      <c r="BN335" s="139"/>
      <c r="BO335" s="139"/>
      <c r="BP335" s="139"/>
      <c r="BQ335" s="139"/>
      <c r="BR335" s="139"/>
      <c r="BS335" s="139"/>
      <c r="BT335" s="139"/>
      <c r="BU335" s="139"/>
      <c r="BV335" s="139"/>
      <c r="BW335" s="139"/>
      <c r="BX335" s="139"/>
      <c r="BY335" s="139"/>
      <c r="BZ335" s="139"/>
      <c r="CA335" s="139"/>
      <c r="CB335" s="139"/>
      <c r="CC335" s="139"/>
      <c r="CD335" s="139"/>
      <c r="CE335" s="139"/>
      <c r="CF335" s="0"/>
      <c r="CN335" s="0"/>
      <c r="CO335" s="0"/>
      <c r="CP335" s="0"/>
      <c r="CQ335" s="0"/>
      <c r="CR335" s="0"/>
      <c r="CS335" s="120"/>
      <c r="CT335" s="209"/>
      <c r="CU335" s="210"/>
      <c r="CV335" s="210"/>
      <c r="CW335" s="181" t="n">
        <f aca="false">EOMONTH(CW334,0)+1</f>
        <v>46966</v>
      </c>
      <c r="CX335" s="182" t="n">
        <f aca="false">IF(AF335=0,CX323,AF335)</f>
        <v>0.32</v>
      </c>
      <c r="CY335" s="182" t="n">
        <f aca="false">IF(AG335=0,CY323,AG335)</f>
        <v>0.4</v>
      </c>
      <c r="CZ335" s="182" t="n">
        <f aca="false">IF(AH335=0,CZ323,AH335)</f>
        <v>0.48</v>
      </c>
      <c r="DB335" s="161" t="n">
        <f aca="false">IF(X335=0,DB323,X335)</f>
        <v>0.24</v>
      </c>
      <c r="DC335" s="161" t="n">
        <f aca="false">IF(Y335=0,DC323,Y335)</f>
        <v>0.3</v>
      </c>
      <c r="DD335" s="161" t="n">
        <f aca="false">IF(Z335=0,DD323,Z335)</f>
        <v>0.36</v>
      </c>
      <c r="DE335" s="210"/>
      <c r="DF335" s="181" t="n">
        <f aca="false">IF(BF335=0,EOMONTH(DF334,0)+1,BF335)</f>
        <v>46966</v>
      </c>
      <c r="DG335" s="207" t="n">
        <f aca="false">IF(BG335=0,DG323,BG335)</f>
        <v>0.75</v>
      </c>
      <c r="DJ335" s="181" t="n">
        <f aca="false">CW335</f>
        <v>46966</v>
      </c>
      <c r="DK335" s="182" t="n">
        <f aca="false">IF(AJ335=0,DK323,AJ335)</f>
        <v>0.192</v>
      </c>
      <c r="DL335" s="182" t="n">
        <f aca="false">IF(AK335=0,DL323,AK335)</f>
        <v>0.24</v>
      </c>
      <c r="DM335" s="182" t="n">
        <f aca="false">IF(AL335=0,DM323,AL335)</f>
        <v>0.288</v>
      </c>
      <c r="DO335" s="182" t="n">
        <f aca="false">IF(AB335=0,DO323,AB335)</f>
        <v>0.12</v>
      </c>
      <c r="DP335" s="182" t="n">
        <f aca="false">IF(AC335=0,DP323,AC335)</f>
        <v>0.15</v>
      </c>
      <c r="DQ335" s="182" t="n">
        <f aca="false">IF(AD335=0,DQ323,AD335)</f>
        <v>0.18</v>
      </c>
    </row>
    <row r="336" customFormat="false" ht="12.75" hidden="false" customHeight="false" outlineLevel="0" collapsed="false">
      <c r="A336" s="133"/>
      <c r="B336" s="139"/>
      <c r="C336" s="139"/>
      <c r="D336" s="139"/>
      <c r="E336" s="139"/>
      <c r="F336" s="139"/>
      <c r="G336" s="139"/>
      <c r="H336" s="139"/>
      <c r="I336" s="139"/>
      <c r="J336" s="139"/>
      <c r="K336" s="141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41"/>
      <c r="BG336" s="139"/>
      <c r="BH336" s="139"/>
      <c r="BI336" s="139"/>
      <c r="BJ336" s="139"/>
      <c r="BK336" s="139"/>
      <c r="BL336" s="139"/>
      <c r="BM336" s="139"/>
      <c r="BN336" s="139"/>
      <c r="BO336" s="139"/>
      <c r="BP336" s="139"/>
      <c r="BQ336" s="139"/>
      <c r="BR336" s="139"/>
      <c r="BS336" s="139"/>
      <c r="BT336" s="139"/>
      <c r="BU336" s="139"/>
      <c r="BV336" s="139"/>
      <c r="BW336" s="139"/>
      <c r="BX336" s="139"/>
      <c r="BY336" s="139"/>
      <c r="BZ336" s="139"/>
      <c r="CA336" s="139"/>
      <c r="CB336" s="139"/>
      <c r="CC336" s="139"/>
      <c r="CD336" s="139"/>
      <c r="CE336" s="139"/>
      <c r="CF336" s="0"/>
      <c r="CN336" s="0"/>
      <c r="CO336" s="0"/>
      <c r="CP336" s="0"/>
      <c r="CQ336" s="0"/>
      <c r="CR336" s="0"/>
      <c r="CS336" s="120"/>
      <c r="CT336" s="209"/>
      <c r="CU336" s="210"/>
      <c r="CV336" s="210"/>
      <c r="CW336" s="181" t="n">
        <f aca="false">EOMONTH(CW335,0)+1</f>
        <v>46997</v>
      </c>
      <c r="CX336" s="182" t="n">
        <f aca="false">IF(AF336=0,CX324,AF336)</f>
        <v>0.32</v>
      </c>
      <c r="CY336" s="182" t="n">
        <f aca="false">IF(AG336=0,CY324,AG336)</f>
        <v>0.4</v>
      </c>
      <c r="CZ336" s="182" t="n">
        <f aca="false">IF(AH336=0,CZ324,AH336)</f>
        <v>0.48</v>
      </c>
      <c r="DB336" s="161" t="n">
        <f aca="false">IF(X336=0,DB324,X336)</f>
        <v>0.24</v>
      </c>
      <c r="DC336" s="161" t="n">
        <f aca="false">IF(Y336=0,DC324,Y336)</f>
        <v>0.3</v>
      </c>
      <c r="DD336" s="161" t="n">
        <f aca="false">IF(Z336=0,DD324,Z336)</f>
        <v>0.36</v>
      </c>
      <c r="DE336" s="210"/>
      <c r="DF336" s="181" t="n">
        <f aca="false">IF(BF336=0,EOMONTH(DF335,0)+1,BF336)</f>
        <v>46997</v>
      </c>
      <c r="DG336" s="207" t="n">
        <f aca="false">IF(BG336=0,DG324,BG336)</f>
        <v>0.75</v>
      </c>
      <c r="DJ336" s="181" t="n">
        <f aca="false">CW336</f>
        <v>46997</v>
      </c>
      <c r="DK336" s="182" t="n">
        <f aca="false">IF(AJ336=0,DK324,AJ336)</f>
        <v>0.192</v>
      </c>
      <c r="DL336" s="182" t="n">
        <f aca="false">IF(AK336=0,DL324,AK336)</f>
        <v>0.24</v>
      </c>
      <c r="DM336" s="182" t="n">
        <f aca="false">IF(AL336=0,DM324,AL336)</f>
        <v>0.288</v>
      </c>
      <c r="DO336" s="182" t="n">
        <f aca="false">IF(AB336=0,DO324,AB336)</f>
        <v>0.12</v>
      </c>
      <c r="DP336" s="182" t="n">
        <f aca="false">IF(AC336=0,DP324,AC336)</f>
        <v>0.15</v>
      </c>
      <c r="DQ336" s="182" t="n">
        <f aca="false">IF(AD336=0,DQ324,AD336)</f>
        <v>0.18</v>
      </c>
    </row>
    <row r="337" customFormat="false" ht="12.75" hidden="false" customHeight="false" outlineLevel="0" collapsed="false">
      <c r="A337" s="133"/>
      <c r="B337" s="139"/>
      <c r="C337" s="139"/>
      <c r="D337" s="139"/>
      <c r="E337" s="139"/>
      <c r="F337" s="139"/>
      <c r="G337" s="139"/>
      <c r="H337" s="139"/>
      <c r="I337" s="139"/>
      <c r="J337" s="139"/>
      <c r="K337" s="141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41"/>
      <c r="BG337" s="139"/>
      <c r="BH337" s="139"/>
      <c r="BI337" s="139"/>
      <c r="BJ337" s="139"/>
      <c r="BK337" s="139"/>
      <c r="BL337" s="139"/>
      <c r="BM337" s="139"/>
      <c r="BN337" s="139"/>
      <c r="BO337" s="139"/>
      <c r="BP337" s="139"/>
      <c r="BQ337" s="139"/>
      <c r="BR337" s="139"/>
      <c r="BS337" s="139"/>
      <c r="BT337" s="139"/>
      <c r="BU337" s="139"/>
      <c r="BV337" s="139"/>
      <c r="BW337" s="139"/>
      <c r="BX337" s="139"/>
      <c r="BY337" s="139"/>
      <c r="BZ337" s="139"/>
      <c r="CA337" s="139"/>
      <c r="CB337" s="139"/>
      <c r="CC337" s="139"/>
      <c r="CD337" s="139"/>
      <c r="CE337" s="139"/>
      <c r="CF337" s="0"/>
      <c r="CN337" s="0"/>
      <c r="CO337" s="0"/>
      <c r="CP337" s="0"/>
      <c r="CQ337" s="0"/>
      <c r="CR337" s="0"/>
      <c r="CS337" s="120"/>
      <c r="CT337" s="209"/>
      <c r="CU337" s="210"/>
      <c r="CV337" s="210"/>
      <c r="CW337" s="181" t="n">
        <f aca="false">EOMONTH(CW336,0)+1</f>
        <v>47027</v>
      </c>
      <c r="CX337" s="182" t="n">
        <f aca="false">IF(AF337=0,CX325,AF337)</f>
        <v>0.2</v>
      </c>
      <c r="CY337" s="182" t="n">
        <f aca="false">IF(AG337=0,CY325,AG337)</f>
        <v>0.25</v>
      </c>
      <c r="CZ337" s="182" t="n">
        <f aca="false">IF(AH337=0,CZ325,AH337)</f>
        <v>0.3</v>
      </c>
      <c r="DB337" s="161" t="n">
        <f aca="false">IF(X337=0,DB325,X337)</f>
        <v>0.16</v>
      </c>
      <c r="DC337" s="161" t="n">
        <f aca="false">IF(Y337=0,DC325,Y337)</f>
        <v>0.2</v>
      </c>
      <c r="DD337" s="161" t="n">
        <f aca="false">IF(Z337=0,DD325,Z337)</f>
        <v>0.24</v>
      </c>
      <c r="DE337" s="210"/>
      <c r="DF337" s="181" t="n">
        <f aca="false">IF(BF337=0,EOMONTH(DF336,0)+1,BF337)</f>
        <v>47027</v>
      </c>
      <c r="DG337" s="207" t="n">
        <f aca="false">IF(BG337=0,DG325,BG337)</f>
        <v>0.75</v>
      </c>
      <c r="DJ337" s="181" t="n">
        <f aca="false">CW337</f>
        <v>47027</v>
      </c>
      <c r="DK337" s="182" t="n">
        <f aca="false">IF(AJ337=0,DK325,AJ337)</f>
        <v>0.12</v>
      </c>
      <c r="DL337" s="182" t="n">
        <f aca="false">IF(AK337=0,DL325,AK337)</f>
        <v>0.15</v>
      </c>
      <c r="DM337" s="182" t="n">
        <f aca="false">IF(AL337=0,DM325,AL337)</f>
        <v>0.18</v>
      </c>
      <c r="DO337" s="182" t="n">
        <f aca="false">IF(AB337=0,DO325,AB337)</f>
        <v>0.08</v>
      </c>
      <c r="DP337" s="182" t="n">
        <f aca="false">IF(AC337=0,DP325,AC337)</f>
        <v>0.1</v>
      </c>
      <c r="DQ337" s="182" t="n">
        <f aca="false">IF(AD337=0,DQ325,AD337)</f>
        <v>0.12</v>
      </c>
    </row>
    <row r="338" customFormat="false" ht="12.75" hidden="false" customHeight="false" outlineLevel="0" collapsed="false">
      <c r="A338" s="133"/>
      <c r="B338" s="139"/>
      <c r="C338" s="139"/>
      <c r="D338" s="139"/>
      <c r="E338" s="139"/>
      <c r="F338" s="139"/>
      <c r="G338" s="139"/>
      <c r="H338" s="139"/>
      <c r="I338" s="139"/>
      <c r="J338" s="139"/>
      <c r="K338" s="141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41"/>
      <c r="BG338" s="139"/>
      <c r="BH338" s="139"/>
      <c r="BI338" s="139"/>
      <c r="BJ338" s="139"/>
      <c r="BK338" s="139"/>
      <c r="BL338" s="139"/>
      <c r="BM338" s="139"/>
      <c r="BN338" s="139"/>
      <c r="BO338" s="139"/>
      <c r="BP338" s="139"/>
      <c r="BQ338" s="139"/>
      <c r="BR338" s="139"/>
      <c r="BS338" s="139"/>
      <c r="BT338" s="139"/>
      <c r="BU338" s="139"/>
      <c r="BV338" s="139"/>
      <c r="BW338" s="139"/>
      <c r="BX338" s="139"/>
      <c r="BY338" s="139"/>
      <c r="BZ338" s="139"/>
      <c r="CA338" s="139"/>
      <c r="CB338" s="139"/>
      <c r="CC338" s="139"/>
      <c r="CD338" s="139"/>
      <c r="CE338" s="139"/>
      <c r="CF338" s="0"/>
      <c r="CN338" s="0"/>
      <c r="CO338" s="0"/>
      <c r="CP338" s="0"/>
      <c r="CQ338" s="0"/>
      <c r="CR338" s="0"/>
      <c r="CS338" s="120"/>
      <c r="CT338" s="209"/>
      <c r="CU338" s="210"/>
      <c r="CV338" s="210"/>
      <c r="CW338" s="181" t="n">
        <f aca="false">EOMONTH(CW337,0)+1</f>
        <v>47058</v>
      </c>
      <c r="CX338" s="182" t="n">
        <f aca="false">IF(AF338=0,CX326,AF338)</f>
        <v>0.2</v>
      </c>
      <c r="CY338" s="182" t="n">
        <f aca="false">IF(AG338=0,CY326,AG338)</f>
        <v>0.25</v>
      </c>
      <c r="CZ338" s="182" t="n">
        <f aca="false">IF(AH338=0,CZ326,AH338)</f>
        <v>0.3</v>
      </c>
      <c r="DB338" s="161" t="n">
        <f aca="false">IF(X338=0,DB326,X338)</f>
        <v>0.16</v>
      </c>
      <c r="DC338" s="161" t="n">
        <f aca="false">IF(Y338=0,DC326,Y338)</f>
        <v>0.2</v>
      </c>
      <c r="DD338" s="161" t="n">
        <f aca="false">IF(Z338=0,DD326,Z338)</f>
        <v>0.24</v>
      </c>
      <c r="DE338" s="210"/>
      <c r="DF338" s="181" t="n">
        <f aca="false">IF(BF338=0,EOMONTH(DF337,0)+1,BF338)</f>
        <v>47058</v>
      </c>
      <c r="DG338" s="207" t="n">
        <f aca="false">IF(BG338=0,DG326,BG338)</f>
        <v>0.75</v>
      </c>
      <c r="DJ338" s="181" t="n">
        <f aca="false">CW338</f>
        <v>47058</v>
      </c>
      <c r="DK338" s="182" t="n">
        <f aca="false">IF(AJ338=0,DK326,AJ338)</f>
        <v>0.12</v>
      </c>
      <c r="DL338" s="182" t="n">
        <f aca="false">IF(AK338=0,DL326,AK338)</f>
        <v>0.15</v>
      </c>
      <c r="DM338" s="182" t="n">
        <f aca="false">IF(AL338=0,DM326,AL338)</f>
        <v>0.18</v>
      </c>
      <c r="DO338" s="182" t="n">
        <f aca="false">IF(AB338=0,DO326,AB338)</f>
        <v>0.08</v>
      </c>
      <c r="DP338" s="182" t="n">
        <f aca="false">IF(AC338=0,DP326,AC338)</f>
        <v>0.1</v>
      </c>
      <c r="DQ338" s="182" t="n">
        <f aca="false">IF(AD338=0,DQ326,AD338)</f>
        <v>0.12</v>
      </c>
    </row>
    <row r="339" customFormat="false" ht="12.75" hidden="false" customHeight="false" outlineLevel="0" collapsed="false">
      <c r="A339" s="133"/>
      <c r="B339" s="139"/>
      <c r="C339" s="139"/>
      <c r="D339" s="139"/>
      <c r="E339" s="139"/>
      <c r="F339" s="139"/>
      <c r="G339" s="139"/>
      <c r="H339" s="139"/>
      <c r="I339" s="139"/>
      <c r="J339" s="139"/>
      <c r="K339" s="141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41"/>
      <c r="BG339" s="139"/>
      <c r="BH339" s="139"/>
      <c r="BI339" s="139"/>
      <c r="BJ339" s="139"/>
      <c r="BK339" s="139"/>
      <c r="BL339" s="139"/>
      <c r="BM339" s="139"/>
      <c r="BN339" s="139"/>
      <c r="BO339" s="139"/>
      <c r="BP339" s="139"/>
      <c r="BQ339" s="139"/>
      <c r="BR339" s="139"/>
      <c r="BS339" s="139"/>
      <c r="BT339" s="139"/>
      <c r="BU339" s="139"/>
      <c r="BV339" s="139"/>
      <c r="BW339" s="139"/>
      <c r="BX339" s="139"/>
      <c r="BY339" s="139"/>
      <c r="BZ339" s="139"/>
      <c r="CA339" s="139"/>
      <c r="CB339" s="139"/>
      <c r="CC339" s="139"/>
      <c r="CD339" s="139"/>
      <c r="CE339" s="139"/>
      <c r="CF339" s="0"/>
      <c r="CN339" s="0"/>
      <c r="CO339" s="0"/>
      <c r="CP339" s="0"/>
      <c r="CQ339" s="0"/>
      <c r="CR339" s="0"/>
      <c r="CS339" s="120"/>
      <c r="CT339" s="209"/>
      <c r="CU339" s="210"/>
      <c r="CV339" s="210"/>
      <c r="CW339" s="181" t="n">
        <f aca="false">EOMONTH(CW338,0)+1</f>
        <v>47088</v>
      </c>
      <c r="CX339" s="182" t="n">
        <f aca="false">IF(AF339=0,CX327,AF339)</f>
        <v>0.2</v>
      </c>
      <c r="CY339" s="182" t="n">
        <f aca="false">IF(AG339=0,CY327,AG339)</f>
        <v>0.25</v>
      </c>
      <c r="CZ339" s="182" t="n">
        <f aca="false">IF(AH339=0,CZ327,AH339)</f>
        <v>0.3</v>
      </c>
      <c r="DB339" s="161" t="n">
        <f aca="false">IF(X339=0,DB327,X339)</f>
        <v>0.16</v>
      </c>
      <c r="DC339" s="161" t="n">
        <f aca="false">IF(Y339=0,DC327,Y339)</f>
        <v>0.2</v>
      </c>
      <c r="DD339" s="161" t="n">
        <f aca="false">IF(Z339=0,DD327,Z339)</f>
        <v>0.24</v>
      </c>
      <c r="DE339" s="210"/>
      <c r="DF339" s="181" t="n">
        <f aca="false">IF(BF339=0,EOMONTH(DF338,0)+1,BF339)</f>
        <v>47088</v>
      </c>
      <c r="DG339" s="207" t="n">
        <f aca="false">IF(BG339=0,DG327,BG339)</f>
        <v>0.75</v>
      </c>
      <c r="DJ339" s="181" t="n">
        <f aca="false">CW339</f>
        <v>47088</v>
      </c>
      <c r="DK339" s="182" t="n">
        <f aca="false">IF(AJ339=0,DK327,AJ339)</f>
        <v>0.12</v>
      </c>
      <c r="DL339" s="182" t="n">
        <f aca="false">IF(AK339=0,DL327,AK339)</f>
        <v>0.15</v>
      </c>
      <c r="DM339" s="182" t="n">
        <f aca="false">IF(AL339=0,DM327,AL339)</f>
        <v>0.18</v>
      </c>
      <c r="DO339" s="182" t="n">
        <f aca="false">IF(AB339=0,DO327,AB339)</f>
        <v>0.08</v>
      </c>
      <c r="DP339" s="182" t="n">
        <f aca="false">IF(AC339=0,DP327,AC339)</f>
        <v>0.1</v>
      </c>
      <c r="DQ339" s="182" t="n">
        <f aca="false">IF(AD339=0,DQ327,AD339)</f>
        <v>0.12</v>
      </c>
    </row>
    <row r="340" customFormat="false" ht="12.75" hidden="false" customHeight="false" outlineLevel="0" collapsed="false">
      <c r="A340" s="133"/>
      <c r="B340" s="139"/>
      <c r="C340" s="139"/>
      <c r="D340" s="139"/>
      <c r="E340" s="139"/>
      <c r="F340" s="139"/>
      <c r="G340" s="139"/>
      <c r="H340" s="139"/>
      <c r="I340" s="139"/>
      <c r="J340" s="139"/>
      <c r="K340" s="141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41"/>
      <c r="BG340" s="139"/>
      <c r="BH340" s="139"/>
      <c r="BI340" s="139"/>
      <c r="BJ340" s="139"/>
      <c r="BK340" s="139"/>
      <c r="BL340" s="139"/>
      <c r="BM340" s="139"/>
      <c r="BN340" s="139"/>
      <c r="BO340" s="139"/>
      <c r="BP340" s="139"/>
      <c r="BQ340" s="139"/>
      <c r="BR340" s="139"/>
      <c r="BS340" s="139"/>
      <c r="BT340" s="139"/>
      <c r="BU340" s="139"/>
      <c r="BV340" s="139"/>
      <c r="BW340" s="139"/>
      <c r="BX340" s="139"/>
      <c r="BY340" s="139"/>
      <c r="BZ340" s="139"/>
      <c r="CA340" s="139"/>
      <c r="CB340" s="139"/>
      <c r="CC340" s="139"/>
      <c r="CD340" s="139"/>
      <c r="CE340" s="139"/>
      <c r="CF340" s="0"/>
      <c r="CN340" s="0"/>
      <c r="CO340" s="0"/>
      <c r="CP340" s="0"/>
      <c r="CQ340" s="0"/>
      <c r="CR340" s="0"/>
      <c r="CS340" s="120"/>
      <c r="CT340" s="209"/>
      <c r="CU340" s="210"/>
      <c r="CV340" s="210"/>
      <c r="CW340" s="181" t="n">
        <f aca="false">EOMONTH(CW339,0)+1</f>
        <v>47119</v>
      </c>
      <c r="CX340" s="182" t="n">
        <f aca="false">IF(AF340=0,CX328,AF340)</f>
        <v>0.2</v>
      </c>
      <c r="CY340" s="182" t="n">
        <f aca="false">IF(AG340=0,CY328,AG340)</f>
        <v>0.25</v>
      </c>
      <c r="CZ340" s="182" t="n">
        <f aca="false">IF(AH340=0,CZ328,AH340)</f>
        <v>0.3</v>
      </c>
      <c r="DB340" s="161" t="n">
        <f aca="false">IF(X340=0,DB328,X340)</f>
        <v>0.16</v>
      </c>
      <c r="DC340" s="161" t="n">
        <f aca="false">IF(Y340=0,DC328,Y340)</f>
        <v>0.2</v>
      </c>
      <c r="DD340" s="161" t="n">
        <f aca="false">IF(Z340=0,DD328,Z340)</f>
        <v>0.24</v>
      </c>
      <c r="DE340" s="210"/>
      <c r="DF340" s="181" t="n">
        <f aca="false">IF(BF340=0,EOMONTH(DF339,0)+1,BF340)</f>
        <v>47119</v>
      </c>
      <c r="DG340" s="207" t="n">
        <f aca="false">IF(BG340=0,DG328,BG340)</f>
        <v>0.75</v>
      </c>
      <c r="DJ340" s="181" t="n">
        <f aca="false">CW340</f>
        <v>47119</v>
      </c>
      <c r="DK340" s="182" t="n">
        <f aca="false">IF(AJ340=0,DK328,AJ340)</f>
        <v>0.12</v>
      </c>
      <c r="DL340" s="182" t="n">
        <f aca="false">IF(AK340=0,DL328,AK340)</f>
        <v>0.15</v>
      </c>
      <c r="DM340" s="182" t="n">
        <f aca="false">IF(AL340=0,DM328,AL340)</f>
        <v>0.18</v>
      </c>
      <c r="DO340" s="182" t="n">
        <f aca="false">IF(AB340=0,DO328,AB340)</f>
        <v>0.08</v>
      </c>
      <c r="DP340" s="182" t="n">
        <f aca="false">IF(AC340=0,DP328,AC340)</f>
        <v>0.1</v>
      </c>
      <c r="DQ340" s="182" t="n">
        <f aca="false">IF(AD340=0,DQ328,AD340)</f>
        <v>0.12</v>
      </c>
    </row>
    <row r="341" customFormat="false" ht="12.75" hidden="false" customHeight="false" outlineLevel="0" collapsed="false">
      <c r="A341" s="133"/>
      <c r="B341" s="139"/>
      <c r="C341" s="139"/>
      <c r="D341" s="139"/>
      <c r="E341" s="139"/>
      <c r="F341" s="139"/>
      <c r="G341" s="139"/>
      <c r="H341" s="139"/>
      <c r="I341" s="139"/>
      <c r="J341" s="139"/>
      <c r="K341" s="141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41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39"/>
      <c r="BS341" s="139"/>
      <c r="BT341" s="139"/>
      <c r="BU341" s="139"/>
      <c r="BV341" s="139"/>
      <c r="BW341" s="139"/>
      <c r="BX341" s="139"/>
      <c r="BY341" s="139"/>
      <c r="BZ341" s="139"/>
      <c r="CA341" s="139"/>
      <c r="CB341" s="139"/>
      <c r="CC341" s="139"/>
      <c r="CD341" s="139"/>
      <c r="CE341" s="139"/>
      <c r="CF341" s="0"/>
      <c r="CN341" s="0"/>
      <c r="CO341" s="0"/>
      <c r="CP341" s="0"/>
      <c r="CQ341" s="0"/>
      <c r="CR341" s="0"/>
      <c r="CS341" s="120"/>
      <c r="CT341" s="209"/>
      <c r="CU341" s="210"/>
      <c r="CV341" s="210"/>
      <c r="CW341" s="181" t="n">
        <f aca="false">EOMONTH(CW340,0)+1</f>
        <v>47150</v>
      </c>
      <c r="CX341" s="182" t="n">
        <f aca="false">IF(AF341=0,CX329,AF341)</f>
        <v>0.2</v>
      </c>
      <c r="CY341" s="182" t="n">
        <f aca="false">IF(AG341=0,CY329,AG341)</f>
        <v>0.25</v>
      </c>
      <c r="CZ341" s="182" t="n">
        <f aca="false">IF(AH341=0,CZ329,AH341)</f>
        <v>0.3</v>
      </c>
      <c r="DB341" s="161" t="n">
        <f aca="false">IF(X341=0,DB329,X341)</f>
        <v>0</v>
      </c>
      <c r="DC341" s="161" t="n">
        <f aca="false">IF(Y341=0,DC329,Y341)</f>
        <v>0</v>
      </c>
      <c r="DD341" s="161" t="n">
        <f aca="false">IF(Z341=0,DD329,Z341)</f>
        <v>0</v>
      </c>
      <c r="DE341" s="210"/>
      <c r="DF341" s="181" t="n">
        <f aca="false">IF(BF341=0,EOMONTH(DF340,0)+1,BF341)</f>
        <v>47150</v>
      </c>
      <c r="DG341" s="207" t="n">
        <f aca="false">IF(BG341=0,DG329,BG341)</f>
        <v>0</v>
      </c>
      <c r="DJ341" s="181" t="n">
        <f aca="false">CW341</f>
        <v>47150</v>
      </c>
      <c r="DK341" s="182" t="n">
        <f aca="false">IF(AJ341=0,DK329,AJ341)</f>
        <v>0.12</v>
      </c>
      <c r="DL341" s="182" t="n">
        <f aca="false">IF(AK341=0,DL329,AK341)</f>
        <v>0.15</v>
      </c>
      <c r="DM341" s="182" t="n">
        <f aca="false">IF(AL341=0,DM329,AL341)</f>
        <v>0.18</v>
      </c>
      <c r="DO341" s="182" t="n">
        <f aca="false">IF(AB341=0,DO329,AB341)</f>
        <v>0</v>
      </c>
      <c r="DP341" s="182" t="n">
        <f aca="false">IF(AC341=0,DP329,AC341)</f>
        <v>0</v>
      </c>
      <c r="DQ341" s="182" t="n">
        <f aca="false">IF(AD341=0,DQ329,AD341)</f>
        <v>0</v>
      </c>
    </row>
    <row r="342" customFormat="false" ht="12.75" hidden="false" customHeight="false" outlineLevel="0" collapsed="false">
      <c r="A342" s="133"/>
      <c r="B342" s="139"/>
      <c r="C342" s="139"/>
      <c r="D342" s="139"/>
      <c r="E342" s="139"/>
      <c r="F342" s="139"/>
      <c r="G342" s="139"/>
      <c r="H342" s="139"/>
      <c r="I342" s="139"/>
      <c r="J342" s="139"/>
      <c r="K342" s="141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41"/>
      <c r="BG342" s="139"/>
      <c r="BH342" s="139"/>
      <c r="BI342" s="139"/>
      <c r="BJ342" s="139"/>
      <c r="BK342" s="139"/>
      <c r="BL342" s="139"/>
      <c r="BM342" s="139"/>
      <c r="BN342" s="139"/>
      <c r="BO342" s="139"/>
      <c r="BP342" s="139"/>
      <c r="BQ342" s="139"/>
      <c r="BR342" s="139"/>
      <c r="BS342" s="139"/>
      <c r="BT342" s="139"/>
      <c r="BU342" s="139"/>
      <c r="BV342" s="139"/>
      <c r="BW342" s="139"/>
      <c r="BX342" s="139"/>
      <c r="BY342" s="139"/>
      <c r="BZ342" s="139"/>
      <c r="CA342" s="139"/>
      <c r="CB342" s="139"/>
      <c r="CC342" s="139"/>
      <c r="CD342" s="139"/>
      <c r="CE342" s="139"/>
      <c r="CF342" s="0"/>
      <c r="CN342" s="0"/>
      <c r="CO342" s="0"/>
      <c r="CP342" s="0"/>
      <c r="CQ342" s="0"/>
      <c r="CR342" s="0"/>
      <c r="CS342" s="120"/>
      <c r="CT342" s="209"/>
      <c r="CU342" s="210"/>
      <c r="CV342" s="210"/>
      <c r="CW342" s="181" t="n">
        <f aca="false">EOMONTH(CW341,0)+1</f>
        <v>47178</v>
      </c>
      <c r="CX342" s="182" t="n">
        <f aca="false">IF(AF342=0,CX330,AF342)</f>
        <v>0.2</v>
      </c>
      <c r="CY342" s="182" t="n">
        <f aca="false">IF(AG342=0,CY330,AG342)</f>
        <v>0.25</v>
      </c>
      <c r="CZ342" s="182" t="n">
        <f aca="false">IF(AH342=0,CZ330,AH342)</f>
        <v>0.3</v>
      </c>
      <c r="DB342" s="161" t="n">
        <f aca="false">IF(X342=0,DB330,X342)</f>
        <v>0.16</v>
      </c>
      <c r="DC342" s="161" t="n">
        <f aca="false">IF(Y342=0,DC330,Y342)</f>
        <v>0.2</v>
      </c>
      <c r="DD342" s="161" t="n">
        <f aca="false">IF(Z342=0,DD330,Z342)</f>
        <v>0.24</v>
      </c>
      <c r="DE342" s="210"/>
      <c r="DF342" s="181" t="n">
        <f aca="false">IF(BF342=0,EOMONTH(DF341,0)+1,BF342)</f>
        <v>47178</v>
      </c>
      <c r="DG342" s="207" t="n">
        <f aca="false">IF(BG342=0,DG330,BG342)</f>
        <v>0.75</v>
      </c>
      <c r="DJ342" s="181" t="n">
        <f aca="false">CW342</f>
        <v>47178</v>
      </c>
      <c r="DK342" s="182" t="n">
        <f aca="false">IF(AJ342=0,DK330,AJ342)</f>
        <v>0.12</v>
      </c>
      <c r="DL342" s="182" t="n">
        <f aca="false">IF(AK342=0,DL330,AK342)</f>
        <v>0.15</v>
      </c>
      <c r="DM342" s="182" t="n">
        <f aca="false">IF(AL342=0,DM330,AL342)</f>
        <v>0.18</v>
      </c>
      <c r="DO342" s="182" t="n">
        <f aca="false">IF(AB342=0,DO330,AB342)</f>
        <v>0.08</v>
      </c>
      <c r="DP342" s="182" t="n">
        <f aca="false">IF(AC342=0,DP330,AC342)</f>
        <v>0.1</v>
      </c>
      <c r="DQ342" s="182" t="n">
        <f aca="false">IF(AD342=0,DQ330,AD342)</f>
        <v>0.12</v>
      </c>
    </row>
    <row r="343" customFormat="false" ht="12.75" hidden="false" customHeight="false" outlineLevel="0" collapsed="false">
      <c r="A343" s="133"/>
      <c r="B343" s="139"/>
      <c r="C343" s="139"/>
      <c r="D343" s="139"/>
      <c r="E343" s="139"/>
      <c r="F343" s="139"/>
      <c r="G343" s="139"/>
      <c r="H343" s="139"/>
      <c r="I343" s="139"/>
      <c r="J343" s="139"/>
      <c r="K343" s="141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41"/>
      <c r="BG343" s="139"/>
      <c r="BH343" s="139"/>
      <c r="BI343" s="139"/>
      <c r="BJ343" s="139"/>
      <c r="BK343" s="139"/>
      <c r="BL343" s="139"/>
      <c r="BM343" s="139"/>
      <c r="BN343" s="139"/>
      <c r="BO343" s="139"/>
      <c r="BP343" s="139"/>
      <c r="BQ343" s="139"/>
      <c r="BR343" s="139"/>
      <c r="BS343" s="139"/>
      <c r="BT343" s="139"/>
      <c r="BU343" s="139"/>
      <c r="BV343" s="139"/>
      <c r="BW343" s="139"/>
      <c r="BX343" s="139"/>
      <c r="BY343" s="139"/>
      <c r="BZ343" s="139"/>
      <c r="CA343" s="139"/>
      <c r="CB343" s="139"/>
      <c r="CC343" s="139"/>
      <c r="CD343" s="139"/>
      <c r="CE343" s="139"/>
      <c r="CF343" s="0"/>
      <c r="CN343" s="0"/>
      <c r="CO343" s="0"/>
      <c r="CP343" s="0"/>
      <c r="CQ343" s="0"/>
      <c r="CR343" s="0"/>
      <c r="CS343" s="120"/>
      <c r="CT343" s="209"/>
      <c r="CU343" s="210"/>
      <c r="CV343" s="210"/>
      <c r="CW343" s="181" t="n">
        <f aca="false">EOMONTH(CW342,0)+1</f>
        <v>47209</v>
      </c>
      <c r="CX343" s="182" t="n">
        <f aca="false">IF(AF343=0,CX331,AF343)</f>
        <v>0.2</v>
      </c>
      <c r="CY343" s="182" t="n">
        <f aca="false">IF(AG343=0,CY331,AG343)</f>
        <v>0.25</v>
      </c>
      <c r="CZ343" s="182" t="n">
        <f aca="false">IF(AH343=0,CZ331,AH343)</f>
        <v>0.3</v>
      </c>
      <c r="DB343" s="161" t="n">
        <f aca="false">IF(X343=0,DB331,X343)</f>
        <v>0.16</v>
      </c>
      <c r="DC343" s="161" t="n">
        <f aca="false">IF(Y343=0,DC331,Y343)</f>
        <v>0.2</v>
      </c>
      <c r="DD343" s="161" t="n">
        <f aca="false">IF(Z343=0,DD331,Z343)</f>
        <v>0.24</v>
      </c>
      <c r="DE343" s="210"/>
      <c r="DF343" s="181" t="n">
        <f aca="false">IF(BF343=0,EOMONTH(DF342,0)+1,BF343)</f>
        <v>47209</v>
      </c>
      <c r="DG343" s="207" t="n">
        <f aca="false">IF(BG343=0,DG331,BG343)</f>
        <v>0.75</v>
      </c>
      <c r="DJ343" s="181" t="n">
        <f aca="false">CW343</f>
        <v>47209</v>
      </c>
      <c r="DK343" s="182" t="n">
        <f aca="false">IF(AJ343=0,DK331,AJ343)</f>
        <v>0.12</v>
      </c>
      <c r="DL343" s="182" t="n">
        <f aca="false">IF(AK343=0,DL331,AK343)</f>
        <v>0.15</v>
      </c>
      <c r="DM343" s="182" t="n">
        <f aca="false">IF(AL343=0,DM331,AL343)</f>
        <v>0.18</v>
      </c>
      <c r="DO343" s="182" t="n">
        <f aca="false">IF(AB343=0,DO331,AB343)</f>
        <v>0.08</v>
      </c>
      <c r="DP343" s="182" t="n">
        <f aca="false">IF(AC343=0,DP331,AC343)</f>
        <v>0.1</v>
      </c>
      <c r="DQ343" s="182" t="n">
        <f aca="false">IF(AD343=0,DQ331,AD343)</f>
        <v>0.12</v>
      </c>
    </row>
    <row r="344" customFormat="false" ht="12.75" hidden="false" customHeight="false" outlineLevel="0" collapsed="false">
      <c r="A344" s="133"/>
      <c r="B344" s="139"/>
      <c r="C344" s="139"/>
      <c r="D344" s="139"/>
      <c r="E344" s="139"/>
      <c r="F344" s="139"/>
      <c r="G344" s="139"/>
      <c r="H344" s="139"/>
      <c r="I344" s="139"/>
      <c r="J344" s="139"/>
      <c r="K344" s="141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/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  <c r="AV344" s="139"/>
      <c r="AW344" s="139"/>
      <c r="AX344" s="139"/>
      <c r="AY344" s="139"/>
      <c r="AZ344" s="139"/>
      <c r="BA344" s="139"/>
      <c r="BB344" s="139"/>
      <c r="BC344" s="139"/>
      <c r="BD344" s="139"/>
      <c r="BE344" s="139"/>
      <c r="BF344" s="141"/>
      <c r="BG344" s="139"/>
      <c r="BH344" s="139"/>
      <c r="BI344" s="139"/>
      <c r="BJ344" s="139"/>
      <c r="BK344" s="139"/>
      <c r="BL344" s="139"/>
      <c r="BM344" s="139"/>
      <c r="BN344" s="139"/>
      <c r="BO344" s="139"/>
      <c r="BP344" s="139"/>
      <c r="BQ344" s="139"/>
      <c r="BR344" s="139"/>
      <c r="BS344" s="139"/>
      <c r="BT344" s="139"/>
      <c r="BU344" s="139"/>
      <c r="BV344" s="139"/>
      <c r="BW344" s="139"/>
      <c r="BX344" s="139"/>
      <c r="BY344" s="139"/>
      <c r="BZ344" s="139"/>
      <c r="CA344" s="139"/>
      <c r="CB344" s="139"/>
      <c r="CC344" s="139"/>
      <c r="CD344" s="139"/>
      <c r="CE344" s="139"/>
      <c r="CF344" s="0"/>
      <c r="CN344" s="0"/>
      <c r="CO344" s="0"/>
      <c r="CP344" s="0"/>
      <c r="CQ344" s="0"/>
      <c r="CR344" s="0"/>
      <c r="CS344" s="120"/>
      <c r="CT344" s="209"/>
      <c r="CU344" s="210"/>
      <c r="CV344" s="210"/>
      <c r="CW344" s="181" t="n">
        <f aca="false">EOMONTH(CW343,0)+1</f>
        <v>47239</v>
      </c>
      <c r="CX344" s="182" t="n">
        <f aca="false">IF(AF344=0,CX332,AF344)</f>
        <v>0.2</v>
      </c>
      <c r="CY344" s="182" t="n">
        <f aca="false">IF(AG344=0,CY332,AG344)</f>
        <v>0.25</v>
      </c>
      <c r="CZ344" s="182" t="n">
        <f aca="false">IF(AH344=0,CZ332,AH344)</f>
        <v>0.3</v>
      </c>
      <c r="DB344" s="161" t="n">
        <f aca="false">IF(X344=0,DB332,X344)</f>
        <v>0.16</v>
      </c>
      <c r="DC344" s="161" t="n">
        <f aca="false">IF(Y344=0,DC332,Y344)</f>
        <v>0.2</v>
      </c>
      <c r="DD344" s="161" t="n">
        <f aca="false">IF(Z344=0,DD332,Z344)</f>
        <v>0.24</v>
      </c>
      <c r="DE344" s="210"/>
      <c r="DF344" s="181" t="n">
        <f aca="false">IF(BF344=0,EOMONTH(DF343,0)+1,BF344)</f>
        <v>47239</v>
      </c>
      <c r="DG344" s="207" t="n">
        <f aca="false">IF(BG344=0,DG332,BG344)</f>
        <v>0.75</v>
      </c>
      <c r="DJ344" s="181" t="n">
        <f aca="false">CW344</f>
        <v>47239</v>
      </c>
      <c r="DK344" s="182" t="n">
        <f aca="false">IF(AJ344=0,DK332,AJ344)</f>
        <v>0.12</v>
      </c>
      <c r="DL344" s="182" t="n">
        <f aca="false">IF(AK344=0,DL332,AK344)</f>
        <v>0.15</v>
      </c>
      <c r="DM344" s="182" t="n">
        <f aca="false">IF(AL344=0,DM332,AL344)</f>
        <v>0.18</v>
      </c>
      <c r="DO344" s="182" t="n">
        <f aca="false">IF(AB344=0,DO332,AB344)</f>
        <v>0.08</v>
      </c>
      <c r="DP344" s="182" t="n">
        <f aca="false">IF(AC344=0,DP332,AC344)</f>
        <v>0.1</v>
      </c>
      <c r="DQ344" s="182" t="n">
        <f aca="false">IF(AD344=0,DQ332,AD344)</f>
        <v>0.12</v>
      </c>
    </row>
    <row r="345" customFormat="false" ht="12.75" hidden="false" customHeight="false" outlineLevel="0" collapsed="false">
      <c r="A345" s="133"/>
      <c r="B345" s="139"/>
      <c r="C345" s="139"/>
      <c r="D345" s="139"/>
      <c r="E345" s="139"/>
      <c r="F345" s="139"/>
      <c r="G345" s="139"/>
      <c r="H345" s="139"/>
      <c r="I345" s="139"/>
      <c r="J345" s="139"/>
      <c r="K345" s="141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  <c r="AX345" s="139"/>
      <c r="AY345" s="139"/>
      <c r="AZ345" s="139"/>
      <c r="BA345" s="139"/>
      <c r="BB345" s="139"/>
      <c r="BC345" s="139"/>
      <c r="BD345" s="139"/>
      <c r="BE345" s="139"/>
      <c r="BF345" s="141"/>
      <c r="BG345" s="139"/>
      <c r="BH345" s="139"/>
      <c r="BI345" s="139"/>
      <c r="BJ345" s="139"/>
      <c r="BK345" s="139"/>
      <c r="BL345" s="139"/>
      <c r="BM345" s="139"/>
      <c r="BN345" s="139"/>
      <c r="BO345" s="139"/>
      <c r="BP345" s="139"/>
      <c r="BQ345" s="139"/>
      <c r="BR345" s="139"/>
      <c r="BS345" s="139"/>
      <c r="BT345" s="139"/>
      <c r="BU345" s="139"/>
      <c r="BV345" s="139"/>
      <c r="BW345" s="139"/>
      <c r="BX345" s="139"/>
      <c r="BY345" s="139"/>
      <c r="BZ345" s="139"/>
      <c r="CA345" s="139"/>
      <c r="CB345" s="139"/>
      <c r="CC345" s="139"/>
      <c r="CD345" s="139"/>
      <c r="CE345" s="139"/>
      <c r="CF345" s="0"/>
      <c r="CN345" s="0"/>
      <c r="CO345" s="0"/>
      <c r="CP345" s="0"/>
      <c r="CQ345" s="0"/>
      <c r="CR345" s="0"/>
      <c r="CS345" s="120"/>
      <c r="CT345" s="209"/>
      <c r="CU345" s="210"/>
      <c r="CV345" s="210"/>
      <c r="CW345" s="181" t="n">
        <f aca="false">EOMONTH(CW344,0)+1</f>
        <v>47270</v>
      </c>
      <c r="CX345" s="182" t="n">
        <f aca="false">IF(AF345=0,CX333,AF345)</f>
        <v>0.2</v>
      </c>
      <c r="CY345" s="182" t="n">
        <f aca="false">IF(AG345=0,CY333,AG345)</f>
        <v>0.25</v>
      </c>
      <c r="CZ345" s="182" t="n">
        <f aca="false">IF(AH345=0,CZ333,AH345)</f>
        <v>0.3</v>
      </c>
      <c r="DB345" s="161" t="n">
        <f aca="false">IF(X345=0,DB333,X345)</f>
        <v>0.16</v>
      </c>
      <c r="DC345" s="161" t="n">
        <f aca="false">IF(Y345=0,DC333,Y345)</f>
        <v>0.2</v>
      </c>
      <c r="DD345" s="161" t="n">
        <f aca="false">IF(Z345=0,DD333,Z345)</f>
        <v>0.24</v>
      </c>
      <c r="DE345" s="210"/>
      <c r="DF345" s="181" t="n">
        <f aca="false">IF(BF345=0,EOMONTH(DF344,0)+1,BF345)</f>
        <v>47270</v>
      </c>
      <c r="DG345" s="207" t="n">
        <f aca="false">IF(BG345=0,DG333,BG345)</f>
        <v>0.75</v>
      </c>
      <c r="DJ345" s="181" t="n">
        <f aca="false">CW345</f>
        <v>47270</v>
      </c>
      <c r="DK345" s="182" t="n">
        <f aca="false">IF(AJ345=0,DK333,AJ345)</f>
        <v>0.12</v>
      </c>
      <c r="DL345" s="182" t="n">
        <f aca="false">IF(AK345=0,DL333,AK345)</f>
        <v>0.15</v>
      </c>
      <c r="DM345" s="182" t="n">
        <f aca="false">IF(AL345=0,DM333,AL345)</f>
        <v>0.18</v>
      </c>
      <c r="DO345" s="182" t="n">
        <f aca="false">IF(AB345=0,DO333,AB345)</f>
        <v>0.08</v>
      </c>
      <c r="DP345" s="182" t="n">
        <f aca="false">IF(AC345=0,DP333,AC345)</f>
        <v>0.1</v>
      </c>
      <c r="DQ345" s="182" t="n">
        <f aca="false">IF(AD345=0,DQ333,AD345)</f>
        <v>0.12</v>
      </c>
    </row>
    <row r="346" customFormat="false" ht="12.75" hidden="false" customHeight="false" outlineLevel="0" collapsed="false">
      <c r="A346" s="133"/>
      <c r="B346" s="139"/>
      <c r="C346" s="139"/>
      <c r="D346" s="139"/>
      <c r="E346" s="139"/>
      <c r="F346" s="139"/>
      <c r="G346" s="139"/>
      <c r="H346" s="139"/>
      <c r="I346" s="139"/>
      <c r="J346" s="139"/>
      <c r="K346" s="141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41"/>
      <c r="BG346" s="139"/>
      <c r="BH346" s="139"/>
      <c r="BI346" s="139"/>
      <c r="BJ346" s="139"/>
      <c r="BK346" s="139"/>
      <c r="BL346" s="139"/>
      <c r="BM346" s="139"/>
      <c r="BN346" s="139"/>
      <c r="BO346" s="139"/>
      <c r="BP346" s="139"/>
      <c r="BQ346" s="139"/>
      <c r="BR346" s="139"/>
      <c r="BS346" s="139"/>
      <c r="BT346" s="139"/>
      <c r="BU346" s="139"/>
      <c r="BV346" s="139"/>
      <c r="BW346" s="139"/>
      <c r="BX346" s="139"/>
      <c r="BY346" s="139"/>
      <c r="BZ346" s="139"/>
      <c r="CA346" s="139"/>
      <c r="CB346" s="139"/>
      <c r="CC346" s="139"/>
      <c r="CD346" s="139"/>
      <c r="CE346" s="139"/>
      <c r="CF346" s="0"/>
      <c r="CN346" s="0"/>
      <c r="CO346" s="0"/>
      <c r="CP346" s="0"/>
      <c r="CQ346" s="0"/>
      <c r="CR346" s="0"/>
      <c r="CS346" s="120"/>
      <c r="CT346" s="209"/>
      <c r="CU346" s="210"/>
      <c r="CV346" s="210"/>
      <c r="CW346" s="181" t="n">
        <f aca="false">EOMONTH(CW345,0)+1</f>
        <v>47300</v>
      </c>
      <c r="CX346" s="182" t="n">
        <f aca="false">IF(AF346=0,CX334,AF346)</f>
        <v>0.2</v>
      </c>
      <c r="CY346" s="182" t="n">
        <f aca="false">IF(AG346=0,CY334,AG346)</f>
        <v>0.25</v>
      </c>
      <c r="CZ346" s="182" t="n">
        <f aca="false">IF(AH346=0,CZ334,AH346)</f>
        <v>0.3</v>
      </c>
      <c r="DB346" s="161" t="n">
        <f aca="false">IF(X346=0,DB334,X346)</f>
        <v>0.16</v>
      </c>
      <c r="DC346" s="161" t="n">
        <f aca="false">IF(Y346=0,DC334,Y346)</f>
        <v>0.2</v>
      </c>
      <c r="DD346" s="161" t="n">
        <f aca="false">IF(Z346=0,DD334,Z346)</f>
        <v>0.24</v>
      </c>
      <c r="DE346" s="210"/>
      <c r="DF346" s="181" t="n">
        <f aca="false">IF(BF346=0,EOMONTH(DF345,0)+1,BF346)</f>
        <v>47300</v>
      </c>
      <c r="DG346" s="207" t="n">
        <f aca="false">IF(BG346=0,DG334,BG346)</f>
        <v>0.75</v>
      </c>
      <c r="DJ346" s="181" t="n">
        <f aca="false">CW346</f>
        <v>47300</v>
      </c>
      <c r="DK346" s="182" t="n">
        <f aca="false">IF(AJ346=0,DK334,AJ346)</f>
        <v>0.12</v>
      </c>
      <c r="DL346" s="182" t="n">
        <f aca="false">IF(AK346=0,DL334,AK346)</f>
        <v>0.15</v>
      </c>
      <c r="DM346" s="182" t="n">
        <f aca="false">IF(AL346=0,DM334,AL346)</f>
        <v>0.18</v>
      </c>
      <c r="DO346" s="182" t="n">
        <f aca="false">IF(AB346=0,DO334,AB346)</f>
        <v>0.08</v>
      </c>
      <c r="DP346" s="182" t="n">
        <f aca="false">IF(AC346=0,DP334,AC346)</f>
        <v>0.1</v>
      </c>
      <c r="DQ346" s="182" t="n">
        <f aca="false">IF(AD346=0,DQ334,AD346)</f>
        <v>0.12</v>
      </c>
    </row>
    <row r="347" customFormat="false" ht="12.75" hidden="false" customHeight="false" outlineLevel="0" collapsed="false">
      <c r="A347" s="133"/>
      <c r="B347" s="139"/>
      <c r="C347" s="139"/>
      <c r="D347" s="139"/>
      <c r="E347" s="139"/>
      <c r="F347" s="139"/>
      <c r="G347" s="139"/>
      <c r="H347" s="139"/>
      <c r="I347" s="139"/>
      <c r="J347" s="139"/>
      <c r="K347" s="141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41"/>
      <c r="BG347" s="139"/>
      <c r="BH347" s="139"/>
      <c r="BI347" s="139"/>
      <c r="BJ347" s="139"/>
      <c r="BK347" s="139"/>
      <c r="BL347" s="139"/>
      <c r="BM347" s="139"/>
      <c r="BN347" s="139"/>
      <c r="BO347" s="139"/>
      <c r="BP347" s="139"/>
      <c r="BQ347" s="139"/>
      <c r="BR347" s="139"/>
      <c r="BS347" s="139"/>
      <c r="BT347" s="139"/>
      <c r="BU347" s="139"/>
      <c r="BV347" s="139"/>
      <c r="BW347" s="139"/>
      <c r="BX347" s="139"/>
      <c r="BY347" s="139"/>
      <c r="BZ347" s="139"/>
      <c r="CA347" s="139"/>
      <c r="CB347" s="139"/>
      <c r="CC347" s="139"/>
      <c r="CD347" s="139"/>
      <c r="CE347" s="139"/>
      <c r="CF347" s="0"/>
      <c r="CN347" s="0"/>
      <c r="CO347" s="0"/>
      <c r="CP347" s="0"/>
      <c r="CQ347" s="0"/>
      <c r="CR347" s="0"/>
      <c r="CS347" s="120"/>
      <c r="CT347" s="209"/>
      <c r="CU347" s="210"/>
      <c r="CV347" s="210"/>
      <c r="CW347" s="181" t="n">
        <f aca="false">EOMONTH(CW346,0)+1</f>
        <v>47331</v>
      </c>
      <c r="CX347" s="182" t="n">
        <f aca="false">IF(AF347=0,CX335,AF347)</f>
        <v>0.32</v>
      </c>
      <c r="CY347" s="182" t="n">
        <f aca="false">IF(AG347=0,CY335,AG347)</f>
        <v>0.4</v>
      </c>
      <c r="CZ347" s="182" t="n">
        <f aca="false">IF(AH347=0,CZ335,AH347)</f>
        <v>0.48</v>
      </c>
      <c r="DB347" s="161" t="n">
        <f aca="false">IF(X347=0,DB335,X347)</f>
        <v>0.24</v>
      </c>
      <c r="DC347" s="161" t="n">
        <f aca="false">IF(Y347=0,DC335,Y347)</f>
        <v>0.3</v>
      </c>
      <c r="DD347" s="161" t="n">
        <f aca="false">IF(Z347=0,DD335,Z347)</f>
        <v>0.36</v>
      </c>
      <c r="DE347" s="210"/>
      <c r="DF347" s="181" t="n">
        <f aca="false">IF(BF347=0,EOMONTH(DF346,0)+1,BF347)</f>
        <v>47331</v>
      </c>
      <c r="DG347" s="207" t="n">
        <f aca="false">IF(BG347=0,DG335,BG347)</f>
        <v>0.75</v>
      </c>
      <c r="DJ347" s="181" t="n">
        <f aca="false">CW347</f>
        <v>47331</v>
      </c>
      <c r="DK347" s="182" t="n">
        <f aca="false">IF(AJ347=0,DK335,AJ347)</f>
        <v>0.192</v>
      </c>
      <c r="DL347" s="182" t="n">
        <f aca="false">IF(AK347=0,DL335,AK347)</f>
        <v>0.24</v>
      </c>
      <c r="DM347" s="182" t="n">
        <f aca="false">IF(AL347=0,DM335,AL347)</f>
        <v>0.288</v>
      </c>
      <c r="DO347" s="182" t="n">
        <f aca="false">IF(AB347=0,DO335,AB347)</f>
        <v>0.12</v>
      </c>
      <c r="DP347" s="182" t="n">
        <f aca="false">IF(AC347=0,DP335,AC347)</f>
        <v>0.15</v>
      </c>
      <c r="DQ347" s="182" t="n">
        <f aca="false">IF(AD347=0,DQ335,AD347)</f>
        <v>0.18</v>
      </c>
    </row>
    <row r="348" customFormat="false" ht="12.75" hidden="false" customHeight="false" outlineLevel="0" collapsed="false">
      <c r="A348" s="133"/>
      <c r="B348" s="139"/>
      <c r="C348" s="139"/>
      <c r="D348" s="139"/>
      <c r="E348" s="139"/>
      <c r="F348" s="139"/>
      <c r="G348" s="139"/>
      <c r="H348" s="139"/>
      <c r="I348" s="139"/>
      <c r="J348" s="139"/>
      <c r="K348" s="141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41"/>
      <c r="BG348" s="139"/>
      <c r="BH348" s="139"/>
      <c r="BI348" s="139"/>
      <c r="BJ348" s="139"/>
      <c r="BK348" s="139"/>
      <c r="BL348" s="139"/>
      <c r="BM348" s="139"/>
      <c r="BN348" s="139"/>
      <c r="BO348" s="139"/>
      <c r="BP348" s="139"/>
      <c r="BQ348" s="139"/>
      <c r="BR348" s="139"/>
      <c r="BS348" s="139"/>
      <c r="BT348" s="139"/>
      <c r="BU348" s="139"/>
      <c r="BV348" s="139"/>
      <c r="BW348" s="139"/>
      <c r="BX348" s="139"/>
      <c r="BY348" s="139"/>
      <c r="BZ348" s="139"/>
      <c r="CA348" s="139"/>
      <c r="CB348" s="139"/>
      <c r="CC348" s="139"/>
      <c r="CD348" s="139"/>
      <c r="CE348" s="139"/>
      <c r="CF348" s="0"/>
      <c r="CN348" s="0"/>
      <c r="CO348" s="0"/>
      <c r="CP348" s="0"/>
      <c r="CQ348" s="0"/>
      <c r="CR348" s="0"/>
      <c r="CS348" s="120"/>
      <c r="CT348" s="209"/>
      <c r="CU348" s="210"/>
      <c r="CV348" s="210"/>
      <c r="CW348" s="181" t="n">
        <f aca="false">EOMONTH(CW347,0)+1</f>
        <v>47362</v>
      </c>
      <c r="CX348" s="182" t="n">
        <f aca="false">IF(AF348=0,CX336,AF348)</f>
        <v>0.32</v>
      </c>
      <c r="CY348" s="182" t="n">
        <f aca="false">IF(AG348=0,CY336,AG348)</f>
        <v>0.4</v>
      </c>
      <c r="CZ348" s="182" t="n">
        <f aca="false">IF(AH348=0,CZ336,AH348)</f>
        <v>0.48</v>
      </c>
      <c r="DB348" s="161" t="n">
        <f aca="false">IF(X348=0,DB336,X348)</f>
        <v>0.24</v>
      </c>
      <c r="DC348" s="161" t="n">
        <f aca="false">IF(Y348=0,DC336,Y348)</f>
        <v>0.3</v>
      </c>
      <c r="DD348" s="161" t="n">
        <f aca="false">IF(Z348=0,DD336,Z348)</f>
        <v>0.36</v>
      </c>
      <c r="DE348" s="210"/>
      <c r="DF348" s="181" t="n">
        <f aca="false">IF(BF348=0,EOMONTH(DF347,0)+1,BF348)</f>
        <v>47362</v>
      </c>
      <c r="DG348" s="207" t="n">
        <f aca="false">IF(BG348=0,DG336,BG348)</f>
        <v>0.75</v>
      </c>
      <c r="DJ348" s="181" t="n">
        <f aca="false">CW348</f>
        <v>47362</v>
      </c>
      <c r="DK348" s="182" t="n">
        <f aca="false">IF(AJ348=0,DK336,AJ348)</f>
        <v>0.192</v>
      </c>
      <c r="DL348" s="182" t="n">
        <f aca="false">IF(AK348=0,DL336,AK348)</f>
        <v>0.24</v>
      </c>
      <c r="DM348" s="182" t="n">
        <f aca="false">IF(AL348=0,DM336,AL348)</f>
        <v>0.288</v>
      </c>
      <c r="DO348" s="182" t="n">
        <f aca="false">IF(AB348=0,DO336,AB348)</f>
        <v>0.12</v>
      </c>
      <c r="DP348" s="182" t="n">
        <f aca="false">IF(AC348=0,DP336,AC348)</f>
        <v>0.15</v>
      </c>
      <c r="DQ348" s="182" t="n">
        <f aca="false">IF(AD348=0,DQ336,AD348)</f>
        <v>0.18</v>
      </c>
    </row>
    <row r="349" customFormat="false" ht="12.75" hidden="false" customHeight="false" outlineLevel="0" collapsed="false">
      <c r="A349" s="133"/>
      <c r="B349" s="139"/>
      <c r="C349" s="139"/>
      <c r="D349" s="139"/>
      <c r="E349" s="139"/>
      <c r="F349" s="139"/>
      <c r="G349" s="139"/>
      <c r="H349" s="139"/>
      <c r="I349" s="139"/>
      <c r="J349" s="139"/>
      <c r="K349" s="141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41"/>
      <c r="BG349" s="139"/>
      <c r="BH349" s="139"/>
      <c r="BI349" s="139"/>
      <c r="BJ349" s="139"/>
      <c r="BK349" s="139"/>
      <c r="BL349" s="139"/>
      <c r="BM349" s="139"/>
      <c r="BN349" s="139"/>
      <c r="BO349" s="139"/>
      <c r="BP349" s="139"/>
      <c r="BQ349" s="139"/>
      <c r="BR349" s="139"/>
      <c r="BS349" s="139"/>
      <c r="BT349" s="139"/>
      <c r="BU349" s="139"/>
      <c r="BV349" s="139"/>
      <c r="BW349" s="139"/>
      <c r="BX349" s="139"/>
      <c r="BY349" s="139"/>
      <c r="BZ349" s="139"/>
      <c r="CA349" s="139"/>
      <c r="CB349" s="139"/>
      <c r="CC349" s="139"/>
      <c r="CD349" s="139"/>
      <c r="CE349" s="139"/>
      <c r="CF349" s="0"/>
      <c r="CN349" s="0"/>
      <c r="CO349" s="0"/>
      <c r="CP349" s="0"/>
      <c r="CQ349" s="0"/>
      <c r="CR349" s="0"/>
      <c r="CS349" s="120"/>
      <c r="CT349" s="209"/>
      <c r="CU349" s="210"/>
      <c r="CV349" s="210"/>
      <c r="CW349" s="181" t="n">
        <f aca="false">EOMONTH(CW348,0)+1</f>
        <v>47392</v>
      </c>
      <c r="CX349" s="182" t="n">
        <f aca="false">IF(AF349=0,CX337,AF349)</f>
        <v>0.2</v>
      </c>
      <c r="CY349" s="182" t="n">
        <f aca="false">IF(AG349=0,CY337,AG349)</f>
        <v>0.25</v>
      </c>
      <c r="CZ349" s="182" t="n">
        <f aca="false">IF(AH349=0,CZ337,AH349)</f>
        <v>0.3</v>
      </c>
      <c r="DB349" s="161" t="n">
        <f aca="false">IF(X349=0,DB337,X349)</f>
        <v>0.16</v>
      </c>
      <c r="DC349" s="161" t="n">
        <f aca="false">IF(Y349=0,DC337,Y349)</f>
        <v>0.2</v>
      </c>
      <c r="DD349" s="161" t="n">
        <f aca="false">IF(Z349=0,DD337,Z349)</f>
        <v>0.24</v>
      </c>
      <c r="DE349" s="210"/>
      <c r="DF349" s="181" t="n">
        <f aca="false">IF(BF349=0,EOMONTH(DF348,0)+1,BF349)</f>
        <v>47392</v>
      </c>
      <c r="DG349" s="207" t="n">
        <f aca="false">IF(BG349=0,DG337,BG349)</f>
        <v>0.75</v>
      </c>
      <c r="DJ349" s="181" t="n">
        <f aca="false">CW349</f>
        <v>47392</v>
      </c>
      <c r="DK349" s="182" t="n">
        <f aca="false">IF(AJ349=0,DK337,AJ349)</f>
        <v>0.12</v>
      </c>
      <c r="DL349" s="182" t="n">
        <f aca="false">IF(AK349=0,DL337,AK349)</f>
        <v>0.15</v>
      </c>
      <c r="DM349" s="182" t="n">
        <f aca="false">IF(AL349=0,DM337,AL349)</f>
        <v>0.18</v>
      </c>
      <c r="DO349" s="182" t="n">
        <f aca="false">IF(AB349=0,DO337,AB349)</f>
        <v>0.08</v>
      </c>
      <c r="DP349" s="182" t="n">
        <f aca="false">IF(AC349=0,DP337,AC349)</f>
        <v>0.1</v>
      </c>
      <c r="DQ349" s="182" t="n">
        <f aca="false">IF(AD349=0,DQ337,AD349)</f>
        <v>0.12</v>
      </c>
    </row>
    <row r="350" customFormat="false" ht="12.75" hidden="false" customHeight="false" outlineLevel="0" collapsed="false">
      <c r="A350" s="133"/>
      <c r="B350" s="139"/>
      <c r="C350" s="139"/>
      <c r="D350" s="139"/>
      <c r="E350" s="139"/>
      <c r="F350" s="139"/>
      <c r="G350" s="139"/>
      <c r="H350" s="139"/>
      <c r="I350" s="139"/>
      <c r="J350" s="139"/>
      <c r="K350" s="141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41"/>
      <c r="BG350" s="139"/>
      <c r="BH350" s="139"/>
      <c r="BI350" s="139"/>
      <c r="BJ350" s="139"/>
      <c r="BK350" s="139"/>
      <c r="BL350" s="139"/>
      <c r="BM350" s="139"/>
      <c r="BN350" s="139"/>
      <c r="BO350" s="139"/>
      <c r="BP350" s="139"/>
      <c r="BQ350" s="139"/>
      <c r="BR350" s="139"/>
      <c r="BS350" s="139"/>
      <c r="BT350" s="139"/>
      <c r="BU350" s="139"/>
      <c r="BV350" s="139"/>
      <c r="BW350" s="139"/>
      <c r="BX350" s="139"/>
      <c r="BY350" s="139"/>
      <c r="BZ350" s="139"/>
      <c r="CA350" s="139"/>
      <c r="CB350" s="139"/>
      <c r="CC350" s="139"/>
      <c r="CD350" s="139"/>
      <c r="CE350" s="139"/>
      <c r="CF350" s="0"/>
      <c r="CN350" s="0"/>
      <c r="CO350" s="0"/>
      <c r="CP350" s="0"/>
      <c r="CQ350" s="0"/>
      <c r="CR350" s="0"/>
      <c r="CS350" s="120"/>
      <c r="CT350" s="209"/>
      <c r="CU350" s="210"/>
      <c r="CV350" s="210"/>
      <c r="CW350" s="181" t="n">
        <f aca="false">EOMONTH(CW349,0)+1</f>
        <v>47423</v>
      </c>
      <c r="CX350" s="182" t="n">
        <f aca="false">IF(AF350=0,CX338,AF350)</f>
        <v>0.2</v>
      </c>
      <c r="CY350" s="182" t="n">
        <f aca="false">IF(AG350=0,CY338,AG350)</f>
        <v>0.25</v>
      </c>
      <c r="CZ350" s="182" t="n">
        <f aca="false">IF(AH350=0,CZ338,AH350)</f>
        <v>0.3</v>
      </c>
      <c r="DB350" s="161" t="n">
        <f aca="false">IF(X350=0,DB338,X350)</f>
        <v>0.16</v>
      </c>
      <c r="DC350" s="161" t="n">
        <f aca="false">IF(Y350=0,DC338,Y350)</f>
        <v>0.2</v>
      </c>
      <c r="DD350" s="161" t="n">
        <f aca="false">IF(Z350=0,DD338,Z350)</f>
        <v>0.24</v>
      </c>
      <c r="DE350" s="210"/>
      <c r="DF350" s="181" t="n">
        <f aca="false">IF(BF350=0,EOMONTH(DF349,0)+1,BF350)</f>
        <v>47423</v>
      </c>
      <c r="DG350" s="207" t="n">
        <f aca="false">IF(BG350=0,DG338,BG350)</f>
        <v>0.75</v>
      </c>
      <c r="DJ350" s="181" t="n">
        <f aca="false">CW350</f>
        <v>47423</v>
      </c>
      <c r="DK350" s="182" t="n">
        <f aca="false">IF(AJ350=0,DK338,AJ350)</f>
        <v>0.12</v>
      </c>
      <c r="DL350" s="182" t="n">
        <f aca="false">IF(AK350=0,DL338,AK350)</f>
        <v>0.15</v>
      </c>
      <c r="DM350" s="182" t="n">
        <f aca="false">IF(AL350=0,DM338,AL350)</f>
        <v>0.18</v>
      </c>
      <c r="DO350" s="182" t="n">
        <f aca="false">IF(AB350=0,DO338,AB350)</f>
        <v>0.08</v>
      </c>
      <c r="DP350" s="182" t="n">
        <f aca="false">IF(AC350=0,DP338,AC350)</f>
        <v>0.1</v>
      </c>
      <c r="DQ350" s="182" t="n">
        <f aca="false">IF(AD350=0,DQ338,AD350)</f>
        <v>0.12</v>
      </c>
    </row>
    <row r="351" customFormat="false" ht="12.75" hidden="false" customHeight="false" outlineLevel="0" collapsed="false">
      <c r="A351" s="133"/>
      <c r="B351" s="139"/>
      <c r="C351" s="139"/>
      <c r="D351" s="139"/>
      <c r="E351" s="139"/>
      <c r="F351" s="139"/>
      <c r="G351" s="139"/>
      <c r="H351" s="139"/>
      <c r="I351" s="139"/>
      <c r="J351" s="139"/>
      <c r="K351" s="141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41"/>
      <c r="BG351" s="139"/>
      <c r="BH351" s="139"/>
      <c r="BI351" s="139"/>
      <c r="BJ351" s="139"/>
      <c r="BK351" s="139"/>
      <c r="BL351" s="139"/>
      <c r="BM351" s="139"/>
      <c r="BN351" s="139"/>
      <c r="BO351" s="139"/>
      <c r="BP351" s="139"/>
      <c r="BQ351" s="139"/>
      <c r="BR351" s="139"/>
      <c r="BS351" s="139"/>
      <c r="BT351" s="139"/>
      <c r="BU351" s="139"/>
      <c r="BV351" s="139"/>
      <c r="BW351" s="139"/>
      <c r="BX351" s="139"/>
      <c r="BY351" s="139"/>
      <c r="BZ351" s="139"/>
      <c r="CA351" s="139"/>
      <c r="CB351" s="139"/>
      <c r="CC351" s="139"/>
      <c r="CD351" s="139"/>
      <c r="CE351" s="139"/>
      <c r="CF351" s="0"/>
      <c r="CN351" s="0"/>
      <c r="CO351" s="0"/>
      <c r="CP351" s="0"/>
      <c r="CQ351" s="0"/>
      <c r="CR351" s="0"/>
      <c r="CS351" s="120"/>
      <c r="CT351" s="209"/>
      <c r="CU351" s="210"/>
      <c r="CV351" s="210"/>
      <c r="CW351" s="181" t="n">
        <f aca="false">EOMONTH(CW350,0)+1</f>
        <v>47453</v>
      </c>
      <c r="CX351" s="182" t="n">
        <f aca="false">IF(AF351=0,CX339,AF351)</f>
        <v>0.2</v>
      </c>
      <c r="CY351" s="182" t="n">
        <f aca="false">IF(AG351=0,CY339,AG351)</f>
        <v>0.25</v>
      </c>
      <c r="CZ351" s="182" t="n">
        <f aca="false">IF(AH351=0,CZ339,AH351)</f>
        <v>0.3</v>
      </c>
      <c r="DB351" s="161" t="n">
        <f aca="false">IF(X351=0,DB339,X351)</f>
        <v>0.16</v>
      </c>
      <c r="DC351" s="161" t="n">
        <f aca="false">IF(Y351=0,DC339,Y351)</f>
        <v>0.2</v>
      </c>
      <c r="DD351" s="161" t="n">
        <f aca="false">IF(Z351=0,DD339,Z351)</f>
        <v>0.24</v>
      </c>
      <c r="DE351" s="210"/>
      <c r="DF351" s="181" t="n">
        <f aca="false">IF(BF351=0,EOMONTH(DF350,0)+1,BF351)</f>
        <v>47453</v>
      </c>
      <c r="DG351" s="207" t="n">
        <f aca="false">IF(BG351=0,DG339,BG351)</f>
        <v>0.75</v>
      </c>
      <c r="DJ351" s="181" t="n">
        <f aca="false">CW351</f>
        <v>47453</v>
      </c>
      <c r="DK351" s="182" t="n">
        <f aca="false">IF(AJ351=0,DK339,AJ351)</f>
        <v>0.12</v>
      </c>
      <c r="DL351" s="182" t="n">
        <f aca="false">IF(AK351=0,DL339,AK351)</f>
        <v>0.15</v>
      </c>
      <c r="DM351" s="182" t="n">
        <f aca="false">IF(AL351=0,DM339,AL351)</f>
        <v>0.18</v>
      </c>
      <c r="DO351" s="182" t="n">
        <f aca="false">IF(AB351=0,DO339,AB351)</f>
        <v>0.08</v>
      </c>
      <c r="DP351" s="182" t="n">
        <f aca="false">IF(AC351=0,DP339,AC351)</f>
        <v>0.1</v>
      </c>
      <c r="DQ351" s="182" t="n">
        <f aca="false">IF(AD351=0,DQ339,AD351)</f>
        <v>0.12</v>
      </c>
    </row>
    <row r="352" customFormat="false" ht="12.75" hidden="false" customHeight="false" outlineLevel="0" collapsed="false">
      <c r="A352" s="133"/>
      <c r="B352" s="139"/>
      <c r="C352" s="139"/>
      <c r="D352" s="139"/>
      <c r="E352" s="139"/>
      <c r="F352" s="139"/>
      <c r="G352" s="139"/>
      <c r="H352" s="139"/>
      <c r="I352" s="139"/>
      <c r="J352" s="139"/>
      <c r="K352" s="141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  <c r="AV352" s="139"/>
      <c r="AW352" s="139"/>
      <c r="AX352" s="139"/>
      <c r="AY352" s="139"/>
      <c r="AZ352" s="139"/>
      <c r="BA352" s="139"/>
      <c r="BB352" s="139"/>
      <c r="BC352" s="139"/>
      <c r="BD352" s="139"/>
      <c r="BE352" s="139"/>
      <c r="BF352" s="141"/>
      <c r="BG352" s="139"/>
      <c r="BH352" s="139"/>
      <c r="BI352" s="139"/>
      <c r="BJ352" s="139"/>
      <c r="BK352" s="139"/>
      <c r="BL352" s="139"/>
      <c r="BM352" s="139"/>
      <c r="BN352" s="139"/>
      <c r="BO352" s="139"/>
      <c r="BP352" s="139"/>
      <c r="BQ352" s="139"/>
      <c r="BR352" s="139"/>
      <c r="BS352" s="139"/>
      <c r="BT352" s="139"/>
      <c r="BU352" s="139"/>
      <c r="BV352" s="139"/>
      <c r="BW352" s="139"/>
      <c r="BX352" s="139"/>
      <c r="BY352" s="139"/>
      <c r="BZ352" s="139"/>
      <c r="CA352" s="139"/>
      <c r="CB352" s="139"/>
      <c r="CC352" s="139"/>
      <c r="CD352" s="139"/>
      <c r="CE352" s="139"/>
      <c r="CF352" s="0"/>
      <c r="CN352" s="0"/>
      <c r="CO352" s="0"/>
      <c r="CP352" s="0"/>
      <c r="CQ352" s="0"/>
      <c r="CR352" s="0"/>
      <c r="CS352" s="120"/>
      <c r="CT352" s="209"/>
      <c r="CU352" s="210"/>
      <c r="CV352" s="210"/>
      <c r="CW352" s="181" t="n">
        <f aca="false">EOMONTH(CW351,0)+1</f>
        <v>47484</v>
      </c>
      <c r="CX352" s="182" t="n">
        <f aca="false">IF(AF352=0,CX340,AF352)</f>
        <v>0.2</v>
      </c>
      <c r="CY352" s="182" t="n">
        <f aca="false">IF(AG352=0,CY340,AG352)</f>
        <v>0.25</v>
      </c>
      <c r="CZ352" s="182" t="n">
        <f aca="false">IF(AH352=0,CZ340,AH352)</f>
        <v>0.3</v>
      </c>
      <c r="DB352" s="161" t="n">
        <f aca="false">IF(X352=0,DB340,X352)</f>
        <v>0.16</v>
      </c>
      <c r="DC352" s="161" t="n">
        <f aca="false">IF(Y352=0,DC340,Y352)</f>
        <v>0.2</v>
      </c>
      <c r="DD352" s="161" t="n">
        <f aca="false">IF(Z352=0,DD340,Z352)</f>
        <v>0.24</v>
      </c>
      <c r="DE352" s="210"/>
      <c r="DF352" s="181" t="n">
        <f aca="false">IF(BF352=0,EOMONTH(DF351,0)+1,BF352)</f>
        <v>47484</v>
      </c>
      <c r="DG352" s="207" t="n">
        <f aca="false">IF(BG352=0,DG340,BG352)</f>
        <v>0.75</v>
      </c>
      <c r="DJ352" s="181" t="n">
        <f aca="false">CW352</f>
        <v>47484</v>
      </c>
      <c r="DK352" s="182" t="n">
        <f aca="false">IF(AJ352=0,DK340,AJ352)</f>
        <v>0.12</v>
      </c>
      <c r="DL352" s="182" t="n">
        <f aca="false">IF(AK352=0,DL340,AK352)</f>
        <v>0.15</v>
      </c>
      <c r="DM352" s="182" t="n">
        <f aca="false">IF(AL352=0,DM340,AL352)</f>
        <v>0.18</v>
      </c>
      <c r="DO352" s="182" t="n">
        <f aca="false">IF(AB352=0,DO340,AB352)</f>
        <v>0.08</v>
      </c>
      <c r="DP352" s="182" t="n">
        <f aca="false">IF(AC352=0,DP340,AC352)</f>
        <v>0.1</v>
      </c>
      <c r="DQ352" s="182" t="n">
        <f aca="false">IF(AD352=0,DQ340,AD352)</f>
        <v>0.12</v>
      </c>
    </row>
    <row r="353" customFormat="false" ht="12.75" hidden="false" customHeight="false" outlineLevel="0" collapsed="false">
      <c r="A353" s="133"/>
      <c r="B353" s="139"/>
      <c r="C353" s="139"/>
      <c r="D353" s="139"/>
      <c r="E353" s="139"/>
      <c r="F353" s="139"/>
      <c r="G353" s="139"/>
      <c r="H353" s="139"/>
      <c r="I353" s="139"/>
      <c r="J353" s="139"/>
      <c r="K353" s="141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41"/>
      <c r="BG353" s="139"/>
      <c r="BH353" s="139"/>
      <c r="BI353" s="139"/>
      <c r="BJ353" s="139"/>
      <c r="BK353" s="139"/>
      <c r="BL353" s="139"/>
      <c r="BM353" s="139"/>
      <c r="BN353" s="139"/>
      <c r="BO353" s="139"/>
      <c r="BP353" s="139"/>
      <c r="BQ353" s="139"/>
      <c r="BR353" s="139"/>
      <c r="BS353" s="139"/>
      <c r="BT353" s="139"/>
      <c r="BU353" s="139"/>
      <c r="BV353" s="139"/>
      <c r="BW353" s="139"/>
      <c r="BX353" s="139"/>
      <c r="BY353" s="139"/>
      <c r="BZ353" s="139"/>
      <c r="CA353" s="139"/>
      <c r="CB353" s="139"/>
      <c r="CC353" s="139"/>
      <c r="CD353" s="139"/>
      <c r="CE353" s="139"/>
      <c r="CF353" s="0"/>
      <c r="CN353" s="0"/>
      <c r="CO353" s="0"/>
      <c r="CP353" s="0"/>
      <c r="CQ353" s="0"/>
      <c r="CR353" s="0"/>
      <c r="CS353" s="120"/>
      <c r="CT353" s="209"/>
      <c r="CU353" s="210"/>
      <c r="CV353" s="210"/>
      <c r="CW353" s="181" t="n">
        <f aca="false">EOMONTH(CW352,0)+1</f>
        <v>47515</v>
      </c>
      <c r="CX353" s="182" t="n">
        <f aca="false">IF(AF353=0,CX341,AF353)</f>
        <v>0.2</v>
      </c>
      <c r="CY353" s="182" t="n">
        <f aca="false">IF(AG353=0,CY341,AG353)</f>
        <v>0.25</v>
      </c>
      <c r="CZ353" s="182" t="n">
        <f aca="false">IF(AH353=0,CZ341,AH353)</f>
        <v>0.3</v>
      </c>
      <c r="DB353" s="161" t="n">
        <f aca="false">IF(X353=0,DB341,X353)</f>
        <v>0</v>
      </c>
      <c r="DC353" s="161" t="n">
        <f aca="false">IF(Y353=0,DC341,Y353)</f>
        <v>0</v>
      </c>
      <c r="DD353" s="161" t="n">
        <f aca="false">IF(Z353=0,DD341,Z353)</f>
        <v>0</v>
      </c>
      <c r="DE353" s="210"/>
      <c r="DF353" s="181" t="n">
        <f aca="false">IF(BF353=0,EOMONTH(DF352,0)+1,BF353)</f>
        <v>47515</v>
      </c>
      <c r="DG353" s="207" t="n">
        <f aca="false">IF(BG353=0,DG341,BG353)</f>
        <v>0</v>
      </c>
      <c r="DJ353" s="181" t="n">
        <f aca="false">CW353</f>
        <v>47515</v>
      </c>
      <c r="DK353" s="182" t="n">
        <f aca="false">IF(AJ353=0,DK341,AJ353)</f>
        <v>0.12</v>
      </c>
      <c r="DL353" s="182" t="n">
        <f aca="false">IF(AK353=0,DL341,AK353)</f>
        <v>0.15</v>
      </c>
      <c r="DM353" s="182" t="n">
        <f aca="false">IF(AL353=0,DM341,AL353)</f>
        <v>0.18</v>
      </c>
      <c r="DO353" s="182" t="n">
        <f aca="false">IF(AB353=0,DO341,AB353)</f>
        <v>0</v>
      </c>
      <c r="DP353" s="182" t="n">
        <f aca="false">IF(AC353=0,DP341,AC353)</f>
        <v>0</v>
      </c>
      <c r="DQ353" s="182" t="n">
        <f aca="false">IF(AD353=0,DQ341,AD353)</f>
        <v>0</v>
      </c>
    </row>
    <row r="354" customFormat="false" ht="12.75" hidden="false" customHeight="false" outlineLevel="0" collapsed="false">
      <c r="A354" s="133"/>
      <c r="B354" s="139"/>
      <c r="C354" s="139"/>
      <c r="D354" s="139"/>
      <c r="E354" s="139"/>
      <c r="F354" s="139"/>
      <c r="G354" s="139"/>
      <c r="H354" s="139"/>
      <c r="I354" s="139"/>
      <c r="J354" s="139"/>
      <c r="K354" s="141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39"/>
      <c r="BB354" s="139"/>
      <c r="BC354" s="139"/>
      <c r="BD354" s="139"/>
      <c r="BE354" s="139"/>
      <c r="BF354" s="141"/>
      <c r="BG354" s="139"/>
      <c r="BH354" s="139"/>
      <c r="BI354" s="139"/>
      <c r="BJ354" s="139"/>
      <c r="BK354" s="139"/>
      <c r="BL354" s="139"/>
      <c r="BM354" s="139"/>
      <c r="BN354" s="139"/>
      <c r="BO354" s="139"/>
      <c r="BP354" s="139"/>
      <c r="BQ354" s="139"/>
      <c r="BR354" s="139"/>
      <c r="BS354" s="139"/>
      <c r="BT354" s="139"/>
      <c r="BU354" s="139"/>
      <c r="BV354" s="139"/>
      <c r="BW354" s="139"/>
      <c r="BX354" s="139"/>
      <c r="BY354" s="139"/>
      <c r="BZ354" s="139"/>
      <c r="CA354" s="139"/>
      <c r="CB354" s="139"/>
      <c r="CC354" s="139"/>
      <c r="CD354" s="139"/>
      <c r="CE354" s="139"/>
      <c r="CF354" s="0"/>
      <c r="CN354" s="0"/>
      <c r="CO354" s="0"/>
      <c r="CP354" s="0"/>
      <c r="CQ354" s="0"/>
      <c r="CR354" s="0"/>
      <c r="CS354" s="120"/>
      <c r="CT354" s="209"/>
      <c r="CU354" s="210"/>
      <c r="CV354" s="210"/>
      <c r="CW354" s="181" t="n">
        <f aca="false">EOMONTH(CW353,0)+1</f>
        <v>47543</v>
      </c>
      <c r="CX354" s="182" t="n">
        <f aca="false">IF(AF354=0,CX342,AF354)</f>
        <v>0.2</v>
      </c>
      <c r="CY354" s="182" t="n">
        <f aca="false">IF(AG354=0,CY342,AG354)</f>
        <v>0.25</v>
      </c>
      <c r="CZ354" s="182" t="n">
        <f aca="false">IF(AH354=0,CZ342,AH354)</f>
        <v>0.3</v>
      </c>
      <c r="DB354" s="161" t="n">
        <f aca="false">IF(X354=0,DB342,X354)</f>
        <v>0.16</v>
      </c>
      <c r="DC354" s="161" t="n">
        <f aca="false">IF(Y354=0,DC342,Y354)</f>
        <v>0.2</v>
      </c>
      <c r="DD354" s="161" t="n">
        <f aca="false">IF(Z354=0,DD342,Z354)</f>
        <v>0.24</v>
      </c>
      <c r="DE354" s="210"/>
      <c r="DF354" s="181" t="n">
        <f aca="false">IF(BF354=0,EOMONTH(DF353,0)+1,BF354)</f>
        <v>47543</v>
      </c>
      <c r="DG354" s="207" t="n">
        <f aca="false">IF(BG354=0,DG342,BG354)</f>
        <v>0.75</v>
      </c>
      <c r="DJ354" s="181" t="n">
        <f aca="false">CW354</f>
        <v>47543</v>
      </c>
      <c r="DK354" s="182" t="n">
        <f aca="false">IF(AJ354=0,DK342,AJ354)</f>
        <v>0.12</v>
      </c>
      <c r="DL354" s="182" t="n">
        <f aca="false">IF(AK354=0,DL342,AK354)</f>
        <v>0.15</v>
      </c>
      <c r="DM354" s="182" t="n">
        <f aca="false">IF(AL354=0,DM342,AL354)</f>
        <v>0.18</v>
      </c>
      <c r="DO354" s="182" t="n">
        <f aca="false">IF(AB354=0,DO342,AB354)</f>
        <v>0.08</v>
      </c>
      <c r="DP354" s="182" t="n">
        <f aca="false">IF(AC354=0,DP342,AC354)</f>
        <v>0.1</v>
      </c>
      <c r="DQ354" s="182" t="n">
        <f aca="false">IF(AD354=0,DQ342,AD354)</f>
        <v>0.12</v>
      </c>
    </row>
    <row r="355" customFormat="false" ht="12.75" hidden="false" customHeight="false" outlineLevel="0" collapsed="false">
      <c r="A355" s="133"/>
      <c r="B355" s="139"/>
      <c r="C355" s="139"/>
      <c r="D355" s="139"/>
      <c r="E355" s="139"/>
      <c r="F355" s="139"/>
      <c r="G355" s="139"/>
      <c r="H355" s="139"/>
      <c r="I355" s="139"/>
      <c r="J355" s="139"/>
      <c r="K355" s="141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41"/>
      <c r="BG355" s="139"/>
      <c r="BH355" s="139"/>
      <c r="BI355" s="139"/>
      <c r="BJ355" s="139"/>
      <c r="BK355" s="139"/>
      <c r="BL355" s="139"/>
      <c r="BM355" s="139"/>
      <c r="BN355" s="139"/>
      <c r="BO355" s="139"/>
      <c r="BP355" s="139"/>
      <c r="BQ355" s="139"/>
      <c r="BR355" s="139"/>
      <c r="BS355" s="139"/>
      <c r="BT355" s="139"/>
      <c r="BU355" s="139"/>
      <c r="BV355" s="139"/>
      <c r="BW355" s="139"/>
      <c r="BX355" s="139"/>
      <c r="BY355" s="139"/>
      <c r="BZ355" s="139"/>
      <c r="CA355" s="139"/>
      <c r="CB355" s="139"/>
      <c r="CC355" s="139"/>
      <c r="CD355" s="139"/>
      <c r="CE355" s="139"/>
      <c r="CF355" s="0"/>
      <c r="CN355" s="0"/>
      <c r="CO355" s="0"/>
      <c r="CP355" s="0"/>
      <c r="CQ355" s="0"/>
      <c r="CR355" s="0"/>
      <c r="CS355" s="120"/>
      <c r="CT355" s="209"/>
      <c r="CU355" s="210"/>
      <c r="CV355" s="210"/>
      <c r="CW355" s="181" t="n">
        <f aca="false">EOMONTH(CW354,0)+1</f>
        <v>47574</v>
      </c>
      <c r="CX355" s="182" t="n">
        <f aca="false">IF(AF355=0,CX343,AF355)</f>
        <v>0.2</v>
      </c>
      <c r="CY355" s="182" t="n">
        <f aca="false">IF(AG355=0,CY343,AG355)</f>
        <v>0.25</v>
      </c>
      <c r="CZ355" s="182" t="n">
        <f aca="false">IF(AH355=0,CZ343,AH355)</f>
        <v>0.3</v>
      </c>
      <c r="DB355" s="161" t="n">
        <f aca="false">IF(X355=0,DB343,X355)</f>
        <v>0.16</v>
      </c>
      <c r="DC355" s="161" t="n">
        <f aca="false">IF(Y355=0,DC343,Y355)</f>
        <v>0.2</v>
      </c>
      <c r="DD355" s="161" t="n">
        <f aca="false">IF(Z355=0,DD343,Z355)</f>
        <v>0.24</v>
      </c>
      <c r="DE355" s="210"/>
      <c r="DF355" s="181" t="n">
        <f aca="false">IF(BF355=0,EOMONTH(DF354,0)+1,BF355)</f>
        <v>47574</v>
      </c>
      <c r="DG355" s="207" t="n">
        <f aca="false">IF(BG355=0,DG343,BG355)</f>
        <v>0.75</v>
      </c>
      <c r="DJ355" s="181" t="n">
        <f aca="false">CW355</f>
        <v>47574</v>
      </c>
      <c r="DK355" s="182" t="n">
        <f aca="false">IF(AJ355=0,DK343,AJ355)</f>
        <v>0.12</v>
      </c>
      <c r="DL355" s="182" t="n">
        <f aca="false">IF(AK355=0,DL343,AK355)</f>
        <v>0.15</v>
      </c>
      <c r="DM355" s="182" t="n">
        <f aca="false">IF(AL355=0,DM343,AL355)</f>
        <v>0.18</v>
      </c>
      <c r="DO355" s="182" t="n">
        <f aca="false">IF(AB355=0,DO343,AB355)</f>
        <v>0.08</v>
      </c>
      <c r="DP355" s="182" t="n">
        <f aca="false">IF(AC355=0,DP343,AC355)</f>
        <v>0.1</v>
      </c>
      <c r="DQ355" s="182" t="n">
        <f aca="false">IF(AD355=0,DQ343,AD355)</f>
        <v>0.12</v>
      </c>
    </row>
    <row r="356" customFormat="false" ht="12.75" hidden="false" customHeight="false" outlineLevel="0" collapsed="false">
      <c r="A356" s="133"/>
      <c r="B356" s="139"/>
      <c r="C356" s="139"/>
      <c r="D356" s="139"/>
      <c r="E356" s="139"/>
      <c r="F356" s="139"/>
      <c r="G356" s="139"/>
      <c r="H356" s="139"/>
      <c r="I356" s="139"/>
      <c r="J356" s="139"/>
      <c r="K356" s="141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  <c r="AV356" s="139"/>
      <c r="AW356" s="139"/>
      <c r="AX356" s="139"/>
      <c r="AY356" s="139"/>
      <c r="AZ356" s="139"/>
      <c r="BA356" s="139"/>
      <c r="BB356" s="139"/>
      <c r="BC356" s="139"/>
      <c r="BD356" s="139"/>
      <c r="BE356" s="139"/>
      <c r="BF356" s="141"/>
      <c r="BG356" s="139"/>
      <c r="BH356" s="139"/>
      <c r="BI356" s="139"/>
      <c r="BJ356" s="139"/>
      <c r="BK356" s="139"/>
      <c r="BL356" s="139"/>
      <c r="BM356" s="139"/>
      <c r="BN356" s="139"/>
      <c r="BO356" s="139"/>
      <c r="BP356" s="139"/>
      <c r="BQ356" s="139"/>
      <c r="BR356" s="139"/>
      <c r="BS356" s="139"/>
      <c r="BT356" s="139"/>
      <c r="BU356" s="139"/>
      <c r="BV356" s="139"/>
      <c r="BW356" s="139"/>
      <c r="BX356" s="139"/>
      <c r="BY356" s="139"/>
      <c r="BZ356" s="139"/>
      <c r="CA356" s="139"/>
      <c r="CB356" s="139"/>
      <c r="CC356" s="139"/>
      <c r="CD356" s="139"/>
      <c r="CE356" s="139"/>
      <c r="CF356" s="0"/>
      <c r="CN356" s="0"/>
      <c r="CO356" s="0"/>
      <c r="CP356" s="0"/>
      <c r="CQ356" s="0"/>
      <c r="CR356" s="0"/>
      <c r="CS356" s="120"/>
      <c r="CT356" s="209"/>
      <c r="CU356" s="210"/>
      <c r="CV356" s="210"/>
      <c r="CW356" s="181" t="n">
        <f aca="false">EOMONTH(CW355,0)+1</f>
        <v>47604</v>
      </c>
      <c r="CX356" s="182" t="n">
        <f aca="false">IF(AF356=0,CX344,AF356)</f>
        <v>0.2</v>
      </c>
      <c r="CY356" s="182" t="n">
        <f aca="false">IF(AG356=0,CY344,AG356)</f>
        <v>0.25</v>
      </c>
      <c r="CZ356" s="182" t="n">
        <f aca="false">IF(AH356=0,CZ344,AH356)</f>
        <v>0.3</v>
      </c>
      <c r="DB356" s="161" t="n">
        <f aca="false">IF(X356=0,DB344,X356)</f>
        <v>0.16</v>
      </c>
      <c r="DC356" s="161" t="n">
        <f aca="false">IF(Y356=0,DC344,Y356)</f>
        <v>0.2</v>
      </c>
      <c r="DD356" s="161" t="n">
        <f aca="false">IF(Z356=0,DD344,Z356)</f>
        <v>0.24</v>
      </c>
      <c r="DE356" s="210"/>
      <c r="DF356" s="181" t="n">
        <f aca="false">IF(BF356=0,EOMONTH(DF355,0)+1,BF356)</f>
        <v>47604</v>
      </c>
      <c r="DG356" s="207" t="n">
        <f aca="false">IF(BG356=0,DG344,BG356)</f>
        <v>0.75</v>
      </c>
      <c r="DJ356" s="181" t="n">
        <f aca="false">CW356</f>
        <v>47604</v>
      </c>
      <c r="DK356" s="182" t="n">
        <f aca="false">IF(AJ356=0,DK344,AJ356)</f>
        <v>0.12</v>
      </c>
      <c r="DL356" s="182" t="n">
        <f aca="false">IF(AK356=0,DL344,AK356)</f>
        <v>0.15</v>
      </c>
      <c r="DM356" s="182" t="n">
        <f aca="false">IF(AL356=0,DM344,AL356)</f>
        <v>0.18</v>
      </c>
      <c r="DO356" s="182" t="n">
        <f aca="false">IF(AB356=0,DO344,AB356)</f>
        <v>0.08</v>
      </c>
      <c r="DP356" s="182" t="n">
        <f aca="false">IF(AC356=0,DP344,AC356)</f>
        <v>0.1</v>
      </c>
      <c r="DQ356" s="182" t="n">
        <f aca="false">IF(AD356=0,DQ344,AD356)</f>
        <v>0.12</v>
      </c>
    </row>
    <row r="357" customFormat="false" ht="12.75" hidden="false" customHeight="false" outlineLevel="0" collapsed="false">
      <c r="A357" s="133"/>
      <c r="B357" s="139"/>
      <c r="C357" s="139"/>
      <c r="D357" s="139"/>
      <c r="E357" s="139"/>
      <c r="F357" s="139"/>
      <c r="G357" s="139"/>
      <c r="H357" s="139"/>
      <c r="I357" s="139"/>
      <c r="J357" s="139"/>
      <c r="K357" s="141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41"/>
      <c r="BG357" s="139"/>
      <c r="BH357" s="139"/>
      <c r="BI357" s="139"/>
      <c r="BJ357" s="139"/>
      <c r="BK357" s="139"/>
      <c r="BL357" s="139"/>
      <c r="BM357" s="139"/>
      <c r="BN357" s="139"/>
      <c r="BO357" s="139"/>
      <c r="BP357" s="139"/>
      <c r="BQ357" s="139"/>
      <c r="BR357" s="139"/>
      <c r="BS357" s="139"/>
      <c r="BT357" s="139"/>
      <c r="BU357" s="139"/>
      <c r="BV357" s="139"/>
      <c r="BW357" s="139"/>
      <c r="BX357" s="139"/>
      <c r="BY357" s="139"/>
      <c r="BZ357" s="139"/>
      <c r="CA357" s="139"/>
      <c r="CB357" s="139"/>
      <c r="CC357" s="139"/>
      <c r="CD357" s="139"/>
      <c r="CE357" s="139"/>
      <c r="CF357" s="0"/>
      <c r="CN357" s="0"/>
      <c r="CO357" s="0"/>
      <c r="CP357" s="0"/>
      <c r="CQ357" s="0"/>
      <c r="CR357" s="0"/>
      <c r="CS357" s="120"/>
      <c r="CT357" s="209"/>
      <c r="CU357" s="210"/>
      <c r="CV357" s="210"/>
      <c r="CW357" s="181" t="n">
        <f aca="false">EOMONTH(CW356,0)+1</f>
        <v>47635</v>
      </c>
      <c r="CX357" s="182" t="n">
        <f aca="false">IF(AF357=0,CX345,AF357)</f>
        <v>0.2</v>
      </c>
      <c r="CY357" s="182" t="n">
        <f aca="false">IF(AG357=0,CY345,AG357)</f>
        <v>0.25</v>
      </c>
      <c r="CZ357" s="182" t="n">
        <f aca="false">IF(AH357=0,CZ345,AH357)</f>
        <v>0.3</v>
      </c>
      <c r="DB357" s="161" t="n">
        <f aca="false">IF(X357=0,DB345,X357)</f>
        <v>0.16</v>
      </c>
      <c r="DC357" s="161" t="n">
        <f aca="false">IF(Y357=0,DC345,Y357)</f>
        <v>0.2</v>
      </c>
      <c r="DD357" s="161" t="n">
        <f aca="false">IF(Z357=0,DD345,Z357)</f>
        <v>0.24</v>
      </c>
      <c r="DE357" s="210"/>
      <c r="DF357" s="181" t="n">
        <f aca="false">IF(BF357=0,EOMONTH(DF356,0)+1,BF357)</f>
        <v>47635</v>
      </c>
      <c r="DG357" s="207" t="n">
        <f aca="false">IF(BG357=0,DG345,BG357)</f>
        <v>0.75</v>
      </c>
      <c r="DJ357" s="181" t="n">
        <f aca="false">CW357</f>
        <v>47635</v>
      </c>
      <c r="DK357" s="182" t="n">
        <f aca="false">IF(AJ357=0,DK345,AJ357)</f>
        <v>0.12</v>
      </c>
      <c r="DL357" s="182" t="n">
        <f aca="false">IF(AK357=0,DL345,AK357)</f>
        <v>0.15</v>
      </c>
      <c r="DM357" s="182" t="n">
        <f aca="false">IF(AL357=0,DM345,AL357)</f>
        <v>0.18</v>
      </c>
      <c r="DO357" s="182" t="n">
        <f aca="false">IF(AB357=0,DO345,AB357)</f>
        <v>0.08</v>
      </c>
      <c r="DP357" s="182" t="n">
        <f aca="false">IF(AC357=0,DP345,AC357)</f>
        <v>0.1</v>
      </c>
      <c r="DQ357" s="182" t="n">
        <f aca="false">IF(AD357=0,DQ345,AD357)</f>
        <v>0.12</v>
      </c>
    </row>
    <row r="358" customFormat="false" ht="12.75" hidden="false" customHeight="false" outlineLevel="0" collapsed="false">
      <c r="A358" s="133"/>
      <c r="B358" s="139"/>
      <c r="C358" s="139"/>
      <c r="D358" s="139"/>
      <c r="E358" s="139"/>
      <c r="F358" s="139"/>
      <c r="G358" s="139"/>
      <c r="H358" s="139"/>
      <c r="I358" s="139"/>
      <c r="J358" s="139"/>
      <c r="K358" s="141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41"/>
      <c r="BG358" s="139"/>
      <c r="BH358" s="139"/>
      <c r="BI358" s="139"/>
      <c r="BJ358" s="139"/>
      <c r="BK358" s="139"/>
      <c r="BL358" s="139"/>
      <c r="BM358" s="139"/>
      <c r="BN358" s="139"/>
      <c r="BO358" s="139"/>
      <c r="BP358" s="139"/>
      <c r="BQ358" s="139"/>
      <c r="BR358" s="139"/>
      <c r="BS358" s="139"/>
      <c r="BT358" s="139"/>
      <c r="BU358" s="139"/>
      <c r="BV358" s="139"/>
      <c r="BW358" s="139"/>
      <c r="BX358" s="139"/>
      <c r="BY358" s="139"/>
      <c r="BZ358" s="139"/>
      <c r="CA358" s="139"/>
      <c r="CB358" s="139"/>
      <c r="CC358" s="139"/>
      <c r="CD358" s="139"/>
      <c r="CE358" s="139"/>
      <c r="CF358" s="0"/>
      <c r="CN358" s="0"/>
      <c r="CO358" s="0"/>
      <c r="CP358" s="0"/>
      <c r="CQ358" s="0"/>
      <c r="CR358" s="0"/>
      <c r="CS358" s="120"/>
      <c r="CT358" s="209"/>
      <c r="CU358" s="210"/>
      <c r="CV358" s="210"/>
      <c r="CW358" s="181" t="n">
        <f aca="false">EOMONTH(CW357,0)+1</f>
        <v>47665</v>
      </c>
      <c r="CX358" s="182" t="n">
        <f aca="false">IF(AF358=0,CX346,AF358)</f>
        <v>0.2</v>
      </c>
      <c r="CY358" s="182" t="n">
        <f aca="false">IF(AG358=0,CY346,AG358)</f>
        <v>0.25</v>
      </c>
      <c r="CZ358" s="182" t="n">
        <f aca="false">IF(AH358=0,CZ346,AH358)</f>
        <v>0.3</v>
      </c>
      <c r="DB358" s="161" t="n">
        <f aca="false">IF(X358=0,DB346,X358)</f>
        <v>0.16</v>
      </c>
      <c r="DC358" s="161" t="n">
        <f aca="false">IF(Y358=0,DC346,Y358)</f>
        <v>0.2</v>
      </c>
      <c r="DD358" s="161" t="n">
        <f aca="false">IF(Z358=0,DD346,Z358)</f>
        <v>0.24</v>
      </c>
      <c r="DE358" s="210"/>
      <c r="DF358" s="181" t="n">
        <f aca="false">IF(BF358=0,EOMONTH(DF357,0)+1,BF358)</f>
        <v>47665</v>
      </c>
      <c r="DG358" s="207" t="n">
        <f aca="false">IF(BG358=0,DG346,BG358)</f>
        <v>0.75</v>
      </c>
      <c r="DJ358" s="181" t="n">
        <f aca="false">CW358</f>
        <v>47665</v>
      </c>
      <c r="DK358" s="182" t="n">
        <f aca="false">IF(AJ358=0,DK346,AJ358)</f>
        <v>0.12</v>
      </c>
      <c r="DL358" s="182" t="n">
        <f aca="false">IF(AK358=0,DL346,AK358)</f>
        <v>0.15</v>
      </c>
      <c r="DM358" s="182" t="n">
        <f aca="false">IF(AL358=0,DM346,AL358)</f>
        <v>0.18</v>
      </c>
      <c r="DO358" s="182" t="n">
        <f aca="false">IF(AB358=0,DO346,AB358)</f>
        <v>0.08</v>
      </c>
      <c r="DP358" s="182" t="n">
        <f aca="false">IF(AC358=0,DP346,AC358)</f>
        <v>0.1</v>
      </c>
      <c r="DQ358" s="182" t="n">
        <f aca="false">IF(AD358=0,DQ346,AD358)</f>
        <v>0.12</v>
      </c>
    </row>
    <row r="359" customFormat="false" ht="12.75" hidden="false" customHeight="false" outlineLevel="0" collapsed="false">
      <c r="A359" s="133"/>
      <c r="B359" s="139"/>
      <c r="C359" s="139"/>
      <c r="D359" s="139"/>
      <c r="E359" s="139"/>
      <c r="F359" s="139"/>
      <c r="G359" s="139"/>
      <c r="H359" s="139"/>
      <c r="I359" s="139"/>
      <c r="J359" s="139"/>
      <c r="K359" s="141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  <c r="AX359" s="139"/>
      <c r="AY359" s="139"/>
      <c r="AZ359" s="139"/>
      <c r="BA359" s="139"/>
      <c r="BB359" s="139"/>
      <c r="BC359" s="139"/>
      <c r="BD359" s="139"/>
      <c r="BE359" s="139"/>
      <c r="BF359" s="141"/>
      <c r="BG359" s="139"/>
      <c r="BH359" s="139"/>
      <c r="BI359" s="139"/>
      <c r="BJ359" s="139"/>
      <c r="BK359" s="139"/>
      <c r="BL359" s="139"/>
      <c r="BM359" s="139"/>
      <c r="BN359" s="139"/>
      <c r="BO359" s="139"/>
      <c r="BP359" s="139"/>
      <c r="BQ359" s="139"/>
      <c r="BR359" s="139"/>
      <c r="BS359" s="139"/>
      <c r="BT359" s="139"/>
      <c r="BU359" s="139"/>
      <c r="BV359" s="139"/>
      <c r="BW359" s="139"/>
      <c r="BX359" s="139"/>
      <c r="BY359" s="139"/>
      <c r="BZ359" s="139"/>
      <c r="CA359" s="139"/>
      <c r="CB359" s="139"/>
      <c r="CC359" s="139"/>
      <c r="CD359" s="139"/>
      <c r="CE359" s="139"/>
      <c r="CF359" s="0"/>
      <c r="CN359" s="0"/>
      <c r="CO359" s="0"/>
      <c r="CP359" s="0"/>
      <c r="CQ359" s="0"/>
      <c r="CR359" s="0"/>
      <c r="CS359" s="120"/>
      <c r="CT359" s="209"/>
      <c r="CU359" s="210"/>
      <c r="CV359" s="210"/>
      <c r="CW359" s="181" t="n">
        <f aca="false">EOMONTH(CW358,0)+1</f>
        <v>47696</v>
      </c>
      <c r="CX359" s="182" t="n">
        <f aca="false">IF(AF359=0,CX347,AF359)</f>
        <v>0.32</v>
      </c>
      <c r="CY359" s="182" t="n">
        <f aca="false">IF(AG359=0,CY347,AG359)</f>
        <v>0.4</v>
      </c>
      <c r="CZ359" s="182" t="n">
        <f aca="false">IF(AH359=0,CZ347,AH359)</f>
        <v>0.48</v>
      </c>
      <c r="DB359" s="161" t="n">
        <f aca="false">IF(X359=0,DB347,X359)</f>
        <v>0.24</v>
      </c>
      <c r="DC359" s="161" t="n">
        <f aca="false">IF(Y359=0,DC347,Y359)</f>
        <v>0.3</v>
      </c>
      <c r="DD359" s="161" t="n">
        <f aca="false">IF(Z359=0,DD347,Z359)</f>
        <v>0.36</v>
      </c>
      <c r="DE359" s="210"/>
      <c r="DF359" s="181" t="n">
        <f aca="false">IF(BF359=0,EOMONTH(DF358,0)+1,BF359)</f>
        <v>47696</v>
      </c>
      <c r="DG359" s="207" t="n">
        <f aca="false">IF(BG359=0,DG347,BG359)</f>
        <v>0.75</v>
      </c>
      <c r="DJ359" s="181" t="n">
        <f aca="false">CW359</f>
        <v>47696</v>
      </c>
      <c r="DK359" s="182" t="n">
        <f aca="false">IF(AJ359=0,DK347,AJ359)</f>
        <v>0.192</v>
      </c>
      <c r="DL359" s="182" t="n">
        <f aca="false">IF(AK359=0,DL347,AK359)</f>
        <v>0.24</v>
      </c>
      <c r="DM359" s="182" t="n">
        <f aca="false">IF(AL359=0,DM347,AL359)</f>
        <v>0.288</v>
      </c>
      <c r="DO359" s="182" t="n">
        <f aca="false">IF(AB359=0,DO347,AB359)</f>
        <v>0.12</v>
      </c>
      <c r="DP359" s="182" t="n">
        <f aca="false">IF(AC359=0,DP347,AC359)</f>
        <v>0.15</v>
      </c>
      <c r="DQ359" s="182" t="n">
        <f aca="false">IF(AD359=0,DQ347,AD359)</f>
        <v>0.18</v>
      </c>
    </row>
    <row r="360" customFormat="false" ht="12.75" hidden="false" customHeight="false" outlineLevel="0" collapsed="false">
      <c r="A360" s="133"/>
      <c r="B360" s="139"/>
      <c r="C360" s="139"/>
      <c r="D360" s="139"/>
      <c r="E360" s="139"/>
      <c r="F360" s="139"/>
      <c r="G360" s="139"/>
      <c r="H360" s="139"/>
      <c r="I360" s="139"/>
      <c r="J360" s="139"/>
      <c r="K360" s="141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/>
      <c r="AF360" s="139"/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  <c r="AV360" s="139"/>
      <c r="AW360" s="139"/>
      <c r="AX360" s="139"/>
      <c r="AY360" s="139"/>
      <c r="AZ360" s="139"/>
      <c r="BA360" s="139"/>
      <c r="BB360" s="139"/>
      <c r="BC360" s="139"/>
      <c r="BD360" s="139"/>
      <c r="BE360" s="139"/>
      <c r="BF360" s="141"/>
      <c r="BG360" s="139"/>
      <c r="BH360" s="139"/>
      <c r="BI360" s="139"/>
      <c r="BJ360" s="139"/>
      <c r="BK360" s="139"/>
      <c r="BL360" s="139"/>
      <c r="BM360" s="139"/>
      <c r="BN360" s="139"/>
      <c r="BO360" s="139"/>
      <c r="BP360" s="139"/>
      <c r="BQ360" s="139"/>
      <c r="BR360" s="139"/>
      <c r="BS360" s="139"/>
      <c r="BT360" s="139"/>
      <c r="BU360" s="139"/>
      <c r="BV360" s="139"/>
      <c r="BW360" s="139"/>
      <c r="BX360" s="139"/>
      <c r="BY360" s="139"/>
      <c r="BZ360" s="139"/>
      <c r="CA360" s="139"/>
      <c r="CB360" s="139"/>
      <c r="CC360" s="139"/>
      <c r="CD360" s="139"/>
      <c r="CE360" s="139"/>
      <c r="CF360" s="0"/>
      <c r="CN360" s="0"/>
      <c r="CO360" s="0"/>
      <c r="CP360" s="0"/>
      <c r="CQ360" s="0"/>
      <c r="CR360" s="0"/>
      <c r="CS360" s="120"/>
      <c r="CT360" s="209"/>
      <c r="CU360" s="210"/>
      <c r="CV360" s="210"/>
      <c r="CW360" s="181" t="n">
        <f aca="false">EOMONTH(CW359,0)+1</f>
        <v>47727</v>
      </c>
      <c r="CX360" s="182" t="n">
        <f aca="false">IF(AF360=0,CX348,AF360)</f>
        <v>0.32</v>
      </c>
      <c r="CY360" s="182" t="n">
        <f aca="false">IF(AG360=0,CY348,AG360)</f>
        <v>0.4</v>
      </c>
      <c r="CZ360" s="182" t="n">
        <f aca="false">IF(AH360=0,CZ348,AH360)</f>
        <v>0.48</v>
      </c>
      <c r="DB360" s="161" t="n">
        <f aca="false">IF(X360=0,DB348,X360)</f>
        <v>0.24</v>
      </c>
      <c r="DC360" s="161" t="n">
        <f aca="false">IF(Y360=0,DC348,Y360)</f>
        <v>0.3</v>
      </c>
      <c r="DD360" s="161" t="n">
        <f aca="false">IF(Z360=0,DD348,Z360)</f>
        <v>0.36</v>
      </c>
      <c r="DE360" s="210"/>
      <c r="DF360" s="181" t="n">
        <f aca="false">IF(BF360=0,EOMONTH(DF359,0)+1,BF360)</f>
        <v>47727</v>
      </c>
      <c r="DG360" s="207" t="n">
        <f aca="false">IF(BG360=0,DG348,BG360)</f>
        <v>0.75</v>
      </c>
      <c r="DJ360" s="181" t="n">
        <f aca="false">CW360</f>
        <v>47727</v>
      </c>
      <c r="DK360" s="182" t="n">
        <f aca="false">IF(AJ360=0,DK348,AJ360)</f>
        <v>0.192</v>
      </c>
      <c r="DL360" s="182" t="n">
        <f aca="false">IF(AK360=0,DL348,AK360)</f>
        <v>0.24</v>
      </c>
      <c r="DM360" s="182" t="n">
        <f aca="false">IF(AL360=0,DM348,AL360)</f>
        <v>0.288</v>
      </c>
      <c r="DO360" s="182" t="n">
        <f aca="false">IF(AB360=0,DO348,AB360)</f>
        <v>0.12</v>
      </c>
      <c r="DP360" s="182" t="n">
        <f aca="false">IF(AC360=0,DP348,AC360)</f>
        <v>0.15</v>
      </c>
      <c r="DQ360" s="182" t="n">
        <f aca="false">IF(AD360=0,DQ348,AD360)</f>
        <v>0.18</v>
      </c>
    </row>
    <row r="361" customFormat="false" ht="12.75" hidden="false" customHeight="false" outlineLevel="0" collapsed="false">
      <c r="A361" s="133"/>
      <c r="B361" s="139"/>
      <c r="C361" s="139"/>
      <c r="D361" s="139"/>
      <c r="E361" s="139"/>
      <c r="F361" s="139"/>
      <c r="G361" s="139"/>
      <c r="H361" s="139"/>
      <c r="I361" s="139"/>
      <c r="J361" s="139"/>
      <c r="K361" s="141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41"/>
      <c r="BG361" s="139"/>
      <c r="BH361" s="139"/>
      <c r="BI361" s="139"/>
      <c r="BJ361" s="139"/>
      <c r="BK361" s="139"/>
      <c r="BL361" s="139"/>
      <c r="BM361" s="139"/>
      <c r="BN361" s="139"/>
      <c r="BO361" s="139"/>
      <c r="BP361" s="139"/>
      <c r="BQ361" s="139"/>
      <c r="BR361" s="139"/>
      <c r="BS361" s="139"/>
      <c r="BT361" s="139"/>
      <c r="BU361" s="139"/>
      <c r="BV361" s="139"/>
      <c r="BW361" s="139"/>
      <c r="BX361" s="139"/>
      <c r="BY361" s="139"/>
      <c r="BZ361" s="139"/>
      <c r="CA361" s="139"/>
      <c r="CB361" s="139"/>
      <c r="CC361" s="139"/>
      <c r="CD361" s="139"/>
      <c r="CE361" s="139"/>
      <c r="CF361" s="0"/>
      <c r="CN361" s="0"/>
      <c r="CO361" s="0"/>
      <c r="CP361" s="0"/>
      <c r="CQ361" s="0"/>
      <c r="CR361" s="0"/>
      <c r="CS361" s="120"/>
      <c r="CT361" s="209"/>
      <c r="CU361" s="210"/>
      <c r="CV361" s="210"/>
      <c r="CW361" s="181" t="n">
        <f aca="false">EOMONTH(CW360,0)+1</f>
        <v>47757</v>
      </c>
      <c r="CX361" s="182" t="n">
        <f aca="false">IF(AF361=0,CX349,AF361)</f>
        <v>0.2</v>
      </c>
      <c r="CY361" s="182" t="n">
        <f aca="false">IF(AG361=0,CY349,AG361)</f>
        <v>0.25</v>
      </c>
      <c r="CZ361" s="182" t="n">
        <f aca="false">IF(AH361=0,CZ349,AH361)</f>
        <v>0.3</v>
      </c>
      <c r="DB361" s="161" t="n">
        <f aca="false">IF(X361=0,DB349,X361)</f>
        <v>0.16</v>
      </c>
      <c r="DC361" s="161" t="n">
        <f aca="false">IF(Y361=0,DC349,Y361)</f>
        <v>0.2</v>
      </c>
      <c r="DD361" s="161" t="n">
        <f aca="false">IF(Z361=0,DD349,Z361)</f>
        <v>0.24</v>
      </c>
      <c r="DE361" s="210"/>
      <c r="DF361" s="181" t="n">
        <f aca="false">IF(BF361=0,EOMONTH(DF360,0)+1,BF361)</f>
        <v>47757</v>
      </c>
      <c r="DG361" s="207" t="n">
        <f aca="false">IF(BG361=0,DG349,BG361)</f>
        <v>0.75</v>
      </c>
      <c r="DJ361" s="181" t="n">
        <f aca="false">CW361</f>
        <v>47757</v>
      </c>
      <c r="DK361" s="182" t="n">
        <f aca="false">IF(AJ361=0,DK349,AJ361)</f>
        <v>0.12</v>
      </c>
      <c r="DL361" s="182" t="n">
        <f aca="false">IF(AK361=0,DL349,AK361)</f>
        <v>0.15</v>
      </c>
      <c r="DM361" s="182" t="n">
        <f aca="false">IF(AL361=0,DM349,AL361)</f>
        <v>0.18</v>
      </c>
      <c r="DO361" s="182" t="n">
        <f aca="false">IF(AB361=0,DO349,AB361)</f>
        <v>0.08</v>
      </c>
      <c r="DP361" s="182" t="n">
        <f aca="false">IF(AC361=0,DP349,AC361)</f>
        <v>0.1</v>
      </c>
      <c r="DQ361" s="182" t="n">
        <f aca="false">IF(AD361=0,DQ349,AD361)</f>
        <v>0.12</v>
      </c>
    </row>
    <row r="362" customFormat="false" ht="12.75" hidden="false" customHeight="false" outlineLevel="0" collapsed="false">
      <c r="A362" s="133"/>
      <c r="B362" s="139"/>
      <c r="C362" s="139"/>
      <c r="D362" s="139"/>
      <c r="E362" s="139"/>
      <c r="F362" s="139"/>
      <c r="G362" s="139"/>
      <c r="H362" s="139"/>
      <c r="I362" s="139"/>
      <c r="J362" s="139"/>
      <c r="K362" s="141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41"/>
      <c r="BG362" s="139"/>
      <c r="BH362" s="139"/>
      <c r="BI362" s="139"/>
      <c r="BJ362" s="139"/>
      <c r="BK362" s="139"/>
      <c r="BL362" s="139"/>
      <c r="BM362" s="139"/>
      <c r="BN362" s="139"/>
      <c r="BO362" s="139"/>
      <c r="BP362" s="139"/>
      <c r="BQ362" s="139"/>
      <c r="BR362" s="139"/>
      <c r="BS362" s="139"/>
      <c r="BT362" s="139"/>
      <c r="BU362" s="139"/>
      <c r="BV362" s="139"/>
      <c r="BW362" s="139"/>
      <c r="BX362" s="139"/>
      <c r="BY362" s="139"/>
      <c r="BZ362" s="139"/>
      <c r="CA362" s="139"/>
      <c r="CB362" s="139"/>
      <c r="CC362" s="139"/>
      <c r="CD362" s="139"/>
      <c r="CE362" s="139"/>
      <c r="CF362" s="0"/>
      <c r="CN362" s="0"/>
      <c r="CO362" s="0"/>
      <c r="CP362" s="0"/>
      <c r="CQ362" s="0"/>
      <c r="CR362" s="0"/>
      <c r="CS362" s="120"/>
      <c r="CT362" s="209"/>
      <c r="CU362" s="210"/>
      <c r="CV362" s="210"/>
      <c r="CW362" s="181" t="n">
        <f aca="false">EOMONTH(CW361,0)+1</f>
        <v>47788</v>
      </c>
      <c r="CX362" s="182" t="n">
        <f aca="false">IF(AF362=0,CX350,AF362)</f>
        <v>0.2</v>
      </c>
      <c r="CY362" s="182" t="n">
        <f aca="false">IF(AG362=0,CY350,AG362)</f>
        <v>0.25</v>
      </c>
      <c r="CZ362" s="182" t="n">
        <f aca="false">IF(AH362=0,CZ350,AH362)</f>
        <v>0.3</v>
      </c>
      <c r="DB362" s="161" t="n">
        <f aca="false">IF(X362=0,DB350,X362)</f>
        <v>0.16</v>
      </c>
      <c r="DC362" s="161" t="n">
        <f aca="false">IF(Y362=0,DC350,Y362)</f>
        <v>0.2</v>
      </c>
      <c r="DD362" s="161" t="n">
        <f aca="false">IF(Z362=0,DD350,Z362)</f>
        <v>0.24</v>
      </c>
      <c r="DE362" s="210"/>
      <c r="DF362" s="181" t="n">
        <f aca="false">IF(BF362=0,EOMONTH(DF361,0)+1,BF362)</f>
        <v>47788</v>
      </c>
      <c r="DG362" s="207" t="n">
        <f aca="false">IF(BG362=0,DG350,BG362)</f>
        <v>0.75</v>
      </c>
      <c r="DJ362" s="181" t="n">
        <f aca="false">CW362</f>
        <v>47788</v>
      </c>
      <c r="DK362" s="182" t="n">
        <f aca="false">IF(AJ362=0,DK350,AJ362)</f>
        <v>0.12</v>
      </c>
      <c r="DL362" s="182" t="n">
        <f aca="false">IF(AK362=0,DL350,AK362)</f>
        <v>0.15</v>
      </c>
      <c r="DM362" s="182" t="n">
        <f aca="false">IF(AL362=0,DM350,AL362)</f>
        <v>0.18</v>
      </c>
      <c r="DO362" s="182" t="n">
        <f aca="false">IF(AB362=0,DO350,AB362)</f>
        <v>0.08</v>
      </c>
      <c r="DP362" s="182" t="n">
        <f aca="false">IF(AC362=0,DP350,AC362)</f>
        <v>0.1</v>
      </c>
      <c r="DQ362" s="182" t="n">
        <f aca="false">IF(AD362=0,DQ350,AD362)</f>
        <v>0.12</v>
      </c>
    </row>
    <row r="363" customFormat="false" ht="12.75" hidden="false" customHeight="false" outlineLevel="0" collapsed="false">
      <c r="A363" s="133"/>
      <c r="B363" s="139"/>
      <c r="C363" s="139"/>
      <c r="D363" s="139"/>
      <c r="E363" s="139"/>
      <c r="F363" s="139"/>
      <c r="G363" s="139"/>
      <c r="H363" s="139"/>
      <c r="I363" s="139"/>
      <c r="J363" s="139"/>
      <c r="K363" s="141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41"/>
      <c r="BG363" s="139"/>
      <c r="BH363" s="139"/>
      <c r="BI363" s="139"/>
      <c r="BJ363" s="139"/>
      <c r="BK363" s="139"/>
      <c r="BL363" s="139"/>
      <c r="BM363" s="139"/>
      <c r="BN363" s="139"/>
      <c r="BO363" s="139"/>
      <c r="BP363" s="139"/>
      <c r="BQ363" s="139"/>
      <c r="BR363" s="139"/>
      <c r="BS363" s="139"/>
      <c r="BT363" s="139"/>
      <c r="BU363" s="139"/>
      <c r="BV363" s="139"/>
      <c r="BW363" s="139"/>
      <c r="BX363" s="139"/>
      <c r="BY363" s="139"/>
      <c r="BZ363" s="139"/>
      <c r="CA363" s="139"/>
      <c r="CB363" s="139"/>
      <c r="CC363" s="139"/>
      <c r="CD363" s="139"/>
      <c r="CE363" s="139"/>
      <c r="CF363" s="0"/>
      <c r="CN363" s="0"/>
      <c r="CO363" s="0"/>
      <c r="CP363" s="0"/>
      <c r="CQ363" s="0"/>
      <c r="CR363" s="0"/>
      <c r="CS363" s="120"/>
      <c r="CT363" s="209"/>
      <c r="CU363" s="210"/>
      <c r="CV363" s="210"/>
      <c r="CW363" s="181" t="n">
        <f aca="false">EOMONTH(CW362,0)+1</f>
        <v>47818</v>
      </c>
      <c r="CX363" s="182" t="n">
        <f aca="false">IF(AF363=0,CX351,AF363)</f>
        <v>0.2</v>
      </c>
      <c r="CY363" s="182" t="n">
        <f aca="false">IF(AG363=0,CY351,AG363)</f>
        <v>0.25</v>
      </c>
      <c r="CZ363" s="182" t="n">
        <f aca="false">IF(AH363=0,CZ351,AH363)</f>
        <v>0.3</v>
      </c>
      <c r="DB363" s="161" t="n">
        <f aca="false">IF(X363=0,DB351,X363)</f>
        <v>0.16</v>
      </c>
      <c r="DC363" s="161" t="n">
        <f aca="false">IF(Y363=0,DC351,Y363)</f>
        <v>0.2</v>
      </c>
      <c r="DD363" s="161" t="n">
        <f aca="false">IF(Z363=0,DD351,Z363)</f>
        <v>0.24</v>
      </c>
      <c r="DE363" s="210"/>
      <c r="DF363" s="181" t="n">
        <f aca="false">IF(BF363=0,EOMONTH(DF362,0)+1,BF363)</f>
        <v>47818</v>
      </c>
      <c r="DG363" s="207" t="n">
        <f aca="false">IF(BG363=0,DG351,BG363)</f>
        <v>0.75</v>
      </c>
      <c r="DJ363" s="181" t="n">
        <f aca="false">CW363</f>
        <v>47818</v>
      </c>
      <c r="DK363" s="182" t="n">
        <f aca="false">IF(AJ363=0,DK351,AJ363)</f>
        <v>0.12</v>
      </c>
      <c r="DL363" s="182" t="n">
        <f aca="false">IF(AK363=0,DL351,AK363)</f>
        <v>0.15</v>
      </c>
      <c r="DM363" s="182" t="n">
        <f aca="false">IF(AL363=0,DM351,AL363)</f>
        <v>0.18</v>
      </c>
      <c r="DO363" s="182" t="n">
        <f aca="false">IF(AB363=0,DO351,AB363)</f>
        <v>0.08</v>
      </c>
      <c r="DP363" s="182" t="n">
        <f aca="false">IF(AC363=0,DP351,AC363)</f>
        <v>0.1</v>
      </c>
      <c r="DQ363" s="182" t="n">
        <f aca="false">IF(AD363=0,DQ351,AD363)</f>
        <v>0.12</v>
      </c>
    </row>
    <row r="364" customFormat="false" ht="12.75" hidden="false" customHeight="false" outlineLevel="0" collapsed="false">
      <c r="A364" s="130"/>
      <c r="B364" s="139"/>
      <c r="C364" s="139"/>
      <c r="D364" s="139"/>
      <c r="E364" s="139"/>
      <c r="F364" s="139"/>
      <c r="G364" s="139"/>
      <c r="H364" s="139"/>
      <c r="I364" s="139"/>
      <c r="J364" s="139"/>
      <c r="K364" s="141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  <c r="AX364" s="139"/>
      <c r="AY364" s="139"/>
      <c r="AZ364" s="139"/>
      <c r="BA364" s="139"/>
      <c r="BB364" s="139"/>
      <c r="BC364" s="139"/>
      <c r="BD364" s="139"/>
      <c r="BE364" s="139"/>
      <c r="BF364" s="141"/>
      <c r="BG364" s="139"/>
      <c r="BH364" s="139"/>
      <c r="BI364" s="139"/>
      <c r="BJ364" s="139"/>
      <c r="BK364" s="139"/>
      <c r="BL364" s="139"/>
      <c r="BM364" s="139"/>
      <c r="BN364" s="139"/>
      <c r="BO364" s="139"/>
      <c r="BP364" s="139"/>
      <c r="BQ364" s="139"/>
      <c r="BR364" s="139"/>
      <c r="BS364" s="139"/>
      <c r="BT364" s="139"/>
      <c r="BU364" s="139"/>
      <c r="BV364" s="139"/>
      <c r="BW364" s="139"/>
      <c r="BX364" s="139"/>
      <c r="BY364" s="139"/>
      <c r="BZ364" s="139"/>
      <c r="CA364" s="139"/>
      <c r="CB364" s="139"/>
      <c r="CC364" s="139"/>
      <c r="CD364" s="139"/>
      <c r="CE364" s="139"/>
      <c r="CF364" s="0"/>
      <c r="CN364" s="0"/>
      <c r="CO364" s="0"/>
      <c r="CP364" s="0"/>
      <c r="CQ364" s="0"/>
      <c r="CR364" s="0"/>
      <c r="CS364" s="120"/>
      <c r="CT364" s="209"/>
      <c r="CU364" s="210"/>
      <c r="CV364" s="210"/>
      <c r="CW364" s="181" t="n">
        <f aca="false">EOMONTH(CW363,0)+1</f>
        <v>47849</v>
      </c>
      <c r="CX364" s="182" t="n">
        <f aca="false">IF(AF364=0,CX352,AF364)</f>
        <v>0.2</v>
      </c>
      <c r="CY364" s="182" t="n">
        <f aca="false">IF(AG364=0,CY352,AG364)</f>
        <v>0.25</v>
      </c>
      <c r="CZ364" s="182" t="n">
        <f aca="false">IF(AH364=0,CZ352,AH364)</f>
        <v>0.3</v>
      </c>
      <c r="DB364" s="161" t="n">
        <f aca="false">IF(X364=0,DB352,X364)</f>
        <v>0.16</v>
      </c>
      <c r="DC364" s="161" t="n">
        <f aca="false">IF(Y364=0,DC352,Y364)</f>
        <v>0.2</v>
      </c>
      <c r="DD364" s="161" t="n">
        <f aca="false">IF(Z364=0,DD352,Z364)</f>
        <v>0.24</v>
      </c>
      <c r="DE364" s="210"/>
      <c r="DF364" s="181" t="n">
        <f aca="false">IF(BF364=0,EOMONTH(DF363,0)+1,BF364)</f>
        <v>47849</v>
      </c>
      <c r="DG364" s="207" t="n">
        <f aca="false">IF(BG364=0,DG352,BG364)</f>
        <v>0.75</v>
      </c>
      <c r="DJ364" s="181" t="n">
        <f aca="false">CW364</f>
        <v>47849</v>
      </c>
      <c r="DK364" s="182" t="n">
        <f aca="false">IF(AJ364=0,DK352,AJ364)</f>
        <v>0.12</v>
      </c>
      <c r="DL364" s="182" t="n">
        <f aca="false">IF(AK364=0,DL352,AK364)</f>
        <v>0.15</v>
      </c>
      <c r="DM364" s="182" t="n">
        <f aca="false">IF(AL364=0,DM352,AL364)</f>
        <v>0.18</v>
      </c>
      <c r="DO364" s="182" t="n">
        <f aca="false">IF(AB364=0,DO352,AB364)</f>
        <v>0.08</v>
      </c>
      <c r="DP364" s="182" t="n">
        <f aca="false">IF(AC364=0,DP352,AC364)</f>
        <v>0.1</v>
      </c>
      <c r="DQ364" s="182" t="n">
        <f aca="false">IF(AD364=0,DQ352,AD364)</f>
        <v>0.12</v>
      </c>
    </row>
    <row r="365" customFormat="false" ht="12.75" hidden="false" customHeight="false" outlineLevel="0" collapsed="false">
      <c r="A365" s="130"/>
      <c r="B365" s="139"/>
      <c r="C365" s="139"/>
      <c r="D365" s="139"/>
      <c r="E365" s="139"/>
      <c r="F365" s="139"/>
      <c r="G365" s="139"/>
      <c r="H365" s="139"/>
      <c r="I365" s="139"/>
      <c r="J365" s="139"/>
      <c r="K365" s="141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41"/>
      <c r="BG365" s="139"/>
      <c r="BH365" s="139"/>
      <c r="BI365" s="139"/>
      <c r="BJ365" s="139"/>
      <c r="BK365" s="139"/>
      <c r="BL365" s="139"/>
      <c r="BM365" s="139"/>
      <c r="BN365" s="139"/>
      <c r="BO365" s="139"/>
      <c r="BP365" s="139"/>
      <c r="BQ365" s="139"/>
      <c r="BR365" s="139"/>
      <c r="BS365" s="139"/>
      <c r="BT365" s="139"/>
      <c r="BU365" s="139"/>
      <c r="BV365" s="139"/>
      <c r="BW365" s="139"/>
      <c r="BX365" s="139"/>
      <c r="BY365" s="139"/>
      <c r="BZ365" s="139"/>
      <c r="CA365" s="139"/>
      <c r="CB365" s="139"/>
      <c r="CC365" s="139"/>
      <c r="CD365" s="139"/>
      <c r="CE365" s="139"/>
      <c r="CF365" s="0"/>
      <c r="CN365" s="0"/>
      <c r="CO365" s="0"/>
      <c r="CP365" s="0"/>
      <c r="CQ365" s="0"/>
      <c r="CR365" s="0"/>
      <c r="CS365" s="120"/>
      <c r="CT365" s="209"/>
      <c r="CU365" s="210"/>
      <c r="CV365" s="210"/>
      <c r="CW365" s="181" t="n">
        <f aca="false">EOMONTH(CW364,0)+1</f>
        <v>47880</v>
      </c>
      <c r="CX365" s="182" t="n">
        <f aca="false">IF(AF365=0,CX353,AF365)</f>
        <v>0.2</v>
      </c>
      <c r="CY365" s="182" t="n">
        <f aca="false">IF(AG365=0,CY353,AG365)</f>
        <v>0.25</v>
      </c>
      <c r="CZ365" s="182" t="n">
        <f aca="false">IF(AH365=0,CZ353,AH365)</f>
        <v>0.3</v>
      </c>
      <c r="DB365" s="161" t="n">
        <f aca="false">IF(X365=0,DB353,X365)</f>
        <v>0</v>
      </c>
      <c r="DC365" s="161" t="n">
        <f aca="false">IF(Y365=0,DC353,Y365)</f>
        <v>0</v>
      </c>
      <c r="DD365" s="161" t="n">
        <f aca="false">IF(Z365=0,DD353,Z365)</f>
        <v>0</v>
      </c>
      <c r="DE365" s="210"/>
      <c r="DF365" s="181" t="n">
        <f aca="false">IF(BF365=0,EOMONTH(DF364,0)+1,BF365)</f>
        <v>47880</v>
      </c>
      <c r="DG365" s="207" t="n">
        <f aca="false">IF(BG365=0,DG353,BG365)</f>
        <v>0</v>
      </c>
      <c r="DJ365" s="181" t="n">
        <f aca="false">CW365</f>
        <v>47880</v>
      </c>
      <c r="DK365" s="182" t="n">
        <f aca="false">IF(AJ365=0,DK353,AJ365)</f>
        <v>0.12</v>
      </c>
      <c r="DL365" s="182" t="n">
        <f aca="false">IF(AK365=0,DL353,AK365)</f>
        <v>0.15</v>
      </c>
      <c r="DM365" s="182" t="n">
        <f aca="false">IF(AL365=0,DM353,AL365)</f>
        <v>0.18</v>
      </c>
      <c r="DO365" s="182" t="n">
        <f aca="false">IF(AB365=0,DO353,AB365)</f>
        <v>0</v>
      </c>
      <c r="DP365" s="182" t="n">
        <f aca="false">IF(AC365=0,DP353,AC365)</f>
        <v>0</v>
      </c>
      <c r="DQ365" s="182" t="n">
        <f aca="false">IF(AD365=0,DQ353,AD365)</f>
        <v>0</v>
      </c>
    </row>
    <row r="366" customFormat="false" ht="12.75" hidden="false" customHeight="false" outlineLevel="0" collapsed="false">
      <c r="A366" s="130"/>
      <c r="B366" s="139"/>
      <c r="C366" s="139"/>
      <c r="D366" s="139"/>
      <c r="E366" s="139"/>
      <c r="F366" s="139"/>
      <c r="G366" s="139"/>
      <c r="H366" s="139"/>
      <c r="I366" s="139"/>
      <c r="J366" s="139"/>
      <c r="K366" s="141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41"/>
      <c r="BG366" s="139"/>
      <c r="BH366" s="139"/>
      <c r="BI366" s="139"/>
      <c r="BJ366" s="139"/>
      <c r="BK366" s="139"/>
      <c r="BL366" s="139"/>
      <c r="BM366" s="139"/>
      <c r="BN366" s="139"/>
      <c r="BO366" s="139"/>
      <c r="BP366" s="139"/>
      <c r="BQ366" s="139"/>
      <c r="BR366" s="139"/>
      <c r="BS366" s="139"/>
      <c r="BT366" s="139"/>
      <c r="BU366" s="139"/>
      <c r="BV366" s="139"/>
      <c r="BW366" s="139"/>
      <c r="BX366" s="139"/>
      <c r="BY366" s="139"/>
      <c r="BZ366" s="139"/>
      <c r="CA366" s="139"/>
      <c r="CB366" s="139"/>
      <c r="CC366" s="139"/>
      <c r="CD366" s="139"/>
      <c r="CE366" s="139"/>
      <c r="CF366" s="0"/>
      <c r="CN366" s="0"/>
      <c r="CO366" s="0"/>
      <c r="CP366" s="0"/>
      <c r="CQ366" s="0"/>
      <c r="CR366" s="0"/>
      <c r="CS366" s="120"/>
      <c r="CT366" s="209"/>
      <c r="CU366" s="210"/>
      <c r="CV366" s="210"/>
      <c r="CW366" s="181" t="n">
        <f aca="false">EOMONTH(CW365,0)+1</f>
        <v>47908</v>
      </c>
      <c r="CX366" s="182" t="n">
        <f aca="false">IF(AF366=0,CX354,AF366)</f>
        <v>0.2</v>
      </c>
      <c r="CY366" s="182" t="n">
        <f aca="false">IF(AG366=0,CY354,AG366)</f>
        <v>0.25</v>
      </c>
      <c r="CZ366" s="182" t="n">
        <f aca="false">IF(AH366=0,CZ354,AH366)</f>
        <v>0.3</v>
      </c>
      <c r="DB366" s="161" t="n">
        <f aca="false">IF(X366=0,DB354,X366)</f>
        <v>0.16</v>
      </c>
      <c r="DC366" s="161" t="n">
        <f aca="false">IF(Y366=0,DC354,Y366)</f>
        <v>0.2</v>
      </c>
      <c r="DD366" s="161" t="n">
        <f aca="false">IF(Z366=0,DD354,Z366)</f>
        <v>0.24</v>
      </c>
      <c r="DE366" s="210"/>
      <c r="DF366" s="181" t="n">
        <f aca="false">IF(BF366=0,EOMONTH(DF365,0)+1,BF366)</f>
        <v>47908</v>
      </c>
      <c r="DG366" s="207" t="n">
        <f aca="false">IF(BG366=0,DG354,BG366)</f>
        <v>0.75</v>
      </c>
      <c r="DJ366" s="181" t="n">
        <f aca="false">CW366</f>
        <v>47908</v>
      </c>
      <c r="DK366" s="182" t="n">
        <f aca="false">IF(AJ366=0,DK354,AJ366)</f>
        <v>0.12</v>
      </c>
      <c r="DL366" s="182" t="n">
        <f aca="false">IF(AK366=0,DL354,AK366)</f>
        <v>0.15</v>
      </c>
      <c r="DM366" s="182" t="n">
        <f aca="false">IF(AL366=0,DM354,AL366)</f>
        <v>0.18</v>
      </c>
      <c r="DO366" s="182" t="n">
        <f aca="false">IF(AB366=0,DO354,AB366)</f>
        <v>0.08</v>
      </c>
      <c r="DP366" s="182" t="n">
        <f aca="false">IF(AC366=0,DP354,AC366)</f>
        <v>0.1</v>
      </c>
      <c r="DQ366" s="182" t="n">
        <f aca="false">IF(AD366=0,DQ354,AD366)</f>
        <v>0.12</v>
      </c>
    </row>
    <row r="367" customFormat="false" ht="12.75" hidden="false" customHeight="false" outlineLevel="0" collapsed="false">
      <c r="A367" s="130"/>
      <c r="B367" s="139"/>
      <c r="C367" s="139"/>
      <c r="D367" s="139"/>
      <c r="E367" s="139"/>
      <c r="F367" s="139"/>
      <c r="G367" s="139"/>
      <c r="H367" s="139"/>
      <c r="I367" s="139"/>
      <c r="J367" s="139"/>
      <c r="K367" s="141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41"/>
      <c r="BG367" s="139"/>
      <c r="BH367" s="139"/>
      <c r="BI367" s="139"/>
      <c r="BJ367" s="139"/>
      <c r="BK367" s="139"/>
      <c r="BL367" s="139"/>
      <c r="BM367" s="139"/>
      <c r="BN367" s="139"/>
      <c r="BO367" s="139"/>
      <c r="BP367" s="139"/>
      <c r="BQ367" s="139"/>
      <c r="BR367" s="139"/>
      <c r="BS367" s="139"/>
      <c r="BT367" s="139"/>
      <c r="BU367" s="139"/>
      <c r="BV367" s="139"/>
      <c r="BW367" s="139"/>
      <c r="BX367" s="139"/>
      <c r="BY367" s="139"/>
      <c r="BZ367" s="139"/>
      <c r="CA367" s="139"/>
      <c r="CB367" s="139"/>
      <c r="CC367" s="139"/>
      <c r="CD367" s="139"/>
      <c r="CE367" s="139"/>
      <c r="CF367" s="0"/>
      <c r="CN367" s="0"/>
      <c r="CO367" s="0"/>
      <c r="CP367" s="0"/>
      <c r="CQ367" s="0"/>
      <c r="CR367" s="0"/>
      <c r="CS367" s="120"/>
      <c r="CT367" s="209"/>
      <c r="CU367" s="210"/>
      <c r="CV367" s="210"/>
      <c r="CW367" s="181" t="n">
        <f aca="false">EOMONTH(CW366,0)+1</f>
        <v>47939</v>
      </c>
      <c r="CX367" s="182" t="n">
        <f aca="false">IF(AF367=0,CX355,AF367)</f>
        <v>0.2</v>
      </c>
      <c r="CY367" s="182" t="n">
        <f aca="false">IF(AG367=0,CY355,AG367)</f>
        <v>0.25</v>
      </c>
      <c r="CZ367" s="182" t="n">
        <f aca="false">IF(AH367=0,CZ355,AH367)</f>
        <v>0.3</v>
      </c>
      <c r="DB367" s="161" t="n">
        <f aca="false">IF(X367=0,DB355,X367)</f>
        <v>0.16</v>
      </c>
      <c r="DC367" s="161" t="n">
        <f aca="false">IF(Y367=0,DC355,Y367)</f>
        <v>0.2</v>
      </c>
      <c r="DD367" s="161" t="n">
        <f aca="false">IF(Z367=0,DD355,Z367)</f>
        <v>0.24</v>
      </c>
      <c r="DE367" s="210"/>
      <c r="DF367" s="181" t="n">
        <f aca="false">IF(BF367=0,EOMONTH(DF366,0)+1,BF367)</f>
        <v>47939</v>
      </c>
      <c r="DG367" s="207" t="n">
        <f aca="false">IF(BG367=0,DG355,BG367)</f>
        <v>0.75</v>
      </c>
      <c r="DJ367" s="181" t="n">
        <f aca="false">CW367</f>
        <v>47939</v>
      </c>
      <c r="DK367" s="182" t="n">
        <f aca="false">IF(AJ367=0,DK355,AJ367)</f>
        <v>0.12</v>
      </c>
      <c r="DL367" s="182" t="n">
        <f aca="false">IF(AK367=0,DL355,AK367)</f>
        <v>0.15</v>
      </c>
      <c r="DM367" s="182" t="n">
        <f aca="false">IF(AL367=0,DM355,AL367)</f>
        <v>0.18</v>
      </c>
      <c r="DO367" s="182" t="n">
        <f aca="false">IF(AB367=0,DO355,AB367)</f>
        <v>0.08</v>
      </c>
      <c r="DP367" s="182" t="n">
        <f aca="false">IF(AC367=0,DP355,AC367)</f>
        <v>0.1</v>
      </c>
      <c r="DQ367" s="182" t="n">
        <f aca="false">IF(AD367=0,DQ355,AD367)</f>
        <v>0.12</v>
      </c>
    </row>
    <row r="368" customFormat="false" ht="12.75" hidden="false" customHeight="false" outlineLevel="0" collapsed="false">
      <c r="A368" s="130"/>
      <c r="B368" s="139"/>
      <c r="C368" s="139"/>
      <c r="D368" s="139"/>
      <c r="E368" s="139"/>
      <c r="F368" s="139"/>
      <c r="G368" s="139"/>
      <c r="H368" s="139"/>
      <c r="I368" s="139"/>
      <c r="J368" s="139"/>
      <c r="K368" s="141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41"/>
      <c r="BG368" s="139"/>
      <c r="BH368" s="139"/>
      <c r="BI368" s="139"/>
      <c r="BJ368" s="139"/>
      <c r="BK368" s="139"/>
      <c r="BL368" s="139"/>
      <c r="BM368" s="139"/>
      <c r="BN368" s="139"/>
      <c r="BO368" s="139"/>
      <c r="BP368" s="139"/>
      <c r="BQ368" s="139"/>
      <c r="BR368" s="139"/>
      <c r="BS368" s="139"/>
      <c r="BT368" s="139"/>
      <c r="BU368" s="139"/>
      <c r="BV368" s="139"/>
      <c r="BW368" s="139"/>
      <c r="BX368" s="139"/>
      <c r="BY368" s="139"/>
      <c r="BZ368" s="139"/>
      <c r="CA368" s="139"/>
      <c r="CB368" s="139"/>
      <c r="CC368" s="139"/>
      <c r="CD368" s="139"/>
      <c r="CE368" s="139"/>
      <c r="CF368" s="0"/>
      <c r="CN368" s="0"/>
      <c r="CO368" s="0"/>
      <c r="CP368" s="0"/>
      <c r="CQ368" s="0"/>
      <c r="CR368" s="0"/>
      <c r="CS368" s="120"/>
      <c r="CT368" s="209"/>
      <c r="CU368" s="210"/>
      <c r="CV368" s="210"/>
      <c r="CW368" s="181" t="n">
        <f aca="false">EOMONTH(CW367,0)+1</f>
        <v>47969</v>
      </c>
      <c r="CX368" s="182" t="n">
        <f aca="false">IF(AF368=0,CX356,AF368)</f>
        <v>0.2</v>
      </c>
      <c r="CY368" s="182" t="n">
        <f aca="false">IF(AG368=0,CY356,AG368)</f>
        <v>0.25</v>
      </c>
      <c r="CZ368" s="182" t="n">
        <f aca="false">IF(AH368=0,CZ356,AH368)</f>
        <v>0.3</v>
      </c>
      <c r="DB368" s="161" t="n">
        <f aca="false">IF(X368=0,DB356,X368)</f>
        <v>0.16</v>
      </c>
      <c r="DC368" s="161" t="n">
        <f aca="false">IF(Y368=0,DC356,Y368)</f>
        <v>0.2</v>
      </c>
      <c r="DD368" s="161" t="n">
        <f aca="false">IF(Z368=0,DD356,Z368)</f>
        <v>0.24</v>
      </c>
      <c r="DE368" s="210"/>
      <c r="DF368" s="181" t="n">
        <f aca="false">IF(BF368=0,EOMONTH(DF367,0)+1,BF368)</f>
        <v>47969</v>
      </c>
      <c r="DG368" s="207" t="n">
        <f aca="false">IF(BG368=0,DG356,BG368)</f>
        <v>0.75</v>
      </c>
      <c r="DJ368" s="181" t="n">
        <f aca="false">CW368</f>
        <v>47969</v>
      </c>
      <c r="DK368" s="182" t="n">
        <f aca="false">IF(AJ368=0,DK356,AJ368)</f>
        <v>0.12</v>
      </c>
      <c r="DL368" s="182" t="n">
        <f aca="false">IF(AK368=0,DL356,AK368)</f>
        <v>0.15</v>
      </c>
      <c r="DM368" s="182" t="n">
        <f aca="false">IF(AL368=0,DM356,AL368)</f>
        <v>0.18</v>
      </c>
      <c r="DO368" s="182" t="n">
        <f aca="false">IF(AB368=0,DO356,AB368)</f>
        <v>0.08</v>
      </c>
      <c r="DP368" s="182" t="n">
        <f aca="false">IF(AC368=0,DP356,AC368)</f>
        <v>0.1</v>
      </c>
      <c r="DQ368" s="182" t="n">
        <f aca="false">IF(AD368=0,DQ356,AD368)</f>
        <v>0.12</v>
      </c>
    </row>
    <row r="369" customFormat="false" ht="12.75" hidden="false" customHeight="false" outlineLevel="0" collapsed="false">
      <c r="A369" s="130"/>
      <c r="B369" s="139"/>
      <c r="C369" s="139"/>
      <c r="D369" s="139"/>
      <c r="E369" s="139"/>
      <c r="F369" s="139"/>
      <c r="G369" s="139"/>
      <c r="H369" s="139"/>
      <c r="I369" s="139"/>
      <c r="J369" s="139"/>
      <c r="K369" s="141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  <c r="AX369" s="139"/>
      <c r="AY369" s="139"/>
      <c r="AZ369" s="139"/>
      <c r="BA369" s="139"/>
      <c r="BB369" s="139"/>
      <c r="BC369" s="139"/>
      <c r="BD369" s="139"/>
      <c r="BE369" s="139"/>
      <c r="BF369" s="141"/>
      <c r="BG369" s="139"/>
      <c r="BH369" s="139"/>
      <c r="BI369" s="139"/>
      <c r="BJ369" s="139"/>
      <c r="BK369" s="139"/>
      <c r="BL369" s="139"/>
      <c r="BM369" s="139"/>
      <c r="BN369" s="139"/>
      <c r="BO369" s="139"/>
      <c r="BP369" s="139"/>
      <c r="BQ369" s="139"/>
      <c r="BR369" s="139"/>
      <c r="BS369" s="139"/>
      <c r="BT369" s="139"/>
      <c r="BU369" s="139"/>
      <c r="BV369" s="139"/>
      <c r="BW369" s="139"/>
      <c r="BX369" s="139"/>
      <c r="BY369" s="139"/>
      <c r="BZ369" s="139"/>
      <c r="CA369" s="139"/>
      <c r="CB369" s="139"/>
      <c r="CC369" s="139"/>
      <c r="CD369" s="139"/>
      <c r="CE369" s="139"/>
      <c r="CF369" s="0"/>
      <c r="CN369" s="0"/>
      <c r="CO369" s="0"/>
      <c r="CP369" s="0"/>
      <c r="CQ369" s="0"/>
      <c r="CR369" s="0"/>
      <c r="CS369" s="120"/>
      <c r="CT369" s="209"/>
      <c r="CU369" s="210"/>
      <c r="CV369" s="210"/>
      <c r="CW369" s="181" t="n">
        <f aca="false">EOMONTH(CW368,0)+1</f>
        <v>48000</v>
      </c>
      <c r="CX369" s="182" t="n">
        <f aca="false">IF(AF369=0,CX357,AF369)</f>
        <v>0.2</v>
      </c>
      <c r="CY369" s="182" t="n">
        <f aca="false">IF(AG369=0,CY357,AG369)</f>
        <v>0.25</v>
      </c>
      <c r="CZ369" s="182" t="n">
        <f aca="false">IF(AH369=0,CZ357,AH369)</f>
        <v>0.3</v>
      </c>
      <c r="DB369" s="161" t="n">
        <f aca="false">IF(X369=0,DB357,X369)</f>
        <v>0.16</v>
      </c>
      <c r="DC369" s="161" t="n">
        <f aca="false">IF(Y369=0,DC357,Y369)</f>
        <v>0.2</v>
      </c>
      <c r="DD369" s="161" t="n">
        <f aca="false">IF(Z369=0,DD357,Z369)</f>
        <v>0.24</v>
      </c>
      <c r="DE369" s="210"/>
      <c r="DF369" s="181" t="n">
        <f aca="false">IF(BF369=0,EOMONTH(DF368,0)+1,BF369)</f>
        <v>48000</v>
      </c>
      <c r="DG369" s="207" t="n">
        <f aca="false">IF(BG369=0,DG357,BG369)</f>
        <v>0.75</v>
      </c>
      <c r="DJ369" s="181" t="n">
        <f aca="false">CW369</f>
        <v>48000</v>
      </c>
      <c r="DK369" s="182" t="n">
        <f aca="false">IF(AJ369=0,DK357,AJ369)</f>
        <v>0.12</v>
      </c>
      <c r="DL369" s="182" t="n">
        <f aca="false">IF(AK369=0,DL357,AK369)</f>
        <v>0.15</v>
      </c>
      <c r="DM369" s="182" t="n">
        <f aca="false">IF(AL369=0,DM357,AL369)</f>
        <v>0.18</v>
      </c>
      <c r="DO369" s="182" t="n">
        <f aca="false">IF(AB369=0,DO357,AB369)</f>
        <v>0.08</v>
      </c>
      <c r="DP369" s="182" t="n">
        <f aca="false">IF(AC369=0,DP357,AC369)</f>
        <v>0.1</v>
      </c>
      <c r="DQ369" s="182" t="n">
        <f aca="false">IF(AD369=0,DQ357,AD369)</f>
        <v>0.12</v>
      </c>
    </row>
    <row r="370" customFormat="false" ht="12.75" hidden="false" customHeight="false" outlineLevel="0" collapsed="false">
      <c r="A370" s="130"/>
      <c r="B370" s="139"/>
      <c r="C370" s="139"/>
      <c r="D370" s="139"/>
      <c r="E370" s="139"/>
      <c r="F370" s="139"/>
      <c r="G370" s="139"/>
      <c r="H370" s="139"/>
      <c r="I370" s="139"/>
      <c r="J370" s="139"/>
      <c r="K370" s="141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41"/>
      <c r="BG370" s="139"/>
      <c r="BH370" s="139"/>
      <c r="BI370" s="139"/>
      <c r="BJ370" s="139"/>
      <c r="BK370" s="139"/>
      <c r="BL370" s="139"/>
      <c r="BM370" s="139"/>
      <c r="BN370" s="139"/>
      <c r="BO370" s="139"/>
      <c r="BP370" s="139"/>
      <c r="BQ370" s="139"/>
      <c r="BR370" s="139"/>
      <c r="BS370" s="139"/>
      <c r="BT370" s="139"/>
      <c r="BU370" s="139"/>
      <c r="BV370" s="139"/>
      <c r="BW370" s="139"/>
      <c r="BX370" s="139"/>
      <c r="BY370" s="139"/>
      <c r="BZ370" s="139"/>
      <c r="CA370" s="139"/>
      <c r="CB370" s="139"/>
      <c r="CC370" s="139"/>
      <c r="CD370" s="139"/>
      <c r="CE370" s="139"/>
      <c r="CF370" s="0"/>
      <c r="CN370" s="0"/>
      <c r="CO370" s="0"/>
      <c r="CP370" s="0"/>
      <c r="CQ370" s="0"/>
      <c r="CR370" s="0"/>
      <c r="CS370" s="120"/>
      <c r="CT370" s="209"/>
      <c r="CU370" s="210"/>
      <c r="CV370" s="210"/>
      <c r="CW370" s="181" t="n">
        <f aca="false">EOMONTH(CW369,0)+1</f>
        <v>48030</v>
      </c>
      <c r="CX370" s="182" t="n">
        <f aca="false">IF(AF370=0,CX358,AF370)</f>
        <v>0.2</v>
      </c>
      <c r="CY370" s="182" t="n">
        <f aca="false">IF(AG370=0,CY358,AG370)</f>
        <v>0.25</v>
      </c>
      <c r="CZ370" s="182" t="n">
        <f aca="false">IF(AH370=0,CZ358,AH370)</f>
        <v>0.3</v>
      </c>
      <c r="DB370" s="161" t="n">
        <f aca="false">IF(X370=0,DB358,X370)</f>
        <v>0.16</v>
      </c>
      <c r="DC370" s="161" t="n">
        <f aca="false">IF(Y370=0,DC358,Y370)</f>
        <v>0.2</v>
      </c>
      <c r="DD370" s="161" t="n">
        <f aca="false">IF(Z370=0,DD358,Z370)</f>
        <v>0.24</v>
      </c>
      <c r="DE370" s="210"/>
      <c r="DF370" s="181" t="n">
        <f aca="false">IF(BF370=0,EOMONTH(DF369,0)+1,BF370)</f>
        <v>48030</v>
      </c>
      <c r="DG370" s="207" t="n">
        <f aca="false">IF(BG370=0,DG358,BG370)</f>
        <v>0.75</v>
      </c>
      <c r="DJ370" s="181" t="n">
        <f aca="false">CW370</f>
        <v>48030</v>
      </c>
      <c r="DK370" s="182" t="n">
        <f aca="false">IF(AJ370=0,DK358,AJ370)</f>
        <v>0.12</v>
      </c>
      <c r="DL370" s="182" t="n">
        <f aca="false">IF(AK370=0,DL358,AK370)</f>
        <v>0.15</v>
      </c>
      <c r="DM370" s="182" t="n">
        <f aca="false">IF(AL370=0,DM358,AL370)</f>
        <v>0.18</v>
      </c>
      <c r="DO370" s="182" t="n">
        <f aca="false">IF(AB370=0,DO358,AB370)</f>
        <v>0.08</v>
      </c>
      <c r="DP370" s="182" t="n">
        <f aca="false">IF(AC370=0,DP358,AC370)</f>
        <v>0.1</v>
      </c>
      <c r="DQ370" s="182" t="n">
        <f aca="false">IF(AD370=0,DQ358,AD370)</f>
        <v>0.12</v>
      </c>
    </row>
    <row r="371" customFormat="false" ht="12.75" hidden="false" customHeight="false" outlineLevel="0" collapsed="false">
      <c r="A371" s="130"/>
      <c r="B371" s="139"/>
      <c r="C371" s="139"/>
      <c r="D371" s="139"/>
      <c r="E371" s="139"/>
      <c r="F371" s="139"/>
      <c r="G371" s="139"/>
      <c r="H371" s="139"/>
      <c r="I371" s="139"/>
      <c r="J371" s="139"/>
      <c r="K371" s="141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41"/>
      <c r="BG371" s="139"/>
      <c r="BH371" s="139"/>
      <c r="BI371" s="139"/>
      <c r="BJ371" s="139"/>
      <c r="BK371" s="139"/>
      <c r="BL371" s="139"/>
      <c r="BM371" s="139"/>
      <c r="BN371" s="139"/>
      <c r="BO371" s="139"/>
      <c r="BP371" s="139"/>
      <c r="BQ371" s="139"/>
      <c r="BR371" s="139"/>
      <c r="BS371" s="139"/>
      <c r="BT371" s="139"/>
      <c r="BU371" s="139"/>
      <c r="BV371" s="139"/>
      <c r="BW371" s="139"/>
      <c r="BX371" s="139"/>
      <c r="BY371" s="139"/>
      <c r="BZ371" s="139"/>
      <c r="CA371" s="139"/>
      <c r="CB371" s="139"/>
      <c r="CC371" s="139"/>
      <c r="CD371" s="139"/>
      <c r="CE371" s="139"/>
      <c r="CF371" s="0"/>
      <c r="CN371" s="0"/>
      <c r="CO371" s="0"/>
      <c r="CP371" s="0"/>
      <c r="CQ371" s="0"/>
      <c r="CR371" s="0"/>
      <c r="CS371" s="120"/>
      <c r="CT371" s="209"/>
      <c r="CU371" s="210"/>
      <c r="CV371" s="210"/>
      <c r="CW371" s="181" t="n">
        <f aca="false">EOMONTH(CW370,0)+1</f>
        <v>48061</v>
      </c>
      <c r="CX371" s="182" t="n">
        <f aca="false">IF(AF371=0,CX359,AF371)</f>
        <v>0.32</v>
      </c>
      <c r="CY371" s="182" t="n">
        <f aca="false">IF(AG371=0,CY359,AG371)</f>
        <v>0.4</v>
      </c>
      <c r="CZ371" s="182" t="n">
        <f aca="false">IF(AH371=0,CZ359,AH371)</f>
        <v>0.48</v>
      </c>
      <c r="DB371" s="161" t="n">
        <f aca="false">IF(X371=0,DB359,X371)</f>
        <v>0.24</v>
      </c>
      <c r="DC371" s="161" t="n">
        <f aca="false">IF(Y371=0,DC359,Y371)</f>
        <v>0.3</v>
      </c>
      <c r="DD371" s="161" t="n">
        <f aca="false">IF(Z371=0,DD359,Z371)</f>
        <v>0.36</v>
      </c>
      <c r="DE371" s="210"/>
      <c r="DF371" s="181" t="n">
        <f aca="false">IF(BF371=0,EOMONTH(DF370,0)+1,BF371)</f>
        <v>48061</v>
      </c>
      <c r="DG371" s="207" t="n">
        <f aca="false">IF(BG371=0,DG359,BG371)</f>
        <v>0.75</v>
      </c>
      <c r="DJ371" s="181" t="n">
        <f aca="false">CW371</f>
        <v>48061</v>
      </c>
      <c r="DK371" s="182" t="n">
        <f aca="false">IF(AJ371=0,DK359,AJ371)</f>
        <v>0.192</v>
      </c>
      <c r="DL371" s="182" t="n">
        <f aca="false">IF(AK371=0,DL359,AK371)</f>
        <v>0.24</v>
      </c>
      <c r="DM371" s="182" t="n">
        <f aca="false">IF(AL371=0,DM359,AL371)</f>
        <v>0.288</v>
      </c>
      <c r="DO371" s="182" t="n">
        <f aca="false">IF(AB371=0,DO359,AB371)</f>
        <v>0.12</v>
      </c>
      <c r="DP371" s="182" t="n">
        <f aca="false">IF(AC371=0,DP359,AC371)</f>
        <v>0.15</v>
      </c>
      <c r="DQ371" s="182" t="n">
        <f aca="false">IF(AD371=0,DQ359,AD371)</f>
        <v>0.18</v>
      </c>
    </row>
    <row r="372" customFormat="false" ht="12.75" hidden="false" customHeight="false" outlineLevel="0" collapsed="false">
      <c r="A372" s="130"/>
      <c r="B372" s="139"/>
      <c r="C372" s="139"/>
      <c r="D372" s="139"/>
      <c r="E372" s="139"/>
      <c r="F372" s="139"/>
      <c r="G372" s="139"/>
      <c r="H372" s="139"/>
      <c r="I372" s="139"/>
      <c r="J372" s="139"/>
      <c r="K372" s="141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  <c r="AX372" s="139"/>
      <c r="AY372" s="139"/>
      <c r="AZ372" s="139"/>
      <c r="BA372" s="139"/>
      <c r="BB372" s="139"/>
      <c r="BC372" s="139"/>
      <c r="BD372" s="139"/>
      <c r="BE372" s="139"/>
      <c r="BF372" s="141"/>
      <c r="BG372" s="139"/>
      <c r="BH372" s="139"/>
      <c r="BI372" s="139"/>
      <c r="BJ372" s="139"/>
      <c r="BK372" s="139"/>
      <c r="BL372" s="139"/>
      <c r="BM372" s="139"/>
      <c r="BN372" s="139"/>
      <c r="BO372" s="139"/>
      <c r="BP372" s="139"/>
      <c r="BQ372" s="139"/>
      <c r="BR372" s="139"/>
      <c r="BS372" s="139"/>
      <c r="BT372" s="139"/>
      <c r="BU372" s="139"/>
      <c r="BV372" s="139"/>
      <c r="BW372" s="139"/>
      <c r="BX372" s="139"/>
      <c r="BY372" s="139"/>
      <c r="BZ372" s="139"/>
      <c r="CA372" s="139"/>
      <c r="CB372" s="139"/>
      <c r="CC372" s="139"/>
      <c r="CD372" s="139"/>
      <c r="CE372" s="139"/>
      <c r="CF372" s="0"/>
      <c r="CN372" s="0"/>
      <c r="CO372" s="0"/>
      <c r="CP372" s="0"/>
      <c r="CQ372" s="0"/>
      <c r="CR372" s="0"/>
      <c r="CS372" s="120"/>
      <c r="CT372" s="209"/>
      <c r="CU372" s="210"/>
      <c r="CV372" s="210"/>
      <c r="CW372" s="181" t="n">
        <f aca="false">EOMONTH(CW371,0)+1</f>
        <v>48092</v>
      </c>
      <c r="CX372" s="182" t="n">
        <f aca="false">IF(AF372=0,CX360,AF372)</f>
        <v>0.32</v>
      </c>
      <c r="CY372" s="182" t="n">
        <f aca="false">IF(AG372=0,CY360,AG372)</f>
        <v>0.4</v>
      </c>
      <c r="CZ372" s="182" t="n">
        <f aca="false">IF(AH372=0,CZ360,AH372)</f>
        <v>0.48</v>
      </c>
      <c r="DB372" s="161" t="n">
        <f aca="false">IF(X372=0,DB360,X372)</f>
        <v>0.24</v>
      </c>
      <c r="DC372" s="161" t="n">
        <f aca="false">IF(Y372=0,DC360,Y372)</f>
        <v>0.3</v>
      </c>
      <c r="DD372" s="161" t="n">
        <f aca="false">IF(Z372=0,DD360,Z372)</f>
        <v>0.36</v>
      </c>
      <c r="DE372" s="210"/>
      <c r="DF372" s="181" t="n">
        <f aca="false">IF(BF372=0,EOMONTH(DF371,0)+1,BF372)</f>
        <v>48092</v>
      </c>
      <c r="DG372" s="207" t="n">
        <f aca="false">IF(BG372=0,DG360,BG372)</f>
        <v>0.75</v>
      </c>
      <c r="DJ372" s="181" t="n">
        <f aca="false">CW372</f>
        <v>48092</v>
      </c>
      <c r="DK372" s="182" t="n">
        <f aca="false">IF(AJ372=0,DK360,AJ372)</f>
        <v>0.192</v>
      </c>
      <c r="DL372" s="182" t="n">
        <f aca="false">IF(AK372=0,DL360,AK372)</f>
        <v>0.24</v>
      </c>
      <c r="DM372" s="182" t="n">
        <f aca="false">IF(AL372=0,DM360,AL372)</f>
        <v>0.288</v>
      </c>
      <c r="DO372" s="182" t="n">
        <f aca="false">IF(AB372=0,DO360,AB372)</f>
        <v>0.12</v>
      </c>
      <c r="DP372" s="182" t="n">
        <f aca="false">IF(AC372=0,DP360,AC372)</f>
        <v>0.15</v>
      </c>
      <c r="DQ372" s="182" t="n">
        <f aca="false">IF(AD372=0,DQ360,AD372)</f>
        <v>0.18</v>
      </c>
    </row>
    <row r="373" customFormat="false" ht="12.75" hidden="false" customHeight="false" outlineLevel="0" collapsed="false">
      <c r="A373" s="130"/>
      <c r="B373" s="139"/>
      <c r="C373" s="139"/>
      <c r="D373" s="139"/>
      <c r="E373" s="139"/>
      <c r="F373" s="139"/>
      <c r="G373" s="139"/>
      <c r="H373" s="139"/>
      <c r="I373" s="139"/>
      <c r="J373" s="139"/>
      <c r="K373" s="141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41"/>
      <c r="BG373" s="139"/>
      <c r="BH373" s="139"/>
      <c r="BI373" s="139"/>
      <c r="BJ373" s="139"/>
      <c r="BK373" s="139"/>
      <c r="BL373" s="139"/>
      <c r="BM373" s="139"/>
      <c r="BN373" s="139"/>
      <c r="BO373" s="139"/>
      <c r="BP373" s="139"/>
      <c r="BQ373" s="139"/>
      <c r="BR373" s="139"/>
      <c r="BS373" s="139"/>
      <c r="BT373" s="139"/>
      <c r="BU373" s="139"/>
      <c r="BV373" s="139"/>
      <c r="BW373" s="139"/>
      <c r="BX373" s="139"/>
      <c r="BY373" s="139"/>
      <c r="BZ373" s="139"/>
      <c r="CA373" s="139"/>
      <c r="CB373" s="139"/>
      <c r="CC373" s="139"/>
      <c r="CD373" s="139"/>
      <c r="CE373" s="139"/>
      <c r="CF373" s="0"/>
      <c r="CN373" s="0"/>
      <c r="CO373" s="0"/>
      <c r="CP373" s="0"/>
      <c r="CQ373" s="0"/>
      <c r="CR373" s="0"/>
      <c r="CS373" s="120"/>
      <c r="CT373" s="209"/>
      <c r="CU373" s="210"/>
      <c r="CV373" s="210"/>
      <c r="CW373" s="181" t="n">
        <f aca="false">EOMONTH(CW372,0)+1</f>
        <v>48122</v>
      </c>
      <c r="CX373" s="182" t="n">
        <f aca="false">IF(AF373=0,CX361,AF373)</f>
        <v>0.2</v>
      </c>
      <c r="CY373" s="182" t="n">
        <f aca="false">IF(AG373=0,CY361,AG373)</f>
        <v>0.25</v>
      </c>
      <c r="CZ373" s="182" t="n">
        <f aca="false">IF(AH373=0,CZ361,AH373)</f>
        <v>0.3</v>
      </c>
      <c r="DB373" s="161" t="n">
        <f aca="false">IF(X373=0,DB361,X373)</f>
        <v>0.16</v>
      </c>
      <c r="DC373" s="161" t="n">
        <f aca="false">IF(Y373=0,DC361,Y373)</f>
        <v>0.2</v>
      </c>
      <c r="DD373" s="161" t="n">
        <f aca="false">IF(Z373=0,DD361,Z373)</f>
        <v>0.24</v>
      </c>
      <c r="DE373" s="210"/>
      <c r="DF373" s="181" t="n">
        <f aca="false">IF(BF373=0,EOMONTH(DF372,0)+1,BF373)</f>
        <v>48122</v>
      </c>
      <c r="DG373" s="207" t="n">
        <f aca="false">IF(BG373=0,DG361,BG373)</f>
        <v>0.75</v>
      </c>
      <c r="DJ373" s="181" t="n">
        <f aca="false">CW373</f>
        <v>48122</v>
      </c>
      <c r="DK373" s="182" t="n">
        <f aca="false">IF(AJ373=0,DK361,AJ373)</f>
        <v>0.12</v>
      </c>
      <c r="DL373" s="182" t="n">
        <f aca="false">IF(AK373=0,DL361,AK373)</f>
        <v>0.15</v>
      </c>
      <c r="DM373" s="182" t="n">
        <f aca="false">IF(AL373=0,DM361,AL373)</f>
        <v>0.18</v>
      </c>
      <c r="DO373" s="182" t="n">
        <f aca="false">IF(AB373=0,DO361,AB373)</f>
        <v>0.08</v>
      </c>
      <c r="DP373" s="182" t="n">
        <f aca="false">IF(AC373=0,DP361,AC373)</f>
        <v>0.1</v>
      </c>
      <c r="DQ373" s="182" t="n">
        <f aca="false">IF(AD373=0,DQ361,AD373)</f>
        <v>0.12</v>
      </c>
    </row>
    <row r="374" customFormat="false" ht="12.75" hidden="false" customHeight="false" outlineLevel="0" collapsed="false">
      <c r="A374" s="130"/>
      <c r="B374" s="139"/>
      <c r="C374" s="139"/>
      <c r="D374" s="139"/>
      <c r="E374" s="139"/>
      <c r="F374" s="139"/>
      <c r="G374" s="139"/>
      <c r="H374" s="139"/>
      <c r="I374" s="139"/>
      <c r="J374" s="139"/>
      <c r="K374" s="141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41"/>
      <c r="BG374" s="139"/>
      <c r="BH374" s="139"/>
      <c r="BI374" s="139"/>
      <c r="BJ374" s="139"/>
      <c r="BK374" s="139"/>
      <c r="BL374" s="139"/>
      <c r="BM374" s="139"/>
      <c r="BN374" s="139"/>
      <c r="BO374" s="139"/>
      <c r="BP374" s="139"/>
      <c r="BQ374" s="139"/>
      <c r="BR374" s="139"/>
      <c r="BS374" s="139"/>
      <c r="BT374" s="139"/>
      <c r="BU374" s="139"/>
      <c r="BV374" s="139"/>
      <c r="BW374" s="139"/>
      <c r="BX374" s="139"/>
      <c r="BY374" s="139"/>
      <c r="BZ374" s="139"/>
      <c r="CA374" s="139"/>
      <c r="CB374" s="139"/>
      <c r="CC374" s="139"/>
      <c r="CD374" s="139"/>
      <c r="CE374" s="139"/>
      <c r="CF374" s="0"/>
      <c r="CN374" s="0"/>
      <c r="CO374" s="0"/>
      <c r="CP374" s="0"/>
      <c r="CQ374" s="0"/>
      <c r="CR374" s="0"/>
      <c r="CS374" s="120"/>
      <c r="CT374" s="209"/>
      <c r="CU374" s="210"/>
      <c r="CV374" s="210"/>
      <c r="CW374" s="181" t="n">
        <f aca="false">EOMONTH(CW373,0)+1</f>
        <v>48153</v>
      </c>
      <c r="CX374" s="182" t="n">
        <f aca="false">IF(AF374=0,CX362,AF374)</f>
        <v>0.2</v>
      </c>
      <c r="CY374" s="182" t="n">
        <f aca="false">IF(AG374=0,CY362,AG374)</f>
        <v>0.25</v>
      </c>
      <c r="CZ374" s="182" t="n">
        <f aca="false">IF(AH374=0,CZ362,AH374)</f>
        <v>0.3</v>
      </c>
      <c r="DB374" s="161" t="n">
        <f aca="false">IF(X374=0,DB362,X374)</f>
        <v>0.16</v>
      </c>
      <c r="DC374" s="161" t="n">
        <f aca="false">IF(Y374=0,DC362,Y374)</f>
        <v>0.2</v>
      </c>
      <c r="DD374" s="161" t="n">
        <f aca="false">IF(Z374=0,DD362,Z374)</f>
        <v>0.24</v>
      </c>
      <c r="DE374" s="210"/>
      <c r="DF374" s="181" t="n">
        <f aca="false">IF(BF374=0,EOMONTH(DF373,0)+1,BF374)</f>
        <v>48153</v>
      </c>
      <c r="DG374" s="207" t="n">
        <f aca="false">IF(BG374=0,DG362,BG374)</f>
        <v>0.75</v>
      </c>
      <c r="DJ374" s="181" t="n">
        <f aca="false">CW374</f>
        <v>48153</v>
      </c>
      <c r="DK374" s="182" t="n">
        <f aca="false">IF(AJ374=0,DK362,AJ374)</f>
        <v>0.12</v>
      </c>
      <c r="DL374" s="182" t="n">
        <f aca="false">IF(AK374=0,DL362,AK374)</f>
        <v>0.15</v>
      </c>
      <c r="DM374" s="182" t="n">
        <f aca="false">IF(AL374=0,DM362,AL374)</f>
        <v>0.18</v>
      </c>
      <c r="DO374" s="182" t="n">
        <f aca="false">IF(AB374=0,DO362,AB374)</f>
        <v>0.08</v>
      </c>
      <c r="DP374" s="182" t="n">
        <f aca="false">IF(AC374=0,DP362,AC374)</f>
        <v>0.1</v>
      </c>
      <c r="DQ374" s="182" t="n">
        <f aca="false">IF(AD374=0,DQ362,AD374)</f>
        <v>0.12</v>
      </c>
    </row>
    <row r="375" customFormat="false" ht="12.75" hidden="false" customHeight="false" outlineLevel="0" collapsed="false">
      <c r="A375" s="130"/>
      <c r="B375" s="139"/>
      <c r="C375" s="139"/>
      <c r="D375" s="139"/>
      <c r="E375" s="139"/>
      <c r="F375" s="139"/>
      <c r="G375" s="139"/>
      <c r="H375" s="139"/>
      <c r="I375" s="139"/>
      <c r="J375" s="139"/>
      <c r="K375" s="141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41"/>
      <c r="BG375" s="139"/>
      <c r="BH375" s="139"/>
      <c r="BI375" s="139"/>
      <c r="BJ375" s="139"/>
      <c r="BK375" s="139"/>
      <c r="BL375" s="139"/>
      <c r="BM375" s="139"/>
      <c r="BN375" s="139"/>
      <c r="BO375" s="139"/>
      <c r="BP375" s="139"/>
      <c r="BQ375" s="139"/>
      <c r="BR375" s="139"/>
      <c r="BS375" s="139"/>
      <c r="BT375" s="139"/>
      <c r="BU375" s="139"/>
      <c r="BV375" s="139"/>
      <c r="BW375" s="139"/>
      <c r="BX375" s="139"/>
      <c r="BY375" s="139"/>
      <c r="BZ375" s="139"/>
      <c r="CA375" s="139"/>
      <c r="CB375" s="139"/>
      <c r="CC375" s="139"/>
      <c r="CD375" s="139"/>
      <c r="CE375" s="139"/>
      <c r="CF375" s="0"/>
      <c r="CN375" s="0"/>
      <c r="CO375" s="0"/>
      <c r="CP375" s="0"/>
      <c r="CQ375" s="0"/>
      <c r="CR375" s="0"/>
      <c r="CS375" s="120"/>
      <c r="CT375" s="209"/>
      <c r="CU375" s="210"/>
      <c r="CV375" s="210"/>
      <c r="CW375" s="181" t="n">
        <f aca="false">EOMONTH(CW374,0)+1</f>
        <v>48183</v>
      </c>
      <c r="CX375" s="182" t="n">
        <f aca="false">IF(AF375=0,CX363,AF375)</f>
        <v>0.2</v>
      </c>
      <c r="CY375" s="182" t="n">
        <f aca="false">IF(AG375=0,CY363,AG375)</f>
        <v>0.25</v>
      </c>
      <c r="CZ375" s="182" t="n">
        <f aca="false">IF(AH375=0,CZ363,AH375)</f>
        <v>0.3</v>
      </c>
      <c r="DB375" s="161" t="n">
        <f aca="false">IF(X375=0,DB363,X375)</f>
        <v>0.16</v>
      </c>
      <c r="DC375" s="161" t="n">
        <f aca="false">IF(Y375=0,DC363,Y375)</f>
        <v>0.2</v>
      </c>
      <c r="DD375" s="161" t="n">
        <f aca="false">IF(Z375=0,DD363,Z375)</f>
        <v>0.24</v>
      </c>
      <c r="DE375" s="210"/>
      <c r="DF375" s="181" t="n">
        <f aca="false">IF(BF375=0,EOMONTH(DF374,0)+1,BF375)</f>
        <v>48183</v>
      </c>
      <c r="DG375" s="207" t="n">
        <f aca="false">IF(BG375=0,DG363,BG375)</f>
        <v>0.75</v>
      </c>
      <c r="DJ375" s="181" t="n">
        <f aca="false">CW375</f>
        <v>48183</v>
      </c>
      <c r="DK375" s="182" t="n">
        <f aca="false">IF(AJ375=0,DK363,AJ375)</f>
        <v>0.12</v>
      </c>
      <c r="DL375" s="182" t="n">
        <f aca="false">IF(AK375=0,DL363,AK375)</f>
        <v>0.15</v>
      </c>
      <c r="DM375" s="182" t="n">
        <f aca="false">IF(AL375=0,DM363,AL375)</f>
        <v>0.18</v>
      </c>
      <c r="DO375" s="182" t="n">
        <f aca="false">IF(AB375=0,DO363,AB375)</f>
        <v>0.08</v>
      </c>
      <c r="DP375" s="182" t="n">
        <f aca="false">IF(AC375=0,DP363,AC375)</f>
        <v>0.1</v>
      </c>
      <c r="DQ375" s="182" t="n">
        <f aca="false">IF(AD375=0,DQ363,AD375)</f>
        <v>0.12</v>
      </c>
    </row>
    <row r="376" customFormat="false" ht="12.75" hidden="false" customHeight="false" outlineLevel="0" collapsed="false">
      <c r="A376" s="130"/>
      <c r="B376" s="139"/>
      <c r="C376" s="139"/>
      <c r="D376" s="139"/>
      <c r="E376" s="139"/>
      <c r="F376" s="139"/>
      <c r="G376" s="139"/>
      <c r="H376" s="139"/>
      <c r="I376" s="139"/>
      <c r="J376" s="139"/>
      <c r="K376" s="141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41"/>
      <c r="BG376" s="139"/>
      <c r="BH376" s="139"/>
      <c r="BI376" s="139"/>
      <c r="BJ376" s="139"/>
      <c r="BK376" s="139"/>
      <c r="BL376" s="139"/>
      <c r="BM376" s="139"/>
      <c r="BN376" s="139"/>
      <c r="BO376" s="139"/>
      <c r="BP376" s="139"/>
      <c r="BQ376" s="139"/>
      <c r="BR376" s="139"/>
      <c r="BS376" s="139"/>
      <c r="BT376" s="139"/>
      <c r="BU376" s="139"/>
      <c r="BV376" s="139"/>
      <c r="BW376" s="139"/>
      <c r="BX376" s="139"/>
      <c r="BY376" s="139"/>
      <c r="BZ376" s="139"/>
      <c r="CA376" s="139"/>
      <c r="CB376" s="139"/>
      <c r="CC376" s="139"/>
      <c r="CD376" s="139"/>
      <c r="CE376" s="139"/>
      <c r="CF376" s="0"/>
      <c r="CN376" s="0"/>
      <c r="CO376" s="0"/>
      <c r="CP376" s="0"/>
      <c r="CQ376" s="0"/>
      <c r="CR376" s="0"/>
      <c r="CS376" s="120"/>
      <c r="CT376" s="209"/>
      <c r="CU376" s="210"/>
      <c r="CV376" s="210"/>
      <c r="CW376" s="181" t="n">
        <f aca="false">EOMONTH(CW375,0)+1</f>
        <v>48214</v>
      </c>
      <c r="CX376" s="182" t="n">
        <f aca="false">IF(AF376=0,CX364,AF376)</f>
        <v>0.2</v>
      </c>
      <c r="CY376" s="182" t="n">
        <f aca="false">IF(AG376=0,CY364,AG376)</f>
        <v>0.25</v>
      </c>
      <c r="CZ376" s="182" t="n">
        <f aca="false">IF(AH376=0,CZ364,AH376)</f>
        <v>0.3</v>
      </c>
      <c r="DB376" s="161" t="n">
        <f aca="false">IF(X376=0,DB364,X376)</f>
        <v>0.16</v>
      </c>
      <c r="DC376" s="161" t="n">
        <f aca="false">IF(Y376=0,DC364,Y376)</f>
        <v>0.2</v>
      </c>
      <c r="DD376" s="161" t="n">
        <f aca="false">IF(Z376=0,DD364,Z376)</f>
        <v>0.24</v>
      </c>
      <c r="DE376" s="210"/>
      <c r="DF376" s="181" t="n">
        <f aca="false">IF(BF376=0,EOMONTH(DF375,0)+1,BF376)</f>
        <v>48214</v>
      </c>
      <c r="DG376" s="207" t="n">
        <f aca="false">IF(BG376=0,DG364,BG376)</f>
        <v>0.75</v>
      </c>
      <c r="DJ376" s="181" t="n">
        <f aca="false">CW376</f>
        <v>48214</v>
      </c>
      <c r="DK376" s="182" t="n">
        <f aca="false">IF(AJ376=0,DK364,AJ376)</f>
        <v>0.12</v>
      </c>
      <c r="DL376" s="182" t="n">
        <f aca="false">IF(AK376=0,DL364,AK376)</f>
        <v>0.15</v>
      </c>
      <c r="DM376" s="182" t="n">
        <f aca="false">IF(AL376=0,DM364,AL376)</f>
        <v>0.18</v>
      </c>
      <c r="DO376" s="182" t="n">
        <f aca="false">IF(AB376=0,DO364,AB376)</f>
        <v>0.08</v>
      </c>
      <c r="DP376" s="182" t="n">
        <f aca="false">IF(AC376=0,DP364,AC376)</f>
        <v>0.1</v>
      </c>
      <c r="DQ376" s="182" t="n">
        <f aca="false">IF(AD376=0,DQ364,AD376)</f>
        <v>0.12</v>
      </c>
    </row>
    <row r="377" customFormat="false" ht="12.75" hidden="false" customHeight="false" outlineLevel="0" collapsed="false">
      <c r="A377" s="130"/>
      <c r="B377" s="139"/>
      <c r="C377" s="139"/>
      <c r="D377" s="139"/>
      <c r="E377" s="139"/>
      <c r="F377" s="139"/>
      <c r="G377" s="139"/>
      <c r="H377" s="139"/>
      <c r="I377" s="139"/>
      <c r="J377" s="139"/>
      <c r="K377" s="141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41"/>
      <c r="BG377" s="139"/>
      <c r="BH377" s="139"/>
      <c r="BI377" s="139"/>
      <c r="BJ377" s="139"/>
      <c r="BK377" s="139"/>
      <c r="BL377" s="139"/>
      <c r="BM377" s="139"/>
      <c r="BN377" s="139"/>
      <c r="BO377" s="139"/>
      <c r="BP377" s="139"/>
      <c r="BQ377" s="139"/>
      <c r="BR377" s="139"/>
      <c r="BS377" s="139"/>
      <c r="BT377" s="139"/>
      <c r="BU377" s="139"/>
      <c r="BV377" s="139"/>
      <c r="BW377" s="139"/>
      <c r="BX377" s="139"/>
      <c r="BY377" s="139"/>
      <c r="BZ377" s="139"/>
      <c r="CA377" s="139"/>
      <c r="CB377" s="139"/>
      <c r="CC377" s="139"/>
      <c r="CD377" s="139"/>
      <c r="CE377" s="139"/>
      <c r="CF377" s="0"/>
      <c r="CN377" s="0"/>
      <c r="CO377" s="0"/>
      <c r="CP377" s="0"/>
      <c r="CQ377" s="0"/>
      <c r="CR377" s="0"/>
      <c r="CS377" s="120"/>
      <c r="CT377" s="209"/>
      <c r="CU377" s="210"/>
      <c r="CV377" s="210"/>
      <c r="CW377" s="181" t="n">
        <f aca="false">EOMONTH(CW376,0)+1</f>
        <v>48245</v>
      </c>
      <c r="CX377" s="182" t="n">
        <f aca="false">IF(AF377=0,CX365,AF377)</f>
        <v>0.2</v>
      </c>
      <c r="CY377" s="182" t="n">
        <f aca="false">IF(AG377=0,CY365,AG377)</f>
        <v>0.25</v>
      </c>
      <c r="CZ377" s="182" t="n">
        <f aca="false">IF(AH377=0,CZ365,AH377)</f>
        <v>0.3</v>
      </c>
      <c r="DB377" s="161" t="n">
        <f aca="false">IF(X377=0,DB365,X377)</f>
        <v>0</v>
      </c>
      <c r="DC377" s="161" t="n">
        <f aca="false">IF(Y377=0,DC365,Y377)</f>
        <v>0</v>
      </c>
      <c r="DD377" s="161" t="n">
        <f aca="false">IF(Z377=0,DD365,Z377)</f>
        <v>0</v>
      </c>
      <c r="DE377" s="210"/>
      <c r="DF377" s="181" t="n">
        <f aca="false">IF(BF377=0,EOMONTH(DF376,0)+1,BF377)</f>
        <v>48245</v>
      </c>
      <c r="DG377" s="207" t="n">
        <f aca="false">IF(BG377=0,DG365,BG377)</f>
        <v>0</v>
      </c>
      <c r="DJ377" s="181" t="n">
        <f aca="false">CW377</f>
        <v>48245</v>
      </c>
      <c r="DK377" s="182" t="n">
        <f aca="false">IF(AJ377=0,DK365,AJ377)</f>
        <v>0.12</v>
      </c>
      <c r="DL377" s="182" t="n">
        <f aca="false">IF(AK377=0,DL365,AK377)</f>
        <v>0.15</v>
      </c>
      <c r="DM377" s="182" t="n">
        <f aca="false">IF(AL377=0,DM365,AL377)</f>
        <v>0.18</v>
      </c>
      <c r="DO377" s="182" t="n">
        <f aca="false">IF(AB377=0,DO365,AB377)</f>
        <v>0</v>
      </c>
      <c r="DP377" s="182" t="n">
        <f aca="false">IF(AC377=0,DP365,AC377)</f>
        <v>0</v>
      </c>
      <c r="DQ377" s="182" t="n">
        <f aca="false">IF(AD377=0,DQ365,AD377)</f>
        <v>0</v>
      </c>
    </row>
    <row r="378" customFormat="false" ht="12.75" hidden="false" customHeight="false" outlineLevel="0" collapsed="false">
      <c r="A378" s="130"/>
      <c r="B378" s="139"/>
      <c r="C378" s="139"/>
      <c r="D378" s="139"/>
      <c r="E378" s="139"/>
      <c r="F378" s="139"/>
      <c r="G378" s="139"/>
      <c r="H378" s="139"/>
      <c r="I378" s="139"/>
      <c r="J378" s="139"/>
      <c r="K378" s="141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41"/>
      <c r="BG378" s="139"/>
      <c r="BH378" s="139"/>
      <c r="BI378" s="139"/>
      <c r="BJ378" s="139"/>
      <c r="BK378" s="139"/>
      <c r="BL378" s="139"/>
      <c r="BM378" s="139"/>
      <c r="BN378" s="139"/>
      <c r="BO378" s="139"/>
      <c r="BP378" s="139"/>
      <c r="BQ378" s="139"/>
      <c r="BR378" s="139"/>
      <c r="BS378" s="139"/>
      <c r="BT378" s="139"/>
      <c r="BU378" s="139"/>
      <c r="BV378" s="139"/>
      <c r="BW378" s="139"/>
      <c r="BX378" s="139"/>
      <c r="BY378" s="139"/>
      <c r="BZ378" s="139"/>
      <c r="CA378" s="139"/>
      <c r="CB378" s="139"/>
      <c r="CC378" s="139"/>
      <c r="CD378" s="139"/>
      <c r="CE378" s="139"/>
      <c r="CF378" s="0"/>
      <c r="CN378" s="0"/>
      <c r="CO378" s="0"/>
      <c r="CP378" s="0"/>
      <c r="CQ378" s="0"/>
      <c r="CR378" s="0"/>
      <c r="CS378" s="120"/>
      <c r="CT378" s="209"/>
      <c r="CU378" s="210"/>
      <c r="CV378" s="210"/>
      <c r="CW378" s="181" t="n">
        <f aca="false">EOMONTH(CW377,0)+1</f>
        <v>48274</v>
      </c>
      <c r="CX378" s="182" t="n">
        <f aca="false">IF(AF378=0,CX366,AF378)</f>
        <v>0.2</v>
      </c>
      <c r="CY378" s="182" t="n">
        <f aca="false">IF(AG378=0,CY366,AG378)</f>
        <v>0.25</v>
      </c>
      <c r="CZ378" s="182" t="n">
        <f aca="false">IF(AH378=0,CZ366,AH378)</f>
        <v>0.3</v>
      </c>
      <c r="DB378" s="161" t="n">
        <f aca="false">IF(X378=0,DB366,X378)</f>
        <v>0.16</v>
      </c>
      <c r="DC378" s="161" t="n">
        <f aca="false">IF(Y378=0,DC366,Y378)</f>
        <v>0.2</v>
      </c>
      <c r="DD378" s="161" t="n">
        <f aca="false">IF(Z378=0,DD366,Z378)</f>
        <v>0.24</v>
      </c>
      <c r="DE378" s="210"/>
      <c r="DF378" s="181" t="n">
        <f aca="false">IF(BF378=0,EOMONTH(DF377,0)+1,BF378)</f>
        <v>48274</v>
      </c>
      <c r="DG378" s="207" t="n">
        <f aca="false">IF(BG378=0,DG366,BG378)</f>
        <v>0.75</v>
      </c>
      <c r="DJ378" s="181" t="n">
        <f aca="false">CW378</f>
        <v>48274</v>
      </c>
      <c r="DK378" s="182" t="n">
        <f aca="false">IF(AJ378=0,DK366,AJ378)</f>
        <v>0.12</v>
      </c>
      <c r="DL378" s="182" t="n">
        <f aca="false">IF(AK378=0,DL366,AK378)</f>
        <v>0.15</v>
      </c>
      <c r="DM378" s="182" t="n">
        <f aca="false">IF(AL378=0,DM366,AL378)</f>
        <v>0.18</v>
      </c>
      <c r="DO378" s="182" t="n">
        <f aca="false">IF(AB378=0,DO366,AB378)</f>
        <v>0.08</v>
      </c>
      <c r="DP378" s="182" t="n">
        <f aca="false">IF(AC378=0,DP366,AC378)</f>
        <v>0.1</v>
      </c>
      <c r="DQ378" s="182" t="n">
        <f aca="false">IF(AD378=0,DQ366,AD378)</f>
        <v>0.12</v>
      </c>
    </row>
    <row r="379" customFormat="false" ht="12.75" hidden="false" customHeight="false" outlineLevel="0" collapsed="false">
      <c r="A379" s="130"/>
      <c r="B379" s="139"/>
      <c r="C379" s="139"/>
      <c r="D379" s="139"/>
      <c r="E379" s="139"/>
      <c r="F379" s="139"/>
      <c r="G379" s="139"/>
      <c r="H379" s="139"/>
      <c r="I379" s="139"/>
      <c r="J379" s="139"/>
      <c r="K379" s="141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41"/>
      <c r="BG379" s="139"/>
      <c r="BH379" s="139"/>
      <c r="BI379" s="139"/>
      <c r="BJ379" s="139"/>
      <c r="BK379" s="139"/>
      <c r="BL379" s="139"/>
      <c r="BM379" s="139"/>
      <c r="BN379" s="139"/>
      <c r="BO379" s="139"/>
      <c r="BP379" s="139"/>
      <c r="BQ379" s="139"/>
      <c r="BR379" s="139"/>
      <c r="BS379" s="139"/>
      <c r="BT379" s="139"/>
      <c r="BU379" s="139"/>
      <c r="BV379" s="139"/>
      <c r="BW379" s="139"/>
      <c r="BX379" s="139"/>
      <c r="BY379" s="139"/>
      <c r="BZ379" s="139"/>
      <c r="CA379" s="139"/>
      <c r="CB379" s="139"/>
      <c r="CC379" s="139"/>
      <c r="CD379" s="139"/>
      <c r="CE379" s="139"/>
      <c r="CF379" s="0"/>
      <c r="CN379" s="0"/>
      <c r="CO379" s="0"/>
      <c r="CP379" s="0"/>
      <c r="CQ379" s="0"/>
      <c r="CR379" s="0"/>
      <c r="CS379" s="120"/>
      <c r="CT379" s="209"/>
      <c r="CU379" s="210"/>
      <c r="CV379" s="210"/>
      <c r="CW379" s="181" t="n">
        <f aca="false">EOMONTH(CW378,0)+1</f>
        <v>48305</v>
      </c>
      <c r="CX379" s="182" t="n">
        <f aca="false">IF(AF379=0,CX367,AF379)</f>
        <v>0.2</v>
      </c>
      <c r="CY379" s="182" t="n">
        <f aca="false">IF(AG379=0,CY367,AG379)</f>
        <v>0.25</v>
      </c>
      <c r="CZ379" s="182" t="n">
        <f aca="false">IF(AH379=0,CZ367,AH379)</f>
        <v>0.3</v>
      </c>
      <c r="DB379" s="161" t="n">
        <f aca="false">IF(X379=0,DB367,X379)</f>
        <v>0.16</v>
      </c>
      <c r="DC379" s="161" t="n">
        <f aca="false">IF(Y379=0,DC367,Y379)</f>
        <v>0.2</v>
      </c>
      <c r="DD379" s="161" t="n">
        <f aca="false">IF(Z379=0,DD367,Z379)</f>
        <v>0.24</v>
      </c>
      <c r="DE379" s="210"/>
      <c r="DF379" s="181" t="n">
        <f aca="false">IF(BF379=0,EOMONTH(DF378,0)+1,BF379)</f>
        <v>48305</v>
      </c>
      <c r="DG379" s="207" t="n">
        <f aca="false">IF(BG379=0,DG367,BG379)</f>
        <v>0.75</v>
      </c>
      <c r="DJ379" s="181" t="n">
        <f aca="false">CW379</f>
        <v>48305</v>
      </c>
      <c r="DK379" s="182" t="n">
        <f aca="false">IF(AJ379=0,DK367,AJ379)</f>
        <v>0.12</v>
      </c>
      <c r="DL379" s="182" t="n">
        <f aca="false">IF(AK379=0,DL367,AK379)</f>
        <v>0.15</v>
      </c>
      <c r="DM379" s="182" t="n">
        <f aca="false">IF(AL379=0,DM367,AL379)</f>
        <v>0.18</v>
      </c>
      <c r="DO379" s="182" t="n">
        <f aca="false">IF(AB379=0,DO367,AB379)</f>
        <v>0.08</v>
      </c>
      <c r="DP379" s="182" t="n">
        <f aca="false">IF(AC379=0,DP367,AC379)</f>
        <v>0.1</v>
      </c>
      <c r="DQ379" s="182" t="n">
        <f aca="false">IF(AD379=0,DQ367,AD379)</f>
        <v>0.12</v>
      </c>
    </row>
    <row r="380" customFormat="false" ht="12.75" hidden="false" customHeight="false" outlineLevel="0" collapsed="false">
      <c r="A380" s="130"/>
      <c r="B380" s="139"/>
      <c r="C380" s="139"/>
      <c r="D380" s="139"/>
      <c r="E380" s="139"/>
      <c r="F380" s="139"/>
      <c r="G380" s="139"/>
      <c r="H380" s="139"/>
      <c r="I380" s="139"/>
      <c r="J380" s="139"/>
      <c r="K380" s="141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41"/>
      <c r="BG380" s="139"/>
      <c r="BH380" s="139"/>
      <c r="BI380" s="139"/>
      <c r="BJ380" s="139"/>
      <c r="BK380" s="139"/>
      <c r="BL380" s="139"/>
      <c r="BM380" s="139"/>
      <c r="BN380" s="139"/>
      <c r="BO380" s="139"/>
      <c r="BP380" s="139"/>
      <c r="BQ380" s="139"/>
      <c r="BR380" s="139"/>
      <c r="BS380" s="139"/>
      <c r="BT380" s="139"/>
      <c r="BU380" s="139"/>
      <c r="BV380" s="139"/>
      <c r="BW380" s="139"/>
      <c r="BX380" s="139"/>
      <c r="BY380" s="139"/>
      <c r="BZ380" s="139"/>
      <c r="CA380" s="139"/>
      <c r="CB380" s="139"/>
      <c r="CC380" s="139"/>
      <c r="CD380" s="139"/>
      <c r="CE380" s="139"/>
      <c r="CF380" s="0"/>
      <c r="CN380" s="0"/>
      <c r="CO380" s="0"/>
      <c r="CP380" s="0"/>
      <c r="CQ380" s="0"/>
      <c r="CR380" s="0"/>
      <c r="CS380" s="120"/>
      <c r="CT380" s="209"/>
      <c r="CU380" s="210"/>
      <c r="CV380" s="210"/>
      <c r="CW380" s="181" t="n">
        <f aca="false">EOMONTH(CW379,0)+1</f>
        <v>48335</v>
      </c>
      <c r="CX380" s="182" t="n">
        <f aca="false">IF(AF380=0,CX368,AF380)</f>
        <v>0.2</v>
      </c>
      <c r="CY380" s="182" t="n">
        <f aca="false">IF(AG380=0,CY368,AG380)</f>
        <v>0.25</v>
      </c>
      <c r="CZ380" s="182" t="n">
        <f aca="false">IF(AH380=0,CZ368,AH380)</f>
        <v>0.3</v>
      </c>
      <c r="DB380" s="161" t="n">
        <f aca="false">IF(X380=0,DB368,X380)</f>
        <v>0.16</v>
      </c>
      <c r="DC380" s="161" t="n">
        <f aca="false">IF(Y380=0,DC368,Y380)</f>
        <v>0.2</v>
      </c>
      <c r="DD380" s="161" t="n">
        <f aca="false">IF(Z380=0,DD368,Z380)</f>
        <v>0.24</v>
      </c>
      <c r="DE380" s="210"/>
      <c r="DF380" s="181" t="n">
        <f aca="false">IF(BF380=0,EOMONTH(DF379,0)+1,BF380)</f>
        <v>48335</v>
      </c>
      <c r="DG380" s="207" t="n">
        <f aca="false">IF(BG380=0,DG368,BG380)</f>
        <v>0.75</v>
      </c>
      <c r="DJ380" s="181" t="n">
        <f aca="false">CW380</f>
        <v>48335</v>
      </c>
      <c r="DK380" s="182" t="n">
        <f aca="false">IF(AJ380=0,DK368,AJ380)</f>
        <v>0.12</v>
      </c>
      <c r="DL380" s="182" t="n">
        <f aca="false">IF(AK380=0,DL368,AK380)</f>
        <v>0.15</v>
      </c>
      <c r="DM380" s="182" t="n">
        <f aca="false">IF(AL380=0,DM368,AL380)</f>
        <v>0.18</v>
      </c>
      <c r="DO380" s="182" t="n">
        <f aca="false">IF(AB380=0,DO368,AB380)</f>
        <v>0.08</v>
      </c>
      <c r="DP380" s="182" t="n">
        <f aca="false">IF(AC380=0,DP368,AC380)</f>
        <v>0.1</v>
      </c>
      <c r="DQ380" s="182" t="n">
        <f aca="false">IF(AD380=0,DQ368,AD380)</f>
        <v>0.12</v>
      </c>
    </row>
    <row r="381" customFormat="false" ht="12.75" hidden="false" customHeight="false" outlineLevel="0" collapsed="false">
      <c r="A381" s="130"/>
      <c r="B381" s="139"/>
      <c r="C381" s="139"/>
      <c r="D381" s="139"/>
      <c r="E381" s="139"/>
      <c r="F381" s="139"/>
      <c r="G381" s="139"/>
      <c r="H381" s="139"/>
      <c r="I381" s="139"/>
      <c r="J381" s="139"/>
      <c r="K381" s="141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41"/>
      <c r="BG381" s="139"/>
      <c r="BH381" s="139"/>
      <c r="BI381" s="139"/>
      <c r="BJ381" s="139"/>
      <c r="BK381" s="139"/>
      <c r="BL381" s="139"/>
      <c r="BM381" s="139"/>
      <c r="BN381" s="139"/>
      <c r="BO381" s="139"/>
      <c r="BP381" s="139"/>
      <c r="BQ381" s="139"/>
      <c r="BR381" s="139"/>
      <c r="BS381" s="139"/>
      <c r="BT381" s="139"/>
      <c r="BU381" s="139"/>
      <c r="BV381" s="139"/>
      <c r="BW381" s="139"/>
      <c r="BX381" s="139"/>
      <c r="BY381" s="139"/>
      <c r="BZ381" s="139"/>
      <c r="CA381" s="139"/>
      <c r="CB381" s="139"/>
      <c r="CC381" s="139"/>
      <c r="CD381" s="139"/>
      <c r="CE381" s="139"/>
      <c r="CF381" s="0"/>
      <c r="CN381" s="0"/>
      <c r="CO381" s="0"/>
      <c r="CP381" s="0"/>
      <c r="CQ381" s="0"/>
      <c r="CR381" s="0"/>
      <c r="CS381" s="120"/>
      <c r="CT381" s="209"/>
      <c r="CU381" s="210"/>
      <c r="CV381" s="210"/>
      <c r="CW381" s="181" t="n">
        <f aca="false">EOMONTH(CW380,0)+1</f>
        <v>48366</v>
      </c>
      <c r="CX381" s="182" t="n">
        <f aca="false">IF(AF381=0,CX369,AF381)</f>
        <v>0.2</v>
      </c>
      <c r="CY381" s="182" t="n">
        <f aca="false">IF(AG381=0,CY369,AG381)</f>
        <v>0.25</v>
      </c>
      <c r="CZ381" s="182" t="n">
        <f aca="false">IF(AH381=0,CZ369,AH381)</f>
        <v>0.3</v>
      </c>
      <c r="DB381" s="161" t="n">
        <f aca="false">IF(X381=0,DB369,X381)</f>
        <v>0.16</v>
      </c>
      <c r="DC381" s="161" t="n">
        <f aca="false">IF(Y381=0,DC369,Y381)</f>
        <v>0.2</v>
      </c>
      <c r="DD381" s="161" t="n">
        <f aca="false">IF(Z381=0,DD369,Z381)</f>
        <v>0.24</v>
      </c>
      <c r="DE381" s="210"/>
      <c r="DF381" s="181" t="n">
        <f aca="false">IF(BF381=0,EOMONTH(DF380,0)+1,BF381)</f>
        <v>48366</v>
      </c>
      <c r="DG381" s="207" t="n">
        <f aca="false">IF(BG381=0,DG369,BG381)</f>
        <v>0.75</v>
      </c>
      <c r="DJ381" s="181" t="n">
        <f aca="false">CW381</f>
        <v>48366</v>
      </c>
      <c r="DK381" s="182" t="n">
        <f aca="false">IF(AJ381=0,DK369,AJ381)</f>
        <v>0.12</v>
      </c>
      <c r="DL381" s="182" t="n">
        <f aca="false">IF(AK381=0,DL369,AK381)</f>
        <v>0.15</v>
      </c>
      <c r="DM381" s="182" t="n">
        <f aca="false">IF(AL381=0,DM369,AL381)</f>
        <v>0.18</v>
      </c>
      <c r="DO381" s="182" t="n">
        <f aca="false">IF(AB381=0,DO369,AB381)</f>
        <v>0.08</v>
      </c>
      <c r="DP381" s="182" t="n">
        <f aca="false">IF(AC381=0,DP369,AC381)</f>
        <v>0.1</v>
      </c>
      <c r="DQ381" s="182" t="n">
        <f aca="false">IF(AD381=0,DQ369,AD381)</f>
        <v>0.12</v>
      </c>
    </row>
    <row r="382" customFormat="false" ht="12.75" hidden="false" customHeight="false" outlineLevel="0" collapsed="false">
      <c r="A382" s="130"/>
      <c r="B382" s="139"/>
      <c r="C382" s="139"/>
      <c r="D382" s="139"/>
      <c r="E382" s="139"/>
      <c r="F382" s="139"/>
      <c r="G382" s="139"/>
      <c r="H382" s="139"/>
      <c r="I382" s="139"/>
      <c r="J382" s="139"/>
      <c r="K382" s="141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41"/>
      <c r="BG382" s="139"/>
      <c r="BH382" s="139"/>
      <c r="BI382" s="139"/>
      <c r="BJ382" s="139"/>
      <c r="BK382" s="139"/>
      <c r="BL382" s="139"/>
      <c r="BM382" s="139"/>
      <c r="BN382" s="139"/>
      <c r="BO382" s="139"/>
      <c r="BP382" s="139"/>
      <c r="BQ382" s="139"/>
      <c r="BR382" s="139"/>
      <c r="BS382" s="139"/>
      <c r="BT382" s="139"/>
      <c r="BU382" s="139"/>
      <c r="BV382" s="139"/>
      <c r="BW382" s="139"/>
      <c r="BX382" s="139"/>
      <c r="BY382" s="139"/>
      <c r="BZ382" s="139"/>
      <c r="CA382" s="139"/>
      <c r="CB382" s="139"/>
      <c r="CC382" s="139"/>
      <c r="CD382" s="139"/>
      <c r="CE382" s="139"/>
      <c r="CF382" s="0"/>
      <c r="CN382" s="0"/>
      <c r="CO382" s="0"/>
      <c r="CP382" s="0"/>
      <c r="CQ382" s="0"/>
      <c r="CR382" s="0"/>
      <c r="CS382" s="120"/>
      <c r="CT382" s="209"/>
      <c r="CU382" s="210"/>
      <c r="CV382" s="210"/>
      <c r="CW382" s="181" t="n">
        <f aca="false">EOMONTH(CW381,0)+1</f>
        <v>48396</v>
      </c>
      <c r="CX382" s="182" t="n">
        <f aca="false">IF(AF382=0,CX370,AF382)</f>
        <v>0.2</v>
      </c>
      <c r="CY382" s="182" t="n">
        <f aca="false">IF(AG382=0,CY370,AG382)</f>
        <v>0.25</v>
      </c>
      <c r="CZ382" s="182" t="n">
        <f aca="false">IF(AH382=0,CZ370,AH382)</f>
        <v>0.3</v>
      </c>
      <c r="DB382" s="161" t="n">
        <f aca="false">IF(X382=0,DB370,X382)</f>
        <v>0.16</v>
      </c>
      <c r="DC382" s="161" t="n">
        <f aca="false">IF(Y382=0,DC370,Y382)</f>
        <v>0.2</v>
      </c>
      <c r="DD382" s="161" t="n">
        <f aca="false">IF(Z382=0,DD370,Z382)</f>
        <v>0.24</v>
      </c>
      <c r="DE382" s="210"/>
      <c r="DF382" s="181" t="n">
        <f aca="false">IF(BF382=0,EOMONTH(DF381,0)+1,BF382)</f>
        <v>48396</v>
      </c>
      <c r="DG382" s="207" t="n">
        <f aca="false">IF(BG382=0,DG370,BG382)</f>
        <v>0.75</v>
      </c>
      <c r="DJ382" s="181" t="n">
        <f aca="false">CW382</f>
        <v>48396</v>
      </c>
      <c r="DK382" s="182" t="n">
        <f aca="false">IF(AJ382=0,DK370,AJ382)</f>
        <v>0.12</v>
      </c>
      <c r="DL382" s="182" t="n">
        <f aca="false">IF(AK382=0,DL370,AK382)</f>
        <v>0.15</v>
      </c>
      <c r="DM382" s="182" t="n">
        <f aca="false">IF(AL382=0,DM370,AL382)</f>
        <v>0.18</v>
      </c>
      <c r="DO382" s="182" t="n">
        <f aca="false">IF(AB382=0,DO370,AB382)</f>
        <v>0.08</v>
      </c>
      <c r="DP382" s="182" t="n">
        <f aca="false">IF(AC382=0,DP370,AC382)</f>
        <v>0.1</v>
      </c>
      <c r="DQ382" s="182" t="n">
        <f aca="false">IF(AD382=0,DQ370,AD382)</f>
        <v>0.12</v>
      </c>
    </row>
    <row r="383" customFormat="false" ht="12.75" hidden="false" customHeight="false" outlineLevel="0" collapsed="false">
      <c r="A383" s="130"/>
      <c r="B383" s="139"/>
      <c r="C383" s="139"/>
      <c r="D383" s="139"/>
      <c r="E383" s="139"/>
      <c r="F383" s="139"/>
      <c r="G383" s="139"/>
      <c r="H383" s="139"/>
      <c r="I383" s="139"/>
      <c r="J383" s="139"/>
      <c r="K383" s="141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41"/>
      <c r="BG383" s="139"/>
      <c r="BH383" s="139"/>
      <c r="BI383" s="139"/>
      <c r="BJ383" s="139"/>
      <c r="BK383" s="139"/>
      <c r="BL383" s="139"/>
      <c r="BM383" s="139"/>
      <c r="BN383" s="139"/>
      <c r="BO383" s="139"/>
      <c r="BP383" s="139"/>
      <c r="BQ383" s="139"/>
      <c r="BR383" s="139"/>
      <c r="BS383" s="139"/>
      <c r="BT383" s="139"/>
      <c r="BU383" s="139"/>
      <c r="BV383" s="139"/>
      <c r="BW383" s="139"/>
      <c r="BX383" s="139"/>
      <c r="BY383" s="139"/>
      <c r="BZ383" s="139"/>
      <c r="CA383" s="139"/>
      <c r="CB383" s="139"/>
      <c r="CC383" s="139"/>
      <c r="CD383" s="139"/>
      <c r="CE383" s="139"/>
      <c r="CF383" s="0"/>
      <c r="CN383" s="0"/>
      <c r="CO383" s="0"/>
      <c r="CP383" s="0"/>
      <c r="CQ383" s="0"/>
      <c r="CR383" s="0"/>
      <c r="CS383" s="120"/>
      <c r="CT383" s="209"/>
      <c r="CU383" s="210"/>
      <c r="CV383" s="210"/>
      <c r="CW383" s="181" t="n">
        <f aca="false">EOMONTH(CW382,0)+1</f>
        <v>48427</v>
      </c>
      <c r="CX383" s="182" t="n">
        <f aca="false">IF(AF383=0,CX371,AF383)</f>
        <v>0.32</v>
      </c>
      <c r="CY383" s="182" t="n">
        <f aca="false">IF(AG383=0,CY371,AG383)</f>
        <v>0.4</v>
      </c>
      <c r="CZ383" s="182" t="n">
        <f aca="false">IF(AH383=0,CZ371,AH383)</f>
        <v>0.48</v>
      </c>
      <c r="DB383" s="161" t="n">
        <f aca="false">IF(X383=0,DB371,X383)</f>
        <v>0.24</v>
      </c>
      <c r="DC383" s="161" t="n">
        <f aca="false">IF(Y383=0,DC371,Y383)</f>
        <v>0.3</v>
      </c>
      <c r="DD383" s="161" t="n">
        <f aca="false">IF(Z383=0,DD371,Z383)</f>
        <v>0.36</v>
      </c>
      <c r="DE383" s="210"/>
      <c r="DF383" s="181" t="n">
        <f aca="false">IF(BF383=0,EOMONTH(DF382,0)+1,BF383)</f>
        <v>48427</v>
      </c>
      <c r="DG383" s="207" t="n">
        <f aca="false">IF(BG383=0,DG371,BG383)</f>
        <v>0.75</v>
      </c>
      <c r="DJ383" s="181" t="n">
        <f aca="false">CW383</f>
        <v>48427</v>
      </c>
      <c r="DK383" s="182" t="n">
        <f aca="false">IF(AJ383=0,DK371,AJ383)</f>
        <v>0.192</v>
      </c>
      <c r="DL383" s="182" t="n">
        <f aca="false">IF(AK383=0,DL371,AK383)</f>
        <v>0.24</v>
      </c>
      <c r="DM383" s="182" t="n">
        <f aca="false">IF(AL383=0,DM371,AL383)</f>
        <v>0.288</v>
      </c>
      <c r="DO383" s="182" t="n">
        <f aca="false">IF(AB383=0,DO371,AB383)</f>
        <v>0.12</v>
      </c>
      <c r="DP383" s="182" t="n">
        <f aca="false">IF(AC383=0,DP371,AC383)</f>
        <v>0.15</v>
      </c>
      <c r="DQ383" s="182" t="n">
        <f aca="false">IF(AD383=0,DQ371,AD383)</f>
        <v>0.18</v>
      </c>
    </row>
    <row r="384" customFormat="false" ht="12.75" hidden="false" customHeight="false" outlineLevel="0" collapsed="false">
      <c r="A384" s="130"/>
      <c r="B384" s="139"/>
      <c r="C384" s="139"/>
      <c r="D384" s="139"/>
      <c r="E384" s="139"/>
      <c r="F384" s="139"/>
      <c r="G384" s="139"/>
      <c r="H384" s="139"/>
      <c r="I384" s="139"/>
      <c r="J384" s="139"/>
      <c r="K384" s="141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41"/>
      <c r="BG384" s="139"/>
      <c r="BH384" s="139"/>
      <c r="BI384" s="139"/>
      <c r="BJ384" s="139"/>
      <c r="BK384" s="139"/>
      <c r="BL384" s="139"/>
      <c r="BM384" s="139"/>
      <c r="BN384" s="139"/>
      <c r="BO384" s="139"/>
      <c r="BP384" s="139"/>
      <c r="BQ384" s="139"/>
      <c r="BR384" s="139"/>
      <c r="BS384" s="139"/>
      <c r="BT384" s="139"/>
      <c r="BU384" s="139"/>
      <c r="BV384" s="139"/>
      <c r="BW384" s="139"/>
      <c r="BX384" s="139"/>
      <c r="BY384" s="139"/>
      <c r="BZ384" s="139"/>
      <c r="CA384" s="139"/>
      <c r="CB384" s="139"/>
      <c r="CC384" s="139"/>
      <c r="CD384" s="139"/>
      <c r="CE384" s="139"/>
      <c r="CF384" s="0"/>
      <c r="CN384" s="0"/>
      <c r="CO384" s="0"/>
      <c r="CP384" s="0"/>
      <c r="CQ384" s="0"/>
      <c r="CR384" s="0"/>
      <c r="CS384" s="120"/>
      <c r="CT384" s="209"/>
      <c r="CU384" s="210"/>
      <c r="CV384" s="210"/>
      <c r="CW384" s="181" t="n">
        <f aca="false">EOMONTH(CW383,0)+1</f>
        <v>48458</v>
      </c>
      <c r="CX384" s="182" t="n">
        <f aca="false">IF(AF384=0,CX372,AF384)</f>
        <v>0.32</v>
      </c>
      <c r="CY384" s="182" t="n">
        <f aca="false">IF(AG384=0,CY372,AG384)</f>
        <v>0.4</v>
      </c>
      <c r="CZ384" s="182" t="n">
        <f aca="false">IF(AH384=0,CZ372,AH384)</f>
        <v>0.48</v>
      </c>
      <c r="DB384" s="161" t="n">
        <f aca="false">IF(X384=0,DB372,X384)</f>
        <v>0.24</v>
      </c>
      <c r="DC384" s="161" t="n">
        <f aca="false">IF(Y384=0,DC372,Y384)</f>
        <v>0.3</v>
      </c>
      <c r="DD384" s="161" t="n">
        <f aca="false">IF(Z384=0,DD372,Z384)</f>
        <v>0.36</v>
      </c>
      <c r="DE384" s="210"/>
      <c r="DF384" s="181" t="n">
        <f aca="false">IF(BF384=0,EOMONTH(DF383,0)+1,BF384)</f>
        <v>48458</v>
      </c>
      <c r="DG384" s="207" t="n">
        <f aca="false">IF(BG384=0,DG372,BG384)</f>
        <v>0.75</v>
      </c>
      <c r="DJ384" s="181" t="n">
        <f aca="false">CW384</f>
        <v>48458</v>
      </c>
      <c r="DK384" s="182" t="n">
        <f aca="false">IF(AJ384=0,DK372,AJ384)</f>
        <v>0.192</v>
      </c>
      <c r="DL384" s="182" t="n">
        <f aca="false">IF(AK384=0,DL372,AK384)</f>
        <v>0.24</v>
      </c>
      <c r="DM384" s="182" t="n">
        <f aca="false">IF(AL384=0,DM372,AL384)</f>
        <v>0.288</v>
      </c>
      <c r="DO384" s="182" t="n">
        <f aca="false">IF(AB384=0,DO372,AB384)</f>
        <v>0.12</v>
      </c>
      <c r="DP384" s="182" t="n">
        <f aca="false">IF(AC384=0,DP372,AC384)</f>
        <v>0.15</v>
      </c>
      <c r="DQ384" s="182" t="n">
        <f aca="false">IF(AD384=0,DQ372,AD384)</f>
        <v>0.18</v>
      </c>
    </row>
    <row r="385" customFormat="false" ht="12.75" hidden="false" customHeight="false" outlineLevel="0" collapsed="false">
      <c r="A385" s="130"/>
      <c r="B385" s="139"/>
      <c r="C385" s="139"/>
      <c r="D385" s="139"/>
      <c r="E385" s="139"/>
      <c r="F385" s="139"/>
      <c r="G385" s="139"/>
      <c r="H385" s="139"/>
      <c r="I385" s="139"/>
      <c r="J385" s="139"/>
      <c r="K385" s="141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41"/>
      <c r="BG385" s="139"/>
      <c r="BH385" s="139"/>
      <c r="BI385" s="139"/>
      <c r="BJ385" s="139"/>
      <c r="BK385" s="139"/>
      <c r="BL385" s="139"/>
      <c r="BM385" s="139"/>
      <c r="BN385" s="139"/>
      <c r="BO385" s="139"/>
      <c r="BP385" s="139"/>
      <c r="BQ385" s="139"/>
      <c r="BR385" s="139"/>
      <c r="BS385" s="139"/>
      <c r="BT385" s="139"/>
      <c r="BU385" s="139"/>
      <c r="BV385" s="139"/>
      <c r="BW385" s="139"/>
      <c r="BX385" s="139"/>
      <c r="BY385" s="139"/>
      <c r="BZ385" s="139"/>
      <c r="CA385" s="139"/>
      <c r="CB385" s="139"/>
      <c r="CC385" s="139"/>
      <c r="CD385" s="139"/>
      <c r="CE385" s="139"/>
      <c r="CF385" s="0"/>
      <c r="CN385" s="0"/>
      <c r="CO385" s="0"/>
      <c r="CP385" s="0"/>
      <c r="CQ385" s="0"/>
      <c r="CR385" s="0"/>
      <c r="CS385" s="120"/>
      <c r="CT385" s="209"/>
      <c r="CU385" s="210"/>
      <c r="CV385" s="210"/>
      <c r="CW385" s="181" t="n">
        <f aca="false">EOMONTH(CW384,0)+1</f>
        <v>48488</v>
      </c>
      <c r="CX385" s="182" t="n">
        <f aca="false">IF(AF385=0,CX373,AF385)</f>
        <v>0.2</v>
      </c>
      <c r="CY385" s="182" t="n">
        <f aca="false">IF(AG385=0,CY373,AG385)</f>
        <v>0.25</v>
      </c>
      <c r="CZ385" s="182" t="n">
        <f aca="false">IF(AH385=0,CZ373,AH385)</f>
        <v>0.3</v>
      </c>
      <c r="DB385" s="161" t="n">
        <f aca="false">IF(X385=0,DB373,X385)</f>
        <v>0.16</v>
      </c>
      <c r="DC385" s="161" t="n">
        <f aca="false">IF(Y385=0,DC373,Y385)</f>
        <v>0.2</v>
      </c>
      <c r="DD385" s="161" t="n">
        <f aca="false">IF(Z385=0,DD373,Z385)</f>
        <v>0.24</v>
      </c>
      <c r="DE385" s="210"/>
      <c r="DF385" s="181" t="n">
        <f aca="false">IF(BF385=0,EOMONTH(DF384,0)+1,BF385)</f>
        <v>48488</v>
      </c>
      <c r="DG385" s="207" t="n">
        <f aca="false">IF(BG385=0,DG373,BG385)</f>
        <v>0.75</v>
      </c>
      <c r="DJ385" s="181" t="n">
        <f aca="false">CW385</f>
        <v>48488</v>
      </c>
      <c r="DK385" s="182" t="n">
        <f aca="false">IF(AJ385=0,DK373,AJ385)</f>
        <v>0.12</v>
      </c>
      <c r="DL385" s="182" t="n">
        <f aca="false">IF(AK385=0,DL373,AK385)</f>
        <v>0.15</v>
      </c>
      <c r="DM385" s="182" t="n">
        <f aca="false">IF(AL385=0,DM373,AL385)</f>
        <v>0.18</v>
      </c>
      <c r="DO385" s="182" t="n">
        <f aca="false">IF(AB385=0,DO373,AB385)</f>
        <v>0.08</v>
      </c>
      <c r="DP385" s="182" t="n">
        <f aca="false">IF(AC385=0,DP373,AC385)</f>
        <v>0.1</v>
      </c>
      <c r="DQ385" s="182" t="n">
        <f aca="false">IF(AD385=0,DQ373,AD385)</f>
        <v>0.12</v>
      </c>
    </row>
    <row r="386" customFormat="false" ht="12.75" hidden="false" customHeight="false" outlineLevel="0" collapsed="false">
      <c r="A386" s="130"/>
      <c r="B386" s="139"/>
      <c r="C386" s="139"/>
      <c r="D386" s="139"/>
      <c r="E386" s="139"/>
      <c r="F386" s="139"/>
      <c r="G386" s="139"/>
      <c r="H386" s="139"/>
      <c r="I386" s="139"/>
      <c r="J386" s="139"/>
      <c r="K386" s="141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41"/>
      <c r="BG386" s="139"/>
      <c r="BH386" s="139"/>
      <c r="BI386" s="139"/>
      <c r="BJ386" s="139"/>
      <c r="BK386" s="139"/>
      <c r="BL386" s="139"/>
      <c r="BM386" s="139"/>
      <c r="BN386" s="139"/>
      <c r="BO386" s="139"/>
      <c r="BP386" s="139"/>
      <c r="BQ386" s="139"/>
      <c r="BR386" s="139"/>
      <c r="BS386" s="139"/>
      <c r="BT386" s="139"/>
      <c r="BU386" s="139"/>
      <c r="BV386" s="139"/>
      <c r="BW386" s="139"/>
      <c r="BX386" s="139"/>
      <c r="BY386" s="139"/>
      <c r="BZ386" s="139"/>
      <c r="CA386" s="139"/>
      <c r="CB386" s="139"/>
      <c r="CC386" s="139"/>
      <c r="CD386" s="139"/>
      <c r="CE386" s="139"/>
      <c r="CF386" s="0"/>
      <c r="CN386" s="0"/>
      <c r="CO386" s="0"/>
      <c r="CP386" s="0"/>
      <c r="CQ386" s="0"/>
      <c r="CR386" s="0"/>
      <c r="CS386" s="120"/>
      <c r="CT386" s="209"/>
      <c r="CU386" s="210"/>
      <c r="CV386" s="210"/>
      <c r="CW386" s="181" t="n">
        <f aca="false">EOMONTH(CW385,0)+1</f>
        <v>48519</v>
      </c>
      <c r="CX386" s="182" t="n">
        <f aca="false">IF(AF386=0,CX374,AF386)</f>
        <v>0.2</v>
      </c>
      <c r="CY386" s="182" t="n">
        <f aca="false">IF(AG386=0,CY374,AG386)</f>
        <v>0.25</v>
      </c>
      <c r="CZ386" s="182" t="n">
        <f aca="false">IF(AH386=0,CZ374,AH386)</f>
        <v>0.3</v>
      </c>
      <c r="DB386" s="161" t="n">
        <f aca="false">IF(X386=0,DB374,X386)</f>
        <v>0.16</v>
      </c>
      <c r="DC386" s="161" t="n">
        <f aca="false">IF(Y386=0,DC374,Y386)</f>
        <v>0.2</v>
      </c>
      <c r="DD386" s="161" t="n">
        <f aca="false">IF(Z386=0,DD374,Z386)</f>
        <v>0.24</v>
      </c>
      <c r="DE386" s="210"/>
      <c r="DF386" s="181" t="n">
        <f aca="false">IF(BF386=0,EOMONTH(DF385,0)+1,BF386)</f>
        <v>48519</v>
      </c>
      <c r="DG386" s="207" t="n">
        <f aca="false">IF(BG386=0,DG374,BG386)</f>
        <v>0.75</v>
      </c>
      <c r="DJ386" s="181" t="n">
        <f aca="false">CW386</f>
        <v>48519</v>
      </c>
      <c r="DK386" s="182" t="n">
        <f aca="false">IF(AJ386=0,DK374,AJ386)</f>
        <v>0.12</v>
      </c>
      <c r="DL386" s="182" t="n">
        <f aca="false">IF(AK386=0,DL374,AK386)</f>
        <v>0.15</v>
      </c>
      <c r="DM386" s="182" t="n">
        <f aca="false">IF(AL386=0,DM374,AL386)</f>
        <v>0.18</v>
      </c>
      <c r="DO386" s="182" t="n">
        <f aca="false">IF(AB386=0,DO374,AB386)</f>
        <v>0.08</v>
      </c>
      <c r="DP386" s="182" t="n">
        <f aca="false">IF(AC386=0,DP374,AC386)</f>
        <v>0.1</v>
      </c>
      <c r="DQ386" s="182" t="n">
        <f aca="false">IF(AD386=0,DQ374,AD386)</f>
        <v>0.12</v>
      </c>
    </row>
    <row r="387" customFormat="false" ht="12.75" hidden="false" customHeight="false" outlineLevel="0" collapsed="false">
      <c r="A387" s="130"/>
      <c r="B387" s="139"/>
      <c r="C387" s="139"/>
      <c r="D387" s="139"/>
      <c r="E387" s="139"/>
      <c r="F387" s="139"/>
      <c r="G387" s="139"/>
      <c r="H387" s="139"/>
      <c r="I387" s="139"/>
      <c r="J387" s="139"/>
      <c r="K387" s="141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  <c r="AV387" s="139"/>
      <c r="AW387" s="139"/>
      <c r="AX387" s="139"/>
      <c r="AY387" s="139"/>
      <c r="AZ387" s="139"/>
      <c r="BA387" s="139"/>
      <c r="BB387" s="139"/>
      <c r="BC387" s="139"/>
      <c r="BD387" s="139"/>
      <c r="BE387" s="139"/>
      <c r="BF387" s="141"/>
      <c r="BG387" s="139"/>
      <c r="BH387" s="139"/>
      <c r="BI387" s="139"/>
      <c r="BJ387" s="139"/>
      <c r="BK387" s="139"/>
      <c r="BL387" s="139"/>
      <c r="BM387" s="139"/>
      <c r="BN387" s="139"/>
      <c r="BO387" s="139"/>
      <c r="BP387" s="139"/>
      <c r="BQ387" s="139"/>
      <c r="BR387" s="139"/>
      <c r="BS387" s="139"/>
      <c r="BT387" s="139"/>
      <c r="BU387" s="139"/>
      <c r="BV387" s="139"/>
      <c r="BW387" s="139"/>
      <c r="BX387" s="139"/>
      <c r="BY387" s="139"/>
      <c r="BZ387" s="139"/>
      <c r="CA387" s="139"/>
      <c r="CB387" s="139"/>
      <c r="CC387" s="139"/>
      <c r="CD387" s="139"/>
      <c r="CE387" s="139"/>
      <c r="CF387" s="0"/>
      <c r="CN387" s="0"/>
      <c r="CO387" s="0"/>
      <c r="CP387" s="0"/>
      <c r="CQ387" s="0"/>
      <c r="CR387" s="0"/>
      <c r="CS387" s="120"/>
      <c r="CT387" s="209"/>
      <c r="CU387" s="210"/>
      <c r="CV387" s="210"/>
      <c r="CW387" s="181" t="n">
        <f aca="false">EOMONTH(CW386,0)+1</f>
        <v>48549</v>
      </c>
      <c r="CX387" s="182" t="n">
        <f aca="false">IF(AF387=0,CX375,AF387)</f>
        <v>0.2</v>
      </c>
      <c r="CY387" s="182" t="n">
        <f aca="false">IF(AG387=0,CY375,AG387)</f>
        <v>0.25</v>
      </c>
      <c r="CZ387" s="182" t="n">
        <f aca="false">IF(AH387=0,CZ375,AH387)</f>
        <v>0.3</v>
      </c>
      <c r="DB387" s="161" t="n">
        <f aca="false">IF(X387=0,DB375,X387)</f>
        <v>0.16</v>
      </c>
      <c r="DC387" s="161" t="n">
        <f aca="false">IF(Y387=0,DC375,Y387)</f>
        <v>0.2</v>
      </c>
      <c r="DD387" s="161" t="n">
        <f aca="false">IF(Z387=0,DD375,Z387)</f>
        <v>0.24</v>
      </c>
      <c r="DE387" s="210"/>
      <c r="DF387" s="181" t="n">
        <f aca="false">IF(BF387=0,EOMONTH(DF386,0)+1,BF387)</f>
        <v>48549</v>
      </c>
      <c r="DG387" s="207" t="n">
        <f aca="false">IF(BG387=0,DG375,BG387)</f>
        <v>0.75</v>
      </c>
      <c r="DJ387" s="181" t="n">
        <f aca="false">CW387</f>
        <v>48549</v>
      </c>
      <c r="DK387" s="182" t="n">
        <f aca="false">IF(AJ387=0,DK375,AJ387)</f>
        <v>0.12</v>
      </c>
      <c r="DL387" s="182" t="n">
        <f aca="false">IF(AK387=0,DL375,AK387)</f>
        <v>0.15</v>
      </c>
      <c r="DM387" s="182" t="n">
        <f aca="false">IF(AL387=0,DM375,AL387)</f>
        <v>0.18</v>
      </c>
      <c r="DO387" s="182" t="n">
        <f aca="false">IF(AB387=0,DO375,AB387)</f>
        <v>0.08</v>
      </c>
      <c r="DP387" s="182" t="n">
        <f aca="false">IF(AC387=0,DP375,AC387)</f>
        <v>0.1</v>
      </c>
      <c r="DQ387" s="182" t="n">
        <f aca="false">IF(AD387=0,DQ375,AD387)</f>
        <v>0.12</v>
      </c>
    </row>
    <row r="388" customFormat="false" ht="12.75" hidden="false" customHeight="false" outlineLevel="0" collapsed="false">
      <c r="A388" s="130"/>
      <c r="B388" s="139"/>
      <c r="C388" s="139"/>
      <c r="D388" s="139"/>
      <c r="E388" s="139"/>
      <c r="F388" s="139"/>
      <c r="G388" s="139"/>
      <c r="H388" s="139"/>
      <c r="I388" s="139"/>
      <c r="J388" s="139"/>
      <c r="K388" s="141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41"/>
      <c r="BG388" s="139"/>
      <c r="BH388" s="139"/>
      <c r="BI388" s="139"/>
      <c r="BJ388" s="139"/>
      <c r="BK388" s="139"/>
      <c r="BL388" s="139"/>
      <c r="BM388" s="139"/>
      <c r="BN388" s="139"/>
      <c r="BO388" s="139"/>
      <c r="BP388" s="139"/>
      <c r="BQ388" s="139"/>
      <c r="BR388" s="139"/>
      <c r="BS388" s="139"/>
      <c r="BT388" s="139"/>
      <c r="BU388" s="139"/>
      <c r="BV388" s="139"/>
      <c r="BW388" s="139"/>
      <c r="BX388" s="139"/>
      <c r="BY388" s="139"/>
      <c r="BZ388" s="139"/>
      <c r="CA388" s="139"/>
      <c r="CB388" s="139"/>
      <c r="CC388" s="139"/>
      <c r="CD388" s="139"/>
      <c r="CE388" s="139"/>
      <c r="CF388" s="0"/>
      <c r="CN388" s="0"/>
      <c r="CO388" s="0"/>
      <c r="CP388" s="0"/>
      <c r="CQ388" s="0"/>
      <c r="CR388" s="0"/>
      <c r="CS388" s="120"/>
      <c r="CT388" s="209"/>
      <c r="CU388" s="210"/>
      <c r="CV388" s="210"/>
      <c r="CW388" s="181" t="n">
        <f aca="false">EOMONTH(CW387,0)+1</f>
        <v>48580</v>
      </c>
      <c r="CX388" s="182" t="n">
        <f aca="false">IF(AF388=0,CX376,AF388)</f>
        <v>0.2</v>
      </c>
      <c r="CY388" s="182" t="n">
        <f aca="false">IF(AG388=0,CY376,AG388)</f>
        <v>0.25</v>
      </c>
      <c r="CZ388" s="182" t="n">
        <f aca="false">IF(AH388=0,CZ376,AH388)</f>
        <v>0.3</v>
      </c>
      <c r="DB388" s="161" t="n">
        <f aca="false">IF(X388=0,DB376,X388)</f>
        <v>0.16</v>
      </c>
      <c r="DC388" s="161" t="n">
        <f aca="false">IF(Y388=0,DC376,Y388)</f>
        <v>0.2</v>
      </c>
      <c r="DD388" s="161" t="n">
        <f aca="false">IF(Z388=0,DD376,Z388)</f>
        <v>0.24</v>
      </c>
      <c r="DE388" s="210"/>
      <c r="DF388" s="181" t="n">
        <f aca="false">IF(BF388=0,EOMONTH(DF387,0)+1,BF388)</f>
        <v>48580</v>
      </c>
      <c r="DG388" s="207" t="n">
        <f aca="false">IF(BG388=0,DG376,BG388)</f>
        <v>0.75</v>
      </c>
      <c r="DJ388" s="181" t="n">
        <f aca="false">CW388</f>
        <v>48580</v>
      </c>
      <c r="DK388" s="182" t="n">
        <f aca="false">IF(AJ388=0,DK376,AJ388)</f>
        <v>0.12</v>
      </c>
      <c r="DL388" s="182" t="n">
        <f aca="false">IF(AK388=0,DL376,AK388)</f>
        <v>0.15</v>
      </c>
      <c r="DM388" s="182" t="n">
        <f aca="false">IF(AL388=0,DM376,AL388)</f>
        <v>0.18</v>
      </c>
      <c r="DO388" s="182" t="n">
        <f aca="false">IF(AB388=0,DO376,AB388)</f>
        <v>0.08</v>
      </c>
      <c r="DP388" s="182" t="n">
        <f aca="false">IF(AC388=0,DP376,AC388)</f>
        <v>0.1</v>
      </c>
      <c r="DQ388" s="182" t="n">
        <f aca="false">IF(AD388=0,DQ376,AD388)</f>
        <v>0.12</v>
      </c>
    </row>
    <row r="389" customFormat="false" ht="12.75" hidden="false" customHeight="false" outlineLevel="0" collapsed="false">
      <c r="A389" s="130"/>
      <c r="B389" s="139"/>
      <c r="C389" s="139"/>
      <c r="D389" s="139"/>
      <c r="E389" s="139"/>
      <c r="F389" s="139"/>
      <c r="G389" s="139"/>
      <c r="H389" s="139"/>
      <c r="I389" s="139"/>
      <c r="J389" s="139"/>
      <c r="K389" s="141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39"/>
      <c r="AY389" s="139"/>
      <c r="AZ389" s="139"/>
      <c r="BA389" s="139"/>
      <c r="BB389" s="139"/>
      <c r="BC389" s="139"/>
      <c r="BD389" s="139"/>
      <c r="BE389" s="139"/>
      <c r="BF389" s="141"/>
      <c r="BG389" s="139"/>
      <c r="BH389" s="139"/>
      <c r="BI389" s="139"/>
      <c r="BJ389" s="139"/>
      <c r="BK389" s="139"/>
      <c r="BL389" s="139"/>
      <c r="BM389" s="139"/>
      <c r="BN389" s="139"/>
      <c r="BO389" s="139"/>
      <c r="BP389" s="139"/>
      <c r="BQ389" s="139"/>
      <c r="BR389" s="139"/>
      <c r="BS389" s="139"/>
      <c r="BT389" s="139"/>
      <c r="BU389" s="139"/>
      <c r="BV389" s="139"/>
      <c r="BW389" s="139"/>
      <c r="BX389" s="139"/>
      <c r="BY389" s="139"/>
      <c r="BZ389" s="139"/>
      <c r="CA389" s="139"/>
      <c r="CB389" s="139"/>
      <c r="CC389" s="139"/>
      <c r="CD389" s="139"/>
      <c r="CE389" s="139"/>
      <c r="CF389" s="0"/>
      <c r="CN389" s="0"/>
      <c r="CO389" s="0"/>
      <c r="CP389" s="0"/>
      <c r="CQ389" s="0"/>
      <c r="CR389" s="0"/>
      <c r="CS389" s="120"/>
      <c r="CT389" s="209"/>
      <c r="CU389" s="210"/>
      <c r="CV389" s="210"/>
      <c r="CW389" s="181" t="n">
        <f aca="false">EOMONTH(CW388,0)+1</f>
        <v>48611</v>
      </c>
      <c r="CX389" s="182" t="n">
        <f aca="false">IF(AF389=0,CX377,AF389)</f>
        <v>0.2</v>
      </c>
      <c r="CY389" s="182" t="n">
        <f aca="false">IF(AG389=0,CY377,AG389)</f>
        <v>0.25</v>
      </c>
      <c r="CZ389" s="182" t="n">
        <f aca="false">IF(AH389=0,CZ377,AH389)</f>
        <v>0.3</v>
      </c>
      <c r="DB389" s="161" t="n">
        <f aca="false">IF(X389=0,DB377,X389)</f>
        <v>0</v>
      </c>
      <c r="DC389" s="161" t="n">
        <f aca="false">IF(Y389=0,DC377,Y389)</f>
        <v>0</v>
      </c>
      <c r="DD389" s="161" t="n">
        <f aca="false">IF(Z389=0,DD377,Z389)</f>
        <v>0</v>
      </c>
      <c r="DE389" s="210"/>
      <c r="DF389" s="181" t="n">
        <f aca="false">IF(BF389=0,EOMONTH(DF388,0)+1,BF389)</f>
        <v>48611</v>
      </c>
      <c r="DG389" s="207" t="n">
        <f aca="false">IF(BG389=0,DG377,BG389)</f>
        <v>0</v>
      </c>
      <c r="DJ389" s="181" t="n">
        <f aca="false">CW389</f>
        <v>48611</v>
      </c>
      <c r="DK389" s="182" t="n">
        <f aca="false">IF(AJ389=0,DK377,AJ389)</f>
        <v>0.12</v>
      </c>
      <c r="DL389" s="182" t="n">
        <f aca="false">IF(AK389=0,DL377,AK389)</f>
        <v>0.15</v>
      </c>
      <c r="DM389" s="182" t="n">
        <f aca="false">IF(AL389=0,DM377,AL389)</f>
        <v>0.18</v>
      </c>
      <c r="DO389" s="182" t="n">
        <f aca="false">IF(AB389=0,DO377,AB389)</f>
        <v>0</v>
      </c>
      <c r="DP389" s="182" t="n">
        <f aca="false">IF(AC389=0,DP377,AC389)</f>
        <v>0</v>
      </c>
      <c r="DQ389" s="182" t="n">
        <f aca="false">IF(AD389=0,DQ377,AD389)</f>
        <v>0</v>
      </c>
    </row>
    <row r="390" customFormat="false" ht="12.75" hidden="false" customHeight="false" outlineLevel="0" collapsed="false">
      <c r="A390" s="130"/>
      <c r="B390" s="139"/>
      <c r="C390" s="139"/>
      <c r="D390" s="139"/>
      <c r="E390" s="139"/>
      <c r="F390" s="139"/>
      <c r="G390" s="139"/>
      <c r="H390" s="139"/>
      <c r="I390" s="139"/>
      <c r="J390" s="139"/>
      <c r="K390" s="141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39"/>
      <c r="AY390" s="139"/>
      <c r="AZ390" s="139"/>
      <c r="BA390" s="139"/>
      <c r="BB390" s="139"/>
      <c r="BC390" s="139"/>
      <c r="BD390" s="139"/>
      <c r="BE390" s="139"/>
      <c r="BF390" s="141"/>
      <c r="BG390" s="139"/>
      <c r="BH390" s="139"/>
      <c r="BI390" s="139"/>
      <c r="BJ390" s="139"/>
      <c r="BK390" s="139"/>
      <c r="BL390" s="139"/>
      <c r="BM390" s="139"/>
      <c r="BN390" s="139"/>
      <c r="BO390" s="139"/>
      <c r="BP390" s="139"/>
      <c r="BQ390" s="139"/>
      <c r="BR390" s="139"/>
      <c r="BS390" s="139"/>
      <c r="BT390" s="139"/>
      <c r="BU390" s="139"/>
      <c r="BV390" s="139"/>
      <c r="BW390" s="139"/>
      <c r="BX390" s="139"/>
      <c r="BY390" s="139"/>
      <c r="BZ390" s="139"/>
      <c r="CA390" s="139"/>
      <c r="CB390" s="139"/>
      <c r="CC390" s="139"/>
      <c r="CD390" s="139"/>
      <c r="CE390" s="139"/>
      <c r="CF390" s="0"/>
      <c r="CN390" s="0"/>
      <c r="CO390" s="0"/>
      <c r="CP390" s="0"/>
      <c r="CQ390" s="0"/>
      <c r="CR390" s="0"/>
      <c r="CS390" s="120"/>
      <c r="CT390" s="209"/>
      <c r="CU390" s="210"/>
      <c r="CV390" s="210"/>
      <c r="CW390" s="181" t="n">
        <f aca="false">EOMONTH(CW389,0)+1</f>
        <v>48639</v>
      </c>
      <c r="CX390" s="182" t="n">
        <f aca="false">IF(AF390=0,CX378,AF390)</f>
        <v>0.2</v>
      </c>
      <c r="CY390" s="182" t="n">
        <f aca="false">IF(AG390=0,CY378,AG390)</f>
        <v>0.25</v>
      </c>
      <c r="CZ390" s="182" t="n">
        <f aca="false">IF(AH390=0,CZ378,AH390)</f>
        <v>0.3</v>
      </c>
      <c r="DB390" s="161" t="n">
        <f aca="false">IF(X390=0,DB378,X390)</f>
        <v>0.16</v>
      </c>
      <c r="DC390" s="161" t="n">
        <f aca="false">IF(Y390=0,DC378,Y390)</f>
        <v>0.2</v>
      </c>
      <c r="DD390" s="161" t="n">
        <f aca="false">IF(Z390=0,DD378,Z390)</f>
        <v>0.24</v>
      </c>
      <c r="DE390" s="210"/>
      <c r="DF390" s="181" t="n">
        <f aca="false">IF(BF390=0,EOMONTH(DF389,0)+1,BF390)</f>
        <v>48639</v>
      </c>
      <c r="DG390" s="207" t="n">
        <f aca="false">IF(BG390=0,DG378,BG390)</f>
        <v>0.75</v>
      </c>
      <c r="DJ390" s="181" t="n">
        <f aca="false">CW390</f>
        <v>48639</v>
      </c>
      <c r="DK390" s="182" t="n">
        <f aca="false">IF(AJ390=0,DK378,AJ390)</f>
        <v>0.12</v>
      </c>
      <c r="DL390" s="182" t="n">
        <f aca="false">IF(AK390=0,DL378,AK390)</f>
        <v>0.15</v>
      </c>
      <c r="DM390" s="182" t="n">
        <f aca="false">IF(AL390=0,DM378,AL390)</f>
        <v>0.18</v>
      </c>
      <c r="DO390" s="182" t="n">
        <f aca="false">IF(AB390=0,DO378,AB390)</f>
        <v>0.08</v>
      </c>
      <c r="DP390" s="182" t="n">
        <f aca="false">IF(AC390=0,DP378,AC390)</f>
        <v>0.1</v>
      </c>
      <c r="DQ390" s="182" t="n">
        <f aca="false">IF(AD390=0,DQ378,AD390)</f>
        <v>0.12</v>
      </c>
    </row>
    <row r="391" customFormat="false" ht="12.75" hidden="false" customHeight="false" outlineLevel="0" collapsed="false">
      <c r="A391" s="130"/>
      <c r="B391" s="139"/>
      <c r="C391" s="139"/>
      <c r="D391" s="139"/>
      <c r="E391" s="139"/>
      <c r="F391" s="139"/>
      <c r="G391" s="139"/>
      <c r="H391" s="139"/>
      <c r="I391" s="139"/>
      <c r="J391" s="139"/>
      <c r="K391" s="141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41"/>
      <c r="BG391" s="139"/>
      <c r="BH391" s="139"/>
      <c r="BI391" s="139"/>
      <c r="BJ391" s="139"/>
      <c r="BK391" s="139"/>
      <c r="BL391" s="139"/>
      <c r="BM391" s="139"/>
      <c r="BN391" s="139"/>
      <c r="BO391" s="139"/>
      <c r="BP391" s="139"/>
      <c r="BQ391" s="139"/>
      <c r="BR391" s="139"/>
      <c r="BS391" s="139"/>
      <c r="BT391" s="139"/>
      <c r="BU391" s="139"/>
      <c r="BV391" s="139"/>
      <c r="BW391" s="139"/>
      <c r="BX391" s="139"/>
      <c r="BY391" s="139"/>
      <c r="BZ391" s="139"/>
      <c r="CA391" s="139"/>
      <c r="CB391" s="139"/>
      <c r="CC391" s="139"/>
      <c r="CD391" s="139"/>
      <c r="CE391" s="139"/>
      <c r="CF391" s="0"/>
      <c r="CN391" s="0"/>
      <c r="CO391" s="0"/>
      <c r="CP391" s="0"/>
      <c r="CQ391" s="0"/>
      <c r="CR391" s="0"/>
      <c r="CS391" s="120"/>
      <c r="CT391" s="209"/>
      <c r="CU391" s="210"/>
      <c r="CV391" s="210"/>
      <c r="CW391" s="181" t="n">
        <f aca="false">EOMONTH(CW390,0)+1</f>
        <v>48670</v>
      </c>
      <c r="CX391" s="182" t="n">
        <f aca="false">IF(AF391=0,CX379,AF391)</f>
        <v>0.2</v>
      </c>
      <c r="CY391" s="182" t="n">
        <f aca="false">IF(AG391=0,CY379,AG391)</f>
        <v>0.25</v>
      </c>
      <c r="CZ391" s="182" t="n">
        <f aca="false">IF(AH391=0,CZ379,AH391)</f>
        <v>0.3</v>
      </c>
      <c r="DB391" s="161" t="n">
        <f aca="false">IF(X391=0,DB379,X391)</f>
        <v>0.16</v>
      </c>
      <c r="DC391" s="161" t="n">
        <f aca="false">IF(Y391=0,DC379,Y391)</f>
        <v>0.2</v>
      </c>
      <c r="DD391" s="161" t="n">
        <f aca="false">IF(Z391=0,DD379,Z391)</f>
        <v>0.24</v>
      </c>
      <c r="DE391" s="210"/>
      <c r="DF391" s="181" t="n">
        <f aca="false">IF(BF391=0,EOMONTH(DF390,0)+1,BF391)</f>
        <v>48670</v>
      </c>
      <c r="DG391" s="207" t="n">
        <f aca="false">IF(BG391=0,DG379,BG391)</f>
        <v>0.75</v>
      </c>
      <c r="DJ391" s="181" t="n">
        <f aca="false">CW391</f>
        <v>48670</v>
      </c>
      <c r="DK391" s="182" t="n">
        <f aca="false">IF(AJ391=0,DK379,AJ391)</f>
        <v>0.12</v>
      </c>
      <c r="DL391" s="182" t="n">
        <f aca="false">IF(AK391=0,DL379,AK391)</f>
        <v>0.15</v>
      </c>
      <c r="DM391" s="182" t="n">
        <f aca="false">IF(AL391=0,DM379,AL391)</f>
        <v>0.18</v>
      </c>
      <c r="DO391" s="182" t="n">
        <f aca="false">IF(AB391=0,DO379,AB391)</f>
        <v>0.08</v>
      </c>
      <c r="DP391" s="182" t="n">
        <f aca="false">IF(AC391=0,DP379,AC391)</f>
        <v>0.1</v>
      </c>
      <c r="DQ391" s="182" t="n">
        <f aca="false">IF(AD391=0,DQ379,AD391)</f>
        <v>0.12</v>
      </c>
    </row>
    <row r="392" customFormat="false" ht="12.75" hidden="false" customHeight="false" outlineLevel="0" collapsed="false">
      <c r="A392" s="130"/>
      <c r="B392" s="139"/>
      <c r="C392" s="139"/>
      <c r="D392" s="139"/>
      <c r="E392" s="139"/>
      <c r="F392" s="139"/>
      <c r="G392" s="139"/>
      <c r="H392" s="139"/>
      <c r="I392" s="139"/>
      <c r="J392" s="139"/>
      <c r="K392" s="141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139"/>
      <c r="BA392" s="139"/>
      <c r="BB392" s="139"/>
      <c r="BC392" s="139"/>
      <c r="BD392" s="139"/>
      <c r="BE392" s="139"/>
      <c r="BF392" s="141"/>
      <c r="BG392" s="139"/>
      <c r="BH392" s="139"/>
      <c r="BI392" s="139"/>
      <c r="BJ392" s="139"/>
      <c r="BK392" s="139"/>
      <c r="BL392" s="139"/>
      <c r="BM392" s="139"/>
      <c r="BN392" s="139"/>
      <c r="BO392" s="139"/>
      <c r="BP392" s="139"/>
      <c r="BQ392" s="139"/>
      <c r="BR392" s="139"/>
      <c r="BS392" s="139"/>
      <c r="BT392" s="139"/>
      <c r="BU392" s="139"/>
      <c r="BV392" s="139"/>
      <c r="BW392" s="139"/>
      <c r="BX392" s="139"/>
      <c r="BY392" s="139"/>
      <c r="BZ392" s="139"/>
      <c r="CA392" s="139"/>
      <c r="CB392" s="139"/>
      <c r="CC392" s="139"/>
      <c r="CD392" s="139"/>
      <c r="CE392" s="139"/>
      <c r="CF392" s="0"/>
      <c r="CN392" s="0"/>
      <c r="CO392" s="0"/>
      <c r="CP392" s="0"/>
      <c r="CQ392" s="0"/>
      <c r="CR392" s="0"/>
      <c r="CS392" s="120"/>
      <c r="CT392" s="209"/>
      <c r="CU392" s="210"/>
      <c r="CV392" s="210"/>
      <c r="CW392" s="181" t="n">
        <f aca="false">EOMONTH(CW391,0)+1</f>
        <v>48700</v>
      </c>
      <c r="CX392" s="182" t="n">
        <f aca="false">IF(AF392=0,CX380,AF392)</f>
        <v>0.2</v>
      </c>
      <c r="CY392" s="182" t="n">
        <f aca="false">IF(AG392=0,CY380,AG392)</f>
        <v>0.25</v>
      </c>
      <c r="CZ392" s="182" t="n">
        <f aca="false">IF(AH392=0,CZ380,AH392)</f>
        <v>0.3</v>
      </c>
      <c r="DB392" s="161" t="n">
        <f aca="false">IF(X392=0,DB380,X392)</f>
        <v>0.16</v>
      </c>
      <c r="DC392" s="161" t="n">
        <f aca="false">IF(Y392=0,DC380,Y392)</f>
        <v>0.2</v>
      </c>
      <c r="DD392" s="161" t="n">
        <f aca="false">IF(Z392=0,DD380,Z392)</f>
        <v>0.24</v>
      </c>
      <c r="DE392" s="210"/>
      <c r="DF392" s="181" t="n">
        <f aca="false">IF(BF392=0,EOMONTH(DF391,0)+1,BF392)</f>
        <v>48700</v>
      </c>
      <c r="DG392" s="207" t="n">
        <f aca="false">IF(BG392=0,DG380,BG392)</f>
        <v>0.75</v>
      </c>
      <c r="DJ392" s="181" t="n">
        <f aca="false">CW392</f>
        <v>48700</v>
      </c>
      <c r="DK392" s="182" t="n">
        <f aca="false">IF(AJ392=0,DK380,AJ392)</f>
        <v>0.12</v>
      </c>
      <c r="DL392" s="182" t="n">
        <f aca="false">IF(AK392=0,DL380,AK392)</f>
        <v>0.15</v>
      </c>
      <c r="DM392" s="182" t="n">
        <f aca="false">IF(AL392=0,DM380,AL392)</f>
        <v>0.18</v>
      </c>
      <c r="DO392" s="182" t="n">
        <f aca="false">IF(AB392=0,DO380,AB392)</f>
        <v>0.08</v>
      </c>
      <c r="DP392" s="182" t="n">
        <f aca="false">IF(AC392=0,DP380,AC392)</f>
        <v>0.1</v>
      </c>
      <c r="DQ392" s="182" t="n">
        <f aca="false">IF(AD392=0,DQ380,AD392)</f>
        <v>0.12</v>
      </c>
    </row>
    <row r="393" customFormat="false" ht="12.75" hidden="false" customHeight="false" outlineLevel="0" collapsed="false">
      <c r="A393" s="130"/>
      <c r="B393" s="139"/>
      <c r="C393" s="139"/>
      <c r="D393" s="139"/>
      <c r="E393" s="139"/>
      <c r="F393" s="139"/>
      <c r="G393" s="139"/>
      <c r="H393" s="139"/>
      <c r="I393" s="139"/>
      <c r="J393" s="139"/>
      <c r="K393" s="141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  <c r="AX393" s="139"/>
      <c r="AY393" s="139"/>
      <c r="AZ393" s="139"/>
      <c r="BA393" s="139"/>
      <c r="BB393" s="139"/>
      <c r="BC393" s="139"/>
      <c r="BD393" s="139"/>
      <c r="BE393" s="139"/>
      <c r="BF393" s="141"/>
      <c r="BG393" s="139"/>
      <c r="BH393" s="139"/>
      <c r="BI393" s="139"/>
      <c r="BJ393" s="139"/>
      <c r="BK393" s="139"/>
      <c r="BL393" s="139"/>
      <c r="BM393" s="139"/>
      <c r="BN393" s="139"/>
      <c r="BO393" s="139"/>
      <c r="BP393" s="139"/>
      <c r="BQ393" s="139"/>
      <c r="BR393" s="139"/>
      <c r="BS393" s="139"/>
      <c r="BT393" s="139"/>
      <c r="BU393" s="139"/>
      <c r="BV393" s="139"/>
      <c r="BW393" s="139"/>
      <c r="BX393" s="139"/>
      <c r="BY393" s="139"/>
      <c r="BZ393" s="139"/>
      <c r="CA393" s="139"/>
      <c r="CB393" s="139"/>
      <c r="CC393" s="139"/>
      <c r="CD393" s="139"/>
      <c r="CE393" s="139"/>
      <c r="CF393" s="0"/>
      <c r="CN393" s="0"/>
      <c r="CO393" s="0"/>
      <c r="CP393" s="0"/>
      <c r="CQ393" s="0"/>
      <c r="CR393" s="0"/>
      <c r="CS393" s="120"/>
      <c r="CT393" s="209"/>
      <c r="CU393" s="210"/>
      <c r="CV393" s="210"/>
      <c r="CW393" s="181" t="n">
        <f aca="false">EOMONTH(CW392,0)+1</f>
        <v>48731</v>
      </c>
      <c r="CX393" s="182" t="n">
        <f aca="false">IF(AF393=0,CX381,AF393)</f>
        <v>0.2</v>
      </c>
      <c r="CY393" s="182" t="n">
        <f aca="false">IF(AG393=0,CY381,AG393)</f>
        <v>0.25</v>
      </c>
      <c r="CZ393" s="182" t="n">
        <f aca="false">IF(AH393=0,CZ381,AH393)</f>
        <v>0.3</v>
      </c>
      <c r="DB393" s="161" t="n">
        <f aca="false">IF(X393=0,DB381,X393)</f>
        <v>0.16</v>
      </c>
      <c r="DC393" s="161" t="n">
        <f aca="false">IF(Y393=0,DC381,Y393)</f>
        <v>0.2</v>
      </c>
      <c r="DD393" s="161" t="n">
        <f aca="false">IF(Z393=0,DD381,Z393)</f>
        <v>0.24</v>
      </c>
      <c r="DE393" s="210"/>
      <c r="DF393" s="181" t="n">
        <f aca="false">IF(BF393=0,EOMONTH(DF392,0)+1,BF393)</f>
        <v>48731</v>
      </c>
      <c r="DG393" s="207" t="n">
        <f aca="false">IF(BG393=0,DG381,BG393)</f>
        <v>0.75</v>
      </c>
      <c r="DJ393" s="181" t="n">
        <f aca="false">CW393</f>
        <v>48731</v>
      </c>
      <c r="DK393" s="182" t="n">
        <f aca="false">IF(AJ393=0,DK381,AJ393)</f>
        <v>0.12</v>
      </c>
      <c r="DL393" s="182" t="n">
        <f aca="false">IF(AK393=0,DL381,AK393)</f>
        <v>0.15</v>
      </c>
      <c r="DM393" s="182" t="n">
        <f aca="false">IF(AL393=0,DM381,AL393)</f>
        <v>0.18</v>
      </c>
      <c r="DO393" s="182" t="n">
        <f aca="false">IF(AB393=0,DO381,AB393)</f>
        <v>0.08</v>
      </c>
      <c r="DP393" s="182" t="n">
        <f aca="false">IF(AC393=0,DP381,AC393)</f>
        <v>0.1</v>
      </c>
      <c r="DQ393" s="182" t="n">
        <f aca="false">IF(AD393=0,DQ381,AD393)</f>
        <v>0.12</v>
      </c>
    </row>
    <row r="394" customFormat="false" ht="12.75" hidden="false" customHeight="false" outlineLevel="0" collapsed="false">
      <c r="A394" s="130"/>
      <c r="B394" s="139"/>
      <c r="C394" s="139"/>
      <c r="D394" s="139"/>
      <c r="E394" s="139"/>
      <c r="F394" s="139"/>
      <c r="G394" s="139"/>
      <c r="H394" s="139"/>
      <c r="I394" s="139"/>
      <c r="J394" s="139"/>
      <c r="K394" s="141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41"/>
      <c r="BG394" s="139"/>
      <c r="BH394" s="139"/>
      <c r="BI394" s="139"/>
      <c r="BJ394" s="139"/>
      <c r="BK394" s="139"/>
      <c r="BL394" s="139"/>
      <c r="BM394" s="139"/>
      <c r="BN394" s="139"/>
      <c r="BO394" s="139"/>
      <c r="BP394" s="139"/>
      <c r="BQ394" s="139"/>
      <c r="BR394" s="139"/>
      <c r="BS394" s="139"/>
      <c r="BT394" s="139"/>
      <c r="BU394" s="139"/>
      <c r="BV394" s="139"/>
      <c r="BW394" s="139"/>
      <c r="BX394" s="139"/>
      <c r="BY394" s="139"/>
      <c r="BZ394" s="139"/>
      <c r="CA394" s="139"/>
      <c r="CB394" s="139"/>
      <c r="CC394" s="139"/>
      <c r="CD394" s="139"/>
      <c r="CE394" s="139"/>
      <c r="CF394" s="0"/>
      <c r="CN394" s="0"/>
      <c r="CO394" s="0"/>
      <c r="CP394" s="0"/>
      <c r="CQ394" s="0"/>
      <c r="CR394" s="0"/>
      <c r="CS394" s="120"/>
      <c r="CT394" s="209"/>
      <c r="CU394" s="210"/>
      <c r="CV394" s="210"/>
      <c r="CW394" s="210"/>
      <c r="CX394" s="133"/>
      <c r="CY394" s="133"/>
      <c r="CZ394" s="133"/>
      <c r="DB394" s="133"/>
      <c r="DD394" s="212"/>
      <c r="DE394" s="210"/>
      <c r="DF394" s="213"/>
      <c r="DG394" s="133"/>
    </row>
    <row r="395" customFormat="false" ht="12.75" hidden="false" customHeight="false" outlineLevel="0" collapsed="false">
      <c r="A395" s="130"/>
      <c r="B395" s="139"/>
      <c r="C395" s="139"/>
      <c r="D395" s="139"/>
      <c r="E395" s="139"/>
      <c r="F395" s="139"/>
      <c r="G395" s="139"/>
      <c r="H395" s="139"/>
      <c r="I395" s="139"/>
      <c r="J395" s="139"/>
      <c r="K395" s="141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41"/>
      <c r="BG395" s="139"/>
      <c r="BH395" s="139"/>
      <c r="BI395" s="139"/>
      <c r="BJ395" s="139"/>
      <c r="BK395" s="139"/>
      <c r="BL395" s="139"/>
      <c r="BM395" s="139"/>
      <c r="BN395" s="139"/>
      <c r="BO395" s="139"/>
      <c r="BP395" s="139"/>
      <c r="BQ395" s="139"/>
      <c r="BR395" s="139"/>
      <c r="BS395" s="139"/>
      <c r="BT395" s="139"/>
      <c r="BU395" s="139"/>
      <c r="BV395" s="139"/>
      <c r="BW395" s="139"/>
      <c r="BX395" s="139"/>
      <c r="BY395" s="139"/>
      <c r="BZ395" s="139"/>
      <c r="CA395" s="139"/>
      <c r="CB395" s="139"/>
      <c r="CC395" s="139"/>
      <c r="CD395" s="139"/>
      <c r="CE395" s="139"/>
      <c r="CF395" s="0"/>
      <c r="CN395" s="0"/>
      <c r="CO395" s="0"/>
      <c r="CP395" s="0"/>
      <c r="CQ395" s="0"/>
      <c r="CR395" s="0"/>
      <c r="CS395" s="120"/>
      <c r="CT395" s="209"/>
      <c r="CU395" s="210"/>
      <c r="CV395" s="210"/>
      <c r="CW395" s="210"/>
      <c r="CX395" s="133"/>
      <c r="CY395" s="133"/>
      <c r="CZ395" s="133"/>
      <c r="DB395" s="133"/>
      <c r="DD395" s="212"/>
      <c r="DE395" s="210"/>
      <c r="DF395" s="213"/>
      <c r="DG395" s="133"/>
    </row>
    <row r="396" customFormat="false" ht="12.75" hidden="false" customHeight="false" outlineLevel="0" collapsed="false">
      <c r="A396" s="130"/>
      <c r="B396" s="139"/>
      <c r="C396" s="139"/>
      <c r="D396" s="139"/>
      <c r="E396" s="139"/>
      <c r="F396" s="139"/>
      <c r="G396" s="139"/>
      <c r="H396" s="139"/>
      <c r="I396" s="139"/>
      <c r="J396" s="139"/>
      <c r="K396" s="141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41"/>
      <c r="BG396" s="139"/>
      <c r="BH396" s="139"/>
      <c r="BI396" s="139"/>
      <c r="BJ396" s="139"/>
      <c r="BK396" s="139"/>
      <c r="BL396" s="139"/>
      <c r="BM396" s="139"/>
      <c r="BN396" s="139"/>
      <c r="BO396" s="139"/>
      <c r="BP396" s="139"/>
      <c r="BQ396" s="139"/>
      <c r="BR396" s="139"/>
      <c r="BS396" s="139"/>
      <c r="BT396" s="139"/>
      <c r="BU396" s="139"/>
      <c r="BV396" s="139"/>
      <c r="BW396" s="139"/>
      <c r="BX396" s="139"/>
      <c r="BY396" s="139"/>
      <c r="BZ396" s="139"/>
      <c r="CA396" s="139"/>
      <c r="CB396" s="139"/>
      <c r="CC396" s="139"/>
      <c r="CD396" s="139"/>
      <c r="CE396" s="139"/>
      <c r="CF396" s="0"/>
      <c r="CN396" s="0"/>
      <c r="CO396" s="0"/>
      <c r="CP396" s="0"/>
      <c r="CQ396" s="0"/>
      <c r="CR396" s="0"/>
      <c r="CS396" s="120"/>
      <c r="CT396" s="209"/>
      <c r="CU396" s="210"/>
      <c r="CV396" s="210"/>
      <c r="CW396" s="210"/>
      <c r="CX396" s="133"/>
      <c r="CY396" s="133"/>
      <c r="CZ396" s="133"/>
      <c r="DB396" s="133"/>
      <c r="DD396" s="212"/>
      <c r="DE396" s="210"/>
      <c r="DF396" s="213"/>
      <c r="DG396" s="133"/>
    </row>
    <row r="397" customFormat="false" ht="12.75" hidden="false" customHeight="false" outlineLevel="0" collapsed="false">
      <c r="A397" s="130"/>
      <c r="B397" s="139"/>
      <c r="C397" s="139"/>
      <c r="D397" s="139"/>
      <c r="E397" s="139"/>
      <c r="F397" s="139"/>
      <c r="G397" s="139"/>
      <c r="H397" s="139"/>
      <c r="I397" s="139"/>
      <c r="J397" s="139"/>
      <c r="K397" s="141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39"/>
      <c r="AY397" s="139"/>
      <c r="AZ397" s="139"/>
      <c r="BA397" s="139"/>
      <c r="BB397" s="139"/>
      <c r="BC397" s="139"/>
      <c r="BD397" s="139"/>
      <c r="BE397" s="139"/>
      <c r="BF397" s="141"/>
      <c r="BG397" s="139"/>
      <c r="BH397" s="139"/>
      <c r="BI397" s="139"/>
      <c r="BJ397" s="139"/>
      <c r="BK397" s="139"/>
      <c r="BL397" s="139"/>
      <c r="BM397" s="139"/>
      <c r="BN397" s="139"/>
      <c r="BO397" s="139"/>
      <c r="BP397" s="139"/>
      <c r="BQ397" s="139"/>
      <c r="BR397" s="139"/>
      <c r="BS397" s="139"/>
      <c r="BT397" s="139"/>
      <c r="BU397" s="139"/>
      <c r="BV397" s="139"/>
      <c r="BW397" s="139"/>
      <c r="BX397" s="139"/>
      <c r="BY397" s="139"/>
      <c r="BZ397" s="139"/>
      <c r="CA397" s="139"/>
      <c r="CB397" s="139"/>
      <c r="CC397" s="139"/>
      <c r="CD397" s="139"/>
      <c r="CE397" s="139"/>
      <c r="CF397" s="0"/>
      <c r="CN397" s="0"/>
      <c r="CO397" s="0"/>
      <c r="CP397" s="0"/>
      <c r="CQ397" s="0"/>
      <c r="CR397" s="0"/>
      <c r="CS397" s="120"/>
      <c r="CT397" s="209"/>
      <c r="CU397" s="210"/>
      <c r="CV397" s="210"/>
      <c r="CW397" s="210"/>
      <c r="CX397" s="133"/>
      <c r="CY397" s="133"/>
      <c r="CZ397" s="133"/>
      <c r="DB397" s="133"/>
      <c r="DD397" s="212"/>
      <c r="DE397" s="210"/>
      <c r="DF397" s="213"/>
      <c r="DG397" s="133"/>
    </row>
    <row r="398" customFormat="false" ht="12.75" hidden="false" customHeight="false" outlineLevel="0" collapsed="false">
      <c r="A398" s="130"/>
      <c r="B398" s="139"/>
      <c r="C398" s="139"/>
      <c r="D398" s="139"/>
      <c r="E398" s="139"/>
      <c r="F398" s="139"/>
      <c r="G398" s="139"/>
      <c r="H398" s="139"/>
      <c r="I398" s="139"/>
      <c r="J398" s="139"/>
      <c r="K398" s="141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41"/>
      <c r="BG398" s="139"/>
      <c r="BH398" s="139"/>
      <c r="BI398" s="139"/>
      <c r="BJ398" s="139"/>
      <c r="BK398" s="139"/>
      <c r="BL398" s="139"/>
      <c r="BM398" s="139"/>
      <c r="BN398" s="139"/>
      <c r="BO398" s="139"/>
      <c r="BP398" s="139"/>
      <c r="BQ398" s="139"/>
      <c r="BR398" s="139"/>
      <c r="BS398" s="139"/>
      <c r="BT398" s="139"/>
      <c r="BU398" s="139"/>
      <c r="BV398" s="139"/>
      <c r="BW398" s="139"/>
      <c r="BX398" s="139"/>
      <c r="BY398" s="139"/>
      <c r="BZ398" s="139"/>
      <c r="CA398" s="139"/>
      <c r="CB398" s="139"/>
      <c r="CC398" s="139"/>
      <c r="CD398" s="139"/>
      <c r="CE398" s="139"/>
      <c r="CF398" s="0"/>
      <c r="CN398" s="0"/>
      <c r="CO398" s="0"/>
      <c r="CP398" s="0"/>
      <c r="CQ398" s="0"/>
      <c r="CR398" s="0"/>
      <c r="CS398" s="120"/>
      <c r="CT398" s="209"/>
      <c r="CU398" s="210"/>
      <c r="CV398" s="210"/>
      <c r="CW398" s="210"/>
      <c r="CX398" s="133"/>
      <c r="CY398" s="133"/>
      <c r="CZ398" s="133"/>
      <c r="DB398" s="133"/>
      <c r="DD398" s="212"/>
      <c r="DE398" s="210"/>
      <c r="DF398" s="213"/>
      <c r="DG398" s="133"/>
    </row>
    <row r="399" customFormat="false" ht="12.75" hidden="false" customHeight="false" outlineLevel="0" collapsed="false">
      <c r="A399" s="130"/>
      <c r="B399" s="139"/>
      <c r="C399" s="139"/>
      <c r="D399" s="139"/>
      <c r="E399" s="139"/>
      <c r="F399" s="139"/>
      <c r="G399" s="139"/>
      <c r="H399" s="139"/>
      <c r="I399" s="139"/>
      <c r="J399" s="139"/>
      <c r="K399" s="141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41"/>
      <c r="BG399" s="139"/>
      <c r="BH399" s="139"/>
      <c r="BI399" s="139"/>
      <c r="BJ399" s="139"/>
      <c r="BK399" s="139"/>
      <c r="BL399" s="139"/>
      <c r="BM399" s="139"/>
      <c r="BN399" s="139"/>
      <c r="BO399" s="139"/>
      <c r="BP399" s="139"/>
      <c r="BQ399" s="139"/>
      <c r="BR399" s="139"/>
      <c r="BS399" s="139"/>
      <c r="BT399" s="139"/>
      <c r="BU399" s="139"/>
      <c r="BV399" s="139"/>
      <c r="BW399" s="139"/>
      <c r="BX399" s="139"/>
      <c r="BY399" s="139"/>
      <c r="BZ399" s="139"/>
      <c r="CA399" s="139"/>
      <c r="CB399" s="139"/>
      <c r="CC399" s="139"/>
      <c r="CD399" s="139"/>
      <c r="CE399" s="139"/>
      <c r="CF399" s="0"/>
      <c r="CN399" s="0"/>
      <c r="CO399" s="0"/>
      <c r="CP399" s="0"/>
      <c r="CQ399" s="0"/>
      <c r="CR399" s="0"/>
      <c r="CS399" s="120"/>
      <c r="CT399" s="209"/>
      <c r="CU399" s="210"/>
      <c r="CV399" s="210"/>
      <c r="CW399" s="210"/>
      <c r="CX399" s="133"/>
      <c r="CY399" s="133"/>
      <c r="CZ399" s="133"/>
      <c r="DB399" s="133"/>
      <c r="DD399" s="212"/>
      <c r="DE399" s="210"/>
      <c r="DF399" s="213"/>
      <c r="DG399" s="133"/>
    </row>
    <row r="400" customFormat="false" ht="12.75" hidden="false" customHeight="false" outlineLevel="0" collapsed="false">
      <c r="A400" s="130"/>
      <c r="B400" s="139"/>
      <c r="C400" s="139"/>
      <c r="D400" s="139"/>
      <c r="E400" s="139"/>
      <c r="F400" s="139"/>
      <c r="G400" s="139"/>
      <c r="H400" s="139"/>
      <c r="I400" s="139"/>
      <c r="J400" s="139"/>
      <c r="K400" s="141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  <c r="AX400" s="139"/>
      <c r="AY400" s="139"/>
      <c r="AZ400" s="139"/>
      <c r="BA400" s="139"/>
      <c r="BB400" s="139"/>
      <c r="BC400" s="139"/>
      <c r="BD400" s="139"/>
      <c r="BE400" s="139"/>
      <c r="BF400" s="141"/>
      <c r="BG400" s="139"/>
      <c r="BH400" s="139"/>
      <c r="BI400" s="139"/>
      <c r="BJ400" s="139"/>
      <c r="BK400" s="139"/>
      <c r="BL400" s="139"/>
      <c r="BM400" s="139"/>
      <c r="BN400" s="139"/>
      <c r="BO400" s="139"/>
      <c r="BP400" s="139"/>
      <c r="BQ400" s="139"/>
      <c r="BR400" s="139"/>
      <c r="BS400" s="139"/>
      <c r="BT400" s="139"/>
      <c r="BU400" s="139"/>
      <c r="BV400" s="139"/>
      <c r="BW400" s="139"/>
      <c r="BX400" s="139"/>
      <c r="BY400" s="139"/>
      <c r="BZ400" s="139"/>
      <c r="CA400" s="139"/>
      <c r="CB400" s="139"/>
      <c r="CC400" s="139"/>
      <c r="CD400" s="139"/>
      <c r="CE400" s="139"/>
      <c r="CF400" s="0"/>
      <c r="CN400" s="0"/>
      <c r="CO400" s="0"/>
      <c r="CP400" s="0"/>
      <c r="CQ400" s="0"/>
      <c r="CR400" s="0"/>
      <c r="CS400" s="120"/>
      <c r="CT400" s="209"/>
      <c r="CU400" s="210"/>
      <c r="CV400" s="210"/>
      <c r="CW400" s="210"/>
      <c r="CX400" s="133"/>
      <c r="CY400" s="133"/>
      <c r="CZ400" s="133"/>
      <c r="DB400" s="133"/>
      <c r="DD400" s="212"/>
      <c r="DE400" s="210"/>
      <c r="DF400" s="213"/>
      <c r="DG400" s="133"/>
    </row>
    <row r="401" customFormat="false" ht="12.75" hidden="false" customHeight="false" outlineLevel="0" collapsed="false">
      <c r="A401" s="130"/>
      <c r="B401" s="139"/>
      <c r="C401" s="139"/>
      <c r="D401" s="139"/>
      <c r="E401" s="139"/>
      <c r="F401" s="139"/>
      <c r="G401" s="139"/>
      <c r="H401" s="139"/>
      <c r="I401" s="139"/>
      <c r="J401" s="139"/>
      <c r="K401" s="141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39"/>
      <c r="AY401" s="139"/>
      <c r="AZ401" s="139"/>
      <c r="BA401" s="139"/>
      <c r="BB401" s="139"/>
      <c r="BC401" s="139"/>
      <c r="BD401" s="139"/>
      <c r="BE401" s="139"/>
      <c r="BF401" s="141"/>
      <c r="BG401" s="139"/>
      <c r="BH401" s="139"/>
      <c r="BI401" s="139"/>
      <c r="BJ401" s="139"/>
      <c r="BK401" s="139"/>
      <c r="BL401" s="139"/>
      <c r="BM401" s="139"/>
      <c r="BN401" s="139"/>
      <c r="BO401" s="139"/>
      <c r="BP401" s="139"/>
      <c r="BQ401" s="139"/>
      <c r="BR401" s="139"/>
      <c r="BS401" s="139"/>
      <c r="BT401" s="139"/>
      <c r="BU401" s="139"/>
      <c r="BV401" s="139"/>
      <c r="BW401" s="139"/>
      <c r="BX401" s="139"/>
      <c r="BY401" s="139"/>
      <c r="BZ401" s="139"/>
      <c r="CA401" s="139"/>
      <c r="CB401" s="139"/>
      <c r="CC401" s="139"/>
      <c r="CD401" s="139"/>
      <c r="CE401" s="139"/>
      <c r="CF401" s="0"/>
      <c r="CN401" s="0"/>
      <c r="CO401" s="0"/>
      <c r="CP401" s="0"/>
      <c r="CQ401" s="0"/>
      <c r="CR401" s="0"/>
      <c r="CS401" s="120"/>
      <c r="CT401" s="209"/>
      <c r="CU401" s="210"/>
      <c r="CV401" s="210"/>
      <c r="CW401" s="210"/>
      <c r="CX401" s="133"/>
      <c r="CY401" s="133"/>
      <c r="CZ401" s="133"/>
      <c r="DB401" s="133"/>
      <c r="DD401" s="212"/>
      <c r="DE401" s="210"/>
      <c r="DF401" s="213"/>
      <c r="DG401" s="133"/>
    </row>
    <row r="402" customFormat="false" ht="12.75" hidden="false" customHeight="false" outlineLevel="0" collapsed="false">
      <c r="B402" s="139"/>
      <c r="C402" s="139"/>
      <c r="D402" s="139"/>
      <c r="E402" s="139"/>
      <c r="F402" s="139"/>
      <c r="G402" s="139"/>
      <c r="H402" s="139"/>
      <c r="I402" s="139"/>
      <c r="J402" s="139"/>
      <c r="K402" s="141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39"/>
      <c r="AY402" s="139"/>
      <c r="AZ402" s="139"/>
      <c r="BA402" s="139"/>
      <c r="BB402" s="139"/>
      <c r="BC402" s="139"/>
      <c r="BD402" s="139"/>
      <c r="BE402" s="139"/>
      <c r="BF402" s="141"/>
      <c r="BG402" s="139"/>
      <c r="BH402" s="139"/>
      <c r="BI402" s="139"/>
      <c r="BJ402" s="139"/>
      <c r="BK402" s="139"/>
      <c r="BL402" s="139"/>
      <c r="BM402" s="139"/>
      <c r="BN402" s="139"/>
      <c r="BO402" s="139"/>
      <c r="BP402" s="139"/>
      <c r="BQ402" s="139"/>
      <c r="BR402" s="139"/>
      <c r="BS402" s="139"/>
      <c r="BT402" s="139"/>
      <c r="BU402" s="139"/>
      <c r="BV402" s="139"/>
      <c r="BW402" s="139"/>
      <c r="BX402" s="139"/>
      <c r="BY402" s="139"/>
      <c r="BZ402" s="139"/>
      <c r="CA402" s="139"/>
      <c r="CB402" s="139"/>
      <c r="CC402" s="139"/>
      <c r="CD402" s="139"/>
      <c r="CE402" s="139"/>
      <c r="CF402" s="0"/>
      <c r="CN402" s="0"/>
      <c r="CO402" s="0"/>
      <c r="CP402" s="0"/>
      <c r="CQ402" s="0"/>
      <c r="CR402" s="0"/>
      <c r="CS402" s="120"/>
      <c r="CT402" s="209"/>
      <c r="CU402" s="210"/>
      <c r="CV402" s="210"/>
      <c r="CW402" s="210"/>
      <c r="CX402" s="133"/>
      <c r="CY402" s="133"/>
      <c r="CZ402" s="133"/>
      <c r="DB402" s="133"/>
      <c r="DD402" s="212"/>
      <c r="DE402" s="210"/>
      <c r="DF402" s="213"/>
      <c r="DG402" s="133"/>
    </row>
    <row r="403" customFormat="false" ht="12.75" hidden="false" customHeight="false" outlineLevel="0" collapsed="false">
      <c r="B403" s="139"/>
      <c r="C403" s="139"/>
      <c r="D403" s="139"/>
      <c r="E403" s="139"/>
      <c r="F403" s="139"/>
      <c r="G403" s="139"/>
      <c r="H403" s="139"/>
      <c r="I403" s="139"/>
      <c r="J403" s="139"/>
      <c r="K403" s="141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39"/>
      <c r="AY403" s="139"/>
      <c r="AZ403" s="139"/>
      <c r="BA403" s="139"/>
      <c r="BB403" s="139"/>
      <c r="BC403" s="139"/>
      <c r="BD403" s="139"/>
      <c r="BE403" s="139"/>
      <c r="BF403" s="141"/>
      <c r="BG403" s="139"/>
      <c r="BH403" s="139"/>
      <c r="BI403" s="139"/>
      <c r="BJ403" s="139"/>
      <c r="BK403" s="139"/>
      <c r="BL403" s="139"/>
      <c r="BM403" s="139"/>
      <c r="BN403" s="139"/>
      <c r="BO403" s="139"/>
      <c r="BP403" s="139"/>
      <c r="BQ403" s="139"/>
      <c r="BR403" s="139"/>
      <c r="BS403" s="139"/>
      <c r="BT403" s="139"/>
      <c r="BU403" s="139"/>
      <c r="BV403" s="139"/>
      <c r="BW403" s="139"/>
      <c r="BX403" s="139"/>
      <c r="BY403" s="139"/>
      <c r="BZ403" s="139"/>
      <c r="CA403" s="139"/>
      <c r="CB403" s="139"/>
      <c r="CC403" s="139"/>
      <c r="CD403" s="139"/>
      <c r="CE403" s="139"/>
      <c r="CF403" s="0"/>
      <c r="CN403" s="0"/>
      <c r="CO403" s="0"/>
      <c r="CP403" s="0"/>
      <c r="CQ403" s="0"/>
      <c r="CR403" s="0"/>
      <c r="CS403" s="120"/>
      <c r="CT403" s="209"/>
      <c r="CU403" s="210"/>
      <c r="CV403" s="210"/>
      <c r="CW403" s="210"/>
      <c r="CX403" s="133"/>
      <c r="CY403" s="133"/>
      <c r="CZ403" s="133"/>
      <c r="DB403" s="133"/>
      <c r="DD403" s="212"/>
      <c r="DE403" s="210"/>
      <c r="DF403" s="213"/>
      <c r="DG403" s="133"/>
    </row>
    <row r="404" customFormat="false" ht="12.75" hidden="false" customHeight="false" outlineLevel="0" collapsed="false">
      <c r="CN404" s="0"/>
      <c r="CO404" s="0"/>
      <c r="CP404" s="0"/>
      <c r="CQ404" s="0"/>
      <c r="CR404" s="0"/>
      <c r="CS404" s="120"/>
      <c r="CT404" s="209"/>
      <c r="CU404" s="210"/>
      <c r="CV404" s="210"/>
      <c r="CW404" s="210"/>
      <c r="CX404" s="133"/>
      <c r="CY404" s="133"/>
      <c r="CZ404" s="133"/>
      <c r="DB404" s="133"/>
      <c r="DD404" s="212"/>
      <c r="DE404" s="210"/>
      <c r="DF404" s="213"/>
      <c r="DG404" s="133"/>
    </row>
    <row r="405" customFormat="false" ht="12.75" hidden="false" customHeight="false" outlineLevel="0" collapsed="false">
      <c r="CN405" s="120"/>
      <c r="CO405" s="120"/>
      <c r="CP405" s="120"/>
      <c r="CQ405" s="120"/>
      <c r="CR405" s="120"/>
      <c r="CS405" s="120"/>
      <c r="CT405" s="209"/>
      <c r="CU405" s="210"/>
      <c r="CV405" s="210"/>
      <c r="CW405" s="210"/>
      <c r="CX405" s="133"/>
      <c r="CY405" s="133"/>
      <c r="CZ405" s="133"/>
      <c r="DB405" s="133"/>
      <c r="DD405" s="212"/>
      <c r="DE405" s="210"/>
      <c r="DF405" s="213"/>
      <c r="DG405" s="133"/>
    </row>
    <row r="406" customFormat="false" ht="12.75" hidden="false" customHeight="false" outlineLevel="0" collapsed="false">
      <c r="CN406" s="120"/>
      <c r="CO406" s="120"/>
      <c r="CP406" s="120"/>
      <c r="CQ406" s="120"/>
      <c r="CR406" s="120"/>
      <c r="CS406" s="120"/>
      <c r="CT406" s="209"/>
      <c r="CU406" s="210"/>
      <c r="CV406" s="210"/>
      <c r="CW406" s="210"/>
      <c r="CX406" s="133"/>
      <c r="CY406" s="133"/>
      <c r="CZ406" s="133"/>
      <c r="DB406" s="133"/>
      <c r="DD406" s="212"/>
      <c r="DE406" s="210"/>
      <c r="DF406" s="213"/>
      <c r="DG406" s="133"/>
    </row>
    <row r="407" customFormat="false" ht="12.75" hidden="false" customHeight="false" outlineLevel="0" collapsed="false">
      <c r="CN407" s="120"/>
      <c r="CO407" s="120"/>
      <c r="CP407" s="120"/>
      <c r="CQ407" s="120"/>
      <c r="CR407" s="120"/>
      <c r="CS407" s="120"/>
      <c r="CT407" s="209"/>
      <c r="CU407" s="210"/>
      <c r="CV407" s="210"/>
      <c r="CW407" s="210"/>
      <c r="CX407" s="133"/>
      <c r="CY407" s="133"/>
      <c r="CZ407" s="133"/>
      <c r="DB407" s="133"/>
      <c r="DD407" s="212"/>
      <c r="DE407" s="210"/>
      <c r="DF407" s="213"/>
      <c r="DG407" s="133"/>
    </row>
    <row r="408" customFormat="false" ht="12.75" hidden="false" customHeight="false" outlineLevel="0" collapsed="false">
      <c r="CN408" s="120"/>
      <c r="CO408" s="120"/>
      <c r="CP408" s="120"/>
      <c r="CQ408" s="120"/>
      <c r="CR408" s="120"/>
      <c r="CS408" s="120"/>
      <c r="CT408" s="209"/>
      <c r="CU408" s="210"/>
      <c r="CV408" s="210"/>
      <c r="CW408" s="210"/>
      <c r="CX408" s="133"/>
      <c r="CY408" s="133"/>
      <c r="CZ408" s="133"/>
      <c r="DB408" s="133"/>
      <c r="DD408" s="212"/>
      <c r="DE408" s="210"/>
      <c r="DF408" s="213"/>
      <c r="DG408" s="133"/>
    </row>
    <row r="409" customFormat="false" ht="12.75" hidden="false" customHeight="false" outlineLevel="0" collapsed="false">
      <c r="CN409" s="120"/>
      <c r="CO409" s="120"/>
      <c r="CP409" s="120"/>
      <c r="CQ409" s="120"/>
      <c r="CR409" s="120"/>
      <c r="CS409" s="120"/>
      <c r="CT409" s="209"/>
      <c r="CU409" s="210"/>
      <c r="CV409" s="210"/>
      <c r="CW409" s="210"/>
      <c r="CX409" s="133"/>
      <c r="CY409" s="133"/>
      <c r="CZ409" s="133"/>
      <c r="DB409" s="133"/>
      <c r="DD409" s="212"/>
      <c r="DE409" s="210"/>
      <c r="DF409" s="213"/>
      <c r="DG409" s="133"/>
    </row>
    <row r="410" customFormat="false" ht="12.75" hidden="false" customHeight="false" outlineLevel="0" collapsed="false">
      <c r="CN410" s="120"/>
      <c r="CO410" s="120"/>
      <c r="CP410" s="120"/>
      <c r="CQ410" s="120"/>
      <c r="CR410" s="120"/>
      <c r="CS410" s="120"/>
      <c r="CT410" s="209"/>
      <c r="CU410" s="210"/>
      <c r="CV410" s="210"/>
      <c r="CW410" s="210"/>
      <c r="CX410" s="133"/>
      <c r="CY410" s="133"/>
      <c r="CZ410" s="133"/>
      <c r="DB410" s="133"/>
      <c r="DD410" s="212"/>
      <c r="DE410" s="210"/>
      <c r="DF410" s="213"/>
      <c r="DG410" s="133"/>
    </row>
    <row r="411" customFormat="false" ht="12.75" hidden="false" customHeight="false" outlineLevel="0" collapsed="false">
      <c r="CN411" s="120"/>
      <c r="CO411" s="120"/>
      <c r="CP411" s="120"/>
      <c r="CQ411" s="120"/>
      <c r="CR411" s="120"/>
      <c r="CS411" s="120"/>
      <c r="CT411" s="209"/>
      <c r="CU411" s="210"/>
      <c r="CV411" s="210"/>
      <c r="CW411" s="210"/>
      <c r="CX411" s="133"/>
      <c r="CY411" s="133"/>
      <c r="CZ411" s="133"/>
      <c r="DB411" s="133"/>
      <c r="DD411" s="212"/>
      <c r="DE411" s="210"/>
      <c r="DF411" s="213"/>
      <c r="DG411" s="133"/>
    </row>
    <row r="412" customFormat="false" ht="12.75" hidden="false" customHeight="false" outlineLevel="0" collapsed="false">
      <c r="CN412" s="120"/>
      <c r="CO412" s="120"/>
      <c r="CP412" s="120"/>
      <c r="CQ412" s="120"/>
      <c r="CR412" s="120"/>
      <c r="CS412" s="120"/>
      <c r="CT412" s="209"/>
      <c r="CU412" s="210"/>
      <c r="CV412" s="210"/>
      <c r="CW412" s="210"/>
      <c r="CX412" s="133"/>
      <c r="CY412" s="133"/>
      <c r="CZ412" s="133"/>
      <c r="DB412" s="133"/>
      <c r="DD412" s="212"/>
      <c r="DE412" s="210"/>
      <c r="DF412" s="213"/>
      <c r="DG412" s="133"/>
    </row>
    <row r="413" customFormat="false" ht="12.75" hidden="false" customHeight="false" outlineLevel="0" collapsed="false">
      <c r="CN413" s="120"/>
      <c r="CO413" s="120"/>
      <c r="CP413" s="120"/>
      <c r="CQ413" s="120"/>
      <c r="CR413" s="120"/>
      <c r="CS413" s="120"/>
      <c r="CT413" s="209"/>
      <c r="CU413" s="210"/>
      <c r="CV413" s="210"/>
      <c r="CW413" s="210"/>
      <c r="CX413" s="133"/>
      <c r="CY413" s="133"/>
      <c r="CZ413" s="133"/>
      <c r="DB413" s="133"/>
      <c r="DD413" s="212"/>
      <c r="DE413" s="210"/>
      <c r="DF413" s="213"/>
      <c r="DG413" s="133"/>
    </row>
    <row r="414" customFormat="false" ht="12.75" hidden="false" customHeight="false" outlineLevel="0" collapsed="false">
      <c r="CN414" s="120"/>
      <c r="CO414" s="120"/>
      <c r="CP414" s="120"/>
      <c r="CQ414" s="120"/>
      <c r="CR414" s="120"/>
      <c r="CS414" s="120"/>
      <c r="CT414" s="209"/>
      <c r="CU414" s="210"/>
      <c r="CV414" s="210"/>
      <c r="CW414" s="210"/>
      <c r="CX414" s="133"/>
      <c r="CY414" s="133"/>
      <c r="CZ414" s="133"/>
      <c r="DB414" s="133"/>
      <c r="DD414" s="212"/>
      <c r="DE414" s="210"/>
      <c r="DF414" s="213"/>
      <c r="DG414" s="133"/>
    </row>
    <row r="415" customFormat="false" ht="12.75" hidden="false" customHeight="false" outlineLevel="0" collapsed="false">
      <c r="CN415" s="120"/>
      <c r="CO415" s="120"/>
      <c r="CP415" s="120"/>
      <c r="CQ415" s="120"/>
      <c r="CR415" s="120"/>
      <c r="CS415" s="120"/>
      <c r="CT415" s="209"/>
      <c r="CU415" s="210"/>
      <c r="CV415" s="210"/>
      <c r="CW415" s="210"/>
      <c r="CX415" s="133"/>
      <c r="CY415" s="133"/>
      <c r="CZ415" s="133"/>
      <c r="DB415" s="133"/>
      <c r="DD415" s="212"/>
      <c r="DE415" s="210"/>
      <c r="DF415" s="213"/>
      <c r="DG415" s="133"/>
    </row>
    <row r="416" customFormat="false" ht="12.75" hidden="false" customHeight="false" outlineLevel="0" collapsed="false">
      <c r="CN416" s="120"/>
      <c r="CO416" s="120"/>
      <c r="CP416" s="120"/>
      <c r="CQ416" s="120"/>
      <c r="CR416" s="120"/>
      <c r="CS416" s="120"/>
      <c r="CT416" s="209"/>
      <c r="CU416" s="210"/>
      <c r="CV416" s="210"/>
      <c r="CW416" s="210"/>
      <c r="CX416" s="133"/>
      <c r="CY416" s="133"/>
      <c r="CZ416" s="133"/>
      <c r="DB416" s="133"/>
      <c r="DD416" s="212"/>
      <c r="DE416" s="210"/>
      <c r="DF416" s="213"/>
      <c r="DG416" s="133"/>
    </row>
    <row r="417" customFormat="false" ht="12.75" hidden="false" customHeight="false" outlineLevel="0" collapsed="false">
      <c r="CN417" s="120"/>
      <c r="CO417" s="120"/>
      <c r="CP417" s="120"/>
      <c r="CQ417" s="120"/>
      <c r="CR417" s="120"/>
      <c r="CS417" s="120"/>
      <c r="CT417" s="209"/>
      <c r="CU417" s="210"/>
      <c r="CV417" s="210"/>
      <c r="CW417" s="210"/>
      <c r="CX417" s="133"/>
      <c r="CY417" s="133"/>
      <c r="CZ417" s="133"/>
      <c r="DB417" s="133"/>
      <c r="DD417" s="212"/>
      <c r="DE417" s="210"/>
      <c r="DF417" s="213"/>
      <c r="DG417" s="133"/>
    </row>
    <row r="418" customFormat="false" ht="12.75" hidden="false" customHeight="false" outlineLevel="0" collapsed="false">
      <c r="CN418" s="120"/>
      <c r="CO418" s="120"/>
      <c r="CP418" s="120"/>
      <c r="CQ418" s="120"/>
      <c r="CR418" s="120"/>
      <c r="CS418" s="120"/>
      <c r="CT418" s="209"/>
      <c r="CU418" s="210"/>
      <c r="CV418" s="210"/>
      <c r="CW418" s="210"/>
      <c r="CX418" s="133"/>
      <c r="CY418" s="133"/>
      <c r="CZ418" s="133"/>
      <c r="DB418" s="133"/>
      <c r="DD418" s="212"/>
      <c r="DE418" s="210"/>
      <c r="DF418" s="213"/>
      <c r="DG418" s="133"/>
    </row>
    <row r="419" customFormat="false" ht="12.75" hidden="false" customHeight="false" outlineLevel="0" collapsed="false">
      <c r="CN419" s="120"/>
      <c r="CO419" s="120"/>
      <c r="CP419" s="120"/>
      <c r="CQ419" s="120"/>
      <c r="CR419" s="120"/>
      <c r="CS419" s="120"/>
      <c r="CT419" s="209"/>
      <c r="CU419" s="210"/>
      <c r="CV419" s="210"/>
      <c r="CW419" s="210"/>
      <c r="CX419" s="133"/>
      <c r="CY419" s="133"/>
      <c r="CZ419" s="133"/>
      <c r="DB419" s="133"/>
      <c r="DD419" s="212"/>
      <c r="DE419" s="210"/>
      <c r="DF419" s="213"/>
      <c r="DG419" s="133"/>
    </row>
    <row r="420" customFormat="false" ht="12.75" hidden="false" customHeight="false" outlineLevel="0" collapsed="false">
      <c r="CN420" s="120"/>
      <c r="CO420" s="120"/>
      <c r="CP420" s="120"/>
      <c r="CQ420" s="120"/>
      <c r="CR420" s="120"/>
      <c r="CS420" s="120"/>
      <c r="CT420" s="209"/>
      <c r="CU420" s="210"/>
      <c r="CV420" s="210"/>
      <c r="CW420" s="210"/>
      <c r="CX420" s="133"/>
      <c r="CY420" s="133"/>
      <c r="CZ420" s="133"/>
      <c r="DB420" s="133"/>
      <c r="DD420" s="212"/>
      <c r="DE420" s="210"/>
      <c r="DF420" s="213"/>
      <c r="DG420" s="133"/>
    </row>
    <row r="421" customFormat="false" ht="12.75" hidden="false" customHeight="false" outlineLevel="0" collapsed="false">
      <c r="CN421" s="120"/>
      <c r="CO421" s="120"/>
      <c r="CP421" s="120"/>
      <c r="CQ421" s="120"/>
      <c r="CR421" s="120"/>
      <c r="CS421" s="120"/>
      <c r="CT421" s="209"/>
      <c r="CU421" s="210"/>
      <c r="CV421" s="210"/>
      <c r="CW421" s="210"/>
      <c r="CX421" s="133"/>
      <c r="CY421" s="133"/>
      <c r="CZ421" s="133"/>
      <c r="DB421" s="133"/>
      <c r="DD421" s="212"/>
      <c r="DE421" s="210"/>
      <c r="DF421" s="213"/>
      <c r="DG421" s="133"/>
    </row>
    <row r="422" customFormat="false" ht="12.75" hidden="false" customHeight="false" outlineLevel="0" collapsed="false">
      <c r="CN422" s="120"/>
      <c r="CO422" s="120"/>
      <c r="CP422" s="120"/>
      <c r="CQ422" s="120"/>
      <c r="CR422" s="120"/>
      <c r="CS422" s="120"/>
      <c r="CT422" s="209"/>
      <c r="CU422" s="210"/>
      <c r="CV422" s="210"/>
      <c r="CW422" s="210"/>
      <c r="CX422" s="133"/>
      <c r="CY422" s="133"/>
      <c r="CZ422" s="133"/>
      <c r="DB422" s="133"/>
      <c r="DD422" s="212"/>
      <c r="DE422" s="210"/>
      <c r="DF422" s="213"/>
      <c r="DG422" s="133"/>
    </row>
    <row r="423" customFormat="false" ht="12.75" hidden="false" customHeight="false" outlineLevel="0" collapsed="false">
      <c r="CN423" s="120"/>
      <c r="CO423" s="120"/>
      <c r="CP423" s="120"/>
      <c r="CQ423" s="120"/>
      <c r="CR423" s="120"/>
      <c r="CS423" s="120"/>
      <c r="CT423" s="209"/>
      <c r="CU423" s="210"/>
      <c r="CV423" s="210"/>
      <c r="CW423" s="210"/>
      <c r="CX423" s="133"/>
      <c r="CY423" s="133"/>
      <c r="CZ423" s="133"/>
      <c r="DB423" s="133"/>
      <c r="DD423" s="212"/>
      <c r="DE423" s="210"/>
      <c r="DF423" s="213"/>
      <c r="DG423" s="133"/>
    </row>
    <row r="424" customFormat="false" ht="12.75" hidden="false" customHeight="false" outlineLevel="0" collapsed="false">
      <c r="CN424" s="120"/>
      <c r="CO424" s="120"/>
      <c r="CP424" s="120"/>
      <c r="CQ424" s="120"/>
      <c r="CR424" s="120"/>
      <c r="CS424" s="120"/>
      <c r="CT424" s="209"/>
      <c r="CU424" s="210"/>
      <c r="CV424" s="210"/>
      <c r="CW424" s="210"/>
      <c r="CX424" s="133"/>
      <c r="CY424" s="133"/>
      <c r="CZ424" s="133"/>
      <c r="DB424" s="133"/>
      <c r="DD424" s="212"/>
      <c r="DE424" s="210"/>
      <c r="DF424" s="213"/>
      <c r="DG424" s="133"/>
    </row>
    <row r="425" customFormat="false" ht="12.75" hidden="false" customHeight="false" outlineLevel="0" collapsed="false">
      <c r="CN425" s="120"/>
      <c r="CO425" s="120"/>
      <c r="CP425" s="120"/>
      <c r="CQ425" s="120"/>
      <c r="CR425" s="120"/>
      <c r="CS425" s="120"/>
      <c r="CT425" s="209"/>
      <c r="CU425" s="210"/>
      <c r="CV425" s="210"/>
      <c r="CW425" s="210"/>
      <c r="CX425" s="133"/>
      <c r="CY425" s="133"/>
      <c r="CZ425" s="133"/>
      <c r="DB425" s="133"/>
      <c r="DD425" s="212"/>
      <c r="DE425" s="210"/>
      <c r="DF425" s="213"/>
      <c r="DG425" s="133"/>
    </row>
    <row r="426" customFormat="false" ht="12.75" hidden="false" customHeight="false" outlineLevel="0" collapsed="false">
      <c r="CN426" s="120"/>
      <c r="CO426" s="120"/>
      <c r="CP426" s="120"/>
      <c r="CQ426" s="120"/>
      <c r="CR426" s="120"/>
      <c r="CS426" s="120"/>
      <c r="CT426" s="209"/>
      <c r="CU426" s="210"/>
      <c r="CV426" s="210"/>
      <c r="CW426" s="210"/>
      <c r="CX426" s="133"/>
      <c r="CY426" s="133"/>
      <c r="CZ426" s="133"/>
      <c r="DB426" s="133"/>
      <c r="DD426" s="212"/>
      <c r="DE426" s="210"/>
      <c r="DF426" s="213"/>
      <c r="DG426" s="133"/>
    </row>
    <row r="427" customFormat="false" ht="12.75" hidden="false" customHeight="false" outlineLevel="0" collapsed="false">
      <c r="CN427" s="120"/>
      <c r="CO427" s="120"/>
      <c r="CP427" s="120"/>
      <c r="CQ427" s="120"/>
      <c r="CR427" s="120"/>
      <c r="CS427" s="120"/>
      <c r="CT427" s="209"/>
      <c r="CU427" s="210"/>
      <c r="CV427" s="210"/>
      <c r="CW427" s="210"/>
      <c r="CX427" s="133"/>
      <c r="CY427" s="133"/>
      <c r="CZ427" s="133"/>
      <c r="DB427" s="133"/>
      <c r="DD427" s="212"/>
      <c r="DE427" s="210"/>
      <c r="DF427" s="213"/>
      <c r="DG427" s="133"/>
    </row>
    <row r="428" customFormat="false" ht="12.75" hidden="false" customHeight="false" outlineLevel="0" collapsed="false">
      <c r="CN428" s="120"/>
      <c r="CO428" s="120"/>
      <c r="CP428" s="120"/>
      <c r="CQ428" s="120"/>
      <c r="CR428" s="120"/>
      <c r="CS428" s="120"/>
      <c r="CT428" s="209"/>
      <c r="CU428" s="210"/>
      <c r="CV428" s="210"/>
      <c r="CW428" s="210"/>
      <c r="CX428" s="133"/>
      <c r="CY428" s="133"/>
      <c r="CZ428" s="133"/>
      <c r="DB428" s="133"/>
      <c r="DD428" s="212"/>
      <c r="DE428" s="210"/>
      <c r="DF428" s="213"/>
      <c r="DG428" s="133"/>
    </row>
    <row r="429" customFormat="false" ht="12.75" hidden="false" customHeight="false" outlineLevel="0" collapsed="false">
      <c r="CN429" s="120"/>
      <c r="CO429" s="120"/>
      <c r="CP429" s="120"/>
      <c r="CQ429" s="120"/>
      <c r="CR429" s="120"/>
      <c r="CS429" s="120"/>
      <c r="CT429" s="209"/>
      <c r="CU429" s="210"/>
      <c r="CV429" s="210"/>
      <c r="CW429" s="210"/>
      <c r="CX429" s="133"/>
      <c r="CY429" s="133"/>
      <c r="CZ429" s="133"/>
      <c r="DB429" s="133"/>
      <c r="DD429" s="212"/>
      <c r="DE429" s="210"/>
      <c r="DF429" s="213"/>
      <c r="DG429" s="133"/>
    </row>
    <row r="430" customFormat="false" ht="12.75" hidden="false" customHeight="false" outlineLevel="0" collapsed="false">
      <c r="CN430" s="120"/>
      <c r="CO430" s="120"/>
      <c r="CP430" s="120"/>
      <c r="CQ430" s="120"/>
      <c r="CR430" s="120"/>
      <c r="CS430" s="120"/>
      <c r="CT430" s="209"/>
      <c r="CU430" s="210"/>
      <c r="CV430" s="210"/>
      <c r="CW430" s="210"/>
      <c r="CX430" s="133"/>
      <c r="CY430" s="133"/>
      <c r="CZ430" s="133"/>
      <c r="DB430" s="133"/>
      <c r="DD430" s="212"/>
      <c r="DE430" s="210"/>
      <c r="DF430" s="213"/>
      <c r="DG430" s="133"/>
    </row>
    <row r="431" customFormat="false" ht="12.75" hidden="false" customHeight="false" outlineLevel="0" collapsed="false">
      <c r="CN431" s="120"/>
      <c r="CO431" s="120"/>
      <c r="CP431" s="120"/>
      <c r="CQ431" s="120"/>
      <c r="CR431" s="120"/>
      <c r="CS431" s="120"/>
      <c r="CT431" s="209"/>
      <c r="CU431" s="210"/>
      <c r="CV431" s="210"/>
      <c r="CW431" s="210"/>
      <c r="CX431" s="133"/>
      <c r="CY431" s="133"/>
      <c r="CZ431" s="133"/>
      <c r="DB431" s="133"/>
      <c r="DD431" s="212"/>
      <c r="DE431" s="210"/>
      <c r="DF431" s="213"/>
      <c r="DG431" s="133"/>
    </row>
    <row r="432" customFormat="false" ht="12.75" hidden="false" customHeight="false" outlineLevel="0" collapsed="false">
      <c r="CN432" s="120"/>
      <c r="CO432" s="120"/>
      <c r="CP432" s="120"/>
      <c r="CQ432" s="120"/>
      <c r="CR432" s="120"/>
      <c r="CS432" s="120"/>
      <c r="CT432" s="209"/>
      <c r="CU432" s="210"/>
      <c r="CV432" s="210"/>
      <c r="CW432" s="210"/>
      <c r="CX432" s="133"/>
      <c r="CY432" s="133"/>
      <c r="CZ432" s="133"/>
      <c r="DB432" s="133"/>
      <c r="DD432" s="212"/>
      <c r="DE432" s="210"/>
      <c r="DF432" s="213"/>
      <c r="DG432" s="133"/>
    </row>
    <row r="433" customFormat="false" ht="12.75" hidden="false" customHeight="false" outlineLevel="0" collapsed="false">
      <c r="CN433" s="120"/>
      <c r="CO433" s="120"/>
      <c r="CP433" s="120"/>
      <c r="CQ433" s="120"/>
      <c r="CR433" s="120"/>
      <c r="CS433" s="120"/>
      <c r="CT433" s="209"/>
      <c r="CU433" s="210"/>
      <c r="CV433" s="210"/>
      <c r="CW433" s="210"/>
      <c r="CX433" s="133"/>
      <c r="CY433" s="133"/>
      <c r="CZ433" s="133"/>
      <c r="DB433" s="133"/>
      <c r="DD433" s="212"/>
      <c r="DE433" s="210"/>
      <c r="DF433" s="213"/>
      <c r="DG433" s="133"/>
    </row>
    <row r="434" customFormat="false" ht="12.75" hidden="false" customHeight="false" outlineLevel="0" collapsed="false">
      <c r="CN434" s="120"/>
      <c r="CO434" s="120"/>
      <c r="CP434" s="120"/>
      <c r="CQ434" s="120"/>
      <c r="CR434" s="120"/>
      <c r="CS434" s="120"/>
      <c r="CT434" s="209"/>
      <c r="CU434" s="210"/>
      <c r="CV434" s="210"/>
      <c r="CW434" s="210"/>
      <c r="CX434" s="133"/>
      <c r="CY434" s="133"/>
      <c r="CZ434" s="133"/>
      <c r="DB434" s="133"/>
      <c r="DD434" s="212"/>
      <c r="DE434" s="210"/>
      <c r="DF434" s="213"/>
      <c r="DG434" s="133"/>
    </row>
    <row r="435" customFormat="false" ht="12.75" hidden="false" customHeight="false" outlineLevel="0" collapsed="false">
      <c r="CN435" s="120"/>
      <c r="CO435" s="120"/>
      <c r="CP435" s="120"/>
      <c r="CQ435" s="120"/>
      <c r="CR435" s="120"/>
      <c r="CS435" s="120"/>
      <c r="CT435" s="209"/>
      <c r="CU435" s="210"/>
      <c r="CV435" s="210"/>
      <c r="CW435" s="210"/>
      <c r="CX435" s="133"/>
      <c r="CY435" s="133"/>
      <c r="CZ435" s="133"/>
      <c r="DB435" s="133"/>
      <c r="DD435" s="212"/>
      <c r="DE435" s="210"/>
      <c r="DF435" s="213"/>
      <c r="DG435" s="133"/>
    </row>
    <row r="436" customFormat="false" ht="12.75" hidden="false" customHeight="false" outlineLevel="0" collapsed="false">
      <c r="CN436" s="120"/>
      <c r="CO436" s="120"/>
      <c r="CP436" s="120"/>
      <c r="CQ436" s="120"/>
      <c r="CR436" s="120"/>
      <c r="CS436" s="120"/>
      <c r="CT436" s="209"/>
      <c r="CU436" s="210"/>
      <c r="CV436" s="210"/>
      <c r="CW436" s="210"/>
      <c r="CX436" s="133"/>
      <c r="CY436" s="133"/>
      <c r="CZ436" s="133"/>
      <c r="DB436" s="133"/>
      <c r="DD436" s="212"/>
      <c r="DE436" s="210"/>
      <c r="DF436" s="213"/>
      <c r="DG436" s="133"/>
    </row>
    <row r="437" customFormat="false" ht="12.75" hidden="false" customHeight="false" outlineLevel="0" collapsed="false">
      <c r="CN437" s="120"/>
      <c r="CO437" s="120"/>
      <c r="CP437" s="120"/>
      <c r="CQ437" s="120"/>
      <c r="CR437" s="120"/>
      <c r="CS437" s="120"/>
      <c r="CT437" s="209"/>
      <c r="CU437" s="210"/>
      <c r="CV437" s="210"/>
      <c r="CW437" s="210"/>
      <c r="CX437" s="133"/>
      <c r="CY437" s="133"/>
      <c r="CZ437" s="133"/>
      <c r="DB437" s="133"/>
      <c r="DD437" s="212"/>
      <c r="DE437" s="210"/>
      <c r="DF437" s="213"/>
      <c r="DG437" s="133"/>
    </row>
    <row r="438" customFormat="false" ht="12.75" hidden="false" customHeight="false" outlineLevel="0" collapsed="false">
      <c r="CN438" s="120"/>
      <c r="CO438" s="120"/>
      <c r="CP438" s="120"/>
      <c r="CQ438" s="120"/>
      <c r="CR438" s="120"/>
      <c r="CS438" s="120"/>
      <c r="CT438" s="209"/>
      <c r="CU438" s="210"/>
      <c r="CV438" s="210"/>
      <c r="CW438" s="210"/>
      <c r="CX438" s="133"/>
      <c r="CY438" s="133"/>
      <c r="CZ438" s="133"/>
      <c r="DB438" s="133"/>
      <c r="DD438" s="212"/>
      <c r="DE438" s="210"/>
      <c r="DF438" s="213"/>
      <c r="DG438" s="133"/>
    </row>
    <row r="439" customFormat="false" ht="12.75" hidden="false" customHeight="false" outlineLevel="0" collapsed="false">
      <c r="CN439" s="120"/>
      <c r="CO439" s="120"/>
      <c r="CP439" s="120"/>
      <c r="CQ439" s="120"/>
      <c r="CR439" s="120"/>
      <c r="CS439" s="120"/>
      <c r="CT439" s="209"/>
      <c r="CU439" s="210"/>
      <c r="CV439" s="210"/>
      <c r="CW439" s="210"/>
      <c r="CX439" s="133"/>
      <c r="CY439" s="133"/>
      <c r="CZ439" s="133"/>
      <c r="DB439" s="133"/>
      <c r="DD439" s="212"/>
      <c r="DE439" s="210"/>
      <c r="DF439" s="213"/>
      <c r="DG439" s="133"/>
    </row>
    <row r="440" customFormat="false" ht="12.75" hidden="false" customHeight="false" outlineLevel="0" collapsed="false">
      <c r="CN440" s="120"/>
      <c r="CO440" s="120"/>
      <c r="CP440" s="120"/>
      <c r="CQ440" s="120"/>
      <c r="CR440" s="120"/>
      <c r="CS440" s="120"/>
      <c r="CT440" s="209"/>
      <c r="CU440" s="210"/>
      <c r="CV440" s="210"/>
      <c r="CW440" s="210"/>
      <c r="CX440" s="133"/>
      <c r="CY440" s="133"/>
      <c r="CZ440" s="133"/>
      <c r="DB440" s="133"/>
      <c r="DD440" s="212"/>
      <c r="DE440" s="210"/>
      <c r="DF440" s="213"/>
      <c r="DG440" s="133"/>
    </row>
    <row r="441" customFormat="false" ht="12.75" hidden="false" customHeight="false" outlineLevel="0" collapsed="false">
      <c r="CN441" s="120"/>
      <c r="CO441" s="120"/>
      <c r="CP441" s="120"/>
      <c r="CQ441" s="120"/>
      <c r="CR441" s="120"/>
      <c r="CS441" s="120"/>
      <c r="CT441" s="209"/>
      <c r="CU441" s="210"/>
      <c r="CV441" s="210"/>
      <c r="CW441" s="210"/>
      <c r="CX441" s="133"/>
      <c r="CY441" s="133"/>
      <c r="CZ441" s="133"/>
      <c r="DB441" s="133"/>
      <c r="DD441" s="212"/>
      <c r="DE441" s="210"/>
      <c r="DF441" s="213"/>
      <c r="DG441" s="133"/>
    </row>
    <row r="442" customFormat="false" ht="12.75" hidden="false" customHeight="false" outlineLevel="0" collapsed="false">
      <c r="CN442" s="120"/>
      <c r="CO442" s="120"/>
      <c r="CP442" s="120"/>
      <c r="CQ442" s="120"/>
      <c r="CR442" s="120"/>
      <c r="CS442" s="120"/>
      <c r="CT442" s="209"/>
      <c r="CU442" s="210"/>
      <c r="CV442" s="210"/>
      <c r="CW442" s="210"/>
      <c r="CX442" s="133"/>
      <c r="CY442" s="133"/>
      <c r="CZ442" s="133"/>
      <c r="DB442" s="133"/>
      <c r="DD442" s="212"/>
      <c r="DE442" s="210"/>
      <c r="DF442" s="213"/>
      <c r="DG442" s="133"/>
    </row>
    <row r="443" customFormat="false" ht="12.75" hidden="false" customHeight="false" outlineLevel="0" collapsed="false">
      <c r="CN443" s="120"/>
      <c r="CO443" s="120"/>
      <c r="CP443" s="120"/>
      <c r="CQ443" s="120"/>
      <c r="CR443" s="120"/>
      <c r="CS443" s="120"/>
      <c r="CT443" s="209"/>
      <c r="CU443" s="210"/>
      <c r="CV443" s="210"/>
      <c r="CW443" s="210"/>
      <c r="CX443" s="133"/>
      <c r="CY443" s="133"/>
      <c r="CZ443" s="133"/>
      <c r="DB443" s="133"/>
      <c r="DD443" s="212"/>
      <c r="DE443" s="210"/>
      <c r="DF443" s="213"/>
      <c r="DG443" s="133"/>
    </row>
    <row r="444" customFormat="false" ht="12.75" hidden="false" customHeight="false" outlineLevel="0" collapsed="false">
      <c r="CN444" s="120"/>
      <c r="CO444" s="120"/>
      <c r="CP444" s="120"/>
      <c r="CQ444" s="120"/>
      <c r="CR444" s="120"/>
      <c r="CS444" s="120"/>
      <c r="CT444" s="209"/>
      <c r="CU444" s="210"/>
      <c r="CV444" s="210"/>
      <c r="CW444" s="210"/>
      <c r="CX444" s="133"/>
      <c r="CY444" s="133"/>
      <c r="CZ444" s="133"/>
      <c r="DB444" s="133"/>
      <c r="DD444" s="212"/>
      <c r="DE444" s="210"/>
      <c r="DF444" s="213"/>
      <c r="DG444" s="133"/>
    </row>
    <row r="445" customFormat="false" ht="12.75" hidden="false" customHeight="false" outlineLevel="0" collapsed="false">
      <c r="CN445" s="120"/>
      <c r="CO445" s="120"/>
      <c r="CP445" s="120"/>
      <c r="CQ445" s="120"/>
      <c r="CR445" s="120"/>
      <c r="CS445" s="120"/>
      <c r="CT445" s="209"/>
      <c r="CU445" s="210"/>
      <c r="CV445" s="210"/>
      <c r="CW445" s="210"/>
      <c r="CX445" s="133"/>
      <c r="CY445" s="133"/>
      <c r="CZ445" s="133"/>
      <c r="DB445" s="133"/>
      <c r="DD445" s="212"/>
      <c r="DE445" s="210"/>
      <c r="DF445" s="213"/>
      <c r="DG445" s="133"/>
    </row>
    <row r="446" customFormat="false" ht="12.75" hidden="false" customHeight="false" outlineLevel="0" collapsed="false">
      <c r="CN446" s="120"/>
      <c r="CO446" s="120"/>
      <c r="CP446" s="120"/>
      <c r="CQ446" s="120"/>
      <c r="CR446" s="120"/>
      <c r="CS446" s="120"/>
      <c r="CT446" s="209"/>
      <c r="CU446" s="210"/>
      <c r="CV446" s="210"/>
      <c r="CW446" s="210"/>
      <c r="CX446" s="133"/>
      <c r="CY446" s="133"/>
      <c r="CZ446" s="133"/>
      <c r="DB446" s="133"/>
      <c r="DD446" s="212"/>
      <c r="DE446" s="210"/>
      <c r="DF446" s="213"/>
      <c r="DG446" s="133"/>
    </row>
    <row r="447" customFormat="false" ht="12.75" hidden="false" customHeight="false" outlineLevel="0" collapsed="false">
      <c r="CN447" s="120"/>
      <c r="CO447" s="120"/>
      <c r="CP447" s="120"/>
      <c r="CQ447" s="120"/>
      <c r="CR447" s="120"/>
      <c r="CS447" s="120"/>
      <c r="CT447" s="209"/>
      <c r="CU447" s="210"/>
      <c r="CV447" s="210"/>
      <c r="CW447" s="210"/>
      <c r="CX447" s="133"/>
      <c r="CY447" s="133"/>
      <c r="CZ447" s="133"/>
      <c r="DB447" s="133"/>
      <c r="DD447" s="212"/>
      <c r="DE447" s="210"/>
      <c r="DF447" s="213"/>
      <c r="DG447" s="133"/>
    </row>
    <row r="448" customFormat="false" ht="12.75" hidden="false" customHeight="false" outlineLevel="0" collapsed="false">
      <c r="CN448" s="120"/>
      <c r="CO448" s="120"/>
      <c r="CP448" s="120"/>
      <c r="CQ448" s="120"/>
      <c r="CR448" s="120"/>
      <c r="CS448" s="120"/>
      <c r="CT448" s="209"/>
      <c r="CU448" s="210"/>
      <c r="CV448" s="210"/>
      <c r="CW448" s="210"/>
      <c r="CX448" s="133"/>
      <c r="CY448" s="133"/>
      <c r="CZ448" s="133"/>
      <c r="DB448" s="133"/>
      <c r="DD448" s="212"/>
      <c r="DE448" s="210"/>
      <c r="DF448" s="213"/>
      <c r="DG448" s="133"/>
    </row>
    <row r="449" customFormat="false" ht="12.75" hidden="false" customHeight="false" outlineLevel="0" collapsed="false">
      <c r="CN449" s="120"/>
      <c r="CO449" s="120"/>
      <c r="CP449" s="120"/>
      <c r="CQ449" s="120"/>
      <c r="CR449" s="120"/>
      <c r="CS449" s="120"/>
      <c r="CT449" s="209"/>
      <c r="CU449" s="210"/>
      <c r="CV449" s="210"/>
      <c r="CW449" s="210"/>
      <c r="CX449" s="133"/>
      <c r="CY449" s="133"/>
      <c r="CZ449" s="133"/>
      <c r="DB449" s="133"/>
      <c r="DD449" s="212"/>
      <c r="DE449" s="210"/>
      <c r="DF449" s="213"/>
      <c r="DG449" s="133"/>
    </row>
    <row r="450" customFormat="false" ht="12.75" hidden="false" customHeight="false" outlineLevel="0" collapsed="false">
      <c r="CN450" s="120"/>
      <c r="CO450" s="120"/>
      <c r="CP450" s="120"/>
      <c r="CQ450" s="120"/>
      <c r="CR450" s="120"/>
      <c r="CS450" s="120"/>
      <c r="CT450" s="209"/>
      <c r="CU450" s="210"/>
      <c r="CV450" s="210"/>
      <c r="CW450" s="210"/>
      <c r="CX450" s="133"/>
      <c r="CY450" s="133"/>
      <c r="CZ450" s="133"/>
      <c r="DB450" s="133"/>
      <c r="DD450" s="212"/>
      <c r="DE450" s="210"/>
      <c r="DF450" s="213"/>
      <c r="DG450" s="133"/>
    </row>
    <row r="451" customFormat="false" ht="12.75" hidden="false" customHeight="false" outlineLevel="0" collapsed="false">
      <c r="CN451" s="120"/>
      <c r="CO451" s="120"/>
      <c r="CP451" s="120"/>
      <c r="CQ451" s="120"/>
      <c r="CR451" s="120"/>
      <c r="CS451" s="120"/>
      <c r="CT451" s="209"/>
      <c r="CU451" s="210"/>
      <c r="CV451" s="210"/>
      <c r="CW451" s="210"/>
      <c r="CX451" s="133"/>
      <c r="CY451" s="133"/>
      <c r="CZ451" s="133"/>
      <c r="DB451" s="133"/>
      <c r="DD451" s="212"/>
      <c r="DE451" s="210"/>
      <c r="DF451" s="213"/>
      <c r="DG451" s="133"/>
    </row>
    <row r="452" customFormat="false" ht="12.75" hidden="false" customHeight="false" outlineLevel="0" collapsed="false">
      <c r="CN452" s="120"/>
      <c r="CO452" s="120"/>
      <c r="CP452" s="120"/>
      <c r="CQ452" s="120"/>
      <c r="CR452" s="120"/>
      <c r="CS452" s="120"/>
      <c r="CT452" s="209"/>
      <c r="CU452" s="210"/>
      <c r="CV452" s="210"/>
      <c r="CW452" s="210"/>
      <c r="CX452" s="133"/>
      <c r="CY452" s="133"/>
      <c r="CZ452" s="133"/>
      <c r="DB452" s="133"/>
      <c r="DD452" s="212"/>
      <c r="DE452" s="210"/>
      <c r="DF452" s="213"/>
      <c r="DG452" s="133"/>
    </row>
    <row r="453" customFormat="false" ht="12.75" hidden="false" customHeight="false" outlineLevel="0" collapsed="false">
      <c r="CN453" s="120"/>
      <c r="CO453" s="120"/>
      <c r="CP453" s="120"/>
      <c r="CQ453" s="120"/>
      <c r="CR453" s="120"/>
      <c r="CS453" s="120"/>
      <c r="CT453" s="209"/>
      <c r="CU453" s="210"/>
      <c r="CV453" s="210"/>
      <c r="CW453" s="210"/>
      <c r="CX453" s="133"/>
      <c r="CY453" s="133"/>
      <c r="CZ453" s="133"/>
      <c r="DB453" s="133"/>
      <c r="DD453" s="212"/>
      <c r="DE453" s="210"/>
      <c r="DF453" s="213"/>
      <c r="DG453" s="133"/>
    </row>
    <row r="454" customFormat="false" ht="12.75" hidden="false" customHeight="false" outlineLevel="0" collapsed="false">
      <c r="CN454" s="120"/>
      <c r="CO454" s="120"/>
      <c r="CP454" s="120"/>
      <c r="CQ454" s="120"/>
      <c r="CR454" s="120"/>
      <c r="CS454" s="120"/>
      <c r="CT454" s="209"/>
      <c r="CU454" s="210"/>
      <c r="CV454" s="210"/>
      <c r="CW454" s="210"/>
      <c r="CX454" s="133"/>
      <c r="CY454" s="133"/>
      <c r="CZ454" s="133"/>
      <c r="DB454" s="133"/>
      <c r="DD454" s="212"/>
      <c r="DE454" s="210"/>
      <c r="DF454" s="213"/>
      <c r="DG454" s="133"/>
    </row>
    <row r="455" customFormat="false" ht="12.75" hidden="false" customHeight="false" outlineLevel="0" collapsed="false">
      <c r="CN455" s="120"/>
      <c r="CO455" s="120"/>
      <c r="CP455" s="120"/>
      <c r="CQ455" s="120"/>
      <c r="CR455" s="120"/>
      <c r="CS455" s="120"/>
      <c r="CT455" s="209"/>
      <c r="CU455" s="210"/>
      <c r="CV455" s="210"/>
      <c r="CW455" s="210"/>
      <c r="CX455" s="133"/>
      <c r="CY455" s="133"/>
      <c r="CZ455" s="133"/>
      <c r="DB455" s="133"/>
      <c r="DD455" s="212"/>
      <c r="DE455" s="210"/>
      <c r="DF455" s="213"/>
      <c r="DG455" s="133"/>
    </row>
    <row r="456" customFormat="false" ht="12.75" hidden="false" customHeight="false" outlineLevel="0" collapsed="false">
      <c r="CN456" s="120"/>
      <c r="CO456" s="120"/>
      <c r="CP456" s="120"/>
      <c r="CQ456" s="120"/>
      <c r="CR456" s="120"/>
      <c r="CS456" s="120"/>
      <c r="CT456" s="209"/>
      <c r="CU456" s="210"/>
      <c r="CV456" s="210"/>
      <c r="CW456" s="210"/>
      <c r="CX456" s="133"/>
      <c r="CY456" s="133"/>
      <c r="CZ456" s="133"/>
      <c r="DB456" s="133"/>
      <c r="DD456" s="212"/>
      <c r="DE456" s="210"/>
      <c r="DF456" s="213"/>
      <c r="DG456" s="133"/>
    </row>
    <row r="457" customFormat="false" ht="12.75" hidden="false" customHeight="false" outlineLevel="0" collapsed="false">
      <c r="CN457" s="120"/>
      <c r="CO457" s="120"/>
      <c r="CP457" s="120"/>
      <c r="CQ457" s="120"/>
      <c r="CR457" s="120"/>
      <c r="CS457" s="120"/>
      <c r="CT457" s="209"/>
      <c r="CU457" s="210"/>
      <c r="CV457" s="210"/>
      <c r="CW457" s="210"/>
      <c r="CX457" s="133"/>
      <c r="CY457" s="133"/>
      <c r="CZ457" s="133"/>
      <c r="DB457" s="133"/>
      <c r="DD457" s="212"/>
      <c r="DE457" s="210"/>
      <c r="DF457" s="213"/>
      <c r="DG457" s="133"/>
    </row>
    <row r="458" customFormat="false" ht="12.75" hidden="false" customHeight="false" outlineLevel="0" collapsed="false">
      <c r="CN458" s="120"/>
      <c r="CO458" s="120"/>
      <c r="CP458" s="120"/>
      <c r="CQ458" s="120"/>
      <c r="CR458" s="120"/>
      <c r="CS458" s="120"/>
      <c r="CT458" s="209"/>
      <c r="CU458" s="210"/>
      <c r="CV458" s="210"/>
      <c r="CW458" s="210"/>
      <c r="CX458" s="133"/>
      <c r="CY458" s="133"/>
      <c r="CZ458" s="133"/>
      <c r="DB458" s="133"/>
      <c r="DD458" s="212"/>
      <c r="DE458" s="210"/>
      <c r="DF458" s="213"/>
      <c r="DG458" s="133"/>
    </row>
    <row r="459" customFormat="false" ht="12.75" hidden="false" customHeight="false" outlineLevel="0" collapsed="false">
      <c r="CN459" s="120"/>
      <c r="CO459" s="120"/>
      <c r="CP459" s="120"/>
      <c r="CQ459" s="120"/>
      <c r="CR459" s="120"/>
      <c r="CS459" s="120"/>
      <c r="CT459" s="209"/>
      <c r="CU459" s="210"/>
      <c r="CV459" s="210"/>
      <c r="CW459" s="210"/>
      <c r="CX459" s="133"/>
      <c r="CY459" s="133"/>
      <c r="CZ459" s="133"/>
      <c r="DB459" s="133"/>
      <c r="DD459" s="212"/>
      <c r="DE459" s="210"/>
      <c r="DF459" s="213"/>
      <c r="DG459" s="133"/>
    </row>
    <row r="460" customFormat="false" ht="12.75" hidden="false" customHeight="false" outlineLevel="0" collapsed="false">
      <c r="CN460" s="120"/>
      <c r="CO460" s="120"/>
      <c r="CP460" s="120"/>
      <c r="CQ460" s="120"/>
      <c r="CR460" s="120"/>
      <c r="CS460" s="120"/>
      <c r="CT460" s="209"/>
      <c r="CU460" s="210"/>
      <c r="CV460" s="210"/>
      <c r="CW460" s="210"/>
      <c r="CX460" s="133"/>
      <c r="CY460" s="133"/>
      <c r="CZ460" s="133"/>
      <c r="DB460" s="133"/>
      <c r="DD460" s="212"/>
      <c r="DE460" s="210"/>
      <c r="DF460" s="213"/>
      <c r="DG460" s="133"/>
    </row>
    <row r="461" customFormat="false" ht="12.75" hidden="false" customHeight="false" outlineLevel="0" collapsed="false">
      <c r="CN461" s="120"/>
      <c r="CO461" s="120"/>
      <c r="CP461" s="120"/>
      <c r="CQ461" s="120"/>
      <c r="CR461" s="120"/>
      <c r="CS461" s="120"/>
      <c r="CT461" s="209"/>
      <c r="CU461" s="210"/>
      <c r="CV461" s="210"/>
      <c r="CW461" s="210"/>
      <c r="CX461" s="133"/>
      <c r="CY461" s="133"/>
      <c r="CZ461" s="133"/>
      <c r="DB461" s="133"/>
      <c r="DD461" s="212"/>
      <c r="DE461" s="210"/>
      <c r="DF461" s="213"/>
      <c r="DG461" s="133"/>
    </row>
    <row r="462" customFormat="false" ht="12.75" hidden="false" customHeight="false" outlineLevel="0" collapsed="false">
      <c r="CN462" s="120"/>
      <c r="CO462" s="120"/>
      <c r="CP462" s="120"/>
      <c r="CQ462" s="120"/>
      <c r="CR462" s="120"/>
      <c r="CS462" s="120"/>
      <c r="CT462" s="209"/>
      <c r="CU462" s="210"/>
      <c r="CV462" s="210"/>
      <c r="CW462" s="210"/>
      <c r="CX462" s="133"/>
      <c r="CY462" s="133"/>
      <c r="CZ462" s="133"/>
      <c r="DB462" s="133"/>
      <c r="DD462" s="212"/>
      <c r="DE462" s="210"/>
      <c r="DF462" s="213"/>
      <c r="DG462" s="133"/>
    </row>
    <row r="463" customFormat="false" ht="12.75" hidden="false" customHeight="false" outlineLevel="0" collapsed="false">
      <c r="CN463" s="120"/>
      <c r="CO463" s="120"/>
      <c r="CP463" s="120"/>
      <c r="CQ463" s="120"/>
      <c r="CR463" s="120"/>
      <c r="CS463" s="120"/>
      <c r="CT463" s="209"/>
      <c r="CU463" s="210"/>
      <c r="CV463" s="210"/>
      <c r="CW463" s="210"/>
      <c r="CX463" s="133"/>
      <c r="CY463" s="133"/>
      <c r="CZ463" s="133"/>
      <c r="DB463" s="133"/>
      <c r="DD463" s="212"/>
      <c r="DE463" s="210"/>
      <c r="DF463" s="213"/>
      <c r="DG463" s="133"/>
    </row>
    <row r="464" customFormat="false" ht="12.75" hidden="false" customHeight="false" outlineLevel="0" collapsed="false">
      <c r="CN464" s="120"/>
      <c r="CO464" s="120"/>
      <c r="CP464" s="120"/>
      <c r="CQ464" s="120"/>
      <c r="CR464" s="120"/>
      <c r="CS464" s="120"/>
      <c r="CT464" s="209"/>
      <c r="CU464" s="210"/>
      <c r="CV464" s="210"/>
      <c r="CW464" s="210"/>
      <c r="CX464" s="133"/>
      <c r="CY464" s="133"/>
      <c r="CZ464" s="133"/>
      <c r="DB464" s="133"/>
      <c r="DD464" s="212"/>
      <c r="DE464" s="210"/>
      <c r="DF464" s="213"/>
      <c r="DG464" s="133"/>
    </row>
    <row r="465" customFormat="false" ht="12.75" hidden="false" customHeight="false" outlineLevel="0" collapsed="false">
      <c r="CN465" s="120"/>
      <c r="CO465" s="120"/>
      <c r="CP465" s="120"/>
      <c r="CQ465" s="120"/>
      <c r="CR465" s="120"/>
      <c r="CS465" s="120"/>
      <c r="CT465" s="209"/>
      <c r="CU465" s="210"/>
      <c r="CV465" s="210"/>
      <c r="CW465" s="210"/>
      <c r="CX465" s="133"/>
      <c r="CY465" s="133"/>
      <c r="CZ465" s="133"/>
      <c r="DB465" s="133"/>
      <c r="DD465" s="212"/>
      <c r="DE465" s="210"/>
      <c r="DF465" s="213"/>
      <c r="DG465" s="133"/>
    </row>
    <row r="466" customFormat="false" ht="12.75" hidden="false" customHeight="false" outlineLevel="0" collapsed="false">
      <c r="CN466" s="120"/>
      <c r="CO466" s="120"/>
      <c r="CP466" s="120"/>
      <c r="CQ466" s="120"/>
      <c r="CR466" s="120"/>
      <c r="CS466" s="120"/>
      <c r="CT466" s="209"/>
      <c r="CU466" s="210"/>
      <c r="CV466" s="210"/>
      <c r="CW466" s="210"/>
      <c r="CX466" s="133"/>
      <c r="CY466" s="133"/>
      <c r="CZ466" s="133"/>
      <c r="DB466" s="133"/>
      <c r="DD466" s="212"/>
      <c r="DE466" s="210"/>
      <c r="DF466" s="213"/>
      <c r="DG466" s="133"/>
    </row>
    <row r="467" customFormat="false" ht="12.75" hidden="false" customHeight="false" outlineLevel="0" collapsed="false">
      <c r="CN467" s="120"/>
      <c r="CO467" s="120"/>
      <c r="CP467" s="120"/>
      <c r="CQ467" s="120"/>
      <c r="CR467" s="120"/>
      <c r="CS467" s="120"/>
      <c r="CT467" s="209"/>
      <c r="CU467" s="210"/>
      <c r="CV467" s="210"/>
      <c r="CW467" s="210"/>
      <c r="CX467" s="133"/>
      <c r="CY467" s="133"/>
      <c r="CZ467" s="133"/>
      <c r="DB467" s="133"/>
      <c r="DD467" s="212"/>
      <c r="DE467" s="210"/>
      <c r="DF467" s="213"/>
      <c r="DG467" s="133"/>
    </row>
    <row r="468" customFormat="false" ht="12.75" hidden="false" customHeight="false" outlineLevel="0" collapsed="false">
      <c r="CN468" s="120"/>
      <c r="CO468" s="120"/>
      <c r="CP468" s="120"/>
      <c r="CQ468" s="120"/>
      <c r="CR468" s="120"/>
      <c r="CS468" s="120"/>
      <c r="CT468" s="209"/>
      <c r="CU468" s="210"/>
      <c r="CV468" s="210"/>
      <c r="CW468" s="210"/>
      <c r="CX468" s="133"/>
      <c r="CY468" s="133"/>
      <c r="CZ468" s="133"/>
      <c r="DB468" s="133"/>
      <c r="DD468" s="212"/>
      <c r="DE468" s="210"/>
      <c r="DF468" s="213"/>
      <c r="DG468" s="133"/>
    </row>
    <row r="469" customFormat="false" ht="12.75" hidden="false" customHeight="false" outlineLevel="0" collapsed="false">
      <c r="CN469" s="120"/>
      <c r="CO469" s="120"/>
      <c r="CP469" s="120"/>
      <c r="CQ469" s="120"/>
      <c r="CR469" s="120"/>
      <c r="CS469" s="120"/>
      <c r="CT469" s="209"/>
      <c r="CU469" s="210"/>
      <c r="CV469" s="210"/>
      <c r="CW469" s="210"/>
      <c r="CX469" s="133"/>
      <c r="CY469" s="133"/>
      <c r="CZ469" s="133"/>
      <c r="DB469" s="133"/>
      <c r="DD469" s="212"/>
      <c r="DE469" s="210"/>
      <c r="DF469" s="213"/>
      <c r="DG469" s="133"/>
    </row>
    <row r="470" customFormat="false" ht="12.75" hidden="false" customHeight="false" outlineLevel="0" collapsed="false">
      <c r="CN470" s="120"/>
      <c r="CO470" s="120"/>
      <c r="CP470" s="120"/>
      <c r="CQ470" s="120"/>
      <c r="CR470" s="120"/>
      <c r="CS470" s="120"/>
      <c r="CT470" s="209"/>
      <c r="CU470" s="210"/>
      <c r="CV470" s="210"/>
      <c r="CW470" s="210"/>
      <c r="CX470" s="133"/>
      <c r="CY470" s="133"/>
      <c r="CZ470" s="133"/>
      <c r="DB470" s="133"/>
      <c r="DD470" s="212"/>
      <c r="DE470" s="210"/>
      <c r="DF470" s="213"/>
      <c r="DG470" s="133"/>
    </row>
    <row r="471" customFormat="false" ht="12.75" hidden="false" customHeight="false" outlineLevel="0" collapsed="false">
      <c r="CN471" s="120"/>
      <c r="CO471" s="120"/>
      <c r="CP471" s="120"/>
      <c r="CQ471" s="120"/>
      <c r="CR471" s="120"/>
      <c r="CS471" s="120"/>
      <c r="CT471" s="209"/>
      <c r="CU471" s="210"/>
      <c r="CV471" s="210"/>
      <c r="CW471" s="210"/>
      <c r="CX471" s="133"/>
      <c r="CY471" s="133"/>
      <c r="CZ471" s="133"/>
      <c r="DB471" s="133"/>
      <c r="DD471" s="212"/>
      <c r="DE471" s="210"/>
      <c r="DF471" s="213"/>
      <c r="DG471" s="133"/>
    </row>
    <row r="472" customFormat="false" ht="12.75" hidden="false" customHeight="false" outlineLevel="0" collapsed="false">
      <c r="CN472" s="120"/>
      <c r="CO472" s="120"/>
      <c r="CP472" s="120"/>
      <c r="CQ472" s="120"/>
      <c r="CR472" s="120"/>
      <c r="CS472" s="120"/>
      <c r="CT472" s="209"/>
      <c r="CU472" s="210"/>
      <c r="CV472" s="210"/>
      <c r="CW472" s="210"/>
      <c r="CX472" s="133"/>
      <c r="CY472" s="133"/>
      <c r="CZ472" s="133"/>
      <c r="DB472" s="133"/>
      <c r="DD472" s="212"/>
      <c r="DE472" s="210"/>
      <c r="DF472" s="213"/>
      <c r="DG472" s="133"/>
    </row>
    <row r="473" customFormat="false" ht="12.75" hidden="false" customHeight="false" outlineLevel="0" collapsed="false">
      <c r="CN473" s="120"/>
      <c r="CO473" s="120"/>
      <c r="CP473" s="120"/>
      <c r="CQ473" s="120"/>
      <c r="CR473" s="120"/>
      <c r="CS473" s="120"/>
      <c r="CT473" s="209"/>
      <c r="CU473" s="210"/>
      <c r="CV473" s="210"/>
      <c r="CW473" s="210"/>
      <c r="CX473" s="133"/>
      <c r="CY473" s="133"/>
      <c r="CZ473" s="133"/>
      <c r="DB473" s="133"/>
      <c r="DD473" s="212"/>
      <c r="DE473" s="210"/>
      <c r="DF473" s="213"/>
      <c r="DG473" s="133"/>
    </row>
    <row r="474" customFormat="false" ht="12.75" hidden="false" customHeight="false" outlineLevel="0" collapsed="false">
      <c r="CN474" s="120"/>
      <c r="CO474" s="120"/>
      <c r="CP474" s="120"/>
      <c r="CQ474" s="120"/>
      <c r="CR474" s="120"/>
      <c r="CS474" s="120"/>
      <c r="CT474" s="209"/>
      <c r="CU474" s="210"/>
      <c r="CV474" s="210"/>
      <c r="CW474" s="210"/>
      <c r="CX474" s="133"/>
      <c r="CY474" s="133"/>
      <c r="CZ474" s="133"/>
      <c r="DB474" s="133"/>
      <c r="DD474" s="212"/>
      <c r="DE474" s="210"/>
      <c r="DF474" s="213"/>
      <c r="DG474" s="133"/>
    </row>
    <row r="475" customFormat="false" ht="12.75" hidden="false" customHeight="false" outlineLevel="0" collapsed="false">
      <c r="CN475" s="120"/>
      <c r="CO475" s="120"/>
      <c r="CP475" s="120"/>
      <c r="CQ475" s="120"/>
      <c r="CR475" s="120"/>
      <c r="CS475" s="120"/>
      <c r="CT475" s="209"/>
      <c r="CU475" s="210"/>
      <c r="CV475" s="210"/>
      <c r="CW475" s="210"/>
      <c r="CX475" s="133"/>
      <c r="CY475" s="133"/>
      <c r="CZ475" s="133"/>
      <c r="DB475" s="133"/>
      <c r="DD475" s="212"/>
      <c r="DE475" s="210"/>
      <c r="DF475" s="213"/>
      <c r="DG475" s="133"/>
    </row>
    <row r="476" customFormat="false" ht="12.75" hidden="false" customHeight="false" outlineLevel="0" collapsed="false">
      <c r="CN476" s="120"/>
      <c r="CO476" s="120"/>
      <c r="CP476" s="120"/>
      <c r="CQ476" s="120"/>
      <c r="CR476" s="120"/>
      <c r="CS476" s="120"/>
      <c r="CT476" s="209"/>
      <c r="CU476" s="210"/>
      <c r="CV476" s="210"/>
      <c r="CW476" s="210"/>
      <c r="CX476" s="133"/>
      <c r="CY476" s="133"/>
      <c r="CZ476" s="133"/>
      <c r="DB476" s="133"/>
      <c r="DD476" s="212"/>
      <c r="DE476" s="210"/>
      <c r="DF476" s="213"/>
      <c r="DG476" s="133"/>
    </row>
    <row r="477" customFormat="false" ht="12.75" hidden="false" customHeight="false" outlineLevel="0" collapsed="false">
      <c r="CN477" s="120"/>
      <c r="CO477" s="120"/>
      <c r="CP477" s="120"/>
      <c r="CQ477" s="120"/>
      <c r="CR477" s="120"/>
      <c r="CS477" s="120"/>
      <c r="CT477" s="209"/>
      <c r="CU477" s="210"/>
      <c r="CV477" s="210"/>
      <c r="CW477" s="210"/>
      <c r="CX477" s="133"/>
      <c r="CY477" s="133"/>
      <c r="CZ477" s="133"/>
      <c r="DB477" s="133"/>
      <c r="DD477" s="212"/>
      <c r="DE477" s="210"/>
      <c r="DF477" s="213"/>
      <c r="DG477" s="133"/>
    </row>
    <row r="478" customFormat="false" ht="12.75" hidden="false" customHeight="false" outlineLevel="0" collapsed="false">
      <c r="CN478" s="120"/>
      <c r="CO478" s="120"/>
      <c r="CP478" s="120"/>
      <c r="CQ478" s="120"/>
      <c r="CR478" s="120"/>
      <c r="CS478" s="120"/>
      <c r="CT478" s="209"/>
      <c r="CU478" s="210"/>
      <c r="CV478" s="210"/>
      <c r="CW478" s="210"/>
      <c r="CX478" s="133"/>
      <c r="CY478" s="133"/>
      <c r="CZ478" s="133"/>
      <c r="DB478" s="133"/>
      <c r="DD478" s="212"/>
      <c r="DE478" s="210"/>
      <c r="DF478" s="213"/>
      <c r="DG478" s="133"/>
    </row>
    <row r="479" customFormat="false" ht="12.75" hidden="false" customHeight="false" outlineLevel="0" collapsed="false">
      <c r="CN479" s="120"/>
      <c r="CO479" s="120"/>
      <c r="CP479" s="120"/>
      <c r="CQ479" s="120"/>
      <c r="CR479" s="120"/>
      <c r="CS479" s="120"/>
      <c r="CT479" s="209"/>
      <c r="CU479" s="210"/>
      <c r="CV479" s="210"/>
      <c r="CW479" s="210"/>
      <c r="CX479" s="133"/>
      <c r="CY479" s="133"/>
      <c r="CZ479" s="133"/>
      <c r="DB479" s="133"/>
      <c r="DD479" s="212"/>
      <c r="DE479" s="210"/>
      <c r="DF479" s="213"/>
      <c r="DG479" s="133"/>
    </row>
    <row r="480" customFormat="false" ht="12.75" hidden="false" customHeight="false" outlineLevel="0" collapsed="false">
      <c r="CN480" s="120"/>
      <c r="CO480" s="120"/>
      <c r="CP480" s="120"/>
      <c r="CQ480" s="120"/>
      <c r="CR480" s="120"/>
      <c r="CS480" s="120"/>
      <c r="CT480" s="209"/>
      <c r="CU480" s="210"/>
      <c r="CV480" s="210"/>
      <c r="CW480" s="210"/>
      <c r="CX480" s="133"/>
      <c r="CY480" s="133"/>
      <c r="CZ480" s="133"/>
      <c r="DB480" s="133"/>
      <c r="DD480" s="212"/>
      <c r="DE480" s="210"/>
      <c r="DF480" s="213"/>
      <c r="DG480" s="133"/>
    </row>
    <row r="481" customFormat="false" ht="12.75" hidden="false" customHeight="false" outlineLevel="0" collapsed="false">
      <c r="CN481" s="120"/>
      <c r="CO481" s="120"/>
      <c r="CP481" s="120"/>
      <c r="CQ481" s="120"/>
      <c r="CR481" s="120"/>
      <c r="CS481" s="120"/>
      <c r="CT481" s="209"/>
      <c r="CU481" s="210"/>
      <c r="CV481" s="210"/>
      <c r="CW481" s="210"/>
      <c r="CX481" s="133"/>
      <c r="CY481" s="133"/>
      <c r="CZ481" s="133"/>
      <c r="DB481" s="133"/>
      <c r="DD481" s="212"/>
      <c r="DE481" s="210"/>
      <c r="DF481" s="213"/>
      <c r="DG481" s="133"/>
    </row>
    <row r="482" customFormat="false" ht="12.75" hidden="false" customHeight="false" outlineLevel="0" collapsed="false">
      <c r="CN482" s="120"/>
      <c r="CO482" s="120"/>
      <c r="CP482" s="120"/>
      <c r="CQ482" s="120"/>
      <c r="CR482" s="120"/>
      <c r="CS482" s="120"/>
      <c r="CT482" s="209"/>
      <c r="CU482" s="210"/>
      <c r="CV482" s="210"/>
      <c r="CW482" s="210"/>
      <c r="CX482" s="133"/>
      <c r="CY482" s="133"/>
      <c r="CZ482" s="133"/>
      <c r="DB482" s="133"/>
      <c r="DD482" s="212"/>
      <c r="DE482" s="210"/>
      <c r="DF482" s="213"/>
      <c r="DG482" s="133"/>
    </row>
    <row r="483" customFormat="false" ht="12.75" hidden="false" customHeight="false" outlineLevel="0" collapsed="false">
      <c r="CN483" s="120"/>
      <c r="CO483" s="120"/>
      <c r="CP483" s="120"/>
      <c r="CQ483" s="120"/>
      <c r="CR483" s="120"/>
      <c r="CS483" s="120"/>
      <c r="CT483" s="209"/>
      <c r="CU483" s="210"/>
      <c r="CV483" s="210"/>
      <c r="CW483" s="210"/>
      <c r="CX483" s="133"/>
      <c r="CY483" s="133"/>
      <c r="CZ483" s="133"/>
      <c r="DB483" s="133"/>
      <c r="DD483" s="212"/>
      <c r="DE483" s="210"/>
      <c r="DF483" s="213"/>
      <c r="DG483" s="133"/>
    </row>
    <row r="484" customFormat="false" ht="12.75" hidden="false" customHeight="false" outlineLevel="0" collapsed="false">
      <c r="CN484" s="120"/>
      <c r="CO484" s="120"/>
      <c r="CP484" s="120"/>
      <c r="CQ484" s="120"/>
      <c r="CR484" s="120"/>
      <c r="CS484" s="120"/>
      <c r="CT484" s="209"/>
      <c r="CU484" s="210"/>
      <c r="CV484" s="210"/>
      <c r="CW484" s="210"/>
      <c r="CX484" s="133"/>
      <c r="CY484" s="133"/>
      <c r="CZ484" s="133"/>
      <c r="DB484" s="133"/>
      <c r="DD484" s="212"/>
      <c r="DE484" s="210"/>
      <c r="DF484" s="213"/>
      <c r="DG484" s="133"/>
    </row>
    <row r="485" customFormat="false" ht="12.75" hidden="false" customHeight="false" outlineLevel="0" collapsed="false">
      <c r="CN485" s="120"/>
      <c r="CO485" s="120"/>
      <c r="CP485" s="120"/>
      <c r="CQ485" s="120"/>
      <c r="CR485" s="120"/>
      <c r="CS485" s="120"/>
      <c r="CT485" s="209"/>
      <c r="CU485" s="210"/>
      <c r="CV485" s="210"/>
      <c r="CW485" s="210"/>
      <c r="CX485" s="133"/>
      <c r="CY485" s="133"/>
      <c r="CZ485" s="133"/>
      <c r="DB485" s="133"/>
      <c r="DD485" s="212"/>
      <c r="DE485" s="210"/>
      <c r="DF485" s="213"/>
      <c r="DG485" s="133"/>
    </row>
    <row r="486" customFormat="false" ht="12.75" hidden="false" customHeight="false" outlineLevel="0" collapsed="false">
      <c r="CN486" s="120"/>
      <c r="CO486" s="120"/>
      <c r="CP486" s="120"/>
      <c r="CQ486" s="120"/>
      <c r="CR486" s="120"/>
      <c r="CS486" s="120"/>
      <c r="CT486" s="209"/>
      <c r="CU486" s="210"/>
      <c r="CV486" s="210"/>
      <c r="CW486" s="210"/>
      <c r="CX486" s="133"/>
      <c r="CY486" s="133"/>
      <c r="CZ486" s="133"/>
      <c r="DB486" s="133"/>
      <c r="DD486" s="212"/>
      <c r="DE486" s="210"/>
      <c r="DF486" s="213"/>
      <c r="DG486" s="133"/>
    </row>
    <row r="487" customFormat="false" ht="12.75" hidden="false" customHeight="false" outlineLevel="0" collapsed="false">
      <c r="CN487" s="120"/>
      <c r="CO487" s="120"/>
      <c r="CP487" s="120"/>
      <c r="CQ487" s="120"/>
      <c r="CR487" s="120"/>
      <c r="CS487" s="120"/>
      <c r="CT487" s="209"/>
      <c r="CU487" s="210"/>
      <c r="CV487" s="210"/>
      <c r="CW487" s="210"/>
      <c r="CX487" s="133"/>
      <c r="CY487" s="133"/>
      <c r="CZ487" s="133"/>
      <c r="DB487" s="133"/>
      <c r="DD487" s="212"/>
      <c r="DE487" s="210"/>
      <c r="DF487" s="213"/>
      <c r="DG487" s="133"/>
    </row>
    <row r="488" customFormat="false" ht="12.75" hidden="false" customHeight="false" outlineLevel="0" collapsed="false">
      <c r="CN488" s="120"/>
      <c r="CO488" s="120"/>
      <c r="CP488" s="120"/>
      <c r="CQ488" s="120"/>
      <c r="CR488" s="120"/>
      <c r="CS488" s="120"/>
      <c r="CT488" s="209"/>
      <c r="CU488" s="210"/>
      <c r="CV488" s="210"/>
      <c r="CW488" s="210"/>
      <c r="CX488" s="133"/>
      <c r="CY488" s="133"/>
      <c r="CZ488" s="133"/>
      <c r="DB488" s="133"/>
      <c r="DD488" s="212"/>
      <c r="DE488" s="210"/>
      <c r="DF488" s="213"/>
      <c r="DG488" s="133"/>
    </row>
    <row r="489" customFormat="false" ht="12.75" hidden="false" customHeight="false" outlineLevel="0" collapsed="false">
      <c r="CN489" s="120"/>
      <c r="CO489" s="120"/>
      <c r="CP489" s="120"/>
      <c r="CQ489" s="120"/>
      <c r="CR489" s="120"/>
      <c r="CS489" s="120"/>
      <c r="CT489" s="209"/>
      <c r="CU489" s="210"/>
      <c r="CV489" s="210"/>
      <c r="CW489" s="210"/>
      <c r="CX489" s="133"/>
      <c r="CY489" s="133"/>
      <c r="CZ489" s="133"/>
      <c r="DB489" s="133"/>
      <c r="DD489" s="212"/>
      <c r="DE489" s="210"/>
      <c r="DF489" s="213"/>
      <c r="DG489" s="133"/>
    </row>
    <row r="490" customFormat="false" ht="12.75" hidden="false" customHeight="false" outlineLevel="0" collapsed="false">
      <c r="CN490" s="120"/>
      <c r="CO490" s="120"/>
      <c r="CP490" s="120"/>
      <c r="CQ490" s="120"/>
      <c r="CR490" s="120"/>
      <c r="CS490" s="120"/>
      <c r="CT490" s="209"/>
      <c r="CU490" s="210"/>
      <c r="CV490" s="210"/>
      <c r="CW490" s="210"/>
      <c r="CX490" s="133"/>
      <c r="CY490" s="133"/>
      <c r="CZ490" s="133"/>
      <c r="DB490" s="133"/>
      <c r="DD490" s="212"/>
      <c r="DE490" s="210"/>
      <c r="DF490" s="213"/>
      <c r="DG490" s="133"/>
    </row>
    <row r="491" customFormat="false" ht="12.75" hidden="false" customHeight="false" outlineLevel="0" collapsed="false">
      <c r="CN491" s="120"/>
      <c r="CO491" s="120"/>
      <c r="CP491" s="120"/>
      <c r="CQ491" s="120"/>
      <c r="CR491" s="120"/>
      <c r="CS491" s="120"/>
      <c r="CT491" s="209"/>
      <c r="CU491" s="210"/>
      <c r="CV491" s="210"/>
      <c r="CW491" s="210"/>
      <c r="CX491" s="133"/>
      <c r="CY491" s="133"/>
      <c r="CZ491" s="133"/>
      <c r="DB491" s="133"/>
      <c r="DD491" s="212"/>
      <c r="DE491" s="210"/>
      <c r="DF491" s="213"/>
      <c r="DG491" s="133"/>
    </row>
    <row r="492" customFormat="false" ht="12.75" hidden="false" customHeight="false" outlineLevel="0" collapsed="false">
      <c r="CN492" s="120"/>
      <c r="CO492" s="120"/>
      <c r="CP492" s="120"/>
      <c r="CQ492" s="120"/>
      <c r="CR492" s="120"/>
      <c r="CS492" s="120"/>
      <c r="CT492" s="209"/>
      <c r="CU492" s="210"/>
      <c r="CV492" s="210"/>
      <c r="CW492" s="210"/>
      <c r="CX492" s="133"/>
      <c r="CY492" s="133"/>
      <c r="CZ492" s="133"/>
      <c r="DB492" s="133"/>
      <c r="DD492" s="212"/>
      <c r="DE492" s="210"/>
      <c r="DF492" s="213"/>
      <c r="DG492" s="133"/>
    </row>
    <row r="493" customFormat="false" ht="12.75" hidden="false" customHeight="false" outlineLevel="0" collapsed="false">
      <c r="CN493" s="120"/>
      <c r="CO493" s="120"/>
      <c r="CP493" s="120"/>
      <c r="CQ493" s="120"/>
      <c r="CR493" s="120"/>
      <c r="CS493" s="120"/>
      <c r="CT493" s="209"/>
      <c r="CU493" s="210"/>
      <c r="CV493" s="210"/>
      <c r="CW493" s="210"/>
      <c r="CX493" s="133"/>
      <c r="CY493" s="133"/>
      <c r="CZ493" s="133"/>
      <c r="DB493" s="133"/>
      <c r="DD493" s="212"/>
      <c r="DE493" s="210"/>
      <c r="DF493" s="213"/>
      <c r="DG493" s="133"/>
    </row>
    <row r="494" customFormat="false" ht="12.75" hidden="false" customHeight="false" outlineLevel="0" collapsed="false">
      <c r="CN494" s="120"/>
      <c r="CO494" s="120"/>
      <c r="CP494" s="120"/>
      <c r="CQ494" s="120"/>
      <c r="CR494" s="120"/>
      <c r="CS494" s="120"/>
      <c r="CT494" s="209"/>
      <c r="CU494" s="210"/>
      <c r="CV494" s="210"/>
      <c r="CW494" s="210"/>
      <c r="CX494" s="133"/>
      <c r="CY494" s="133"/>
      <c r="CZ494" s="133"/>
      <c r="DB494" s="133"/>
      <c r="DD494" s="212"/>
      <c r="DE494" s="210"/>
      <c r="DF494" s="213"/>
      <c r="DG494" s="133"/>
    </row>
    <row r="495" customFormat="false" ht="12.75" hidden="false" customHeight="false" outlineLevel="0" collapsed="false">
      <c r="CN495" s="120"/>
      <c r="CO495" s="120"/>
      <c r="CP495" s="120"/>
      <c r="CQ495" s="120"/>
      <c r="CR495" s="120"/>
      <c r="CS495" s="120"/>
      <c r="CT495" s="209"/>
      <c r="CU495" s="210"/>
      <c r="CV495" s="210"/>
      <c r="CW495" s="210"/>
      <c r="CX495" s="133"/>
      <c r="CY495" s="133"/>
      <c r="CZ495" s="133"/>
      <c r="DB495" s="133"/>
      <c r="DD495" s="212"/>
      <c r="DE495" s="210"/>
      <c r="DF495" s="213"/>
      <c r="DG495" s="133"/>
    </row>
    <row r="496" customFormat="false" ht="12.75" hidden="false" customHeight="false" outlineLevel="0" collapsed="false">
      <c r="CN496" s="120"/>
      <c r="CO496" s="120"/>
      <c r="CP496" s="120"/>
      <c r="CQ496" s="120"/>
      <c r="CR496" s="120"/>
      <c r="CS496" s="120"/>
      <c r="CT496" s="209"/>
      <c r="CU496" s="210"/>
      <c r="CV496" s="210"/>
      <c r="CW496" s="210"/>
      <c r="CX496" s="133"/>
      <c r="CY496" s="133"/>
      <c r="CZ496" s="133"/>
      <c r="DB496" s="133"/>
      <c r="DD496" s="212"/>
      <c r="DE496" s="210"/>
      <c r="DF496" s="213"/>
      <c r="DG496" s="133"/>
    </row>
    <row r="497" customFormat="false" ht="12.75" hidden="false" customHeight="false" outlineLevel="0" collapsed="false">
      <c r="CN497" s="120"/>
      <c r="CO497" s="120"/>
      <c r="CP497" s="120"/>
      <c r="CQ497" s="120"/>
      <c r="CR497" s="120"/>
      <c r="CS497" s="120"/>
      <c r="CT497" s="209"/>
      <c r="CU497" s="210"/>
      <c r="CV497" s="210"/>
      <c r="CW497" s="210"/>
      <c r="CX497" s="133"/>
      <c r="CY497" s="133"/>
      <c r="CZ497" s="133"/>
      <c r="DB497" s="133"/>
      <c r="DD497" s="212"/>
      <c r="DE497" s="210"/>
      <c r="DF497" s="213"/>
      <c r="DG497" s="133"/>
    </row>
    <row r="498" customFormat="false" ht="12.75" hidden="false" customHeight="false" outlineLevel="0" collapsed="false">
      <c r="CN498" s="120"/>
      <c r="CO498" s="120"/>
      <c r="CP498" s="120"/>
      <c r="CQ498" s="120"/>
      <c r="CR498" s="120"/>
      <c r="CS498" s="120"/>
      <c r="CT498" s="209"/>
      <c r="CU498" s="210"/>
      <c r="CV498" s="210"/>
      <c r="CW498" s="210"/>
      <c r="CX498" s="133"/>
      <c r="CY498" s="133"/>
      <c r="CZ498" s="133"/>
      <c r="DB498" s="133"/>
      <c r="DD498" s="212"/>
      <c r="DE498" s="210"/>
      <c r="DF498" s="213"/>
      <c r="DG498" s="133"/>
    </row>
    <row r="499" customFormat="false" ht="12.75" hidden="false" customHeight="false" outlineLevel="0" collapsed="false">
      <c r="CN499" s="120"/>
      <c r="CO499" s="120"/>
      <c r="CP499" s="120"/>
      <c r="CQ499" s="120"/>
      <c r="CR499" s="120"/>
      <c r="CS499" s="120"/>
      <c r="CT499" s="209"/>
      <c r="CU499" s="210"/>
      <c r="CV499" s="210"/>
      <c r="CW499" s="210"/>
      <c r="CX499" s="133"/>
      <c r="CY499" s="133"/>
      <c r="CZ499" s="133"/>
      <c r="DB499" s="133"/>
      <c r="DD499" s="212"/>
      <c r="DE499" s="210"/>
      <c r="DF499" s="213"/>
      <c r="DG499" s="133"/>
    </row>
    <row r="500" customFormat="false" ht="12.75" hidden="false" customHeight="false" outlineLevel="0" collapsed="false">
      <c r="CN500" s="120"/>
      <c r="CO500" s="120"/>
      <c r="CP500" s="120"/>
      <c r="CQ500" s="120"/>
      <c r="CR500" s="120"/>
      <c r="CS500" s="120"/>
      <c r="CT500" s="209"/>
      <c r="CU500" s="210"/>
      <c r="CV500" s="210"/>
      <c r="CW500" s="210"/>
      <c r="CX500" s="133"/>
      <c r="CY500" s="133"/>
      <c r="CZ500" s="133"/>
      <c r="DB500" s="133"/>
      <c r="DD500" s="212"/>
      <c r="DE500" s="210"/>
      <c r="DF500" s="213"/>
      <c r="DG500" s="133"/>
    </row>
    <row r="501" customFormat="false" ht="12.75" hidden="false" customHeight="false" outlineLevel="0" collapsed="false">
      <c r="CN501" s="120"/>
      <c r="CO501" s="120"/>
      <c r="CP501" s="120"/>
      <c r="CQ501" s="120"/>
      <c r="CR501" s="120"/>
      <c r="CS501" s="120"/>
      <c r="CT501" s="209"/>
      <c r="CU501" s="210"/>
      <c r="CV501" s="210"/>
      <c r="CW501" s="210"/>
      <c r="CX501" s="133"/>
      <c r="CY501" s="133"/>
      <c r="CZ501" s="133"/>
      <c r="DB501" s="133"/>
      <c r="DD501" s="212"/>
      <c r="DE501" s="210"/>
      <c r="DF501" s="213"/>
      <c r="DG501" s="133"/>
    </row>
    <row r="502" customFormat="false" ht="12.75" hidden="false" customHeight="false" outlineLevel="0" collapsed="false">
      <c r="CN502" s="120"/>
      <c r="CO502" s="120"/>
      <c r="CP502" s="120"/>
      <c r="CQ502" s="120"/>
      <c r="CR502" s="120"/>
      <c r="CS502" s="120"/>
      <c r="CT502" s="209"/>
      <c r="CU502" s="210"/>
      <c r="CV502" s="210"/>
      <c r="CW502" s="210"/>
      <c r="CX502" s="133"/>
      <c r="CY502" s="133"/>
      <c r="CZ502" s="133"/>
      <c r="DB502" s="133"/>
      <c r="DD502" s="212"/>
      <c r="DE502" s="210"/>
      <c r="DF502" s="213"/>
      <c r="DG502" s="133"/>
    </row>
    <row r="503" customFormat="false" ht="12.75" hidden="false" customHeight="false" outlineLevel="0" collapsed="false">
      <c r="CN503" s="120"/>
      <c r="CO503" s="120"/>
      <c r="CP503" s="120"/>
      <c r="CQ503" s="120"/>
      <c r="CR503" s="120"/>
      <c r="CS503" s="120"/>
      <c r="CT503" s="209"/>
      <c r="CU503" s="210"/>
      <c r="CV503" s="210"/>
      <c r="CW503" s="210"/>
      <c r="CX503" s="133"/>
      <c r="CY503" s="133"/>
      <c r="CZ503" s="133"/>
      <c r="DB503" s="133"/>
      <c r="DD503" s="212"/>
      <c r="DE503" s="210"/>
      <c r="DF503" s="213"/>
      <c r="DG503" s="133"/>
    </row>
    <row r="504" customFormat="false" ht="12.75" hidden="false" customHeight="false" outlineLevel="0" collapsed="false">
      <c r="CN504" s="120"/>
      <c r="CO504" s="120"/>
      <c r="CP504" s="120"/>
      <c r="CQ504" s="120"/>
      <c r="CR504" s="120"/>
      <c r="CS504" s="120"/>
      <c r="CT504" s="209"/>
      <c r="CU504" s="210"/>
      <c r="CV504" s="210"/>
      <c r="CW504" s="210"/>
      <c r="CX504" s="133"/>
      <c r="CY504" s="133"/>
      <c r="CZ504" s="133"/>
      <c r="DB504" s="133"/>
      <c r="DD504" s="212"/>
      <c r="DE504" s="210"/>
      <c r="DF504" s="213"/>
      <c r="DG504" s="133"/>
    </row>
    <row r="505" customFormat="false" ht="12.75" hidden="false" customHeight="false" outlineLevel="0" collapsed="false">
      <c r="CN505" s="120"/>
      <c r="CO505" s="120"/>
      <c r="CP505" s="120"/>
      <c r="CQ505" s="120"/>
      <c r="CR505" s="120"/>
      <c r="CS505" s="120"/>
      <c r="CT505" s="209"/>
      <c r="CU505" s="210"/>
      <c r="CV505" s="210"/>
      <c r="CW505" s="210"/>
      <c r="CX505" s="133"/>
      <c r="CY505" s="133"/>
      <c r="CZ505" s="133"/>
      <c r="DB505" s="133"/>
      <c r="DD505" s="212"/>
      <c r="DE505" s="210"/>
      <c r="DF505" s="213"/>
      <c r="DG505" s="133"/>
    </row>
    <row r="506" customFormat="false" ht="12.75" hidden="false" customHeight="false" outlineLevel="0" collapsed="false">
      <c r="CN506" s="120"/>
      <c r="CO506" s="120"/>
      <c r="CP506" s="120"/>
      <c r="CQ506" s="120"/>
      <c r="CR506" s="120"/>
      <c r="CS506" s="120"/>
      <c r="CT506" s="209"/>
      <c r="CU506" s="210"/>
      <c r="CV506" s="210"/>
      <c r="CW506" s="210"/>
      <c r="CX506" s="133"/>
      <c r="CY506" s="133"/>
      <c r="CZ506" s="133"/>
      <c r="DB506" s="133"/>
      <c r="DD506" s="212"/>
      <c r="DE506" s="210"/>
      <c r="DF506" s="213"/>
      <c r="DG506" s="133"/>
    </row>
    <row r="507" customFormat="false" ht="12.75" hidden="false" customHeight="false" outlineLevel="0" collapsed="false">
      <c r="CN507" s="120"/>
      <c r="CO507" s="120"/>
      <c r="CP507" s="120"/>
      <c r="CQ507" s="120"/>
      <c r="CR507" s="120"/>
      <c r="CS507" s="120"/>
    </row>
  </sheetData>
  <mergeCells count="4">
    <mergeCell ref="EB3:EC3"/>
    <mergeCell ref="CX8:CZ8"/>
    <mergeCell ref="DK8:DM8"/>
    <mergeCell ref="AQ9:BD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J48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0" topLeftCell="C1" activePane="topRight" state="frozen"/>
      <selection pane="topLeft" activeCell="A1" activeCellId="0" sqref="A1"/>
      <selection pane="topRight" activeCell="C1" activeCellId="0" sqref="C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14" width="8.14"/>
    <col collapsed="false" customWidth="true" hidden="false" outlineLevel="0" max="2" min="2" style="215" width="11.56"/>
    <col collapsed="false" customWidth="true" hidden="false" outlineLevel="0" max="3" min="3" style="215" width="12.7"/>
    <col collapsed="false" customWidth="true" hidden="false" outlineLevel="0" max="4" min="4" style="215" width="15.13"/>
    <col collapsed="false" customWidth="true" hidden="false" outlineLevel="0" max="5" min="5" style="215" width="13.99"/>
    <col collapsed="false" customWidth="true" hidden="false" outlineLevel="0" max="6" min="6" style="215" width="12.56"/>
    <col collapsed="false" customWidth="true" hidden="false" outlineLevel="0" max="7" min="7" style="215" width="13.56"/>
    <col collapsed="false" customWidth="true" hidden="false" outlineLevel="0" max="8" min="8" style="215" width="13.41"/>
    <col collapsed="false" customWidth="true" hidden="false" outlineLevel="0" max="9" min="9" style="215" width="12.85"/>
    <col collapsed="false" customWidth="true" hidden="false" outlineLevel="0" max="10" min="10" style="215" width="14.41"/>
    <col collapsed="false" customWidth="true" hidden="false" outlineLevel="0" max="11" min="11" style="215" width="13.99"/>
    <col collapsed="false" customWidth="true" hidden="false" outlineLevel="0" max="12" min="12" style="215" width="15.41"/>
    <col collapsed="false" customWidth="true" hidden="false" outlineLevel="0" max="15" min="13" style="215" width="12.7"/>
    <col collapsed="false" customWidth="true" hidden="false" outlineLevel="0" max="17" min="16" style="215" width="9.85"/>
    <col collapsed="false" customWidth="true" hidden="false" outlineLevel="0" max="18" min="18" style="215" width="8.14"/>
    <col collapsed="false" customWidth="true" hidden="false" outlineLevel="0" max="19" min="19" style="215" width="8.56"/>
    <col collapsed="false" customWidth="true" hidden="false" outlineLevel="0" max="21" min="20" style="215" width="8.14"/>
    <col collapsed="false" customWidth="true" hidden="false" outlineLevel="0" max="22" min="22" style="215" width="8.56"/>
    <col collapsed="false" customWidth="true" hidden="false" outlineLevel="0" max="23" min="23" style="216" width="8.14"/>
    <col collapsed="false" customWidth="true" hidden="false" outlineLevel="0" max="24" min="24" style="216" width="8.56"/>
    <col collapsed="false" customWidth="true" hidden="false" outlineLevel="0" max="25" min="25" style="216" width="8.14"/>
    <col collapsed="false" customWidth="true" hidden="false" outlineLevel="0" max="26" min="26" style="216" width="12.85"/>
    <col collapsed="false" customWidth="true" hidden="false" outlineLevel="0" max="27" min="27" style="216" width="10.28"/>
    <col collapsed="false" customWidth="true" hidden="false" outlineLevel="0" max="29" min="28" style="216" width="11.42"/>
    <col collapsed="false" customWidth="true" hidden="false" outlineLevel="0" max="30" min="30" style="216" width="12.56"/>
    <col collapsed="false" customWidth="true" hidden="false" outlineLevel="0" max="31" min="31" style="216" width="13.41"/>
    <col collapsed="false" customWidth="true" hidden="false" outlineLevel="0" max="32" min="32" style="216" width="12.14"/>
    <col collapsed="false" customWidth="true" hidden="false" outlineLevel="0" max="33" min="33" style="216" width="16.42"/>
    <col collapsed="false" customWidth="true" hidden="false" outlineLevel="0" max="34" min="34" style="216" width="11.13"/>
    <col collapsed="false" customWidth="true" hidden="false" outlineLevel="0" max="35" min="35" style="216" width="9.85"/>
    <col collapsed="false" customWidth="true" hidden="false" outlineLevel="0" max="36" min="36" style="216" width="11.42"/>
    <col collapsed="false" customWidth="true" hidden="false" outlineLevel="0" max="37" min="37" style="216" width="16.7"/>
    <col collapsed="false" customWidth="true" hidden="false" outlineLevel="0" max="38" min="38" style="216" width="6.99"/>
    <col collapsed="false" customWidth="true" hidden="false" outlineLevel="0" max="39" min="39" style="216" width="13.7"/>
    <col collapsed="false" customWidth="true" hidden="false" outlineLevel="0" max="40" min="40" style="216" width="11.99"/>
    <col collapsed="false" customWidth="true" hidden="false" outlineLevel="0" max="41" min="41" style="216" width="10.41"/>
    <col collapsed="false" customWidth="true" hidden="false" outlineLevel="0" max="42" min="42" style="216" width="9.56"/>
    <col collapsed="false" customWidth="true" hidden="false" outlineLevel="0" max="43" min="43" style="216" width="10.41"/>
    <col collapsed="false" customWidth="true" hidden="false" outlineLevel="0" max="44" min="44" style="216" width="9.7"/>
    <col collapsed="false" customWidth="true" hidden="false" outlineLevel="0" max="45" min="45" style="216" width="19.7"/>
    <col collapsed="false" customWidth="true" hidden="false" outlineLevel="0" max="46" min="46" style="216" width="6.99"/>
    <col collapsed="false" customWidth="false" hidden="false" outlineLevel="0" max="51" min="47" style="216" width="9.14"/>
    <col collapsed="false" customWidth="true" hidden="false" outlineLevel="0" max="52" min="52" style="216" width="18.85"/>
    <col collapsed="false" customWidth="false" hidden="false" outlineLevel="0" max="68" min="53" style="216" width="9.14"/>
    <col collapsed="false" customWidth="true" hidden="false" outlineLevel="0" max="69" min="69" style="216" width="20.13"/>
    <col collapsed="false" customWidth="true" hidden="false" outlineLevel="0" max="70" min="70" style="216" width="11.56"/>
    <col collapsed="false" customWidth="true" hidden="false" outlineLevel="0" max="71" min="71" style="216" width="11.99"/>
    <col collapsed="false" customWidth="false" hidden="false" outlineLevel="0" max="74" min="72" style="216" width="9.14"/>
    <col collapsed="false" customWidth="true" hidden="false" outlineLevel="0" max="75" min="75" style="216" width="25.13"/>
    <col collapsed="false" customWidth="false" hidden="false" outlineLevel="0" max="78" min="76" style="216" width="9.14"/>
    <col collapsed="false" customWidth="true" hidden="false" outlineLevel="0" max="79" min="79" style="216" width="19.14"/>
    <col collapsed="false" customWidth="true" hidden="false" outlineLevel="0" max="80" min="80" style="216" width="11.56"/>
    <col collapsed="false" customWidth="true" hidden="false" outlineLevel="0" max="81" min="81" style="216" width="11.99"/>
    <col collapsed="false" customWidth="false" hidden="false" outlineLevel="0" max="84" min="82" style="216" width="9.14"/>
    <col collapsed="false" customWidth="true" hidden="false" outlineLevel="0" max="85" min="85" style="216" width="23.28"/>
    <col collapsed="false" customWidth="false" hidden="false" outlineLevel="0" max="88" min="86" style="216" width="9.14"/>
    <col collapsed="false" customWidth="true" hidden="false" outlineLevel="0" max="89" min="89" style="216" width="17.42"/>
    <col collapsed="false" customWidth="true" hidden="false" outlineLevel="0" max="90" min="90" style="216" width="9.28"/>
    <col collapsed="false" customWidth="false" hidden="false" outlineLevel="0" max="257" min="91" style="216" width="9.14"/>
  </cols>
  <sheetData>
    <row r="1" customFormat="false" ht="13.5" hidden="false" customHeight="false" outlineLevel="0" collapsed="false">
      <c r="A1" s="216" t="s">
        <v>275</v>
      </c>
      <c r="B1" s="217" t="s">
        <v>276</v>
      </c>
      <c r="C1" s="218" t="s">
        <v>277</v>
      </c>
      <c r="J1" s="219"/>
      <c r="K1" s="220"/>
      <c r="L1" s="219"/>
      <c r="BP1" s="0"/>
      <c r="BQ1" s="221" t="s">
        <v>278</v>
      </c>
      <c r="BR1" s="222" t="s">
        <v>279</v>
      </c>
      <c r="BS1" s="221" t="s">
        <v>280</v>
      </c>
      <c r="BT1" s="223" t="s">
        <v>281</v>
      </c>
      <c r="BU1" s="223"/>
      <c r="BV1" s="161"/>
      <c r="BW1" s="224"/>
      <c r="BX1" s="225" t="n">
        <v>368</v>
      </c>
      <c r="BZ1" s="0"/>
      <c r="CA1" s="221" t="s">
        <v>278</v>
      </c>
      <c r="CB1" s="222" t="s">
        <v>279</v>
      </c>
      <c r="CC1" s="221" t="s">
        <v>280</v>
      </c>
      <c r="CD1" s="223" t="s">
        <v>281</v>
      </c>
      <c r="CE1" s="0"/>
      <c r="CF1" s="0"/>
      <c r="CG1" s="0"/>
      <c r="CH1" s="225" t="n">
        <v>368</v>
      </c>
      <c r="CJ1" s="0"/>
      <c r="CK1" s="0"/>
      <c r="CL1" s="0"/>
      <c r="CM1" s="0"/>
      <c r="CN1" s="0"/>
      <c r="CO1" s="0"/>
    </row>
    <row r="2" customFormat="false" ht="12.75" hidden="false" customHeight="false" outlineLevel="0" collapsed="false">
      <c r="A2" s="216" t="s">
        <v>282</v>
      </c>
      <c r="B2" s="217" t="s">
        <v>276</v>
      </c>
      <c r="C2" s="218" t="s">
        <v>283</v>
      </c>
      <c r="BP2" s="226" t="n">
        <f aca="false">BP1+BV2</f>
        <v>1</v>
      </c>
      <c r="BQ2" s="227" t="s">
        <v>284</v>
      </c>
      <c r="BR2" s="228" t="s">
        <v>285</v>
      </c>
      <c r="BS2" s="169" t="s">
        <v>286</v>
      </c>
      <c r="BT2" s="229" t="s">
        <v>287</v>
      </c>
      <c r="BU2" s="230"/>
      <c r="BV2" s="161" t="n">
        <v>1</v>
      </c>
      <c r="BW2" s="224" t="s">
        <v>288</v>
      </c>
      <c r="BX2" s="0"/>
      <c r="BZ2" s="226" t="n">
        <f aca="false">BZ1+CF2</f>
        <v>1</v>
      </c>
      <c r="CA2" s="227" t="s">
        <v>284</v>
      </c>
      <c r="CB2" s="228" t="s">
        <v>289</v>
      </c>
      <c r="CC2" s="169" t="s">
        <v>286</v>
      </c>
      <c r="CD2" s="229" t="s">
        <v>287</v>
      </c>
      <c r="CE2" s="230"/>
      <c r="CF2" s="161" t="n">
        <v>1</v>
      </c>
      <c r="CG2" s="231" t="s">
        <v>290</v>
      </c>
      <c r="CH2" s="0"/>
      <c r="CJ2" s="0"/>
      <c r="CK2" s="131" t="s">
        <v>291</v>
      </c>
      <c r="CL2" s="131" t="s">
        <v>292</v>
      </c>
      <c r="CM2" s="131"/>
      <c r="CN2" s="131"/>
      <c r="CO2" s="232" t="n">
        <v>14</v>
      </c>
    </row>
    <row r="3" customFormat="false" ht="12.75" hidden="false" customHeight="false" outlineLevel="0" collapsed="false">
      <c r="A3" s="216" t="s">
        <v>293</v>
      </c>
      <c r="B3" s="217" t="s">
        <v>294</v>
      </c>
      <c r="C3" s="218" t="s">
        <v>295</v>
      </c>
      <c r="BP3" s="226" t="n">
        <f aca="false">BP2+BV3</f>
        <v>2</v>
      </c>
      <c r="BQ3" s="227" t="s">
        <v>296</v>
      </c>
      <c r="BR3" s="228" t="s">
        <v>285</v>
      </c>
      <c r="BS3" s="233" t="s">
        <v>286</v>
      </c>
      <c r="BT3" s="229" t="s">
        <v>287</v>
      </c>
      <c r="BU3" s="230"/>
      <c r="BV3" s="161" t="n">
        <v>1</v>
      </c>
      <c r="BW3" s="224" t="s">
        <v>297</v>
      </c>
      <c r="BX3" s="0"/>
      <c r="BZ3" s="226" t="n">
        <f aca="false">BZ2+CF3</f>
        <v>2</v>
      </c>
      <c r="CA3" s="227" t="s">
        <v>298</v>
      </c>
      <c r="CB3" s="228" t="s">
        <v>289</v>
      </c>
      <c r="CC3" s="169" t="s">
        <v>286</v>
      </c>
      <c r="CD3" s="229" t="s">
        <v>287</v>
      </c>
      <c r="CE3" s="230"/>
      <c r="CF3" s="161" t="n">
        <v>1</v>
      </c>
      <c r="CG3" s="231" t="s">
        <v>299</v>
      </c>
      <c r="CH3" s="0"/>
      <c r="CJ3" s="0" t="n">
        <v>1</v>
      </c>
      <c r="CK3" s="197" t="s">
        <v>300</v>
      </c>
      <c r="CL3" s="198" t="s">
        <v>301</v>
      </c>
      <c r="CM3" s="120"/>
      <c r="CN3" s="139"/>
      <c r="CO3" s="165"/>
      <c r="HJ3" s="215"/>
    </row>
    <row r="4" customFormat="false" ht="12.75" hidden="false" customHeight="false" outlineLevel="0" collapsed="false">
      <c r="A4" s="216"/>
      <c r="B4" s="217"/>
      <c r="C4" s="218"/>
      <c r="J4" s="234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26" t="n">
        <f aca="false">BP3+BV4</f>
        <v>3</v>
      </c>
      <c r="BQ4" s="227" t="s">
        <v>302</v>
      </c>
      <c r="BR4" s="224" t="s">
        <v>285</v>
      </c>
      <c r="BS4" s="161" t="s">
        <v>286</v>
      </c>
      <c r="BT4" s="230" t="s">
        <v>287</v>
      </c>
      <c r="BU4" s="230"/>
      <c r="BV4" s="161" t="n">
        <v>1</v>
      </c>
      <c r="BW4" s="224" t="s">
        <v>303</v>
      </c>
      <c r="BX4" s="0"/>
      <c r="BY4" s="215"/>
      <c r="BZ4" s="226" t="n">
        <f aca="false">BZ3+CF4</f>
        <v>3</v>
      </c>
      <c r="CA4" s="227" t="s">
        <v>296</v>
      </c>
      <c r="CB4" s="228" t="s">
        <v>289</v>
      </c>
      <c r="CC4" s="169" t="s">
        <v>286</v>
      </c>
      <c r="CD4" s="229" t="s">
        <v>287</v>
      </c>
      <c r="CE4" s="230"/>
      <c r="CF4" s="161" t="n">
        <v>1</v>
      </c>
      <c r="CG4" s="231" t="s">
        <v>304</v>
      </c>
      <c r="CH4" s="0"/>
      <c r="CI4" s="215"/>
      <c r="CJ4" s="0" t="n">
        <v>2</v>
      </c>
      <c r="CK4" s="197" t="s">
        <v>305</v>
      </c>
      <c r="CL4" s="198" t="s">
        <v>306</v>
      </c>
      <c r="CM4" s="120"/>
      <c r="CN4" s="139"/>
      <c r="CO4" s="16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</row>
    <row r="5" customFormat="false" ht="12.75" hidden="false" customHeight="false" outlineLevel="0" collapsed="false">
      <c r="A5" s="218"/>
      <c r="G5" s="215" t="s">
        <v>307</v>
      </c>
      <c r="BP5" s="226" t="n">
        <f aca="false">BP4+BV5</f>
        <v>4</v>
      </c>
      <c r="BQ5" s="227" t="s">
        <v>308</v>
      </c>
      <c r="BR5" s="224" t="s">
        <v>285</v>
      </c>
      <c r="BS5" s="161" t="s">
        <v>286</v>
      </c>
      <c r="BT5" s="230" t="s">
        <v>287</v>
      </c>
      <c r="BU5" s="230"/>
      <c r="BV5" s="161" t="n">
        <v>1</v>
      </c>
      <c r="BW5" s="224" t="s">
        <v>309</v>
      </c>
      <c r="BX5" s="0"/>
      <c r="BZ5" s="226" t="n">
        <f aca="false">BZ4+CF5</f>
        <v>4</v>
      </c>
      <c r="CA5" s="227" t="s">
        <v>302</v>
      </c>
      <c r="CB5" s="224" t="s">
        <v>289</v>
      </c>
      <c r="CC5" s="161" t="s">
        <v>286</v>
      </c>
      <c r="CD5" s="230" t="s">
        <v>287</v>
      </c>
      <c r="CE5" s="230"/>
      <c r="CF5" s="161" t="n">
        <v>1</v>
      </c>
      <c r="CG5" s="231" t="s">
        <v>310</v>
      </c>
      <c r="CH5" s="0"/>
      <c r="CJ5" s="0" t="n">
        <v>3</v>
      </c>
      <c r="CK5" s="197" t="s">
        <v>311</v>
      </c>
      <c r="CL5" s="198" t="s">
        <v>312</v>
      </c>
      <c r="CM5" s="120"/>
      <c r="CN5" s="139"/>
      <c r="CO5" s="165"/>
    </row>
    <row r="6" customFormat="false" ht="12.75" hidden="false" customHeight="false" outlineLevel="0" collapsed="false">
      <c r="A6" s="235" t="n">
        <f aca="false">Inputs!D12</f>
        <v>45926</v>
      </c>
      <c r="C6" s="218"/>
      <c r="N6" s="236"/>
      <c r="O6" s="236"/>
      <c r="BP6" s="226" t="n">
        <f aca="false">BP5+BV6</f>
        <v>5</v>
      </c>
      <c r="BQ6" s="227" t="s">
        <v>313</v>
      </c>
      <c r="BR6" s="224" t="s">
        <v>285</v>
      </c>
      <c r="BS6" s="161" t="s">
        <v>286</v>
      </c>
      <c r="BT6" s="230" t="s">
        <v>287</v>
      </c>
      <c r="BU6" s="230"/>
      <c r="BV6" s="161" t="n">
        <v>1</v>
      </c>
      <c r="BW6" s="224" t="s">
        <v>314</v>
      </c>
      <c r="BX6" s="0"/>
      <c r="BZ6" s="226" t="n">
        <f aca="false">BZ5+CF6</f>
        <v>5</v>
      </c>
      <c r="CA6" s="227" t="s">
        <v>313</v>
      </c>
      <c r="CB6" s="224" t="s">
        <v>289</v>
      </c>
      <c r="CC6" s="161" t="s">
        <v>286</v>
      </c>
      <c r="CD6" s="230" t="s">
        <v>287</v>
      </c>
      <c r="CE6" s="230"/>
      <c r="CF6" s="161" t="n">
        <v>1</v>
      </c>
      <c r="CG6" s="231" t="s">
        <v>315</v>
      </c>
      <c r="CH6" s="0"/>
      <c r="CJ6" s="0" t="n">
        <v>4</v>
      </c>
      <c r="CK6" s="197" t="s">
        <v>316</v>
      </c>
      <c r="CL6" s="198" t="s">
        <v>317</v>
      </c>
      <c r="CM6" s="120"/>
      <c r="CN6" s="139"/>
      <c r="CO6" s="165"/>
    </row>
    <row r="7" customFormat="false" ht="12.75" hidden="false" customHeight="false" outlineLevel="0" collapsed="false">
      <c r="A7" s="216"/>
      <c r="B7" s="217"/>
      <c r="C7" s="237"/>
      <c r="L7" s="215" t="s">
        <v>318</v>
      </c>
      <c r="M7" s="215" t="s">
        <v>319</v>
      </c>
      <c r="N7" s="215" t="s">
        <v>318</v>
      </c>
      <c r="O7" s="215" t="s">
        <v>319</v>
      </c>
      <c r="BP7" s="226" t="n">
        <f aca="false">BP6+BV7</f>
        <v>6</v>
      </c>
      <c r="BQ7" s="227" t="s">
        <v>320</v>
      </c>
      <c r="BR7" s="224" t="s">
        <v>285</v>
      </c>
      <c r="BS7" s="161" t="s">
        <v>286</v>
      </c>
      <c r="BT7" s="230" t="s">
        <v>287</v>
      </c>
      <c r="BU7" s="230"/>
      <c r="BV7" s="161" t="n">
        <v>1</v>
      </c>
      <c r="BW7" s="224" t="s">
        <v>321</v>
      </c>
      <c r="BX7" s="0"/>
      <c r="BZ7" s="226" t="n">
        <f aca="false">BZ6+CF7</f>
        <v>6</v>
      </c>
      <c r="CA7" s="227" t="s">
        <v>322</v>
      </c>
      <c r="CB7" s="224" t="s">
        <v>289</v>
      </c>
      <c r="CC7" s="161" t="s">
        <v>286</v>
      </c>
      <c r="CD7" s="230" t="s">
        <v>287</v>
      </c>
      <c r="CE7" s="230"/>
      <c r="CF7" s="161" t="n">
        <v>1</v>
      </c>
      <c r="CG7" s="231" t="s">
        <v>323</v>
      </c>
      <c r="CH7" s="0"/>
      <c r="CJ7" s="0" t="n">
        <v>5</v>
      </c>
      <c r="CK7" s="197" t="s">
        <v>324</v>
      </c>
      <c r="CL7" s="198" t="s">
        <v>325</v>
      </c>
      <c r="CM7" s="120"/>
      <c r="CN7" s="139"/>
      <c r="CO7" s="165"/>
    </row>
    <row r="8" customFormat="false" ht="12.75" hidden="false" customHeight="false" outlineLevel="0" collapsed="false">
      <c r="A8" s="216"/>
      <c r="B8" s="214"/>
      <c r="C8" s="215" t="s">
        <v>326</v>
      </c>
      <c r="D8" s="215" t="s">
        <v>327</v>
      </c>
      <c r="E8" s="215" t="s">
        <v>328</v>
      </c>
      <c r="F8" s="215" t="s">
        <v>329</v>
      </c>
      <c r="G8" s="215" t="s">
        <v>330</v>
      </c>
      <c r="H8" s="215" t="s">
        <v>331</v>
      </c>
      <c r="I8" s="215" t="s">
        <v>332</v>
      </c>
      <c r="J8" s="215" t="s">
        <v>333</v>
      </c>
      <c r="K8" s="215" t="s">
        <v>334</v>
      </c>
      <c r="L8" s="215" t="s">
        <v>335</v>
      </c>
      <c r="M8" s="215" t="s">
        <v>335</v>
      </c>
      <c r="N8" s="215" t="s">
        <v>336</v>
      </c>
      <c r="O8" s="215" t="s">
        <v>336</v>
      </c>
      <c r="BP8" s="226" t="n">
        <f aca="false">BP7+BV8</f>
        <v>7</v>
      </c>
      <c r="BQ8" s="227" t="s">
        <v>337</v>
      </c>
      <c r="BR8" s="224" t="s">
        <v>285</v>
      </c>
      <c r="BS8" s="161" t="s">
        <v>286</v>
      </c>
      <c r="BT8" s="230" t="s">
        <v>287</v>
      </c>
      <c r="BU8" s="230"/>
      <c r="BV8" s="161" t="n">
        <v>1</v>
      </c>
      <c r="BW8" s="224" t="s">
        <v>338</v>
      </c>
      <c r="BX8" s="0"/>
      <c r="BZ8" s="226" t="n">
        <f aca="false">BZ7+CF8</f>
        <v>7</v>
      </c>
      <c r="CA8" s="227" t="s">
        <v>339</v>
      </c>
      <c r="CB8" s="224" t="s">
        <v>289</v>
      </c>
      <c r="CC8" s="161" t="s">
        <v>286</v>
      </c>
      <c r="CD8" s="230" t="s">
        <v>287</v>
      </c>
      <c r="CE8" s="230"/>
      <c r="CF8" s="161" t="n">
        <v>1</v>
      </c>
      <c r="CG8" s="231" t="s">
        <v>340</v>
      </c>
      <c r="CH8" s="0"/>
      <c r="CJ8" s="0" t="n">
        <v>6</v>
      </c>
      <c r="CK8" s="197" t="s">
        <v>341</v>
      </c>
      <c r="CL8" s="198" t="s">
        <v>342</v>
      </c>
      <c r="CM8" s="120"/>
      <c r="CN8" s="139"/>
      <c r="CO8" s="165"/>
    </row>
    <row r="9" customFormat="false" ht="12.75" hidden="false" customHeight="false" outlineLevel="0" collapsed="false">
      <c r="A9" s="216"/>
      <c r="B9" s="214"/>
      <c r="J9" s="234"/>
      <c r="K9" s="234"/>
      <c r="L9" s="234"/>
      <c r="BP9" s="226" t="n">
        <f aca="false">BP8+BV9</f>
        <v>8</v>
      </c>
      <c r="BQ9" s="227" t="s">
        <v>339</v>
      </c>
      <c r="BR9" s="224" t="s">
        <v>285</v>
      </c>
      <c r="BS9" s="161" t="s">
        <v>286</v>
      </c>
      <c r="BT9" s="230" t="s">
        <v>287</v>
      </c>
      <c r="BU9" s="230"/>
      <c r="BV9" s="161" t="n">
        <v>1</v>
      </c>
      <c r="BW9" s="224" t="s">
        <v>343</v>
      </c>
      <c r="BX9" s="0"/>
      <c r="BZ9" s="226" t="n">
        <f aca="false">BZ8+CF9</f>
        <v>8</v>
      </c>
      <c r="CA9" s="227" t="s">
        <v>344</v>
      </c>
      <c r="CB9" s="224" t="s">
        <v>289</v>
      </c>
      <c r="CC9" s="161" t="s">
        <v>286</v>
      </c>
      <c r="CD9" s="230" t="s">
        <v>287</v>
      </c>
      <c r="CE9" s="230"/>
      <c r="CF9" s="161" t="n">
        <v>1</v>
      </c>
      <c r="CG9" s="231" t="s">
        <v>345</v>
      </c>
      <c r="CH9" s="0"/>
      <c r="CJ9" s="0" t="n">
        <v>7</v>
      </c>
      <c r="CK9" s="197" t="s">
        <v>346</v>
      </c>
      <c r="CL9" s="198" t="s">
        <v>347</v>
      </c>
      <c r="CM9" s="120"/>
      <c r="CN9" s="139"/>
      <c r="CO9" s="165"/>
    </row>
    <row r="10" customFormat="false" ht="12.75" hidden="false" customHeight="false" outlineLevel="0" collapsed="false">
      <c r="A10" s="216"/>
      <c r="B10" s="215" t="n">
        <v>1</v>
      </c>
      <c r="C10" s="215" t="n">
        <v>2</v>
      </c>
      <c r="D10" s="215" t="n">
        <v>3</v>
      </c>
      <c r="E10" s="215" t="n">
        <v>4</v>
      </c>
      <c r="F10" s="215" t="n">
        <v>5</v>
      </c>
      <c r="G10" s="215" t="n">
        <v>6</v>
      </c>
      <c r="H10" s="215" t="n">
        <v>7</v>
      </c>
      <c r="I10" s="215" t="n">
        <v>8</v>
      </c>
      <c r="J10" s="215" t="n">
        <v>9</v>
      </c>
      <c r="K10" s="215" t="n">
        <v>10</v>
      </c>
      <c r="L10" s="215" t="n">
        <v>11</v>
      </c>
      <c r="M10" s="215" t="n">
        <v>12</v>
      </c>
      <c r="N10" s="215" t="n">
        <v>13</v>
      </c>
      <c r="O10" s="215" t="n">
        <v>14</v>
      </c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P10" s="226" t="n">
        <f aca="false">BP9+BV10</f>
        <v>9</v>
      </c>
      <c r="BQ10" s="227" t="s">
        <v>344</v>
      </c>
      <c r="BR10" s="224" t="s">
        <v>285</v>
      </c>
      <c r="BS10" s="161" t="s">
        <v>286</v>
      </c>
      <c r="BT10" s="230" t="s">
        <v>287</v>
      </c>
      <c r="BU10" s="230"/>
      <c r="BV10" s="161" t="n">
        <v>1</v>
      </c>
      <c r="BW10" s="224" t="s">
        <v>348</v>
      </c>
      <c r="BX10" s="0"/>
      <c r="BZ10" s="226" t="n">
        <f aca="false">BZ9+CF10</f>
        <v>9</v>
      </c>
      <c r="CA10" s="227" t="s">
        <v>349</v>
      </c>
      <c r="CB10" s="224" t="s">
        <v>289</v>
      </c>
      <c r="CC10" s="161" t="s">
        <v>286</v>
      </c>
      <c r="CD10" s="230" t="s">
        <v>287</v>
      </c>
      <c r="CE10" s="230"/>
      <c r="CF10" s="161" t="n">
        <v>1</v>
      </c>
      <c r="CG10" s="231" t="s">
        <v>350</v>
      </c>
      <c r="CH10" s="0"/>
      <c r="CJ10" s="0" t="n">
        <v>8</v>
      </c>
      <c r="CK10" s="197" t="s">
        <v>351</v>
      </c>
      <c r="CL10" s="198" t="s">
        <v>256</v>
      </c>
      <c r="CM10" s="120"/>
      <c r="CN10" s="139"/>
      <c r="CO10" s="165"/>
    </row>
    <row r="11" customFormat="false" ht="12.75" hidden="false" customHeight="false" outlineLevel="0" collapsed="false">
      <c r="A11" s="216"/>
      <c r="B11" s="238" t="s">
        <v>352</v>
      </c>
      <c r="C11" s="239" t="n">
        <f aca="false">Today</f>
        <v>45926</v>
      </c>
      <c r="D11" s="239" t="n">
        <f aca="false">Today</f>
        <v>45926</v>
      </c>
      <c r="E11" s="239" t="n">
        <f aca="false">Today</f>
        <v>45926</v>
      </c>
      <c r="F11" s="239" t="n">
        <f aca="false">Today</f>
        <v>45926</v>
      </c>
      <c r="G11" s="239" t="n">
        <f aca="false">Today</f>
        <v>45926</v>
      </c>
      <c r="H11" s="239" t="n">
        <f aca="false">Today</f>
        <v>45926</v>
      </c>
      <c r="I11" s="239" t="n">
        <f aca="false">Today</f>
        <v>45926</v>
      </c>
      <c r="J11" s="239" t="n">
        <f aca="false">Today</f>
        <v>45926</v>
      </c>
      <c r="K11" s="239" t="n">
        <f aca="false">Today</f>
        <v>45926</v>
      </c>
      <c r="L11" s="239" t="n">
        <f aca="false">Today</f>
        <v>45926</v>
      </c>
      <c r="M11" s="239" t="n">
        <f aca="false">Today</f>
        <v>45926</v>
      </c>
      <c r="N11" s="239" t="n">
        <f aca="false">Today</f>
        <v>45926</v>
      </c>
      <c r="O11" s="239" t="n">
        <f aca="false">Today</f>
        <v>45926</v>
      </c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P11" s="226" t="n">
        <f aca="false">BP10+BV11</f>
        <v>10</v>
      </c>
      <c r="BQ11" s="227" t="s">
        <v>349</v>
      </c>
      <c r="BR11" s="224" t="s">
        <v>285</v>
      </c>
      <c r="BS11" s="161" t="s">
        <v>286</v>
      </c>
      <c r="BT11" s="230" t="s">
        <v>287</v>
      </c>
      <c r="BU11" s="230"/>
      <c r="BV11" s="161" t="n">
        <v>1</v>
      </c>
      <c r="BW11" s="224" t="s">
        <v>353</v>
      </c>
      <c r="BX11" s="0"/>
      <c r="BZ11" s="226" t="n">
        <f aca="false">BZ10+CF11</f>
        <v>10</v>
      </c>
      <c r="CA11" s="227" t="s">
        <v>354</v>
      </c>
      <c r="CB11" s="224" t="s">
        <v>289</v>
      </c>
      <c r="CC11" s="161" t="s">
        <v>286</v>
      </c>
      <c r="CD11" s="230" t="s">
        <v>287</v>
      </c>
      <c r="CE11" s="230"/>
      <c r="CF11" s="161" t="n">
        <v>1</v>
      </c>
      <c r="CG11" s="231" t="s">
        <v>355</v>
      </c>
      <c r="CH11" s="0"/>
      <c r="CJ11" s="0" t="n">
        <v>9</v>
      </c>
      <c r="CK11" s="197" t="s">
        <v>356</v>
      </c>
      <c r="CL11" s="198" t="s">
        <v>357</v>
      </c>
      <c r="CM11" s="120"/>
      <c r="CN11" s="139"/>
      <c r="CO11" s="165"/>
    </row>
    <row r="12" customFormat="false" ht="12.75" hidden="false" customHeight="false" outlineLevel="0" collapsed="false">
      <c r="A12" s="216"/>
      <c r="B12" s="238" t="s">
        <v>358</v>
      </c>
      <c r="C12" s="217" t="e">
        <f aca="false">BeginningOfNextMonth(C11)</f>
        <v>#VALUE!</v>
      </c>
      <c r="D12" s="217" t="e">
        <f aca="false">BeginningOfNextMonth(D11)</f>
        <v>#VALUE!</v>
      </c>
      <c r="E12" s="217" t="e">
        <f aca="false">BeginningOfNextMonth(E11)</f>
        <v>#VALUE!</v>
      </c>
      <c r="F12" s="217" t="e">
        <f aca="false">BeginningOfNextMonth(F11)</f>
        <v>#VALUE!</v>
      </c>
      <c r="G12" s="217" t="e">
        <f aca="false">BeginningOfNextMonth(G11)</f>
        <v>#VALUE!</v>
      </c>
      <c r="H12" s="217" t="e">
        <f aca="false">BeginningOfNextMonth(H11)</f>
        <v>#VALUE!</v>
      </c>
      <c r="I12" s="217" t="e">
        <f aca="false">BeginningOfNextMonth(I11)</f>
        <v>#VALUE!</v>
      </c>
      <c r="J12" s="217" t="e">
        <f aca="false">BeginningOfNextMonth(J11)</f>
        <v>#VALUE!</v>
      </c>
      <c r="K12" s="217" t="e">
        <f aca="false">BeginningOfNextMonth(K11)</f>
        <v>#VALUE!</v>
      </c>
      <c r="L12" s="217" t="e">
        <f aca="false">BeginningOfNextMonth(L11)</f>
        <v>#VALUE!</v>
      </c>
      <c r="M12" s="217" t="e">
        <f aca="false">BeginningOfNextMonth(M11)</f>
        <v>#VALUE!</v>
      </c>
      <c r="N12" s="217" t="e">
        <f aca="false">BeginningOfNextMonth(N11)</f>
        <v>#VALUE!</v>
      </c>
      <c r="O12" s="217" t="e">
        <f aca="false">BeginningOfNextMonth(O11)</f>
        <v>#VALUE!</v>
      </c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P12" s="226" t="n">
        <f aca="false">BP11+BV12</f>
        <v>11</v>
      </c>
      <c r="BQ12" s="227" t="s">
        <v>354</v>
      </c>
      <c r="BR12" s="224" t="s">
        <v>285</v>
      </c>
      <c r="BS12" s="161" t="s">
        <v>286</v>
      </c>
      <c r="BT12" s="230" t="s">
        <v>287</v>
      </c>
      <c r="BU12" s="230"/>
      <c r="BV12" s="161" t="n">
        <v>1</v>
      </c>
      <c r="BW12" s="224" t="s">
        <v>359</v>
      </c>
      <c r="BX12" s="0"/>
      <c r="BZ12" s="226" t="n">
        <f aca="false">BZ11+CF12</f>
        <v>11</v>
      </c>
      <c r="CA12" s="227" t="s">
        <v>360</v>
      </c>
      <c r="CB12" s="224" t="s">
        <v>289</v>
      </c>
      <c r="CC12" s="161" t="s">
        <v>286</v>
      </c>
      <c r="CD12" s="230" t="s">
        <v>287</v>
      </c>
      <c r="CE12" s="230"/>
      <c r="CF12" s="161" t="n">
        <v>1</v>
      </c>
      <c r="CG12" s="231" t="s">
        <v>361</v>
      </c>
      <c r="CH12" s="0"/>
      <c r="CJ12" s="0" t="n">
        <v>10</v>
      </c>
      <c r="CK12" s="197" t="s">
        <v>362</v>
      </c>
      <c r="CL12" s="198" t="s">
        <v>363</v>
      </c>
      <c r="CM12" s="120"/>
      <c r="CN12" s="139"/>
      <c r="CO12" s="165"/>
    </row>
    <row r="13" customFormat="false" ht="12.75" hidden="false" customHeight="false" outlineLevel="0" collapsed="false">
      <c r="A13" s="216"/>
      <c r="B13" s="238" t="s">
        <v>364</v>
      </c>
      <c r="C13" s="240" t="s">
        <v>365</v>
      </c>
      <c r="D13" s="241" t="str">
        <f aca="false">VLOOKUP($CO$2,$CJ$3:$CK$17,2)</f>
        <v>NG_OMICRON_14</v>
      </c>
      <c r="E13" s="241" t="str">
        <f aca="false">VLOOKUP($CO$2,$CJ$3:$CK$17,2)</f>
        <v>NG_OMICRON_14</v>
      </c>
      <c r="F13" s="215" t="s">
        <v>366</v>
      </c>
      <c r="G13" s="215" t="s">
        <v>366</v>
      </c>
      <c r="H13" s="215" t="s">
        <v>366</v>
      </c>
      <c r="I13" s="215" t="s">
        <v>366</v>
      </c>
      <c r="J13" s="215" t="s">
        <v>366</v>
      </c>
      <c r="K13" s="215" t="s">
        <v>366</v>
      </c>
      <c r="L13" s="241" t="str">
        <f aca="false">VLOOKUP($BX$1,$BP$2:$BQ$410,2)</f>
        <v>NGI-MICH_CG</v>
      </c>
      <c r="M13" s="241" t="str">
        <f aca="false">VLOOKUP($CH$1,$BP$2:$BQ$410,2)</f>
        <v>NGI-MICH_CG</v>
      </c>
      <c r="N13" s="241" t="str">
        <f aca="false">VLOOKUP($BX$1,$BP$2:$BQ$410,2)</f>
        <v>NGI-MICH_CG</v>
      </c>
      <c r="O13" s="241" t="str">
        <f aca="false">VLOOKUP($CH$1,$BP$2:$BQ$410,2)</f>
        <v>NGI-MICH_CG</v>
      </c>
      <c r="P13" s="241"/>
      <c r="Q13" s="241"/>
      <c r="R13" s="241"/>
      <c r="S13" s="241"/>
      <c r="T13" s="241" t="s">
        <v>318</v>
      </c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P13" s="226" t="n">
        <f aca="false">BP12+BV13</f>
        <v>12</v>
      </c>
      <c r="BQ13" s="227" t="s">
        <v>360</v>
      </c>
      <c r="BR13" s="224" t="s">
        <v>285</v>
      </c>
      <c r="BS13" s="161" t="s">
        <v>286</v>
      </c>
      <c r="BT13" s="230" t="s">
        <v>287</v>
      </c>
      <c r="BU13" s="230"/>
      <c r="BV13" s="161" t="n">
        <v>1</v>
      </c>
      <c r="BW13" s="224" t="s">
        <v>367</v>
      </c>
      <c r="BX13" s="0"/>
      <c r="BZ13" s="226" t="n">
        <f aca="false">BZ12+CF13</f>
        <v>12</v>
      </c>
      <c r="CA13" s="227" t="s">
        <v>368</v>
      </c>
      <c r="CB13" s="224" t="s">
        <v>289</v>
      </c>
      <c r="CC13" s="161" t="s">
        <v>286</v>
      </c>
      <c r="CD13" s="230" t="s">
        <v>287</v>
      </c>
      <c r="CE13" s="230"/>
      <c r="CF13" s="161" t="n">
        <v>1</v>
      </c>
      <c r="CG13" s="231" t="s">
        <v>369</v>
      </c>
      <c r="CH13" s="0"/>
      <c r="CJ13" s="0" t="n">
        <v>11</v>
      </c>
      <c r="CK13" s="197" t="s">
        <v>370</v>
      </c>
      <c r="CL13" s="198" t="s">
        <v>371</v>
      </c>
      <c r="CM13" s="120"/>
      <c r="CN13" s="139"/>
      <c r="CO13" s="165"/>
    </row>
    <row r="14" customFormat="false" ht="12.75" hidden="false" customHeight="false" outlineLevel="0" collapsed="false">
      <c r="A14" s="216"/>
      <c r="B14" s="238" t="s">
        <v>372</v>
      </c>
      <c r="C14" s="242" t="s">
        <v>373</v>
      </c>
      <c r="D14" s="215" t="s">
        <v>374</v>
      </c>
      <c r="E14" s="215" t="s">
        <v>374</v>
      </c>
      <c r="F14" s="215" t="s">
        <v>375</v>
      </c>
      <c r="G14" s="215" t="s">
        <v>374</v>
      </c>
      <c r="H14" s="215" t="s">
        <v>376</v>
      </c>
      <c r="I14" s="215" t="s">
        <v>377</v>
      </c>
      <c r="J14" s="215" t="s">
        <v>286</v>
      </c>
      <c r="K14" s="215" t="s">
        <v>378</v>
      </c>
      <c r="L14" s="215" t="s">
        <v>286</v>
      </c>
      <c r="M14" s="215" t="s">
        <v>286</v>
      </c>
      <c r="N14" s="215" t="s">
        <v>286</v>
      </c>
      <c r="O14" s="215" t="s">
        <v>286</v>
      </c>
      <c r="S14" s="215" t="s">
        <v>379</v>
      </c>
      <c r="T14" s="215" t="s">
        <v>380</v>
      </c>
      <c r="U14" s="215" t="s">
        <v>379</v>
      </c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P14" s="226" t="n">
        <f aca="false">BP13+BV14</f>
        <v>13</v>
      </c>
      <c r="BQ14" s="227" t="s">
        <v>381</v>
      </c>
      <c r="BR14" s="224" t="s">
        <v>285</v>
      </c>
      <c r="BS14" s="161" t="s">
        <v>286</v>
      </c>
      <c r="BT14" s="230" t="s">
        <v>287</v>
      </c>
      <c r="BU14" s="230"/>
      <c r="BV14" s="161" t="n">
        <v>1</v>
      </c>
      <c r="BW14" s="224" t="s">
        <v>382</v>
      </c>
      <c r="BX14" s="0"/>
      <c r="BZ14" s="226" t="n">
        <f aca="false">BZ13+CF14</f>
        <v>13</v>
      </c>
      <c r="CA14" s="227" t="s">
        <v>381</v>
      </c>
      <c r="CB14" s="224" t="s">
        <v>289</v>
      </c>
      <c r="CC14" s="161" t="s">
        <v>286</v>
      </c>
      <c r="CD14" s="230" t="s">
        <v>287</v>
      </c>
      <c r="CE14" s="230"/>
      <c r="CF14" s="161" t="n">
        <v>1</v>
      </c>
      <c r="CG14" s="231" t="s">
        <v>383</v>
      </c>
      <c r="CH14" s="0"/>
      <c r="CJ14" s="0" t="n">
        <v>12</v>
      </c>
      <c r="CK14" s="197" t="s">
        <v>384</v>
      </c>
      <c r="CL14" s="198" t="s">
        <v>385</v>
      </c>
      <c r="CM14" s="120"/>
      <c r="CN14" s="139"/>
      <c r="CO14" s="165"/>
    </row>
    <row r="15" customFormat="false" ht="12.75" hidden="false" customHeight="false" outlineLevel="0" collapsed="false">
      <c r="A15" s="216"/>
      <c r="B15" s="238" t="s">
        <v>386</v>
      </c>
      <c r="C15" s="242" t="s">
        <v>387</v>
      </c>
      <c r="D15" s="215" t="s">
        <v>388</v>
      </c>
      <c r="E15" s="215" t="s">
        <v>388</v>
      </c>
      <c r="F15" s="215" t="s">
        <v>388</v>
      </c>
      <c r="G15" s="215" t="s">
        <v>388</v>
      </c>
      <c r="H15" s="215" t="s">
        <v>388</v>
      </c>
      <c r="I15" s="215" t="s">
        <v>388</v>
      </c>
      <c r="J15" s="215" t="s">
        <v>388</v>
      </c>
      <c r="K15" s="215" t="s">
        <v>388</v>
      </c>
      <c r="L15" s="215" t="s">
        <v>285</v>
      </c>
      <c r="M15" s="215" t="s">
        <v>285</v>
      </c>
      <c r="N15" s="215" t="s">
        <v>289</v>
      </c>
      <c r="O15" s="215" t="s">
        <v>289</v>
      </c>
      <c r="S15" s="215" t="s">
        <v>389</v>
      </c>
      <c r="T15" s="215" t="s">
        <v>390</v>
      </c>
      <c r="U15" s="215" t="s">
        <v>391</v>
      </c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P15" s="226" t="n">
        <f aca="false">BP14+BV15</f>
        <v>14</v>
      </c>
      <c r="BQ15" s="227" t="s">
        <v>392</v>
      </c>
      <c r="BR15" s="224" t="s">
        <v>285</v>
      </c>
      <c r="BS15" s="161" t="s">
        <v>286</v>
      </c>
      <c r="BT15" s="230" t="s">
        <v>287</v>
      </c>
      <c r="BU15" s="230"/>
      <c r="BV15" s="161" t="n">
        <v>1</v>
      </c>
      <c r="BW15" s="224" t="s">
        <v>393</v>
      </c>
      <c r="BX15" s="0"/>
      <c r="BZ15" s="226" t="n">
        <f aca="false">BZ14+CF15</f>
        <v>14</v>
      </c>
      <c r="CA15" s="227" t="s">
        <v>394</v>
      </c>
      <c r="CB15" s="224" t="s">
        <v>289</v>
      </c>
      <c r="CC15" s="161" t="s">
        <v>286</v>
      </c>
      <c r="CD15" s="230" t="s">
        <v>287</v>
      </c>
      <c r="CE15" s="230"/>
      <c r="CF15" s="161" t="n">
        <v>1</v>
      </c>
      <c r="CG15" s="231" t="s">
        <v>395</v>
      </c>
      <c r="CH15" s="0"/>
      <c r="CJ15" s="0" t="n">
        <v>13</v>
      </c>
      <c r="CK15" s="197" t="s">
        <v>396</v>
      </c>
      <c r="CL15" s="216" t="s">
        <v>397</v>
      </c>
    </row>
    <row r="16" customFormat="false" ht="12.75" hidden="false" customHeight="false" outlineLevel="0" collapsed="false">
      <c r="A16" s="216"/>
      <c r="B16" s="238" t="s">
        <v>398</v>
      </c>
      <c r="C16" s="242" t="s">
        <v>399</v>
      </c>
      <c r="D16" s="215" t="s">
        <v>400</v>
      </c>
      <c r="E16" s="215" t="s">
        <v>400</v>
      </c>
      <c r="F16" s="215" t="s">
        <v>401</v>
      </c>
      <c r="G16" s="215" t="s">
        <v>401</v>
      </c>
      <c r="H16" s="215" t="s">
        <v>401</v>
      </c>
      <c r="I16" s="215" t="s">
        <v>401</v>
      </c>
      <c r="J16" s="215" t="s">
        <v>401</v>
      </c>
      <c r="K16" s="215" t="s">
        <v>401</v>
      </c>
      <c r="L16" s="215" t="s">
        <v>402</v>
      </c>
      <c r="M16" s="215" t="s">
        <v>402</v>
      </c>
      <c r="N16" s="215" t="s">
        <v>402</v>
      </c>
      <c r="O16" s="215" t="s">
        <v>402</v>
      </c>
      <c r="S16" s="243" t="n">
        <v>0.07</v>
      </c>
      <c r="U16" s="243" t="n">
        <v>0.07</v>
      </c>
      <c r="W16" s="243"/>
      <c r="X16" s="215"/>
      <c r="Y16" s="243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P16" s="226" t="n">
        <f aca="false">BP15+BV16</f>
        <v>15</v>
      </c>
      <c r="BQ16" s="227" t="s">
        <v>403</v>
      </c>
      <c r="BR16" s="224" t="s">
        <v>285</v>
      </c>
      <c r="BS16" s="161" t="s">
        <v>286</v>
      </c>
      <c r="BT16" s="230" t="s">
        <v>287</v>
      </c>
      <c r="BU16" s="230"/>
      <c r="BV16" s="161" t="n">
        <v>1</v>
      </c>
      <c r="BW16" s="224" t="s">
        <v>404</v>
      </c>
      <c r="BX16" s="0"/>
      <c r="BZ16" s="226" t="n">
        <f aca="false">BZ15+CF16</f>
        <v>15</v>
      </c>
      <c r="CA16" s="227" t="s">
        <v>405</v>
      </c>
      <c r="CB16" s="224" t="s">
        <v>289</v>
      </c>
      <c r="CC16" s="161" t="s">
        <v>286</v>
      </c>
      <c r="CD16" s="230" t="s">
        <v>287</v>
      </c>
      <c r="CE16" s="230"/>
      <c r="CF16" s="161" t="n">
        <v>1</v>
      </c>
      <c r="CG16" s="231" t="s">
        <v>406</v>
      </c>
      <c r="CH16" s="0"/>
      <c r="CJ16" s="0" t="n">
        <v>14</v>
      </c>
      <c r="CK16" s="197" t="s">
        <v>407</v>
      </c>
      <c r="CL16" s="216" t="s">
        <v>408</v>
      </c>
    </row>
    <row r="17" customFormat="false" ht="12.75" hidden="false" customHeight="false" outlineLevel="0" collapsed="false">
      <c r="A17" s="244"/>
      <c r="B17" s="245" t="e">
        <f aca="false">BeginningOfNextMonth(Today)</f>
        <v>#VALUE!</v>
      </c>
      <c r="C17" s="246" t="n">
        <v>0.0389853751773117</v>
      </c>
      <c r="D17" s="246" t="n">
        <v>0.73</v>
      </c>
      <c r="E17" s="246" t="n">
        <v>0.73</v>
      </c>
      <c r="F17" s="246" t="n">
        <v>0.6775</v>
      </c>
      <c r="G17" s="246" t="n">
        <v>0.685</v>
      </c>
      <c r="H17" s="246" t="n">
        <v>0.6925</v>
      </c>
      <c r="I17" s="247" t="n">
        <v>2.95</v>
      </c>
      <c r="J17" s="247" t="n">
        <v>2.955</v>
      </c>
      <c r="K17" s="248" t="n">
        <v>2.96</v>
      </c>
      <c r="L17" s="248" t="n">
        <v>0.02</v>
      </c>
      <c r="M17" s="248" t="n">
        <v>0.02</v>
      </c>
      <c r="N17" s="249" t="n">
        <v>-0.02</v>
      </c>
      <c r="O17" s="249" t="n">
        <v>-0.02</v>
      </c>
      <c r="P17" s="250"/>
      <c r="Q17" s="250"/>
      <c r="R17" s="251" t="e">
        <f aca="false">B17</f>
        <v>#VALUE!</v>
      </c>
      <c r="S17" s="252" t="n">
        <f aca="false">T17-$S$16</f>
        <v>0.66</v>
      </c>
      <c r="T17" s="243" t="n">
        <f aca="false">D17</f>
        <v>0.73</v>
      </c>
      <c r="U17" s="253" t="n">
        <f aca="false">$U$16+T17</f>
        <v>0.8</v>
      </c>
      <c r="BP17" s="226" t="n">
        <f aca="false">BP16+BV17</f>
        <v>16</v>
      </c>
      <c r="BQ17" s="227" t="s">
        <v>405</v>
      </c>
      <c r="BR17" s="224" t="s">
        <v>285</v>
      </c>
      <c r="BS17" s="161" t="s">
        <v>286</v>
      </c>
      <c r="BT17" s="230" t="s">
        <v>287</v>
      </c>
      <c r="BU17" s="230"/>
      <c r="BV17" s="161" t="n">
        <v>1</v>
      </c>
      <c r="BW17" s="224" t="s">
        <v>409</v>
      </c>
      <c r="BX17" s="0"/>
      <c r="BZ17" s="226" t="n">
        <f aca="false">BZ16+CF17</f>
        <v>16</v>
      </c>
      <c r="CA17" s="227" t="s">
        <v>410</v>
      </c>
      <c r="CB17" s="224" t="s">
        <v>289</v>
      </c>
      <c r="CC17" s="161" t="s">
        <v>286</v>
      </c>
      <c r="CD17" s="230" t="s">
        <v>287</v>
      </c>
      <c r="CE17" s="230"/>
      <c r="CF17" s="161" t="n">
        <v>1</v>
      </c>
      <c r="CG17" s="231" t="s">
        <v>411</v>
      </c>
      <c r="CH17" s="0"/>
      <c r="CJ17" s="0" t="n">
        <v>15</v>
      </c>
      <c r="CK17" s="197" t="s">
        <v>412</v>
      </c>
      <c r="CL17" s="216" t="s">
        <v>413</v>
      </c>
    </row>
    <row r="18" customFormat="false" ht="12.75" hidden="false" customHeight="false" outlineLevel="0" collapsed="false">
      <c r="A18" s="244"/>
      <c r="B18" s="245" t="e">
        <f aca="false">NextMonth(B17)</f>
        <v>#VALUE!</v>
      </c>
      <c r="C18" s="246" t="n">
        <v>0.0387079394576322</v>
      </c>
      <c r="D18" s="246" t="n">
        <v>0.73</v>
      </c>
      <c r="E18" s="246" t="n">
        <v>0.73</v>
      </c>
      <c r="F18" s="246" t="n">
        <v>0.6225</v>
      </c>
      <c r="G18" s="246" t="n">
        <v>0.63</v>
      </c>
      <c r="H18" s="246" t="n">
        <v>0.6375</v>
      </c>
      <c r="I18" s="247" t="n">
        <v>2.992</v>
      </c>
      <c r="J18" s="248" t="n">
        <v>2.997</v>
      </c>
      <c r="K18" s="248" t="n">
        <v>3.002</v>
      </c>
      <c r="L18" s="248" t="n">
        <v>-0.03</v>
      </c>
      <c r="M18" s="248" t="n">
        <v>-0.03</v>
      </c>
      <c r="N18" s="249" t="n">
        <v>-0.02</v>
      </c>
      <c r="O18" s="249" t="n">
        <v>-0.02</v>
      </c>
      <c r="P18" s="250"/>
      <c r="Q18" s="250"/>
      <c r="R18" s="251" t="e">
        <f aca="false">B18</f>
        <v>#VALUE!</v>
      </c>
      <c r="S18" s="252" t="n">
        <f aca="false">T18-$S$16</f>
        <v>0.66</v>
      </c>
      <c r="T18" s="243" t="n">
        <f aca="false">D18</f>
        <v>0.73</v>
      </c>
      <c r="U18" s="253" t="n">
        <f aca="false">$U$16+T18</f>
        <v>0.8</v>
      </c>
      <c r="BP18" s="226" t="n">
        <f aca="false">BP17+BV18</f>
        <v>17</v>
      </c>
      <c r="BQ18" s="227" t="s">
        <v>410</v>
      </c>
      <c r="BR18" s="224" t="s">
        <v>285</v>
      </c>
      <c r="BS18" s="161" t="s">
        <v>286</v>
      </c>
      <c r="BT18" s="230" t="s">
        <v>287</v>
      </c>
      <c r="BU18" s="230"/>
      <c r="BV18" s="161" t="n">
        <v>1</v>
      </c>
      <c r="BW18" s="224" t="s">
        <v>414</v>
      </c>
      <c r="BX18" s="0"/>
      <c r="BZ18" s="226" t="n">
        <f aca="false">BZ17+CF18</f>
        <v>17</v>
      </c>
      <c r="CA18" s="227" t="s">
        <v>415</v>
      </c>
      <c r="CB18" s="224" t="s">
        <v>289</v>
      </c>
      <c r="CC18" s="161" t="s">
        <v>286</v>
      </c>
      <c r="CD18" s="230" t="s">
        <v>287</v>
      </c>
      <c r="CE18" s="230"/>
      <c r="CF18" s="161" t="n">
        <v>1</v>
      </c>
      <c r="CG18" s="231" t="s">
        <v>416</v>
      </c>
      <c r="CH18" s="0"/>
    </row>
    <row r="19" customFormat="false" ht="12.75" hidden="false" customHeight="false" outlineLevel="0" collapsed="false">
      <c r="A19" s="244"/>
      <c r="B19" s="245" t="e">
        <f aca="false">NextMonth(B18)</f>
        <v>#VALUE!</v>
      </c>
      <c r="C19" s="246" t="n">
        <v>0.0381827699157191</v>
      </c>
      <c r="D19" s="246" t="n">
        <v>0.78</v>
      </c>
      <c r="E19" s="246" t="n">
        <v>0.78</v>
      </c>
      <c r="F19" s="246" t="n">
        <v>0.615</v>
      </c>
      <c r="G19" s="246" t="n">
        <v>0.6225</v>
      </c>
      <c r="H19" s="246" t="n">
        <v>0.63</v>
      </c>
      <c r="I19" s="247" t="n">
        <v>3.045</v>
      </c>
      <c r="J19" s="248" t="n">
        <v>3.05</v>
      </c>
      <c r="K19" s="248" t="n">
        <v>3.055</v>
      </c>
      <c r="L19" s="248" t="n">
        <v>-0.03</v>
      </c>
      <c r="M19" s="248" t="n">
        <v>-0.03</v>
      </c>
      <c r="N19" s="249" t="n">
        <v>-0.02</v>
      </c>
      <c r="O19" s="249" t="n">
        <v>-0.02</v>
      </c>
      <c r="P19" s="250"/>
      <c r="Q19" s="250"/>
      <c r="R19" s="251" t="e">
        <f aca="false">B19</f>
        <v>#VALUE!</v>
      </c>
      <c r="S19" s="252" t="n">
        <f aca="false">T19-$S$16</f>
        <v>0.71</v>
      </c>
      <c r="T19" s="243" t="n">
        <f aca="false">D19</f>
        <v>0.78</v>
      </c>
      <c r="U19" s="253" t="n">
        <f aca="false">$U$16+T19</f>
        <v>0.85</v>
      </c>
      <c r="BP19" s="226" t="n">
        <f aca="false">BP18+BV19</f>
        <v>18</v>
      </c>
      <c r="BQ19" s="227" t="s">
        <v>415</v>
      </c>
      <c r="BR19" s="224" t="s">
        <v>285</v>
      </c>
      <c r="BS19" s="161" t="s">
        <v>286</v>
      </c>
      <c r="BT19" s="230" t="s">
        <v>287</v>
      </c>
      <c r="BU19" s="230"/>
      <c r="BV19" s="161" t="n">
        <v>1</v>
      </c>
      <c r="BW19" s="224" t="s">
        <v>417</v>
      </c>
      <c r="BX19" s="0"/>
      <c r="BZ19" s="226" t="n">
        <f aca="false">BZ18+CF19</f>
        <v>18</v>
      </c>
      <c r="CA19" s="227" t="s">
        <v>418</v>
      </c>
      <c r="CB19" s="224" t="s">
        <v>289</v>
      </c>
      <c r="CC19" s="161" t="s">
        <v>286</v>
      </c>
      <c r="CD19" s="230" t="s">
        <v>287</v>
      </c>
      <c r="CE19" s="230"/>
      <c r="CF19" s="161" t="n">
        <v>1</v>
      </c>
      <c r="CG19" s="231" t="s">
        <v>419</v>
      </c>
      <c r="CH19" s="0"/>
    </row>
    <row r="20" customFormat="false" ht="12.75" hidden="false" customHeight="false" outlineLevel="0" collapsed="false">
      <c r="A20" s="244"/>
      <c r="B20" s="245" t="e">
        <f aca="false">NextMonth(B19)</f>
        <v>#VALUE!</v>
      </c>
      <c r="C20" s="246" t="n">
        <v>0.0377777302348758</v>
      </c>
      <c r="D20" s="246" t="n">
        <v>0.97</v>
      </c>
      <c r="E20" s="246" t="n">
        <v>0.97</v>
      </c>
      <c r="F20" s="246" t="n">
        <v>0.5975</v>
      </c>
      <c r="G20" s="246" t="n">
        <v>0.605</v>
      </c>
      <c r="H20" s="246" t="n">
        <v>0.6125</v>
      </c>
      <c r="I20" s="247" t="n">
        <v>3.318</v>
      </c>
      <c r="J20" s="248" t="n">
        <v>3.323</v>
      </c>
      <c r="K20" s="248" t="n">
        <v>3.328</v>
      </c>
      <c r="L20" s="248" t="n">
        <v>0.0675</v>
      </c>
      <c r="M20" s="248" t="n">
        <v>0.0675</v>
      </c>
      <c r="N20" s="249" t="n">
        <v>-0.02</v>
      </c>
      <c r="O20" s="249" t="n">
        <v>-0.02</v>
      </c>
      <c r="P20" s="250"/>
      <c r="Q20" s="250"/>
      <c r="R20" s="251" t="e">
        <f aca="false">B20</f>
        <v>#VALUE!</v>
      </c>
      <c r="S20" s="252" t="n">
        <f aca="false">T20-$S$16</f>
        <v>0.9</v>
      </c>
      <c r="T20" s="243" t="n">
        <f aca="false">D20</f>
        <v>0.97</v>
      </c>
      <c r="U20" s="253" t="n">
        <f aca="false">$U$16+T20</f>
        <v>1.04</v>
      </c>
      <c r="BP20" s="226" t="n">
        <f aca="false">BP19+BV20</f>
        <v>19</v>
      </c>
      <c r="BQ20" s="227" t="s">
        <v>420</v>
      </c>
      <c r="BR20" s="224" t="s">
        <v>285</v>
      </c>
      <c r="BS20" s="161" t="s">
        <v>421</v>
      </c>
      <c r="BT20" s="230" t="s">
        <v>287</v>
      </c>
      <c r="BU20" s="230"/>
      <c r="BV20" s="161" t="n">
        <v>1</v>
      </c>
      <c r="BW20" s="224" t="s">
        <v>422</v>
      </c>
      <c r="BX20" s="0"/>
      <c r="BZ20" s="226" t="n">
        <f aca="false">BZ19+CF20</f>
        <v>19</v>
      </c>
      <c r="CA20" s="227" t="s">
        <v>423</v>
      </c>
      <c r="CB20" s="224" t="s">
        <v>289</v>
      </c>
      <c r="CC20" s="161" t="s">
        <v>286</v>
      </c>
      <c r="CD20" s="230" t="s">
        <v>287</v>
      </c>
      <c r="CE20" s="230"/>
      <c r="CF20" s="161" t="n">
        <v>1</v>
      </c>
      <c r="CG20" s="231" t="s">
        <v>424</v>
      </c>
      <c r="CH20" s="0"/>
    </row>
    <row r="21" customFormat="false" ht="12.75" hidden="false" customHeight="false" outlineLevel="0" collapsed="false">
      <c r="A21" s="244"/>
      <c r="B21" s="245" t="e">
        <f aca="false">NextMonth(B20)</f>
        <v>#VALUE!</v>
      </c>
      <c r="C21" s="246" t="n">
        <v>0.037540601199598</v>
      </c>
      <c r="D21" s="246" t="n">
        <v>1.17</v>
      </c>
      <c r="E21" s="246" t="n">
        <v>1.17</v>
      </c>
      <c r="F21" s="246" t="n">
        <v>0.5875</v>
      </c>
      <c r="G21" s="246" t="n">
        <v>0.595</v>
      </c>
      <c r="H21" s="246" t="n">
        <v>0.6025</v>
      </c>
      <c r="I21" s="247" t="n">
        <v>3.59</v>
      </c>
      <c r="J21" s="248" t="n">
        <v>3.595</v>
      </c>
      <c r="K21" s="248" t="n">
        <v>3.6</v>
      </c>
      <c r="L21" s="248" t="n">
        <v>0.0675</v>
      </c>
      <c r="M21" s="248" t="n">
        <v>0.0675</v>
      </c>
      <c r="N21" s="249" t="n">
        <v>-0.02</v>
      </c>
      <c r="O21" s="249" t="n">
        <v>-0.02</v>
      </c>
      <c r="P21" s="250"/>
      <c r="Q21" s="250"/>
      <c r="R21" s="251" t="e">
        <f aca="false">B21</f>
        <v>#VALUE!</v>
      </c>
      <c r="S21" s="252" t="n">
        <f aca="false">T21-$S$16</f>
        <v>1.1</v>
      </c>
      <c r="T21" s="243" t="n">
        <f aca="false">D21</f>
        <v>1.17</v>
      </c>
      <c r="U21" s="253" t="n">
        <f aca="false">$U$16+T21</f>
        <v>1.24</v>
      </c>
      <c r="BP21" s="226" t="n">
        <f aca="false">BP20+BV21</f>
        <v>20</v>
      </c>
      <c r="BQ21" s="227" t="s">
        <v>425</v>
      </c>
      <c r="BR21" s="224" t="s">
        <v>285</v>
      </c>
      <c r="BS21" s="161" t="s">
        <v>421</v>
      </c>
      <c r="BT21" s="230" t="s">
        <v>287</v>
      </c>
      <c r="BU21" s="230"/>
      <c r="BV21" s="161" t="n">
        <v>1</v>
      </c>
      <c r="BW21" s="224" t="s">
        <v>426</v>
      </c>
      <c r="BX21" s="0"/>
      <c r="BZ21" s="226" t="n">
        <f aca="false">BZ20+CF21</f>
        <v>20</v>
      </c>
      <c r="CA21" s="227" t="s">
        <v>427</v>
      </c>
      <c r="CB21" s="224" t="s">
        <v>289</v>
      </c>
      <c r="CC21" s="161" t="s">
        <v>286</v>
      </c>
      <c r="CD21" s="230" t="s">
        <v>287</v>
      </c>
      <c r="CE21" s="230"/>
      <c r="CF21" s="161" t="n">
        <v>1</v>
      </c>
      <c r="CG21" s="231" t="s">
        <v>428</v>
      </c>
      <c r="CH21" s="0"/>
    </row>
    <row r="22" customFormat="false" ht="12.75" hidden="false" customHeight="false" outlineLevel="0" collapsed="false">
      <c r="A22" s="244"/>
      <c r="B22" s="245" t="e">
        <f aca="false">NextMonth(B21)</f>
        <v>#VALUE!</v>
      </c>
      <c r="C22" s="246" t="n">
        <v>0.0374578721307515</v>
      </c>
      <c r="D22" s="246" t="n">
        <v>1.17</v>
      </c>
      <c r="E22" s="246" t="n">
        <v>1.17</v>
      </c>
      <c r="F22" s="246" t="n">
        <v>0.59</v>
      </c>
      <c r="G22" s="246" t="n">
        <v>0.5975</v>
      </c>
      <c r="H22" s="246" t="n">
        <v>0.605</v>
      </c>
      <c r="I22" s="247" t="n">
        <v>3.705</v>
      </c>
      <c r="J22" s="248" t="n">
        <v>3.71</v>
      </c>
      <c r="K22" s="248" t="n">
        <v>3.715</v>
      </c>
      <c r="L22" s="248" t="n">
        <v>0.0975</v>
      </c>
      <c r="M22" s="248" t="n">
        <v>0.0975</v>
      </c>
      <c r="N22" s="249" t="n">
        <v>-0.02</v>
      </c>
      <c r="O22" s="249" t="n">
        <v>-0.02</v>
      </c>
      <c r="P22" s="250"/>
      <c r="Q22" s="250"/>
      <c r="R22" s="251" t="e">
        <f aca="false">B22</f>
        <v>#VALUE!</v>
      </c>
      <c r="S22" s="252" t="n">
        <f aca="false">T22-$S$16</f>
        <v>1.1</v>
      </c>
      <c r="T22" s="243" t="n">
        <f aca="false">D22</f>
        <v>1.17</v>
      </c>
      <c r="U22" s="253" t="n">
        <f aca="false">$U$16+T22</f>
        <v>1.24</v>
      </c>
      <c r="BP22" s="226" t="n">
        <f aca="false">BP21+BV22</f>
        <v>21</v>
      </c>
      <c r="BQ22" s="227" t="s">
        <v>429</v>
      </c>
      <c r="BR22" s="224" t="s">
        <v>285</v>
      </c>
      <c r="BS22" s="161" t="s">
        <v>421</v>
      </c>
      <c r="BT22" s="230" t="s">
        <v>287</v>
      </c>
      <c r="BU22" s="230"/>
      <c r="BV22" s="161" t="n">
        <v>1</v>
      </c>
      <c r="BW22" s="224" t="s">
        <v>430</v>
      </c>
      <c r="BX22" s="0"/>
      <c r="BZ22" s="226" t="n">
        <f aca="false">BZ21+CF22</f>
        <v>21</v>
      </c>
      <c r="CA22" s="227" t="s">
        <v>431</v>
      </c>
      <c r="CB22" s="224" t="s">
        <v>289</v>
      </c>
      <c r="CC22" s="161" t="s">
        <v>286</v>
      </c>
      <c r="CD22" s="230" t="s">
        <v>287</v>
      </c>
      <c r="CE22" s="230"/>
      <c r="CF22" s="161" t="n">
        <v>1</v>
      </c>
      <c r="CG22" s="231" t="s">
        <v>432</v>
      </c>
      <c r="CH22" s="0"/>
    </row>
    <row r="23" customFormat="false" ht="12.75" hidden="false" customHeight="false" outlineLevel="0" collapsed="false">
      <c r="A23" s="244"/>
      <c r="B23" s="245" t="e">
        <f aca="false">NextMonth(B22)</f>
        <v>#VALUE!</v>
      </c>
      <c r="C23" s="246" t="n">
        <v>0.0375998720310102</v>
      </c>
      <c r="D23" s="246" t="n">
        <v>1.17</v>
      </c>
      <c r="E23" s="246" t="n">
        <v>1.17</v>
      </c>
      <c r="F23" s="246" t="n">
        <v>0.5825</v>
      </c>
      <c r="G23" s="246" t="n">
        <v>0.59</v>
      </c>
      <c r="H23" s="246" t="n">
        <v>0.5975</v>
      </c>
      <c r="I23" s="247" t="n">
        <v>3.64</v>
      </c>
      <c r="J23" s="248" t="n">
        <v>3.645</v>
      </c>
      <c r="K23" s="248" t="n">
        <v>3.65</v>
      </c>
      <c r="L23" s="248" t="n">
        <v>0.1475</v>
      </c>
      <c r="M23" s="248" t="n">
        <v>0.1475</v>
      </c>
      <c r="N23" s="249" t="n">
        <v>-0.02</v>
      </c>
      <c r="O23" s="249" t="n">
        <v>-0.02</v>
      </c>
      <c r="P23" s="250"/>
      <c r="Q23" s="250"/>
      <c r="R23" s="251" t="e">
        <f aca="false">B23</f>
        <v>#VALUE!</v>
      </c>
      <c r="S23" s="252" t="n">
        <f aca="false">T23-$S$16</f>
        <v>1.1</v>
      </c>
      <c r="T23" s="243" t="n">
        <f aca="false">D23</f>
        <v>1.17</v>
      </c>
      <c r="U23" s="253" t="n">
        <f aca="false">$U$16+T23</f>
        <v>1.24</v>
      </c>
      <c r="BP23" s="226" t="n">
        <f aca="false">BP22+BV23</f>
        <v>22</v>
      </c>
      <c r="BQ23" s="227" t="s">
        <v>433</v>
      </c>
      <c r="BR23" s="224" t="s">
        <v>285</v>
      </c>
      <c r="BS23" s="161" t="s">
        <v>421</v>
      </c>
      <c r="BT23" s="230" t="s">
        <v>287</v>
      </c>
      <c r="BU23" s="230"/>
      <c r="BV23" s="161" t="n">
        <v>1</v>
      </c>
      <c r="BW23" s="224" t="s">
        <v>434</v>
      </c>
      <c r="BX23" s="0"/>
      <c r="BZ23" s="226" t="n">
        <f aca="false">BZ22+CF23</f>
        <v>22</v>
      </c>
      <c r="CA23" s="227" t="s">
        <v>435</v>
      </c>
      <c r="CB23" s="224" t="s">
        <v>289</v>
      </c>
      <c r="CC23" s="161" t="s">
        <v>286</v>
      </c>
      <c r="CD23" s="230" t="s">
        <v>287</v>
      </c>
      <c r="CE23" s="230"/>
      <c r="CF23" s="161" t="n">
        <v>1</v>
      </c>
      <c r="CG23" s="231" t="s">
        <v>436</v>
      </c>
      <c r="CH23" s="0"/>
    </row>
    <row r="24" customFormat="false" ht="12.75" hidden="false" customHeight="false" outlineLevel="0" collapsed="false">
      <c r="A24" s="244"/>
      <c r="B24" s="245" t="e">
        <f aca="false">NextMonth(B23)</f>
        <v>#VALUE!</v>
      </c>
      <c r="C24" s="246" t="n">
        <v>0.0377281300112595</v>
      </c>
      <c r="D24" s="246" t="n">
        <v>0.92</v>
      </c>
      <c r="E24" s="246" t="n">
        <v>0.92</v>
      </c>
      <c r="F24" s="246" t="n">
        <v>0.5375</v>
      </c>
      <c r="G24" s="246" t="n">
        <v>0.545</v>
      </c>
      <c r="H24" s="246" t="n">
        <v>0.5525</v>
      </c>
      <c r="I24" s="247" t="n">
        <v>3.525</v>
      </c>
      <c r="J24" s="248" t="n">
        <v>3.53</v>
      </c>
      <c r="K24" s="248" t="n">
        <v>3.535</v>
      </c>
      <c r="L24" s="248" t="n">
        <v>0.1575</v>
      </c>
      <c r="M24" s="248" t="n">
        <v>0.1575</v>
      </c>
      <c r="N24" s="249" t="n">
        <v>-0.02</v>
      </c>
      <c r="O24" s="249" t="n">
        <v>-0.02</v>
      </c>
      <c r="P24" s="250"/>
      <c r="Q24" s="250"/>
      <c r="R24" s="251" t="e">
        <f aca="false">B24</f>
        <v>#VALUE!</v>
      </c>
      <c r="S24" s="252" t="n">
        <f aca="false">T24-$S$16</f>
        <v>0.85</v>
      </c>
      <c r="T24" s="243" t="n">
        <f aca="false">D24</f>
        <v>0.92</v>
      </c>
      <c r="U24" s="253" t="n">
        <f aca="false">$U$16+T24</f>
        <v>0.99</v>
      </c>
      <c r="BP24" s="226" t="n">
        <f aca="false">BP23+BV24</f>
        <v>23</v>
      </c>
      <c r="BQ24" s="227" t="s">
        <v>437</v>
      </c>
      <c r="BR24" s="224" t="s">
        <v>285</v>
      </c>
      <c r="BS24" s="161" t="s">
        <v>421</v>
      </c>
      <c r="BT24" s="230" t="s">
        <v>287</v>
      </c>
      <c r="BU24" s="230"/>
      <c r="BV24" s="161" t="n">
        <v>1</v>
      </c>
      <c r="BW24" s="224" t="s">
        <v>438</v>
      </c>
      <c r="BX24" s="0"/>
      <c r="BZ24" s="226" t="n">
        <f aca="false">BZ23+CF24</f>
        <v>23</v>
      </c>
      <c r="CA24" s="227" t="s">
        <v>439</v>
      </c>
      <c r="CB24" s="224" t="s">
        <v>289</v>
      </c>
      <c r="CC24" s="161" t="s">
        <v>286</v>
      </c>
      <c r="CD24" s="230" t="s">
        <v>287</v>
      </c>
      <c r="CE24" s="230"/>
      <c r="CF24" s="161" t="n">
        <v>1</v>
      </c>
      <c r="CG24" s="231" t="s">
        <v>440</v>
      </c>
      <c r="CH24" s="0"/>
    </row>
    <row r="25" customFormat="false" ht="12.75" hidden="false" customHeight="false" outlineLevel="0" collapsed="false">
      <c r="A25" s="244"/>
      <c r="B25" s="245" t="e">
        <f aca="false">NextMonth(B24)</f>
        <v>#VALUE!</v>
      </c>
      <c r="C25" s="246" t="n">
        <v>0.0379141572511204</v>
      </c>
      <c r="D25" s="246" t="n">
        <v>0.55</v>
      </c>
      <c r="E25" s="246" t="n">
        <v>0.55</v>
      </c>
      <c r="F25" s="246" t="n">
        <v>0.435</v>
      </c>
      <c r="G25" s="246" t="n">
        <v>0.4425</v>
      </c>
      <c r="H25" s="246" t="n">
        <v>0.45</v>
      </c>
      <c r="I25" s="247" t="n">
        <v>3.35</v>
      </c>
      <c r="J25" s="248" t="n">
        <v>3.355</v>
      </c>
      <c r="K25" s="248" t="n">
        <v>3.36</v>
      </c>
      <c r="L25" s="248" t="n">
        <v>0.1</v>
      </c>
      <c r="M25" s="248" t="n">
        <v>0.1</v>
      </c>
      <c r="N25" s="249" t="n">
        <v>0</v>
      </c>
      <c r="O25" s="249" t="n">
        <v>0</v>
      </c>
      <c r="P25" s="250"/>
      <c r="Q25" s="250"/>
      <c r="R25" s="251" t="e">
        <f aca="false">B25</f>
        <v>#VALUE!</v>
      </c>
      <c r="S25" s="252" t="n">
        <f aca="false">T25-$S$16</f>
        <v>0.48</v>
      </c>
      <c r="T25" s="243" t="n">
        <f aca="false">D25</f>
        <v>0.55</v>
      </c>
      <c r="U25" s="253" t="n">
        <f aca="false">$U$16+T25</f>
        <v>0.62</v>
      </c>
      <c r="BP25" s="226" t="n">
        <f aca="false">BP24+BV25</f>
        <v>24</v>
      </c>
      <c r="BQ25" s="227" t="s">
        <v>441</v>
      </c>
      <c r="BR25" s="224" t="s">
        <v>285</v>
      </c>
      <c r="BS25" s="161" t="s">
        <v>421</v>
      </c>
      <c r="BT25" s="230" t="s">
        <v>287</v>
      </c>
      <c r="BU25" s="230"/>
      <c r="BV25" s="161" t="n">
        <v>1</v>
      </c>
      <c r="BW25" s="224" t="s">
        <v>442</v>
      </c>
      <c r="BX25" s="0"/>
      <c r="BZ25" s="226" t="n">
        <f aca="false">BZ24+CF25</f>
        <v>24</v>
      </c>
      <c r="CA25" s="227" t="s">
        <v>443</v>
      </c>
      <c r="CB25" s="224" t="s">
        <v>289</v>
      </c>
      <c r="CC25" s="161" t="s">
        <v>286</v>
      </c>
      <c r="CD25" s="230" t="s">
        <v>287</v>
      </c>
      <c r="CE25" s="230"/>
      <c r="CF25" s="161" t="n">
        <v>1</v>
      </c>
      <c r="CG25" s="231" t="s">
        <v>444</v>
      </c>
      <c r="CH25" s="0"/>
    </row>
    <row r="26" customFormat="false" ht="12.75" hidden="false" customHeight="false" outlineLevel="0" collapsed="false">
      <c r="A26" s="244"/>
      <c r="B26" s="245" t="e">
        <f aca="false">NextMonth(B25)</f>
        <v>#VALUE!</v>
      </c>
      <c r="C26" s="246" t="n">
        <v>0.0381445253896398</v>
      </c>
      <c r="D26" s="246" t="n">
        <v>0.6</v>
      </c>
      <c r="E26" s="246" t="n">
        <v>0.6</v>
      </c>
      <c r="F26" s="246" t="n">
        <v>0.38</v>
      </c>
      <c r="G26" s="246" t="n">
        <v>0.3875</v>
      </c>
      <c r="H26" s="246" t="n">
        <v>0.395</v>
      </c>
      <c r="I26" s="247" t="n">
        <v>3.365</v>
      </c>
      <c r="J26" s="248" t="n">
        <v>3.37</v>
      </c>
      <c r="K26" s="248" t="n">
        <v>3.375</v>
      </c>
      <c r="L26" s="248" t="n">
        <v>0.1</v>
      </c>
      <c r="M26" s="248" t="n">
        <v>0.1</v>
      </c>
      <c r="N26" s="249" t="n">
        <v>0</v>
      </c>
      <c r="O26" s="249" t="n">
        <v>0</v>
      </c>
      <c r="P26" s="250"/>
      <c r="Q26" s="250"/>
      <c r="R26" s="251" t="e">
        <f aca="false">B26</f>
        <v>#VALUE!</v>
      </c>
      <c r="S26" s="252" t="n">
        <f aca="false">T26-$S$16</f>
        <v>0.53</v>
      </c>
      <c r="T26" s="243" t="n">
        <f aca="false">D26</f>
        <v>0.6</v>
      </c>
      <c r="U26" s="253" t="n">
        <f aca="false">$U$16+T26</f>
        <v>0.67</v>
      </c>
      <c r="BP26" s="226" t="n">
        <f aca="false">BP25+BV26</f>
        <v>25</v>
      </c>
      <c r="BQ26" s="227" t="s">
        <v>445</v>
      </c>
      <c r="BR26" s="224" t="s">
        <v>285</v>
      </c>
      <c r="BS26" s="161" t="s">
        <v>421</v>
      </c>
      <c r="BT26" s="230" t="s">
        <v>287</v>
      </c>
      <c r="BU26" s="230"/>
      <c r="BV26" s="161" t="n">
        <v>1</v>
      </c>
      <c r="BW26" s="224" t="s">
        <v>446</v>
      </c>
      <c r="BX26" s="0"/>
      <c r="BZ26" s="226" t="n">
        <f aca="false">BZ25+CF26</f>
        <v>25</v>
      </c>
      <c r="CA26" s="227" t="s">
        <v>447</v>
      </c>
      <c r="CB26" s="224" t="s">
        <v>289</v>
      </c>
      <c r="CC26" s="161" t="s">
        <v>286</v>
      </c>
      <c r="CD26" s="230" t="s">
        <v>287</v>
      </c>
      <c r="CE26" s="230"/>
      <c r="CF26" s="161" t="n">
        <v>1</v>
      </c>
      <c r="CG26" s="231" t="s">
        <v>448</v>
      </c>
      <c r="CH26" s="0"/>
    </row>
    <row r="27" customFormat="false" ht="12.75" hidden="false" customHeight="false" outlineLevel="0" collapsed="false">
      <c r="A27" s="244"/>
      <c r="B27" s="245" t="e">
        <f aca="false">NextMonth(B26)</f>
        <v>#VALUE!</v>
      </c>
      <c r="C27" s="246" t="n">
        <v>0.0383825724848319</v>
      </c>
      <c r="D27" s="246" t="n">
        <v>0.6</v>
      </c>
      <c r="E27" s="246" t="n">
        <v>0.6</v>
      </c>
      <c r="F27" s="246" t="n">
        <v>0.3675</v>
      </c>
      <c r="G27" s="246" t="n">
        <v>0.375</v>
      </c>
      <c r="H27" s="246" t="n">
        <v>0.3825</v>
      </c>
      <c r="I27" s="247" t="n">
        <v>3.407</v>
      </c>
      <c r="J27" s="248" t="n">
        <v>3.412</v>
      </c>
      <c r="K27" s="248" t="n">
        <v>3.417</v>
      </c>
      <c r="L27" s="248" t="n">
        <v>0.1</v>
      </c>
      <c r="M27" s="248" t="n">
        <v>0.1</v>
      </c>
      <c r="N27" s="249" t="n">
        <v>0</v>
      </c>
      <c r="O27" s="249" t="n">
        <v>0</v>
      </c>
      <c r="P27" s="250"/>
      <c r="Q27" s="250"/>
      <c r="R27" s="251" t="e">
        <f aca="false">B27</f>
        <v>#VALUE!</v>
      </c>
      <c r="S27" s="252" t="n">
        <f aca="false">T27-$S$16</f>
        <v>0.53</v>
      </c>
      <c r="T27" s="243" t="n">
        <f aca="false">D27</f>
        <v>0.6</v>
      </c>
      <c r="U27" s="253" t="n">
        <f aca="false">$U$16+T27</f>
        <v>0.67</v>
      </c>
      <c r="BP27" s="226" t="n">
        <f aca="false">BP26+BV27</f>
        <v>26</v>
      </c>
      <c r="BQ27" s="227" t="s">
        <v>449</v>
      </c>
      <c r="BR27" s="224" t="s">
        <v>285</v>
      </c>
      <c r="BS27" s="161" t="s">
        <v>421</v>
      </c>
      <c r="BT27" s="230" t="s">
        <v>287</v>
      </c>
      <c r="BU27" s="230"/>
      <c r="BV27" s="161" t="n">
        <v>1</v>
      </c>
      <c r="BW27" s="224" t="s">
        <v>450</v>
      </c>
      <c r="BX27" s="0"/>
      <c r="BZ27" s="226" t="n">
        <f aca="false">BZ26+CF27</f>
        <v>26</v>
      </c>
      <c r="CA27" s="227" t="s">
        <v>451</v>
      </c>
      <c r="CB27" s="224" t="s">
        <v>289</v>
      </c>
      <c r="CC27" s="161" t="s">
        <v>286</v>
      </c>
      <c r="CD27" s="230" t="s">
        <v>287</v>
      </c>
      <c r="CE27" s="230"/>
      <c r="CF27" s="161" t="n">
        <v>1</v>
      </c>
      <c r="CG27" s="231" t="s">
        <v>452</v>
      </c>
      <c r="CH27" s="0"/>
    </row>
    <row r="28" customFormat="false" ht="12.75" hidden="false" customHeight="false" outlineLevel="0" collapsed="false">
      <c r="A28" s="244"/>
      <c r="B28" s="245" t="e">
        <f aca="false">NextMonth(B27)</f>
        <v>#VALUE!</v>
      </c>
      <c r="C28" s="246" t="n">
        <v>0.0386772458527189</v>
      </c>
      <c r="D28" s="246" t="n">
        <v>0.65</v>
      </c>
      <c r="E28" s="246" t="n">
        <v>0.65</v>
      </c>
      <c r="F28" s="246" t="n">
        <v>0.3675</v>
      </c>
      <c r="G28" s="246" t="n">
        <v>0.375</v>
      </c>
      <c r="H28" s="246" t="n">
        <v>0.3825</v>
      </c>
      <c r="I28" s="247" t="n">
        <v>3.452</v>
      </c>
      <c r="J28" s="248" t="n">
        <v>3.457</v>
      </c>
      <c r="K28" s="248" t="n">
        <v>3.462</v>
      </c>
      <c r="L28" s="248" t="n">
        <v>0.1</v>
      </c>
      <c r="M28" s="248" t="n">
        <v>0.1</v>
      </c>
      <c r="N28" s="249" t="n">
        <v>0</v>
      </c>
      <c r="O28" s="249" t="n">
        <v>0</v>
      </c>
      <c r="P28" s="250"/>
      <c r="Q28" s="250"/>
      <c r="R28" s="251" t="e">
        <f aca="false">B28</f>
        <v>#VALUE!</v>
      </c>
      <c r="S28" s="252" t="n">
        <f aca="false">T28-$S$16</f>
        <v>0.58</v>
      </c>
      <c r="T28" s="243" t="n">
        <f aca="false">D28</f>
        <v>0.65</v>
      </c>
      <c r="U28" s="253" t="n">
        <f aca="false">$U$16+T28</f>
        <v>0.72</v>
      </c>
      <c r="BP28" s="226" t="n">
        <f aca="false">BP27+BV28</f>
        <v>27</v>
      </c>
      <c r="BQ28" s="227" t="s">
        <v>453</v>
      </c>
      <c r="BR28" s="224" t="s">
        <v>285</v>
      </c>
      <c r="BS28" s="161" t="s">
        <v>421</v>
      </c>
      <c r="BT28" s="230" t="s">
        <v>287</v>
      </c>
      <c r="BU28" s="230"/>
      <c r="BV28" s="161" t="n">
        <v>1</v>
      </c>
      <c r="BW28" s="224" t="s">
        <v>454</v>
      </c>
      <c r="BX28" s="0"/>
      <c r="BZ28" s="226" t="n">
        <f aca="false">BZ27+CF28</f>
        <v>27</v>
      </c>
      <c r="CA28" s="227" t="s">
        <v>455</v>
      </c>
      <c r="CB28" s="224" t="s">
        <v>289</v>
      </c>
      <c r="CC28" s="161" t="s">
        <v>286</v>
      </c>
      <c r="CD28" s="230" t="s">
        <v>287</v>
      </c>
      <c r="CE28" s="230"/>
      <c r="CF28" s="161" t="n">
        <v>1</v>
      </c>
      <c r="CG28" s="231" t="s">
        <v>456</v>
      </c>
      <c r="CH28" s="0"/>
    </row>
    <row r="29" customFormat="false" ht="12.75" hidden="false" customHeight="false" outlineLevel="0" collapsed="false">
      <c r="A29" s="244"/>
      <c r="B29" s="245" t="e">
        <f aca="false">NextMonth(B28)</f>
        <v>#VALUE!</v>
      </c>
      <c r="C29" s="246" t="n">
        <v>0.039086574168437</v>
      </c>
      <c r="D29" s="246" t="n">
        <v>0.7</v>
      </c>
      <c r="E29" s="246" t="n">
        <v>0.7</v>
      </c>
      <c r="F29" s="246" t="n">
        <v>0.3675</v>
      </c>
      <c r="G29" s="246" t="n">
        <v>0.375</v>
      </c>
      <c r="H29" s="246" t="n">
        <v>0.3825</v>
      </c>
      <c r="I29" s="247" t="n">
        <v>3.477</v>
      </c>
      <c r="J29" s="248" t="n">
        <v>3.482</v>
      </c>
      <c r="K29" s="248" t="n">
        <v>3.487</v>
      </c>
      <c r="L29" s="248" t="n">
        <v>0.1</v>
      </c>
      <c r="M29" s="248" t="n">
        <v>0.1</v>
      </c>
      <c r="N29" s="249" t="n">
        <v>0</v>
      </c>
      <c r="O29" s="249" t="n">
        <v>0</v>
      </c>
      <c r="P29" s="250"/>
      <c r="Q29" s="250"/>
      <c r="R29" s="251" t="e">
        <f aca="false">B29</f>
        <v>#VALUE!</v>
      </c>
      <c r="S29" s="252" t="n">
        <f aca="false">T29-$S$16</f>
        <v>0.63</v>
      </c>
      <c r="T29" s="243" t="n">
        <f aca="false">D29</f>
        <v>0.7</v>
      </c>
      <c r="U29" s="253" t="n">
        <f aca="false">$U$16+T29</f>
        <v>0.77</v>
      </c>
      <c r="BP29" s="226" t="n">
        <f aca="false">BP28+BV29</f>
        <v>28</v>
      </c>
      <c r="BQ29" s="227" t="s">
        <v>457</v>
      </c>
      <c r="BR29" s="224" t="s">
        <v>285</v>
      </c>
      <c r="BS29" s="161" t="s">
        <v>421</v>
      </c>
      <c r="BT29" s="230" t="s">
        <v>287</v>
      </c>
      <c r="BU29" s="230"/>
      <c r="BV29" s="161" t="n">
        <v>1</v>
      </c>
      <c r="BW29" s="224" t="s">
        <v>458</v>
      </c>
      <c r="BX29" s="0"/>
      <c r="BZ29" s="226" t="n">
        <f aca="false">BZ28+CF29</f>
        <v>28</v>
      </c>
      <c r="CA29" s="227" t="s">
        <v>459</v>
      </c>
      <c r="CB29" s="224" t="s">
        <v>289</v>
      </c>
      <c r="CC29" s="161" t="s">
        <v>286</v>
      </c>
      <c r="CD29" s="230" t="s">
        <v>287</v>
      </c>
      <c r="CE29" s="230"/>
      <c r="CF29" s="161" t="n">
        <v>1</v>
      </c>
      <c r="CG29" s="231" t="s">
        <v>460</v>
      </c>
      <c r="CH29" s="0"/>
    </row>
    <row r="30" customFormat="false" ht="12.75" hidden="false" customHeight="false" outlineLevel="0" collapsed="false">
      <c r="A30" s="244"/>
      <c r="B30" s="245" t="e">
        <f aca="false">NextMonth(B29)</f>
        <v>#VALUE!</v>
      </c>
      <c r="C30" s="246" t="n">
        <v>0.0394959025403963</v>
      </c>
      <c r="D30" s="246" t="n">
        <v>0.7</v>
      </c>
      <c r="E30" s="246" t="n">
        <v>0.7</v>
      </c>
      <c r="F30" s="246" t="n">
        <v>0.3675</v>
      </c>
      <c r="G30" s="246" t="n">
        <v>0.375</v>
      </c>
      <c r="H30" s="246" t="n">
        <v>0.3825</v>
      </c>
      <c r="I30" s="247" t="n">
        <v>3.487</v>
      </c>
      <c r="J30" s="248" t="n">
        <v>3.492</v>
      </c>
      <c r="K30" s="248" t="n">
        <v>3.497</v>
      </c>
      <c r="L30" s="248" t="n">
        <v>0.1</v>
      </c>
      <c r="M30" s="248" t="n">
        <v>0.1</v>
      </c>
      <c r="N30" s="249" t="n">
        <v>0</v>
      </c>
      <c r="O30" s="249" t="n">
        <v>0</v>
      </c>
      <c r="P30" s="250"/>
      <c r="Q30" s="250"/>
      <c r="R30" s="251" t="e">
        <f aca="false">B30</f>
        <v>#VALUE!</v>
      </c>
      <c r="S30" s="252" t="n">
        <f aca="false">T30-$S$16</f>
        <v>0.63</v>
      </c>
      <c r="T30" s="243" t="n">
        <f aca="false">D30</f>
        <v>0.7</v>
      </c>
      <c r="U30" s="253" t="n">
        <f aca="false">$U$16+T30</f>
        <v>0.77</v>
      </c>
      <c r="BP30" s="226" t="n">
        <f aca="false">BP29+BV30</f>
        <v>29</v>
      </c>
      <c r="BQ30" s="227" t="s">
        <v>461</v>
      </c>
      <c r="BR30" s="224" t="s">
        <v>285</v>
      </c>
      <c r="BS30" s="161" t="s">
        <v>421</v>
      </c>
      <c r="BT30" s="230" t="s">
        <v>287</v>
      </c>
      <c r="BU30" s="230"/>
      <c r="BV30" s="161" t="n">
        <v>1</v>
      </c>
      <c r="BW30" s="224" t="s">
        <v>462</v>
      </c>
      <c r="BX30" s="0"/>
      <c r="BZ30" s="226" t="n">
        <f aca="false">BZ29+CF30</f>
        <v>29</v>
      </c>
      <c r="CA30" s="227" t="s">
        <v>463</v>
      </c>
      <c r="CB30" s="224" t="s">
        <v>289</v>
      </c>
      <c r="CC30" s="161" t="s">
        <v>286</v>
      </c>
      <c r="CD30" s="230" t="s">
        <v>287</v>
      </c>
      <c r="CE30" s="230"/>
      <c r="CF30" s="161" t="n">
        <v>1</v>
      </c>
      <c r="CG30" s="231" t="s">
        <v>464</v>
      </c>
      <c r="CH30" s="0"/>
    </row>
    <row r="31" customFormat="false" ht="12.75" hidden="false" customHeight="false" outlineLevel="0" collapsed="false">
      <c r="A31" s="244"/>
      <c r="B31" s="245" t="e">
        <f aca="false">NextMonth(B30)</f>
        <v>#VALUE!</v>
      </c>
      <c r="C31" s="246" t="n">
        <v>0.0399269466175336</v>
      </c>
      <c r="D31" s="246" t="n">
        <v>0.75</v>
      </c>
      <c r="E31" s="246" t="n">
        <v>0.75</v>
      </c>
      <c r="F31" s="246" t="n">
        <v>0.37</v>
      </c>
      <c r="G31" s="246" t="n">
        <v>0.3775</v>
      </c>
      <c r="H31" s="246" t="n">
        <v>0.385</v>
      </c>
      <c r="I31" s="247" t="n">
        <v>3.507</v>
      </c>
      <c r="J31" s="248" t="n">
        <v>3.512</v>
      </c>
      <c r="K31" s="248" t="n">
        <v>3.517</v>
      </c>
      <c r="L31" s="248" t="n">
        <v>0.1</v>
      </c>
      <c r="M31" s="248" t="n">
        <v>0.1</v>
      </c>
      <c r="N31" s="249" t="n">
        <v>0</v>
      </c>
      <c r="O31" s="249" t="n">
        <v>0</v>
      </c>
      <c r="P31" s="250"/>
      <c r="Q31" s="250"/>
      <c r="R31" s="251" t="e">
        <f aca="false">B31</f>
        <v>#VALUE!</v>
      </c>
      <c r="S31" s="252" t="n">
        <f aca="false">T31-$S$16</f>
        <v>0.68</v>
      </c>
      <c r="T31" s="243" t="n">
        <f aca="false">D31</f>
        <v>0.75</v>
      </c>
      <c r="U31" s="253" t="n">
        <f aca="false">$U$16+T31</f>
        <v>0.82</v>
      </c>
      <c r="BP31" s="226" t="n">
        <f aca="false">BP30+BV31</f>
        <v>30</v>
      </c>
      <c r="BQ31" s="227" t="s">
        <v>465</v>
      </c>
      <c r="BR31" s="224" t="s">
        <v>285</v>
      </c>
      <c r="BS31" s="161" t="s">
        <v>421</v>
      </c>
      <c r="BT31" s="230" t="s">
        <v>287</v>
      </c>
      <c r="BU31" s="230"/>
      <c r="BV31" s="161" t="n">
        <v>1</v>
      </c>
      <c r="BW31" s="224" t="s">
        <v>466</v>
      </c>
      <c r="BX31" s="0"/>
      <c r="BZ31" s="226" t="n">
        <f aca="false">BZ30+CF31</f>
        <v>30</v>
      </c>
      <c r="CA31" s="227" t="s">
        <v>467</v>
      </c>
      <c r="CB31" s="224" t="s">
        <v>289</v>
      </c>
      <c r="CC31" s="161" t="s">
        <v>286</v>
      </c>
      <c r="CD31" s="230" t="s">
        <v>287</v>
      </c>
      <c r="CE31" s="230"/>
      <c r="CF31" s="161" t="n">
        <v>1</v>
      </c>
      <c r="CG31" s="231" t="s">
        <v>468</v>
      </c>
      <c r="CH31" s="0"/>
    </row>
    <row r="32" customFormat="false" ht="12.75" hidden="false" customHeight="false" outlineLevel="0" collapsed="false">
      <c r="A32" s="244"/>
      <c r="B32" s="245" t="e">
        <f aca="false">NextMonth(B31)</f>
        <v>#VALUE!</v>
      </c>
      <c r="C32" s="246" t="n">
        <v>0.0404221503511359</v>
      </c>
      <c r="D32" s="246" t="n">
        <v>0.95</v>
      </c>
      <c r="E32" s="246" t="n">
        <v>0.95</v>
      </c>
      <c r="F32" s="246" t="n">
        <v>0.37</v>
      </c>
      <c r="G32" s="246" t="n">
        <v>0.3775</v>
      </c>
      <c r="H32" s="246" t="n">
        <v>0.385</v>
      </c>
      <c r="I32" s="247" t="n">
        <v>3.665</v>
      </c>
      <c r="J32" s="248" t="n">
        <v>3.67</v>
      </c>
      <c r="K32" s="248" t="n">
        <v>3.675</v>
      </c>
      <c r="L32" s="248" t="n">
        <v>0.11</v>
      </c>
      <c r="M32" s="248" t="n">
        <v>0.11</v>
      </c>
      <c r="N32" s="249" t="n">
        <v>0</v>
      </c>
      <c r="O32" s="249" t="n">
        <v>0</v>
      </c>
      <c r="P32" s="250"/>
      <c r="Q32" s="250"/>
      <c r="R32" s="251" t="e">
        <f aca="false">B32</f>
        <v>#VALUE!</v>
      </c>
      <c r="S32" s="252" t="n">
        <f aca="false">T32-$S$16</f>
        <v>0.88</v>
      </c>
      <c r="T32" s="243" t="n">
        <f aca="false">D32</f>
        <v>0.95</v>
      </c>
      <c r="U32" s="253" t="n">
        <f aca="false">$U$16+T32</f>
        <v>1.02</v>
      </c>
      <c r="BP32" s="226" t="n">
        <f aca="false">BP31+BV32</f>
        <v>31</v>
      </c>
      <c r="BQ32" s="227" t="s">
        <v>469</v>
      </c>
      <c r="BR32" s="224" t="s">
        <v>285</v>
      </c>
      <c r="BS32" s="161" t="s">
        <v>421</v>
      </c>
      <c r="BT32" s="230" t="s">
        <v>287</v>
      </c>
      <c r="BU32" s="230"/>
      <c r="BV32" s="161" t="n">
        <v>1</v>
      </c>
      <c r="BW32" s="224" t="s">
        <v>470</v>
      </c>
      <c r="BX32" s="0"/>
      <c r="BZ32" s="226" t="n">
        <f aca="false">BZ31+CF32</f>
        <v>31</v>
      </c>
      <c r="CA32" s="227" t="s">
        <v>471</v>
      </c>
      <c r="CB32" s="224" t="s">
        <v>289</v>
      </c>
      <c r="CC32" s="161" t="s">
        <v>286</v>
      </c>
      <c r="CD32" s="230" t="s">
        <v>287</v>
      </c>
      <c r="CE32" s="230"/>
      <c r="CF32" s="161" t="n">
        <v>1</v>
      </c>
      <c r="CG32" s="231" t="s">
        <v>472</v>
      </c>
      <c r="CH32" s="0"/>
    </row>
    <row r="33" customFormat="false" ht="12.75" hidden="false" customHeight="false" outlineLevel="0" collapsed="false">
      <c r="A33" s="244"/>
      <c r="B33" s="245" t="e">
        <f aca="false">NextMonth(B32)</f>
        <v>#VALUE!</v>
      </c>
      <c r="C33" s="246" t="n">
        <v>0.0409013798490756</v>
      </c>
      <c r="D33" s="246" t="n">
        <v>1.15</v>
      </c>
      <c r="E33" s="246" t="n">
        <v>1.15</v>
      </c>
      <c r="F33" s="246" t="n">
        <v>0.3725</v>
      </c>
      <c r="G33" s="246" t="n">
        <v>0.38</v>
      </c>
      <c r="H33" s="246" t="n">
        <v>0.3875</v>
      </c>
      <c r="I33" s="247" t="n">
        <v>3.83</v>
      </c>
      <c r="J33" s="248" t="n">
        <v>3.835</v>
      </c>
      <c r="K33" s="248" t="n">
        <v>3.84</v>
      </c>
      <c r="L33" s="248" t="n">
        <v>0.13</v>
      </c>
      <c r="M33" s="248" t="n">
        <v>0.13</v>
      </c>
      <c r="N33" s="249" t="n">
        <v>0</v>
      </c>
      <c r="O33" s="249" t="n">
        <v>0</v>
      </c>
      <c r="P33" s="250"/>
      <c r="Q33" s="250"/>
      <c r="R33" s="251" t="e">
        <f aca="false">B33</f>
        <v>#VALUE!</v>
      </c>
      <c r="S33" s="252" t="n">
        <f aca="false">T33-$S$16</f>
        <v>1.08</v>
      </c>
      <c r="T33" s="243" t="n">
        <f aca="false">D33</f>
        <v>1.15</v>
      </c>
      <c r="U33" s="253" t="n">
        <f aca="false">$U$16+T33</f>
        <v>1.22</v>
      </c>
      <c r="BP33" s="226" t="n">
        <f aca="false">BP32+BV33</f>
        <v>32</v>
      </c>
      <c r="BQ33" s="227" t="s">
        <v>473</v>
      </c>
      <c r="BR33" s="224" t="s">
        <v>285</v>
      </c>
      <c r="BS33" s="161" t="s">
        <v>421</v>
      </c>
      <c r="BT33" s="230" t="s">
        <v>287</v>
      </c>
      <c r="BU33" s="230"/>
      <c r="BV33" s="161" t="n">
        <v>1</v>
      </c>
      <c r="BW33" s="224" t="s">
        <v>474</v>
      </c>
      <c r="BX33" s="0"/>
      <c r="BZ33" s="226" t="n">
        <f aca="false">BZ32+CF33</f>
        <v>32</v>
      </c>
      <c r="CA33" s="227" t="s">
        <v>475</v>
      </c>
      <c r="CB33" s="224" t="s">
        <v>289</v>
      </c>
      <c r="CC33" s="161" t="s">
        <v>286</v>
      </c>
      <c r="CD33" s="230" t="s">
        <v>287</v>
      </c>
      <c r="CE33" s="230"/>
      <c r="CF33" s="161" t="n">
        <v>1</v>
      </c>
      <c r="CG33" s="231" t="s">
        <v>476</v>
      </c>
      <c r="CH33" s="0"/>
    </row>
    <row r="34" customFormat="false" ht="12.75" hidden="false" customHeight="false" outlineLevel="0" collapsed="false">
      <c r="A34" s="244"/>
      <c r="B34" s="245" t="e">
        <f aca="false">NextMonth(B33)</f>
        <v>#VALUE!</v>
      </c>
      <c r="C34" s="246" t="n">
        <v>0.0414248982627394</v>
      </c>
      <c r="D34" s="246" t="n">
        <v>1.15</v>
      </c>
      <c r="E34" s="246" t="n">
        <v>1.15</v>
      </c>
      <c r="F34" s="246" t="n">
        <v>0.3775</v>
      </c>
      <c r="G34" s="246" t="n">
        <v>0.385</v>
      </c>
      <c r="H34" s="246" t="n">
        <v>0.3925</v>
      </c>
      <c r="I34" s="247" t="n">
        <v>3.905</v>
      </c>
      <c r="J34" s="248" t="n">
        <v>3.91</v>
      </c>
      <c r="K34" s="248" t="n">
        <v>3.915</v>
      </c>
      <c r="L34" s="248" t="n">
        <v>0.14</v>
      </c>
      <c r="M34" s="248" t="n">
        <v>0.14</v>
      </c>
      <c r="N34" s="249" t="n">
        <v>0</v>
      </c>
      <c r="O34" s="249" t="n">
        <v>0</v>
      </c>
      <c r="P34" s="250"/>
      <c r="Q34" s="250"/>
      <c r="R34" s="251" t="e">
        <f aca="false">B34</f>
        <v>#VALUE!</v>
      </c>
      <c r="S34" s="252" t="n">
        <f aca="false">T34-$S$16</f>
        <v>1.08</v>
      </c>
      <c r="T34" s="243" t="n">
        <f aca="false">D34</f>
        <v>1.15</v>
      </c>
      <c r="U34" s="253" t="n">
        <f aca="false">$U$16+T34</f>
        <v>1.22</v>
      </c>
      <c r="BP34" s="226" t="n">
        <f aca="false">BP33+BV34</f>
        <v>33</v>
      </c>
      <c r="BQ34" s="227" t="s">
        <v>477</v>
      </c>
      <c r="BR34" s="224" t="s">
        <v>285</v>
      </c>
      <c r="BS34" s="161" t="s">
        <v>421</v>
      </c>
      <c r="BT34" s="230" t="s">
        <v>287</v>
      </c>
      <c r="BU34" s="230"/>
      <c r="BV34" s="161" t="n">
        <v>1</v>
      </c>
      <c r="BW34" s="224" t="s">
        <v>478</v>
      </c>
      <c r="BX34" s="0"/>
      <c r="BZ34" s="226" t="n">
        <f aca="false">BZ33+CF34</f>
        <v>33</v>
      </c>
      <c r="CA34" s="227" t="s">
        <v>479</v>
      </c>
      <c r="CB34" s="224" t="s">
        <v>289</v>
      </c>
      <c r="CC34" s="161" t="s">
        <v>286</v>
      </c>
      <c r="CD34" s="230" t="s">
        <v>287</v>
      </c>
      <c r="CE34" s="230"/>
      <c r="CF34" s="161" t="n">
        <v>1</v>
      </c>
      <c r="CG34" s="231" t="s">
        <v>480</v>
      </c>
      <c r="CH34" s="0"/>
    </row>
    <row r="35" customFormat="false" ht="12.75" hidden="false" customHeight="false" outlineLevel="0" collapsed="false">
      <c r="A35" s="244"/>
      <c r="B35" s="245" t="e">
        <f aca="false">NextMonth(B34)</f>
        <v>#VALUE!</v>
      </c>
      <c r="C35" s="246" t="n">
        <v>0.0419827986896602</v>
      </c>
      <c r="D35" s="246" t="n">
        <v>1.15</v>
      </c>
      <c r="E35" s="246" t="n">
        <v>1.15</v>
      </c>
      <c r="F35" s="246" t="n">
        <v>0.365</v>
      </c>
      <c r="G35" s="246" t="n">
        <v>0.3725</v>
      </c>
      <c r="H35" s="246" t="n">
        <v>0.38</v>
      </c>
      <c r="I35" s="247" t="n">
        <v>3.79</v>
      </c>
      <c r="J35" s="248" t="n">
        <v>3.795</v>
      </c>
      <c r="K35" s="248" t="n">
        <v>3.8</v>
      </c>
      <c r="L35" s="248" t="n">
        <v>0.14</v>
      </c>
      <c r="M35" s="248" t="n">
        <v>0.14</v>
      </c>
      <c r="N35" s="249" t="n">
        <v>0</v>
      </c>
      <c r="O35" s="249" t="n">
        <v>0</v>
      </c>
      <c r="P35" s="250"/>
      <c r="Q35" s="250"/>
      <c r="R35" s="251" t="e">
        <f aca="false">B35</f>
        <v>#VALUE!</v>
      </c>
      <c r="S35" s="252" t="n">
        <f aca="false">T35-$S$16</f>
        <v>1.08</v>
      </c>
      <c r="T35" s="243" t="n">
        <f aca="false">D35</f>
        <v>1.15</v>
      </c>
      <c r="U35" s="253" t="n">
        <f aca="false">$U$16+T35</f>
        <v>1.22</v>
      </c>
      <c r="BP35" s="226" t="n">
        <f aca="false">BP34+BV35</f>
        <v>34</v>
      </c>
      <c r="BQ35" s="227" t="s">
        <v>481</v>
      </c>
      <c r="BR35" s="224" t="s">
        <v>285</v>
      </c>
      <c r="BS35" s="161" t="s">
        <v>421</v>
      </c>
      <c r="BT35" s="230" t="s">
        <v>287</v>
      </c>
      <c r="BU35" s="230"/>
      <c r="BV35" s="161" t="n">
        <v>1</v>
      </c>
      <c r="BW35" s="224" t="s">
        <v>482</v>
      </c>
      <c r="BX35" s="0"/>
      <c r="BZ35" s="226" t="n">
        <f aca="false">BZ34+CF35</f>
        <v>34</v>
      </c>
      <c r="CA35" s="227" t="s">
        <v>483</v>
      </c>
      <c r="CB35" s="224" t="s">
        <v>289</v>
      </c>
      <c r="CC35" s="161" t="s">
        <v>286</v>
      </c>
      <c r="CD35" s="230" t="s">
        <v>287</v>
      </c>
      <c r="CE35" s="230"/>
      <c r="CF35" s="161" t="n">
        <v>1</v>
      </c>
      <c r="CG35" s="231" t="s">
        <v>484</v>
      </c>
      <c r="CH35" s="0"/>
    </row>
    <row r="36" customFormat="false" ht="12.75" hidden="false" customHeight="false" outlineLevel="0" collapsed="false">
      <c r="A36" s="244"/>
      <c r="B36" s="245" t="e">
        <f aca="false">NextMonth(B35)</f>
        <v>#VALUE!</v>
      </c>
      <c r="C36" s="246" t="n">
        <v>0.0424867088423611</v>
      </c>
      <c r="D36" s="246" t="n">
        <v>0.9</v>
      </c>
      <c r="E36" s="246" t="n">
        <v>0.9</v>
      </c>
      <c r="F36" s="246" t="n">
        <v>0.3475</v>
      </c>
      <c r="G36" s="246" t="n">
        <v>0.355</v>
      </c>
      <c r="H36" s="246" t="n">
        <v>0.3625</v>
      </c>
      <c r="I36" s="247" t="n">
        <v>3.66</v>
      </c>
      <c r="J36" s="248" t="n">
        <v>3.665</v>
      </c>
      <c r="K36" s="248" t="n">
        <v>3.67</v>
      </c>
      <c r="L36" s="248" t="n">
        <v>0.13</v>
      </c>
      <c r="M36" s="248" t="n">
        <v>0.13</v>
      </c>
      <c r="N36" s="249" t="n">
        <v>0</v>
      </c>
      <c r="O36" s="249" t="n">
        <v>0</v>
      </c>
      <c r="P36" s="250"/>
      <c r="Q36" s="250"/>
      <c r="R36" s="251" t="e">
        <f aca="false">B36</f>
        <v>#VALUE!</v>
      </c>
      <c r="S36" s="252" t="n">
        <f aca="false">T36-$S$16</f>
        <v>0.83</v>
      </c>
      <c r="T36" s="243" t="n">
        <f aca="false">D36</f>
        <v>0.9</v>
      </c>
      <c r="U36" s="253" t="n">
        <f aca="false">$U$16+T36</f>
        <v>0.97</v>
      </c>
      <c r="BP36" s="226" t="n">
        <f aca="false">BP35+BV36</f>
        <v>35</v>
      </c>
      <c r="BQ36" s="227" t="s">
        <v>485</v>
      </c>
      <c r="BR36" s="224" t="s">
        <v>285</v>
      </c>
      <c r="BS36" s="161" t="s">
        <v>421</v>
      </c>
      <c r="BT36" s="230" t="s">
        <v>287</v>
      </c>
      <c r="BU36" s="230"/>
      <c r="BV36" s="161" t="n">
        <v>1</v>
      </c>
      <c r="BW36" s="224" t="s">
        <v>486</v>
      </c>
      <c r="BX36" s="0"/>
      <c r="BZ36" s="226" t="n">
        <f aca="false">BZ35+CF36</f>
        <v>35</v>
      </c>
      <c r="CA36" s="227" t="s">
        <v>487</v>
      </c>
      <c r="CB36" s="224" t="s">
        <v>289</v>
      </c>
      <c r="CC36" s="161" t="s">
        <v>286</v>
      </c>
      <c r="CD36" s="230" t="s">
        <v>287</v>
      </c>
      <c r="CE36" s="230"/>
      <c r="CF36" s="161" t="n">
        <v>1</v>
      </c>
      <c r="CG36" s="231" t="s">
        <v>488</v>
      </c>
      <c r="CH36" s="0"/>
    </row>
    <row r="37" customFormat="false" ht="12.75" hidden="false" customHeight="false" outlineLevel="0" collapsed="false">
      <c r="A37" s="244"/>
      <c r="B37" s="245" t="e">
        <f aca="false">NextMonth(B36)</f>
        <v>#VALUE!</v>
      </c>
      <c r="C37" s="246" t="n">
        <v>0.0430271154674577</v>
      </c>
      <c r="D37" s="246" t="n">
        <v>0.55</v>
      </c>
      <c r="E37" s="246" t="n">
        <v>0.55</v>
      </c>
      <c r="F37" s="246" t="n">
        <v>0.2975</v>
      </c>
      <c r="G37" s="246" t="n">
        <v>0.305</v>
      </c>
      <c r="H37" s="246" t="n">
        <v>0.3125</v>
      </c>
      <c r="I37" s="247" t="n">
        <v>3.445</v>
      </c>
      <c r="J37" s="248" t="n">
        <v>3.45</v>
      </c>
      <c r="K37" s="248" t="n">
        <v>3.455</v>
      </c>
      <c r="L37" s="248" t="n">
        <v>0.105</v>
      </c>
      <c r="M37" s="248" t="n">
        <v>0.105</v>
      </c>
      <c r="N37" s="249" t="n">
        <v>0</v>
      </c>
      <c r="O37" s="249" t="n">
        <v>0</v>
      </c>
      <c r="P37" s="250"/>
      <c r="Q37" s="250"/>
      <c r="R37" s="251" t="e">
        <f aca="false">B37</f>
        <v>#VALUE!</v>
      </c>
      <c r="S37" s="252" t="n">
        <f aca="false">T37-$S$16</f>
        <v>0.48</v>
      </c>
      <c r="T37" s="243" t="n">
        <f aca="false">D37</f>
        <v>0.55</v>
      </c>
      <c r="U37" s="253" t="n">
        <f aca="false">$U$16+T37</f>
        <v>0.62</v>
      </c>
      <c r="BP37" s="226" t="n">
        <f aca="false">BP36+BV37</f>
        <v>36</v>
      </c>
      <c r="BQ37" s="227" t="s">
        <v>489</v>
      </c>
      <c r="BR37" s="224" t="s">
        <v>285</v>
      </c>
      <c r="BS37" s="161" t="s">
        <v>421</v>
      </c>
      <c r="BT37" s="230" t="s">
        <v>287</v>
      </c>
      <c r="BU37" s="230"/>
      <c r="BV37" s="161" t="n">
        <v>1</v>
      </c>
      <c r="BW37" s="224" t="s">
        <v>490</v>
      </c>
      <c r="BX37" s="0"/>
      <c r="BZ37" s="226" t="n">
        <f aca="false">BZ36+CF37</f>
        <v>36</v>
      </c>
      <c r="CA37" s="227" t="s">
        <v>491</v>
      </c>
      <c r="CB37" s="224" t="s">
        <v>289</v>
      </c>
      <c r="CC37" s="161" t="s">
        <v>286</v>
      </c>
      <c r="CD37" s="230" t="s">
        <v>287</v>
      </c>
      <c r="CE37" s="230"/>
      <c r="CF37" s="161" t="n">
        <v>1</v>
      </c>
      <c r="CG37" s="231" t="s">
        <v>492</v>
      </c>
      <c r="CH37" s="0"/>
    </row>
    <row r="38" customFormat="false" ht="12.75" hidden="false" customHeight="false" outlineLevel="0" collapsed="false">
      <c r="A38" s="244"/>
      <c r="B38" s="245" t="e">
        <f aca="false">NextMonth(B37)</f>
        <v>#VALUE!</v>
      </c>
      <c r="C38" s="246" t="n">
        <v>0.0435228849722544</v>
      </c>
      <c r="D38" s="246" t="n">
        <v>0.6</v>
      </c>
      <c r="E38" s="246" t="n">
        <v>0.6</v>
      </c>
      <c r="F38" s="246" t="n">
        <v>0.2925</v>
      </c>
      <c r="G38" s="246" t="n">
        <v>0.3</v>
      </c>
      <c r="H38" s="246" t="n">
        <v>0.3075</v>
      </c>
      <c r="I38" s="247" t="n">
        <v>3.447</v>
      </c>
      <c r="J38" s="248" t="n">
        <v>3.452</v>
      </c>
      <c r="K38" s="248" t="n">
        <v>3.457</v>
      </c>
      <c r="L38" s="248" t="n">
        <v>0.105</v>
      </c>
      <c r="M38" s="248" t="n">
        <v>0.105</v>
      </c>
      <c r="N38" s="249" t="n">
        <v>0</v>
      </c>
      <c r="O38" s="249" t="n">
        <v>0</v>
      </c>
      <c r="P38" s="250"/>
      <c r="Q38" s="250"/>
      <c r="R38" s="251" t="e">
        <f aca="false">B38</f>
        <v>#VALUE!</v>
      </c>
      <c r="S38" s="252" t="n">
        <f aca="false">T38-$S$16</f>
        <v>0.53</v>
      </c>
      <c r="T38" s="243" t="n">
        <f aca="false">D38</f>
        <v>0.6</v>
      </c>
      <c r="U38" s="253" t="n">
        <f aca="false">$U$16+T38</f>
        <v>0.67</v>
      </c>
      <c r="BP38" s="226" t="n">
        <f aca="false">BP37+BV38</f>
        <v>37</v>
      </c>
      <c r="BQ38" s="227" t="s">
        <v>493</v>
      </c>
      <c r="BR38" s="224" t="s">
        <v>285</v>
      </c>
      <c r="BS38" s="161" t="s">
        <v>421</v>
      </c>
      <c r="BT38" s="230" t="s">
        <v>287</v>
      </c>
      <c r="BU38" s="230"/>
      <c r="BV38" s="161" t="n">
        <v>1</v>
      </c>
      <c r="BW38" s="224" t="s">
        <v>494</v>
      </c>
      <c r="BX38" s="0"/>
      <c r="BZ38" s="226" t="n">
        <f aca="false">BZ37+CF38</f>
        <v>37</v>
      </c>
      <c r="CA38" s="227" t="s">
        <v>495</v>
      </c>
      <c r="CB38" s="224" t="s">
        <v>289</v>
      </c>
      <c r="CC38" s="161" t="s">
        <v>286</v>
      </c>
      <c r="CD38" s="230" t="s">
        <v>287</v>
      </c>
      <c r="CE38" s="230"/>
      <c r="CF38" s="161" t="n">
        <v>1</v>
      </c>
      <c r="CG38" s="231" t="s">
        <v>496</v>
      </c>
      <c r="CH38" s="0"/>
    </row>
    <row r="39" customFormat="false" ht="12.75" hidden="false" customHeight="false" outlineLevel="0" collapsed="false">
      <c r="A39" s="244"/>
      <c r="B39" s="245" t="e">
        <f aca="false">NextMonth(B38)</f>
        <v>#VALUE!</v>
      </c>
      <c r="C39" s="246" t="n">
        <v>0.0440351802136973</v>
      </c>
      <c r="D39" s="246" t="n">
        <v>0.6</v>
      </c>
      <c r="E39" s="246" t="n">
        <v>0.6</v>
      </c>
      <c r="F39" s="246" t="n">
        <v>0.2925</v>
      </c>
      <c r="G39" s="246" t="n">
        <v>0.3</v>
      </c>
      <c r="H39" s="246" t="n">
        <v>0.3075</v>
      </c>
      <c r="I39" s="247" t="n">
        <v>3.488</v>
      </c>
      <c r="J39" s="248" t="n">
        <v>3.493</v>
      </c>
      <c r="K39" s="248" t="n">
        <v>3.498</v>
      </c>
      <c r="L39" s="248" t="n">
        <v>0.105</v>
      </c>
      <c r="M39" s="248" t="n">
        <v>0.105</v>
      </c>
      <c r="N39" s="249" t="n">
        <v>0</v>
      </c>
      <c r="O39" s="249" t="n">
        <v>0</v>
      </c>
      <c r="P39" s="250"/>
      <c r="Q39" s="250"/>
      <c r="R39" s="251" t="e">
        <f aca="false">B39</f>
        <v>#VALUE!</v>
      </c>
      <c r="S39" s="252" t="n">
        <f aca="false">T39-$S$16</f>
        <v>0.53</v>
      </c>
      <c r="T39" s="243" t="n">
        <f aca="false">D39</f>
        <v>0.6</v>
      </c>
      <c r="U39" s="253" t="n">
        <f aca="false">$U$16+T39</f>
        <v>0.67</v>
      </c>
      <c r="BP39" s="226" t="n">
        <f aca="false">BP38+BV39</f>
        <v>38</v>
      </c>
      <c r="BQ39" s="227" t="s">
        <v>497</v>
      </c>
      <c r="BR39" s="224" t="s">
        <v>285</v>
      </c>
      <c r="BS39" s="161" t="s">
        <v>421</v>
      </c>
      <c r="BT39" s="230" t="s">
        <v>287</v>
      </c>
      <c r="BU39" s="230"/>
      <c r="BV39" s="161" t="n">
        <v>1</v>
      </c>
      <c r="BW39" s="224" t="s">
        <v>498</v>
      </c>
      <c r="BX39" s="0"/>
      <c r="BZ39" s="226" t="n">
        <f aca="false">BZ38+CF39</f>
        <v>38</v>
      </c>
      <c r="CA39" s="227" t="s">
        <v>499</v>
      </c>
      <c r="CB39" s="224" t="s">
        <v>289</v>
      </c>
      <c r="CC39" s="161" t="s">
        <v>286</v>
      </c>
      <c r="CD39" s="230" t="s">
        <v>287</v>
      </c>
      <c r="CE39" s="230"/>
      <c r="CF39" s="161" t="n">
        <v>1</v>
      </c>
      <c r="CG39" s="231" t="s">
        <v>500</v>
      </c>
      <c r="CH39" s="0"/>
    </row>
    <row r="40" customFormat="false" ht="12.75" hidden="false" customHeight="false" outlineLevel="0" collapsed="false">
      <c r="A40" s="244"/>
      <c r="B40" s="245" t="e">
        <f aca="false">NextMonth(B39)</f>
        <v>#VALUE!</v>
      </c>
      <c r="C40" s="246" t="n">
        <v>0.0445209844030785</v>
      </c>
      <c r="D40" s="246" t="n">
        <v>0.65</v>
      </c>
      <c r="E40" s="246" t="n">
        <v>0.65</v>
      </c>
      <c r="F40" s="246" t="n">
        <v>0.2925</v>
      </c>
      <c r="G40" s="246" t="n">
        <v>0.3</v>
      </c>
      <c r="H40" s="246" t="n">
        <v>0.3075</v>
      </c>
      <c r="I40" s="247" t="n">
        <v>3.536</v>
      </c>
      <c r="J40" s="248" t="n">
        <v>3.541</v>
      </c>
      <c r="K40" s="248" t="n">
        <v>3.546</v>
      </c>
      <c r="L40" s="248" t="n">
        <v>0.105</v>
      </c>
      <c r="M40" s="248" t="n">
        <v>0.105</v>
      </c>
      <c r="N40" s="249" t="n">
        <v>0</v>
      </c>
      <c r="O40" s="249" t="n">
        <v>0</v>
      </c>
      <c r="P40" s="250"/>
      <c r="Q40" s="250"/>
      <c r="R40" s="251" t="e">
        <f aca="false">B40</f>
        <v>#VALUE!</v>
      </c>
      <c r="S40" s="252" t="n">
        <f aca="false">T40-$S$16</f>
        <v>0.58</v>
      </c>
      <c r="T40" s="243" t="n">
        <f aca="false">D40</f>
        <v>0.65</v>
      </c>
      <c r="U40" s="253" t="n">
        <f aca="false">$U$16+T40</f>
        <v>0.72</v>
      </c>
      <c r="BP40" s="226" t="n">
        <f aca="false">BP39+BV40</f>
        <v>39</v>
      </c>
      <c r="BQ40" s="227" t="s">
        <v>501</v>
      </c>
      <c r="BR40" s="224" t="s">
        <v>285</v>
      </c>
      <c r="BS40" s="161" t="s">
        <v>421</v>
      </c>
      <c r="BT40" s="230" t="s">
        <v>287</v>
      </c>
      <c r="BU40" s="230"/>
      <c r="BV40" s="161" t="n">
        <v>1</v>
      </c>
      <c r="BW40" s="224" t="s">
        <v>502</v>
      </c>
      <c r="BX40" s="0"/>
      <c r="BZ40" s="226" t="n">
        <f aca="false">BZ39+CF40</f>
        <v>39</v>
      </c>
      <c r="CA40" s="227" t="s">
        <v>503</v>
      </c>
      <c r="CB40" s="224" t="s">
        <v>289</v>
      </c>
      <c r="CC40" s="161" t="s">
        <v>286</v>
      </c>
      <c r="CD40" s="230" t="s">
        <v>287</v>
      </c>
      <c r="CE40" s="230"/>
      <c r="CF40" s="161" t="n">
        <v>1</v>
      </c>
      <c r="CG40" s="231" t="s">
        <v>504</v>
      </c>
      <c r="CH40" s="0"/>
    </row>
    <row r="41" customFormat="false" ht="12.75" hidden="false" customHeight="false" outlineLevel="0" collapsed="false">
      <c r="A41" s="244"/>
      <c r="B41" s="245" t="e">
        <f aca="false">NextMonth(B40)</f>
        <v>#VALUE!</v>
      </c>
      <c r="C41" s="246" t="n">
        <v>0.045008707542749</v>
      </c>
      <c r="D41" s="246" t="n">
        <v>0.7</v>
      </c>
      <c r="E41" s="246" t="n">
        <v>0.7</v>
      </c>
      <c r="F41" s="246" t="n">
        <v>0.2925</v>
      </c>
      <c r="G41" s="246" t="n">
        <v>0.3</v>
      </c>
      <c r="H41" s="246" t="n">
        <v>0.3075</v>
      </c>
      <c r="I41" s="247" t="n">
        <v>3.565</v>
      </c>
      <c r="J41" s="248" t="n">
        <v>3.57</v>
      </c>
      <c r="K41" s="248" t="n">
        <v>3.575</v>
      </c>
      <c r="L41" s="248" t="n">
        <v>0.105</v>
      </c>
      <c r="M41" s="248" t="n">
        <v>0.105</v>
      </c>
      <c r="N41" s="249" t="n">
        <v>0</v>
      </c>
      <c r="O41" s="249" t="n">
        <v>0</v>
      </c>
      <c r="P41" s="250"/>
      <c r="Q41" s="250"/>
      <c r="R41" s="251" t="e">
        <f aca="false">B41</f>
        <v>#VALUE!</v>
      </c>
      <c r="S41" s="252" t="n">
        <f aca="false">T41-$S$16</f>
        <v>0.63</v>
      </c>
      <c r="T41" s="243" t="n">
        <f aca="false">D41</f>
        <v>0.7</v>
      </c>
      <c r="U41" s="253" t="n">
        <f aca="false">$U$16+T41</f>
        <v>0.77</v>
      </c>
      <c r="BP41" s="226" t="n">
        <f aca="false">BP40+BV41</f>
        <v>40</v>
      </c>
      <c r="BQ41" s="227" t="s">
        <v>505</v>
      </c>
      <c r="BR41" s="224" t="s">
        <v>285</v>
      </c>
      <c r="BS41" s="161" t="s">
        <v>421</v>
      </c>
      <c r="BT41" s="230" t="s">
        <v>287</v>
      </c>
      <c r="BU41" s="230"/>
      <c r="BV41" s="161" t="n">
        <v>1</v>
      </c>
      <c r="BW41" s="224" t="s">
        <v>506</v>
      </c>
      <c r="BX41" s="0"/>
      <c r="BZ41" s="226" t="n">
        <f aca="false">BZ40+CF41</f>
        <v>40</v>
      </c>
      <c r="CA41" s="227" t="s">
        <v>507</v>
      </c>
      <c r="CB41" s="224" t="s">
        <v>289</v>
      </c>
      <c r="CC41" s="161" t="s">
        <v>286</v>
      </c>
      <c r="CD41" s="230" t="s">
        <v>287</v>
      </c>
      <c r="CE41" s="230"/>
      <c r="CF41" s="161" t="n">
        <v>1</v>
      </c>
      <c r="CG41" s="231" t="s">
        <v>508</v>
      </c>
      <c r="CH41" s="0"/>
    </row>
    <row r="42" customFormat="false" ht="12.75" hidden="false" customHeight="false" outlineLevel="0" collapsed="false">
      <c r="A42" s="244"/>
      <c r="B42" s="245" t="e">
        <f aca="false">NextMonth(B41)</f>
        <v>#VALUE!</v>
      </c>
      <c r="C42" s="246" t="n">
        <v>0.0454964307620358</v>
      </c>
      <c r="D42" s="246" t="n">
        <v>0.7</v>
      </c>
      <c r="E42" s="246" t="n">
        <v>0.7</v>
      </c>
      <c r="F42" s="246" t="n">
        <v>0.2975</v>
      </c>
      <c r="G42" s="246" t="n">
        <v>0.305</v>
      </c>
      <c r="H42" s="246" t="n">
        <v>0.3125</v>
      </c>
      <c r="I42" s="247" t="n">
        <v>3.58</v>
      </c>
      <c r="J42" s="248" t="n">
        <v>3.585</v>
      </c>
      <c r="K42" s="248" t="n">
        <v>3.59</v>
      </c>
      <c r="L42" s="248" t="n">
        <v>0.105</v>
      </c>
      <c r="M42" s="248" t="n">
        <v>0.105</v>
      </c>
      <c r="N42" s="249" t="n">
        <v>0</v>
      </c>
      <c r="O42" s="249" t="n">
        <v>0</v>
      </c>
      <c r="P42" s="250"/>
      <c r="Q42" s="250"/>
      <c r="R42" s="251" t="e">
        <f aca="false">B42</f>
        <v>#VALUE!</v>
      </c>
      <c r="S42" s="252" t="n">
        <f aca="false">T42-$S$16</f>
        <v>0.63</v>
      </c>
      <c r="T42" s="243" t="n">
        <f aca="false">D42</f>
        <v>0.7</v>
      </c>
      <c r="U42" s="253" t="n">
        <f aca="false">$U$16+T42</f>
        <v>0.77</v>
      </c>
      <c r="BP42" s="226" t="n">
        <f aca="false">BP41+BV42</f>
        <v>41</v>
      </c>
      <c r="BQ42" s="227" t="s">
        <v>509</v>
      </c>
      <c r="BR42" s="224" t="s">
        <v>285</v>
      </c>
      <c r="BS42" s="161" t="s">
        <v>421</v>
      </c>
      <c r="BT42" s="230" t="s">
        <v>287</v>
      </c>
      <c r="BU42" s="230"/>
      <c r="BV42" s="161" t="n">
        <v>1</v>
      </c>
      <c r="BW42" s="224" t="s">
        <v>510</v>
      </c>
      <c r="BX42" s="0"/>
      <c r="BZ42" s="226" t="n">
        <f aca="false">BZ41+CF42</f>
        <v>41</v>
      </c>
      <c r="CA42" s="227" t="s">
        <v>511</v>
      </c>
      <c r="CB42" s="224" t="s">
        <v>289</v>
      </c>
      <c r="CC42" s="161" t="s">
        <v>286</v>
      </c>
      <c r="CD42" s="230" t="s">
        <v>287</v>
      </c>
      <c r="CE42" s="230"/>
      <c r="CF42" s="161" t="n">
        <v>1</v>
      </c>
      <c r="CG42" s="231" t="s">
        <v>512</v>
      </c>
      <c r="CH42" s="0"/>
    </row>
    <row r="43" customFormat="false" ht="12.75" hidden="false" customHeight="false" outlineLevel="0" collapsed="false">
      <c r="A43" s="244"/>
      <c r="B43" s="245" t="e">
        <f aca="false">NextMonth(B42)</f>
        <v>#VALUE!</v>
      </c>
      <c r="C43" s="246" t="n">
        <v>0.0459491698608403</v>
      </c>
      <c r="D43" s="246" t="n">
        <v>0.75</v>
      </c>
      <c r="E43" s="246" t="n">
        <v>0.75</v>
      </c>
      <c r="F43" s="246" t="n">
        <v>0.3</v>
      </c>
      <c r="G43" s="246" t="n">
        <v>0.3075</v>
      </c>
      <c r="H43" s="246" t="n">
        <v>0.315</v>
      </c>
      <c r="I43" s="247" t="n">
        <v>3.604</v>
      </c>
      <c r="J43" s="248" t="n">
        <v>3.609</v>
      </c>
      <c r="K43" s="248" t="n">
        <v>3.614</v>
      </c>
      <c r="L43" s="248" t="n">
        <v>0.105</v>
      </c>
      <c r="M43" s="248" t="n">
        <v>0.105</v>
      </c>
      <c r="N43" s="249" t="n">
        <v>0</v>
      </c>
      <c r="O43" s="249" t="n">
        <v>0</v>
      </c>
      <c r="P43" s="250"/>
      <c r="Q43" s="250"/>
      <c r="R43" s="251" t="e">
        <f aca="false">B43</f>
        <v>#VALUE!</v>
      </c>
      <c r="S43" s="252" t="n">
        <f aca="false">T43-$S$16</f>
        <v>0.68</v>
      </c>
      <c r="T43" s="243" t="n">
        <f aca="false">D43</f>
        <v>0.75</v>
      </c>
      <c r="U43" s="253" t="n">
        <f aca="false">$U$16+T43</f>
        <v>0.82</v>
      </c>
      <c r="BP43" s="226" t="n">
        <f aca="false">BP42+BV43</f>
        <v>42</v>
      </c>
      <c r="BQ43" s="227" t="s">
        <v>513</v>
      </c>
      <c r="BR43" s="224" t="s">
        <v>285</v>
      </c>
      <c r="BS43" s="161" t="s">
        <v>421</v>
      </c>
      <c r="BT43" s="230" t="s">
        <v>287</v>
      </c>
      <c r="BU43" s="230"/>
      <c r="BV43" s="161" t="n">
        <v>1</v>
      </c>
      <c r="BW43" s="224" t="s">
        <v>514</v>
      </c>
      <c r="BX43" s="0"/>
      <c r="BZ43" s="226" t="n">
        <f aca="false">BZ42+CF43</f>
        <v>42</v>
      </c>
      <c r="CA43" s="227" t="s">
        <v>515</v>
      </c>
      <c r="CB43" s="224" t="s">
        <v>289</v>
      </c>
      <c r="CC43" s="161" t="s">
        <v>286</v>
      </c>
      <c r="CD43" s="230" t="s">
        <v>287</v>
      </c>
      <c r="CE43" s="230"/>
      <c r="CF43" s="161" t="n">
        <v>1</v>
      </c>
      <c r="CG43" s="231" t="s">
        <v>516</v>
      </c>
      <c r="CH43" s="0"/>
    </row>
    <row r="44" customFormat="false" ht="12.75" hidden="false" customHeight="false" outlineLevel="0" collapsed="false">
      <c r="A44" s="244"/>
      <c r="B44" s="245" t="e">
        <f aca="false">NextMonth(B43)</f>
        <v>#VALUE!</v>
      </c>
      <c r="C44" s="246" t="n">
        <v>0.04639287391351</v>
      </c>
      <c r="D44" s="246" t="n">
        <v>0.95</v>
      </c>
      <c r="E44" s="246" t="n">
        <v>0.95</v>
      </c>
      <c r="F44" s="246" t="n">
        <v>0.3025</v>
      </c>
      <c r="G44" s="246" t="n">
        <v>0.31</v>
      </c>
      <c r="H44" s="246" t="n">
        <v>0.3175</v>
      </c>
      <c r="I44" s="247" t="n">
        <v>3.744</v>
      </c>
      <c r="J44" s="248" t="n">
        <v>3.749</v>
      </c>
      <c r="K44" s="248" t="n">
        <v>3.754</v>
      </c>
      <c r="L44" s="248" t="n">
        <v>0.16</v>
      </c>
      <c r="M44" s="248" t="n">
        <v>0.16</v>
      </c>
      <c r="N44" s="249" t="n">
        <v>0</v>
      </c>
      <c r="O44" s="249" t="n">
        <v>0</v>
      </c>
      <c r="P44" s="250"/>
      <c r="Q44" s="250"/>
      <c r="R44" s="251" t="e">
        <f aca="false">B44</f>
        <v>#VALUE!</v>
      </c>
      <c r="S44" s="252" t="n">
        <f aca="false">T44-$S$16</f>
        <v>0.88</v>
      </c>
      <c r="T44" s="243" t="n">
        <f aca="false">D44</f>
        <v>0.95</v>
      </c>
      <c r="U44" s="253" t="n">
        <f aca="false">$U$16+T44</f>
        <v>1.02</v>
      </c>
      <c r="BP44" s="226" t="n">
        <f aca="false">BP43+BV44</f>
        <v>43</v>
      </c>
      <c r="BQ44" s="227" t="s">
        <v>517</v>
      </c>
      <c r="BR44" s="224" t="s">
        <v>285</v>
      </c>
      <c r="BS44" s="161" t="s">
        <v>421</v>
      </c>
      <c r="BT44" s="230" t="s">
        <v>287</v>
      </c>
      <c r="BU44" s="230"/>
      <c r="BV44" s="161" t="n">
        <v>1</v>
      </c>
      <c r="BW44" s="224" t="s">
        <v>518</v>
      </c>
      <c r="BX44" s="0"/>
      <c r="BZ44" s="226" t="n">
        <f aca="false">BZ43+CF44</f>
        <v>43</v>
      </c>
      <c r="CA44" s="227" t="s">
        <v>519</v>
      </c>
      <c r="CB44" s="224" t="s">
        <v>289</v>
      </c>
      <c r="CC44" s="161" t="s">
        <v>286</v>
      </c>
      <c r="CD44" s="230" t="s">
        <v>287</v>
      </c>
      <c r="CE44" s="230"/>
      <c r="CF44" s="161" t="n">
        <v>1</v>
      </c>
      <c r="CG44" s="231" t="s">
        <v>520</v>
      </c>
      <c r="CH44" s="0"/>
    </row>
    <row r="45" customFormat="false" ht="12.75" hidden="false" customHeight="false" outlineLevel="0" collapsed="false">
      <c r="A45" s="244"/>
      <c r="B45" s="245" t="e">
        <f aca="false">NextMonth(B44)</f>
        <v>#VALUE!</v>
      </c>
      <c r="C45" s="246" t="n">
        <v>0.046822264994919</v>
      </c>
      <c r="D45" s="246" t="n">
        <v>1.15</v>
      </c>
      <c r="E45" s="246" t="n">
        <v>1.15</v>
      </c>
      <c r="F45" s="246" t="n">
        <v>0.305</v>
      </c>
      <c r="G45" s="246" t="n">
        <v>0.3125</v>
      </c>
      <c r="H45" s="246" t="n">
        <v>0.32</v>
      </c>
      <c r="I45" s="247" t="n">
        <v>3.893</v>
      </c>
      <c r="J45" s="248" t="n">
        <v>3.898</v>
      </c>
      <c r="K45" s="248" t="n">
        <v>3.903</v>
      </c>
      <c r="L45" s="248" t="n">
        <v>0.16</v>
      </c>
      <c r="M45" s="248" t="n">
        <v>0.16</v>
      </c>
      <c r="N45" s="249" t="n">
        <v>0</v>
      </c>
      <c r="O45" s="249" t="n">
        <v>0</v>
      </c>
      <c r="P45" s="250"/>
      <c r="Q45" s="250"/>
      <c r="R45" s="251" t="e">
        <f aca="false">B45</f>
        <v>#VALUE!</v>
      </c>
      <c r="S45" s="252" t="n">
        <f aca="false">T45-$S$16</f>
        <v>1.08</v>
      </c>
      <c r="T45" s="243" t="n">
        <f aca="false">D45</f>
        <v>1.15</v>
      </c>
      <c r="U45" s="253" t="n">
        <f aca="false">$U$16+T45</f>
        <v>1.22</v>
      </c>
      <c r="BP45" s="226" t="n">
        <f aca="false">BP44+BV45</f>
        <v>44</v>
      </c>
      <c r="BQ45" s="227" t="s">
        <v>418</v>
      </c>
      <c r="BR45" s="224" t="s">
        <v>285</v>
      </c>
      <c r="BS45" s="161" t="s">
        <v>286</v>
      </c>
      <c r="BT45" s="230" t="s">
        <v>287</v>
      </c>
      <c r="BU45" s="230"/>
      <c r="BV45" s="161" t="n">
        <v>1</v>
      </c>
      <c r="BW45" s="224" t="s">
        <v>521</v>
      </c>
      <c r="BX45" s="0"/>
      <c r="BZ45" s="226" t="n">
        <f aca="false">BZ44+CF45</f>
        <v>44</v>
      </c>
      <c r="CA45" s="227" t="s">
        <v>522</v>
      </c>
      <c r="CB45" s="224" t="s">
        <v>289</v>
      </c>
      <c r="CC45" s="161" t="s">
        <v>286</v>
      </c>
      <c r="CD45" s="230" t="s">
        <v>287</v>
      </c>
      <c r="CE45" s="230"/>
      <c r="CF45" s="161" t="n">
        <v>1</v>
      </c>
      <c r="CG45" s="231" t="s">
        <v>523</v>
      </c>
      <c r="CH45" s="0"/>
    </row>
    <row r="46" customFormat="false" ht="12.75" hidden="false" customHeight="false" outlineLevel="0" collapsed="false">
      <c r="A46" s="244"/>
      <c r="B46" s="245" t="e">
        <f aca="false">NextMonth(B45)</f>
        <v>#VALUE!</v>
      </c>
      <c r="C46" s="246" t="n">
        <v>0.0472561262618871</v>
      </c>
      <c r="D46" s="246" t="n">
        <v>1.15</v>
      </c>
      <c r="E46" s="246" t="n">
        <v>1.15</v>
      </c>
      <c r="F46" s="246" t="n">
        <v>0.3075</v>
      </c>
      <c r="G46" s="246" t="n">
        <v>0.315</v>
      </c>
      <c r="H46" s="246" t="n">
        <v>0.3225</v>
      </c>
      <c r="I46" s="247" t="n">
        <v>3.952</v>
      </c>
      <c r="J46" s="248" t="n">
        <v>3.957</v>
      </c>
      <c r="K46" s="248" t="n">
        <v>3.962</v>
      </c>
      <c r="L46" s="248" t="n">
        <v>0.16</v>
      </c>
      <c r="M46" s="248" t="n">
        <v>0.16</v>
      </c>
      <c r="N46" s="249" t="n">
        <v>0</v>
      </c>
      <c r="O46" s="249" t="n">
        <v>0</v>
      </c>
      <c r="P46" s="250"/>
      <c r="Q46" s="250"/>
      <c r="R46" s="251" t="e">
        <f aca="false">B46</f>
        <v>#VALUE!</v>
      </c>
      <c r="S46" s="252" t="n">
        <f aca="false">T46-$S$16</f>
        <v>1.08</v>
      </c>
      <c r="T46" s="243" t="n">
        <f aca="false">D46</f>
        <v>1.15</v>
      </c>
      <c r="U46" s="253" t="n">
        <f aca="false">$U$16+T46</f>
        <v>1.22</v>
      </c>
      <c r="BP46" s="226" t="n">
        <f aca="false">BP45+BV46</f>
        <v>45</v>
      </c>
      <c r="BQ46" s="227" t="s">
        <v>418</v>
      </c>
      <c r="BR46" s="224" t="s">
        <v>285</v>
      </c>
      <c r="BS46" s="161" t="s">
        <v>421</v>
      </c>
      <c r="BT46" s="230" t="s">
        <v>287</v>
      </c>
      <c r="BU46" s="230"/>
      <c r="BV46" s="161" t="n">
        <v>1</v>
      </c>
      <c r="BW46" s="224" t="s">
        <v>524</v>
      </c>
      <c r="BX46" s="0"/>
      <c r="BZ46" s="226" t="n">
        <f aca="false">BZ45+CF46</f>
        <v>45</v>
      </c>
      <c r="CA46" s="227" t="s">
        <v>525</v>
      </c>
      <c r="CB46" s="224" t="s">
        <v>289</v>
      </c>
      <c r="CC46" s="161" t="s">
        <v>286</v>
      </c>
      <c r="CD46" s="230" t="s">
        <v>287</v>
      </c>
      <c r="CE46" s="230"/>
      <c r="CF46" s="161" t="n">
        <v>1</v>
      </c>
      <c r="CG46" s="231" t="s">
        <v>526</v>
      </c>
      <c r="CH46" s="0"/>
    </row>
    <row r="47" customFormat="false" ht="12.75" hidden="false" customHeight="false" outlineLevel="0" collapsed="false">
      <c r="A47" s="244"/>
      <c r="B47" s="245" t="e">
        <f aca="false">NextMonth(B46)</f>
        <v>#VALUE!</v>
      </c>
      <c r="C47" s="246" t="n">
        <v>0.0476794884806888</v>
      </c>
      <c r="D47" s="246" t="n">
        <v>1.15</v>
      </c>
      <c r="E47" s="246" t="n">
        <v>1.15</v>
      </c>
      <c r="F47" s="246" t="n">
        <v>0.3</v>
      </c>
      <c r="G47" s="246" t="n">
        <v>0.3075</v>
      </c>
      <c r="H47" s="246" t="n">
        <v>0.315</v>
      </c>
      <c r="I47" s="247" t="n">
        <v>3.839</v>
      </c>
      <c r="J47" s="248" t="n">
        <v>3.844</v>
      </c>
      <c r="K47" s="248" t="n">
        <v>3.849</v>
      </c>
      <c r="L47" s="248" t="n">
        <v>0.16</v>
      </c>
      <c r="M47" s="248" t="n">
        <v>0.16</v>
      </c>
      <c r="N47" s="249" t="n">
        <v>0</v>
      </c>
      <c r="O47" s="249" t="n">
        <v>0</v>
      </c>
      <c r="P47" s="250"/>
      <c r="Q47" s="250"/>
      <c r="R47" s="251" t="e">
        <f aca="false">B47</f>
        <v>#VALUE!</v>
      </c>
      <c r="S47" s="252" t="n">
        <f aca="false">T47-$S$16</f>
        <v>1.08</v>
      </c>
      <c r="T47" s="243" t="n">
        <f aca="false">D47</f>
        <v>1.15</v>
      </c>
      <c r="U47" s="253" t="n">
        <f aca="false">$U$16+T47</f>
        <v>1.22</v>
      </c>
      <c r="BP47" s="226" t="n">
        <f aca="false">BP46+BV47</f>
        <v>46</v>
      </c>
      <c r="BQ47" s="227" t="s">
        <v>527</v>
      </c>
      <c r="BR47" s="224" t="s">
        <v>285</v>
      </c>
      <c r="BS47" s="161" t="s">
        <v>421</v>
      </c>
      <c r="BT47" s="230" t="s">
        <v>287</v>
      </c>
      <c r="BU47" s="230"/>
      <c r="BV47" s="161" t="n">
        <v>1</v>
      </c>
      <c r="BW47" s="224" t="s">
        <v>528</v>
      </c>
      <c r="BX47" s="0"/>
      <c r="BZ47" s="226" t="n">
        <f aca="false">BZ46+CF47</f>
        <v>46</v>
      </c>
      <c r="CA47" s="227" t="s">
        <v>529</v>
      </c>
      <c r="CB47" s="224" t="s">
        <v>289</v>
      </c>
      <c r="CC47" s="161" t="s">
        <v>286</v>
      </c>
      <c r="CD47" s="230" t="s">
        <v>287</v>
      </c>
      <c r="CE47" s="230"/>
      <c r="CF47" s="161" t="n">
        <v>1</v>
      </c>
      <c r="CG47" s="231" t="s">
        <v>530</v>
      </c>
      <c r="CH47" s="0"/>
    </row>
    <row r="48" customFormat="false" ht="12.75" hidden="false" customHeight="false" outlineLevel="0" collapsed="false">
      <c r="A48" s="244"/>
      <c r="B48" s="245" t="e">
        <f aca="false">NextMonth(B47)</f>
        <v>#VALUE!</v>
      </c>
      <c r="C48" s="246" t="n">
        <v>0.0480755370621937</v>
      </c>
      <c r="D48" s="246" t="n">
        <v>0.9</v>
      </c>
      <c r="E48" s="246" t="n">
        <v>0.9</v>
      </c>
      <c r="F48" s="246" t="n">
        <v>0.295</v>
      </c>
      <c r="G48" s="246" t="n">
        <v>0.3025</v>
      </c>
      <c r="H48" s="246" t="n">
        <v>0.31</v>
      </c>
      <c r="I48" s="247" t="n">
        <v>3.706</v>
      </c>
      <c r="J48" s="248" t="n">
        <v>3.711</v>
      </c>
      <c r="K48" s="248" t="n">
        <v>3.716</v>
      </c>
      <c r="L48" s="248" t="n">
        <v>0.16</v>
      </c>
      <c r="M48" s="248" t="n">
        <v>0.16</v>
      </c>
      <c r="N48" s="249" t="n">
        <v>0</v>
      </c>
      <c r="O48" s="249" t="n">
        <v>0</v>
      </c>
      <c r="P48" s="250"/>
      <c r="Q48" s="250"/>
      <c r="R48" s="251" t="e">
        <f aca="false">B48</f>
        <v>#VALUE!</v>
      </c>
      <c r="S48" s="252" t="n">
        <f aca="false">T48-$S$16</f>
        <v>0.83</v>
      </c>
      <c r="T48" s="243" t="n">
        <f aca="false">D48</f>
        <v>0.9</v>
      </c>
      <c r="U48" s="253" t="n">
        <f aca="false">$U$16+T48</f>
        <v>0.97</v>
      </c>
      <c r="BP48" s="226" t="n">
        <f aca="false">BP47+BV48</f>
        <v>47</v>
      </c>
      <c r="BQ48" s="227" t="s">
        <v>531</v>
      </c>
      <c r="BR48" s="224" t="s">
        <v>285</v>
      </c>
      <c r="BS48" s="161" t="s">
        <v>421</v>
      </c>
      <c r="BT48" s="230" t="s">
        <v>287</v>
      </c>
      <c r="BU48" s="230"/>
      <c r="BV48" s="161" t="n">
        <v>1</v>
      </c>
      <c r="BW48" s="224" t="s">
        <v>532</v>
      </c>
      <c r="BX48" s="0"/>
      <c r="BZ48" s="226" t="n">
        <f aca="false">BZ47+CF48</f>
        <v>47</v>
      </c>
      <c r="CA48" s="227" t="s">
        <v>533</v>
      </c>
      <c r="CB48" s="224" t="s">
        <v>289</v>
      </c>
      <c r="CC48" s="161" t="s">
        <v>286</v>
      </c>
      <c r="CD48" s="230" t="s">
        <v>287</v>
      </c>
      <c r="CE48" s="230"/>
      <c r="CF48" s="161" t="n">
        <v>1</v>
      </c>
      <c r="CG48" s="231" t="s">
        <v>534</v>
      </c>
      <c r="CH48" s="0"/>
    </row>
    <row r="49" customFormat="false" ht="12.75" hidden="false" customHeight="false" outlineLevel="0" collapsed="false">
      <c r="A49" s="244"/>
      <c r="B49" s="245" t="e">
        <f aca="false">NextMonth(B48)</f>
        <v>#VALUE!</v>
      </c>
      <c r="C49" s="246" t="n">
        <v>0.0484666276501646</v>
      </c>
      <c r="D49" s="246" t="n">
        <v>0.55</v>
      </c>
      <c r="E49" s="246" t="n">
        <v>0.55</v>
      </c>
      <c r="F49" s="246" t="n">
        <v>0.2825</v>
      </c>
      <c r="G49" s="246" t="n">
        <v>0.29</v>
      </c>
      <c r="H49" s="246" t="n">
        <v>0.2975</v>
      </c>
      <c r="I49" s="247" t="n">
        <v>3.486</v>
      </c>
      <c r="J49" s="248" t="n">
        <v>3.491</v>
      </c>
      <c r="K49" s="248" t="n">
        <v>3.496</v>
      </c>
      <c r="L49" s="248" t="n">
        <v>0.105</v>
      </c>
      <c r="M49" s="248" t="n">
        <v>0.105</v>
      </c>
      <c r="N49" s="249" t="n">
        <v>0</v>
      </c>
      <c r="O49" s="249" t="n">
        <v>0</v>
      </c>
      <c r="P49" s="250"/>
      <c r="Q49" s="250"/>
      <c r="R49" s="251" t="e">
        <f aca="false">B49</f>
        <v>#VALUE!</v>
      </c>
      <c r="S49" s="252" t="n">
        <f aca="false">T49-$S$16</f>
        <v>0.48</v>
      </c>
      <c r="T49" s="243" t="n">
        <f aca="false">D49</f>
        <v>0.55</v>
      </c>
      <c r="U49" s="253" t="n">
        <f aca="false">$U$16+T49</f>
        <v>0.62</v>
      </c>
      <c r="BP49" s="226" t="n">
        <f aca="false">BP48+BV49</f>
        <v>48</v>
      </c>
      <c r="BQ49" s="227" t="s">
        <v>535</v>
      </c>
      <c r="BR49" s="224" t="s">
        <v>285</v>
      </c>
      <c r="BS49" s="161" t="s">
        <v>421</v>
      </c>
      <c r="BT49" s="230" t="s">
        <v>287</v>
      </c>
      <c r="BU49" s="230"/>
      <c r="BV49" s="161" t="n">
        <v>1</v>
      </c>
      <c r="BW49" s="224" t="s">
        <v>536</v>
      </c>
      <c r="BX49" s="0"/>
      <c r="BZ49" s="226" t="n">
        <f aca="false">BZ48+CF49</f>
        <v>48</v>
      </c>
      <c r="CA49" s="227" t="s">
        <v>537</v>
      </c>
      <c r="CB49" s="224" t="s">
        <v>289</v>
      </c>
      <c r="CC49" s="161" t="s">
        <v>286</v>
      </c>
      <c r="CD49" s="230" t="s">
        <v>287</v>
      </c>
      <c r="CE49" s="230"/>
      <c r="CF49" s="161" t="n">
        <v>1</v>
      </c>
      <c r="CG49" s="231" t="s">
        <v>538</v>
      </c>
      <c r="CH49" s="0"/>
    </row>
    <row r="50" customFormat="false" ht="12.75" hidden="false" customHeight="false" outlineLevel="0" collapsed="false">
      <c r="A50" s="244"/>
      <c r="B50" s="245" t="e">
        <f aca="false">NextMonth(B49)</f>
        <v>#VALUE!</v>
      </c>
      <c r="C50" s="246" t="n">
        <v>0.0488117896866629</v>
      </c>
      <c r="D50" s="246" t="n">
        <v>0.6</v>
      </c>
      <c r="E50" s="246" t="n">
        <v>0.6</v>
      </c>
      <c r="F50" s="246" t="n">
        <v>0.28</v>
      </c>
      <c r="G50" s="246" t="n">
        <v>0.2875</v>
      </c>
      <c r="H50" s="246" t="n">
        <v>0.295</v>
      </c>
      <c r="I50" s="247" t="n">
        <v>3.476</v>
      </c>
      <c r="J50" s="248" t="n">
        <v>3.481</v>
      </c>
      <c r="K50" s="248" t="n">
        <v>3.486</v>
      </c>
      <c r="L50" s="248" t="n">
        <v>0.105</v>
      </c>
      <c r="M50" s="248" t="n">
        <v>0.105</v>
      </c>
      <c r="N50" s="249" t="n">
        <v>0</v>
      </c>
      <c r="O50" s="249" t="n">
        <v>0</v>
      </c>
      <c r="P50" s="250"/>
      <c r="Q50" s="250"/>
      <c r="R50" s="251" t="e">
        <f aca="false">B50</f>
        <v>#VALUE!</v>
      </c>
      <c r="S50" s="252" t="n">
        <f aca="false">T50-$S$16</f>
        <v>0.53</v>
      </c>
      <c r="T50" s="243" t="n">
        <f aca="false">D50</f>
        <v>0.6</v>
      </c>
      <c r="U50" s="253" t="n">
        <f aca="false">$U$16+T50</f>
        <v>0.67</v>
      </c>
      <c r="BP50" s="226" t="n">
        <f aca="false">BP49+BV50</f>
        <v>49</v>
      </c>
      <c r="BQ50" s="227" t="s">
        <v>423</v>
      </c>
      <c r="BR50" s="224" t="s">
        <v>285</v>
      </c>
      <c r="BS50" s="161" t="s">
        <v>286</v>
      </c>
      <c r="BT50" s="230" t="s">
        <v>287</v>
      </c>
      <c r="BU50" s="230"/>
      <c r="BV50" s="161" t="n">
        <v>1</v>
      </c>
      <c r="BW50" s="224" t="s">
        <v>539</v>
      </c>
      <c r="BX50" s="0"/>
      <c r="BZ50" s="226" t="n">
        <f aca="false">BZ49+CF50</f>
        <v>49</v>
      </c>
      <c r="CA50" s="227" t="s">
        <v>540</v>
      </c>
      <c r="CB50" s="224" t="s">
        <v>289</v>
      </c>
      <c r="CC50" s="161" t="s">
        <v>286</v>
      </c>
      <c r="CD50" s="230" t="s">
        <v>287</v>
      </c>
      <c r="CE50" s="230"/>
      <c r="CF50" s="161" t="n">
        <v>1</v>
      </c>
      <c r="CG50" s="231" t="s">
        <v>541</v>
      </c>
      <c r="CH50" s="0"/>
    </row>
    <row r="51" customFormat="false" ht="12.75" hidden="false" customHeight="false" outlineLevel="0" collapsed="false">
      <c r="A51" s="244"/>
      <c r="B51" s="245" t="e">
        <f aca="false">NextMonth(B50)</f>
        <v>#VALUE!</v>
      </c>
      <c r="C51" s="246" t="n">
        <v>0.049168457166191</v>
      </c>
      <c r="D51" s="246" t="n">
        <v>0.6</v>
      </c>
      <c r="E51" s="246" t="n">
        <v>0.6</v>
      </c>
      <c r="F51" s="246" t="n">
        <v>0.28</v>
      </c>
      <c r="G51" s="246" t="n">
        <v>0.2875</v>
      </c>
      <c r="H51" s="246" t="n">
        <v>0.295</v>
      </c>
      <c r="I51" s="247" t="n">
        <v>3.512</v>
      </c>
      <c r="J51" s="248" t="n">
        <v>3.517</v>
      </c>
      <c r="K51" s="248" t="n">
        <v>3.522</v>
      </c>
      <c r="L51" s="248" t="n">
        <v>0.105</v>
      </c>
      <c r="M51" s="248" t="n">
        <v>0.105</v>
      </c>
      <c r="N51" s="249" t="n">
        <v>0</v>
      </c>
      <c r="O51" s="249" t="n">
        <v>0</v>
      </c>
      <c r="P51" s="250"/>
      <c r="Q51" s="250"/>
      <c r="R51" s="251" t="e">
        <f aca="false">B51</f>
        <v>#VALUE!</v>
      </c>
      <c r="S51" s="252" t="n">
        <f aca="false">T51-$S$16</f>
        <v>0.53</v>
      </c>
      <c r="T51" s="243" t="n">
        <f aca="false">D51</f>
        <v>0.6</v>
      </c>
      <c r="U51" s="253" t="n">
        <f aca="false">$U$16+T51</f>
        <v>0.67</v>
      </c>
      <c r="BP51" s="226" t="n">
        <f aca="false">BP50+BV51</f>
        <v>50</v>
      </c>
      <c r="BQ51" s="227" t="s">
        <v>542</v>
      </c>
      <c r="BR51" s="224" t="s">
        <v>285</v>
      </c>
      <c r="BS51" s="161" t="s">
        <v>421</v>
      </c>
      <c r="BT51" s="230" t="s">
        <v>287</v>
      </c>
      <c r="BU51" s="230"/>
      <c r="BV51" s="161" t="n">
        <v>1</v>
      </c>
      <c r="BW51" s="224" t="s">
        <v>543</v>
      </c>
      <c r="BX51" s="0"/>
      <c r="BZ51" s="226" t="n">
        <f aca="false">BZ50+CF51</f>
        <v>50</v>
      </c>
      <c r="CA51" s="227" t="s">
        <v>544</v>
      </c>
      <c r="CB51" s="224" t="s">
        <v>289</v>
      </c>
      <c r="CC51" s="161" t="s">
        <v>286</v>
      </c>
      <c r="CD51" s="230" t="s">
        <v>287</v>
      </c>
      <c r="CE51" s="230"/>
      <c r="CF51" s="161" t="n">
        <v>1</v>
      </c>
      <c r="CG51" s="231" t="s">
        <v>545</v>
      </c>
      <c r="CH51" s="0"/>
    </row>
    <row r="52" customFormat="false" ht="12.75" hidden="false" customHeight="false" outlineLevel="0" collapsed="false">
      <c r="A52" s="244"/>
      <c r="B52" s="245" t="e">
        <f aca="false">NextMonth(B51)</f>
        <v>#VALUE!</v>
      </c>
      <c r="C52" s="246" t="n">
        <v>0.0495006677332643</v>
      </c>
      <c r="D52" s="246" t="n">
        <v>0.65</v>
      </c>
      <c r="E52" s="246" t="n">
        <v>0.65</v>
      </c>
      <c r="F52" s="246" t="n">
        <v>0.28</v>
      </c>
      <c r="G52" s="246" t="n">
        <v>0.2875</v>
      </c>
      <c r="H52" s="246" t="n">
        <v>0.295</v>
      </c>
      <c r="I52" s="247" t="n">
        <v>3.562</v>
      </c>
      <c r="J52" s="248" t="n">
        <v>3.567</v>
      </c>
      <c r="K52" s="248" t="n">
        <v>3.572</v>
      </c>
      <c r="L52" s="248" t="n">
        <v>0.105</v>
      </c>
      <c r="M52" s="248" t="n">
        <v>0.105</v>
      </c>
      <c r="N52" s="249" t="n">
        <v>0</v>
      </c>
      <c r="O52" s="249" t="n">
        <v>0</v>
      </c>
      <c r="P52" s="250"/>
      <c r="Q52" s="250"/>
      <c r="R52" s="251" t="e">
        <f aca="false">B52</f>
        <v>#VALUE!</v>
      </c>
      <c r="S52" s="252" t="n">
        <f aca="false">T52-$S$16</f>
        <v>0.58</v>
      </c>
      <c r="T52" s="243" t="n">
        <f aca="false">D52</f>
        <v>0.65</v>
      </c>
      <c r="U52" s="253" t="n">
        <f aca="false">$U$16+T52</f>
        <v>0.72</v>
      </c>
      <c r="BP52" s="226" t="n">
        <f aca="false">BP51+BV52</f>
        <v>51</v>
      </c>
      <c r="BQ52" s="227" t="s">
        <v>546</v>
      </c>
      <c r="BR52" s="224" t="s">
        <v>285</v>
      </c>
      <c r="BS52" s="161" t="s">
        <v>421</v>
      </c>
      <c r="BT52" s="230" t="s">
        <v>287</v>
      </c>
      <c r="BU52" s="230"/>
      <c r="BV52" s="161" t="n">
        <v>1</v>
      </c>
      <c r="BW52" s="224" t="s">
        <v>547</v>
      </c>
      <c r="BX52" s="0"/>
      <c r="BZ52" s="226" t="n">
        <f aca="false">BZ51+CF52</f>
        <v>51</v>
      </c>
      <c r="CA52" s="227" t="s">
        <v>548</v>
      </c>
      <c r="CB52" s="224" t="s">
        <v>289</v>
      </c>
      <c r="CC52" s="161" t="s">
        <v>286</v>
      </c>
      <c r="CD52" s="230" t="s">
        <v>287</v>
      </c>
      <c r="CE52" s="230"/>
      <c r="CF52" s="161" t="n">
        <v>1</v>
      </c>
      <c r="CG52" s="231" t="s">
        <v>549</v>
      </c>
      <c r="CH52" s="0"/>
    </row>
    <row r="53" customFormat="false" ht="12.75" hidden="false" customHeight="false" outlineLevel="0" collapsed="false">
      <c r="A53" s="244"/>
      <c r="B53" s="245" t="e">
        <f aca="false">NextMonth(B52)</f>
        <v>#VALUE!</v>
      </c>
      <c r="C53" s="246" t="n">
        <v>0.0498297344106504</v>
      </c>
      <c r="D53" s="246" t="n">
        <v>0.7</v>
      </c>
      <c r="E53" s="246" t="n">
        <v>0.7</v>
      </c>
      <c r="F53" s="246" t="n">
        <v>0.28</v>
      </c>
      <c r="G53" s="246" t="n">
        <v>0.2875</v>
      </c>
      <c r="H53" s="246" t="n">
        <v>0.295</v>
      </c>
      <c r="I53" s="247" t="n">
        <v>3.585</v>
      </c>
      <c r="J53" s="248" t="n">
        <v>3.59</v>
      </c>
      <c r="K53" s="248" t="n">
        <v>3.595</v>
      </c>
      <c r="L53" s="248" t="n">
        <v>0.105</v>
      </c>
      <c r="M53" s="248" t="n">
        <v>0.105</v>
      </c>
      <c r="N53" s="249" t="n">
        <v>0</v>
      </c>
      <c r="O53" s="249" t="n">
        <v>0</v>
      </c>
      <c r="P53" s="250"/>
      <c r="Q53" s="250"/>
      <c r="R53" s="251" t="e">
        <f aca="false">B53</f>
        <v>#VALUE!</v>
      </c>
      <c r="S53" s="252" t="n">
        <f aca="false">T53-$S$16</f>
        <v>0.63</v>
      </c>
      <c r="T53" s="243" t="n">
        <f aca="false">D53</f>
        <v>0.7</v>
      </c>
      <c r="U53" s="253" t="n">
        <f aca="false">$U$16+T53</f>
        <v>0.77</v>
      </c>
      <c r="BP53" s="226" t="n">
        <f aca="false">BP52+BV53</f>
        <v>52</v>
      </c>
      <c r="BQ53" s="227" t="s">
        <v>550</v>
      </c>
      <c r="BR53" s="224" t="s">
        <v>285</v>
      </c>
      <c r="BS53" s="161" t="s">
        <v>421</v>
      </c>
      <c r="BT53" s="230" t="s">
        <v>287</v>
      </c>
      <c r="BU53" s="230"/>
      <c r="BV53" s="161" t="n">
        <v>1</v>
      </c>
      <c r="BW53" s="224" t="s">
        <v>551</v>
      </c>
      <c r="BX53" s="0"/>
      <c r="BZ53" s="226" t="n">
        <f aca="false">BZ52+CF53</f>
        <v>52</v>
      </c>
      <c r="CA53" s="227" t="s">
        <v>552</v>
      </c>
      <c r="CB53" s="224" t="s">
        <v>289</v>
      </c>
      <c r="CC53" s="161" t="s">
        <v>286</v>
      </c>
      <c r="CD53" s="230" t="s">
        <v>287</v>
      </c>
      <c r="CE53" s="230"/>
      <c r="CF53" s="161" t="n">
        <v>1</v>
      </c>
      <c r="CG53" s="231" t="s">
        <v>553</v>
      </c>
      <c r="CH53" s="0"/>
    </row>
    <row r="54" customFormat="false" ht="12.75" hidden="false" customHeight="false" outlineLevel="0" collapsed="false">
      <c r="A54" s="244"/>
      <c r="B54" s="245" t="e">
        <f aca="false">NextMonth(B53)</f>
        <v>#VALUE!</v>
      </c>
      <c r="C54" s="246" t="n">
        <v>0.0501588011241934</v>
      </c>
      <c r="D54" s="246" t="n">
        <v>0.7</v>
      </c>
      <c r="E54" s="246" t="n">
        <v>0.7</v>
      </c>
      <c r="F54" s="246" t="n">
        <v>0.28</v>
      </c>
      <c r="G54" s="246" t="n">
        <v>0.2875</v>
      </c>
      <c r="H54" s="246" t="n">
        <v>0.295</v>
      </c>
      <c r="I54" s="247" t="n">
        <v>3.6</v>
      </c>
      <c r="J54" s="248" t="n">
        <v>3.605</v>
      </c>
      <c r="K54" s="248" t="n">
        <v>3.61</v>
      </c>
      <c r="L54" s="248" t="n">
        <v>0.105</v>
      </c>
      <c r="M54" s="248" t="n">
        <v>0.105</v>
      </c>
      <c r="N54" s="249" t="n">
        <v>0</v>
      </c>
      <c r="O54" s="249" t="n">
        <v>0</v>
      </c>
      <c r="P54" s="250"/>
      <c r="Q54" s="250"/>
      <c r="R54" s="251" t="e">
        <f aca="false">B54</f>
        <v>#VALUE!</v>
      </c>
      <c r="S54" s="252" t="n">
        <f aca="false">T54-$S$16</f>
        <v>0.63</v>
      </c>
      <c r="T54" s="243" t="n">
        <f aca="false">D54</f>
        <v>0.7</v>
      </c>
      <c r="U54" s="253" t="n">
        <f aca="false">$U$16+T54</f>
        <v>0.77</v>
      </c>
      <c r="BP54" s="226" t="n">
        <f aca="false">BP53+BV54</f>
        <v>53</v>
      </c>
      <c r="BQ54" s="227" t="s">
        <v>554</v>
      </c>
      <c r="BR54" s="224" t="s">
        <v>285</v>
      </c>
      <c r="BS54" s="161" t="s">
        <v>421</v>
      </c>
      <c r="BT54" s="230" t="s">
        <v>287</v>
      </c>
      <c r="BU54" s="230"/>
      <c r="BV54" s="161" t="n">
        <v>1</v>
      </c>
      <c r="BW54" s="224" t="s">
        <v>555</v>
      </c>
      <c r="BX54" s="0"/>
      <c r="BZ54" s="226" t="n">
        <f aca="false">BZ53+CF54</f>
        <v>53</v>
      </c>
      <c r="CA54" s="227" t="s">
        <v>556</v>
      </c>
      <c r="CB54" s="224" t="s">
        <v>289</v>
      </c>
      <c r="CC54" s="161" t="s">
        <v>286</v>
      </c>
      <c r="CD54" s="230" t="s">
        <v>287</v>
      </c>
      <c r="CE54" s="230"/>
      <c r="CF54" s="161" t="n">
        <v>1</v>
      </c>
      <c r="CG54" s="231" t="s">
        <v>557</v>
      </c>
      <c r="CH54" s="0"/>
    </row>
    <row r="55" customFormat="false" ht="12.75" hidden="false" customHeight="false" outlineLevel="0" collapsed="false">
      <c r="A55" s="244"/>
      <c r="B55" s="245" t="e">
        <f aca="false">NextMonth(B54)</f>
        <v>#VALUE!</v>
      </c>
      <c r="C55" s="246" t="n">
        <v>0.0504622400015862</v>
      </c>
      <c r="D55" s="246" t="n">
        <v>0.75</v>
      </c>
      <c r="E55" s="246" t="n">
        <v>0.75</v>
      </c>
      <c r="F55" s="246" t="n">
        <v>0.2825</v>
      </c>
      <c r="G55" s="246" t="n">
        <v>0.29</v>
      </c>
      <c r="H55" s="246" t="n">
        <v>0.2975</v>
      </c>
      <c r="I55" s="247" t="n">
        <v>3.629</v>
      </c>
      <c r="J55" s="248" t="n">
        <v>3.634</v>
      </c>
      <c r="K55" s="248" t="n">
        <v>3.639</v>
      </c>
      <c r="L55" s="248" t="n">
        <v>0.105</v>
      </c>
      <c r="M55" s="248" t="n">
        <v>0.105</v>
      </c>
      <c r="N55" s="249" t="n">
        <v>0</v>
      </c>
      <c r="O55" s="249" t="n">
        <v>0</v>
      </c>
      <c r="P55" s="250"/>
      <c r="Q55" s="250"/>
      <c r="R55" s="251" t="e">
        <f aca="false">B55</f>
        <v>#VALUE!</v>
      </c>
      <c r="S55" s="252" t="n">
        <f aca="false">T55-$S$16</f>
        <v>0.68</v>
      </c>
      <c r="T55" s="243" t="n">
        <f aca="false">D55</f>
        <v>0.75</v>
      </c>
      <c r="U55" s="253" t="n">
        <f aca="false">$U$16+T55</f>
        <v>0.82</v>
      </c>
      <c r="BP55" s="226" t="n">
        <f aca="false">BP54+BV55</f>
        <v>54</v>
      </c>
      <c r="BQ55" s="227" t="s">
        <v>558</v>
      </c>
      <c r="BR55" s="224" t="s">
        <v>285</v>
      </c>
      <c r="BS55" s="161" t="s">
        <v>421</v>
      </c>
      <c r="BT55" s="230" t="s">
        <v>287</v>
      </c>
      <c r="BU55" s="230"/>
      <c r="BV55" s="161" t="n">
        <v>1</v>
      </c>
      <c r="BW55" s="224" t="s">
        <v>559</v>
      </c>
      <c r="BX55" s="0"/>
      <c r="BZ55" s="226" t="n">
        <f aca="false">BZ54+CF55</f>
        <v>54</v>
      </c>
      <c r="CA55" s="227" t="s">
        <v>560</v>
      </c>
      <c r="CB55" s="224" t="s">
        <v>289</v>
      </c>
      <c r="CC55" s="161" t="s">
        <v>286</v>
      </c>
      <c r="CD55" s="230" t="s">
        <v>287</v>
      </c>
      <c r="CE55" s="230"/>
      <c r="CF55" s="161" t="n">
        <v>1</v>
      </c>
      <c r="CG55" s="231" t="s">
        <v>561</v>
      </c>
      <c r="CH55" s="0"/>
    </row>
    <row r="56" customFormat="false" ht="12.75" hidden="false" customHeight="false" outlineLevel="0" collapsed="false">
      <c r="A56" s="244"/>
      <c r="B56" s="245" t="e">
        <f aca="false">NextMonth(B55)</f>
        <v>#VALUE!</v>
      </c>
      <c r="C56" s="246" t="n">
        <v>0.0507613568750758</v>
      </c>
      <c r="D56" s="246" t="n">
        <v>0.95</v>
      </c>
      <c r="E56" s="246" t="n">
        <v>0.95</v>
      </c>
      <c r="F56" s="246" t="n">
        <v>0.2825</v>
      </c>
      <c r="G56" s="246" t="n">
        <v>0.29</v>
      </c>
      <c r="H56" s="246" t="n">
        <v>0.2975</v>
      </c>
      <c r="I56" s="247" t="n">
        <v>3.769</v>
      </c>
      <c r="J56" s="248" t="n">
        <v>3.774</v>
      </c>
      <c r="K56" s="248" t="n">
        <v>3.779</v>
      </c>
      <c r="L56" s="248" t="n">
        <v>0.17</v>
      </c>
      <c r="M56" s="248" t="n">
        <v>0.17</v>
      </c>
      <c r="N56" s="249" t="n">
        <v>0</v>
      </c>
      <c r="O56" s="249" t="n">
        <v>0</v>
      </c>
      <c r="P56" s="250"/>
      <c r="Q56" s="250"/>
      <c r="R56" s="251" t="e">
        <f aca="false">B56</f>
        <v>#VALUE!</v>
      </c>
      <c r="S56" s="252" t="n">
        <f aca="false">T56-$S$16</f>
        <v>0.88</v>
      </c>
      <c r="T56" s="243" t="n">
        <f aca="false">D56</f>
        <v>0.95</v>
      </c>
      <c r="U56" s="253" t="n">
        <f aca="false">$U$16+T56</f>
        <v>1.02</v>
      </c>
      <c r="BP56" s="226" t="n">
        <f aca="false">BP55+BV56</f>
        <v>55</v>
      </c>
      <c r="BQ56" s="227" t="s">
        <v>562</v>
      </c>
      <c r="BR56" s="224" t="s">
        <v>285</v>
      </c>
      <c r="BS56" s="161" t="s">
        <v>421</v>
      </c>
      <c r="BT56" s="230" t="s">
        <v>287</v>
      </c>
      <c r="BU56" s="230"/>
      <c r="BV56" s="161" t="n">
        <v>1</v>
      </c>
      <c r="BW56" s="224" t="s">
        <v>563</v>
      </c>
      <c r="BX56" s="0"/>
      <c r="BZ56" s="226" t="n">
        <f aca="false">BZ55+CF56</f>
        <v>55</v>
      </c>
      <c r="CA56" s="227" t="s">
        <v>564</v>
      </c>
      <c r="CB56" s="224" t="s">
        <v>289</v>
      </c>
      <c r="CC56" s="161" t="s">
        <v>286</v>
      </c>
      <c r="CD56" s="230" t="s">
        <v>287</v>
      </c>
      <c r="CE56" s="230"/>
      <c r="CF56" s="161" t="n">
        <v>1</v>
      </c>
      <c r="CG56" s="231" t="s">
        <v>565</v>
      </c>
      <c r="CH56" s="0"/>
    </row>
    <row r="57" customFormat="false" ht="12.75" hidden="false" customHeight="false" outlineLevel="0" collapsed="false">
      <c r="A57" s="244"/>
      <c r="B57" s="245" t="e">
        <f aca="false">NextMonth(B56)</f>
        <v>#VALUE!</v>
      </c>
      <c r="C57" s="246" t="n">
        <v>0.051050824845595</v>
      </c>
      <c r="D57" s="246" t="n">
        <v>1.15</v>
      </c>
      <c r="E57" s="246" t="n">
        <v>1.15</v>
      </c>
      <c r="F57" s="246" t="n">
        <v>0.285</v>
      </c>
      <c r="G57" s="246" t="n">
        <v>0.2925</v>
      </c>
      <c r="H57" s="246" t="n">
        <v>0.3</v>
      </c>
      <c r="I57" s="247" t="n">
        <v>3.918</v>
      </c>
      <c r="J57" s="248" t="n">
        <v>3.923</v>
      </c>
      <c r="K57" s="248" t="n">
        <v>3.928</v>
      </c>
      <c r="L57" s="248" t="n">
        <v>0.17</v>
      </c>
      <c r="M57" s="248" t="n">
        <v>0.17</v>
      </c>
      <c r="N57" s="249" t="n">
        <v>0</v>
      </c>
      <c r="O57" s="249" t="n">
        <v>0</v>
      </c>
      <c r="P57" s="250"/>
      <c r="Q57" s="250"/>
      <c r="R57" s="251" t="e">
        <f aca="false">B57</f>
        <v>#VALUE!</v>
      </c>
      <c r="S57" s="252" t="n">
        <f aca="false">T57-$S$16</f>
        <v>1.08</v>
      </c>
      <c r="T57" s="243" t="n">
        <f aca="false">D57</f>
        <v>1.15</v>
      </c>
      <c r="U57" s="253" t="n">
        <f aca="false">$U$16+T57</f>
        <v>1.22</v>
      </c>
      <c r="BP57" s="226" t="n">
        <f aca="false">BP56+BV57</f>
        <v>56</v>
      </c>
      <c r="BQ57" s="227" t="s">
        <v>427</v>
      </c>
      <c r="BR57" s="224" t="s">
        <v>285</v>
      </c>
      <c r="BS57" s="161" t="s">
        <v>286</v>
      </c>
      <c r="BT57" s="230" t="s">
        <v>287</v>
      </c>
      <c r="BU57" s="230"/>
      <c r="BV57" s="161" t="n">
        <v>1</v>
      </c>
      <c r="BW57" s="224" t="s">
        <v>566</v>
      </c>
      <c r="BX57" s="0"/>
      <c r="BZ57" s="226" t="n">
        <f aca="false">BZ56+CF57</f>
        <v>56</v>
      </c>
      <c r="CA57" s="227" t="s">
        <v>567</v>
      </c>
      <c r="CB57" s="224" t="s">
        <v>289</v>
      </c>
      <c r="CC57" s="161" t="s">
        <v>286</v>
      </c>
      <c r="CD57" s="230" t="s">
        <v>287</v>
      </c>
      <c r="CE57" s="230"/>
      <c r="CF57" s="161" t="n">
        <v>1</v>
      </c>
      <c r="CG57" s="231" t="s">
        <v>568</v>
      </c>
      <c r="CH57" s="0"/>
    </row>
    <row r="58" customFormat="false" ht="12.75" hidden="false" customHeight="false" outlineLevel="0" collapsed="false">
      <c r="A58" s="244"/>
      <c r="B58" s="245" t="e">
        <f aca="false">NextMonth(B57)</f>
        <v>#VALUE!</v>
      </c>
      <c r="C58" s="246" t="n">
        <v>0.0513413374727922</v>
      </c>
      <c r="D58" s="246" t="n">
        <v>1.15</v>
      </c>
      <c r="E58" s="246" t="n">
        <v>1.15</v>
      </c>
      <c r="F58" s="246" t="n">
        <v>0.2875</v>
      </c>
      <c r="G58" s="246" t="n">
        <v>0.295</v>
      </c>
      <c r="H58" s="246" t="n">
        <v>0.3025</v>
      </c>
      <c r="I58" s="247" t="n">
        <v>3.992</v>
      </c>
      <c r="J58" s="248" t="n">
        <v>3.997</v>
      </c>
      <c r="K58" s="248" t="n">
        <v>4.002</v>
      </c>
      <c r="L58" s="248" t="n">
        <v>0.17</v>
      </c>
      <c r="M58" s="248" t="n">
        <v>0.17</v>
      </c>
      <c r="N58" s="249" t="n">
        <v>0</v>
      </c>
      <c r="O58" s="249" t="n">
        <v>0</v>
      </c>
      <c r="P58" s="250"/>
      <c r="Q58" s="250"/>
      <c r="R58" s="251" t="e">
        <f aca="false">B58</f>
        <v>#VALUE!</v>
      </c>
      <c r="S58" s="252" t="n">
        <f aca="false">T58-$S$16</f>
        <v>1.08</v>
      </c>
      <c r="T58" s="243" t="n">
        <f aca="false">D58</f>
        <v>1.15</v>
      </c>
      <c r="U58" s="253" t="n">
        <f aca="false">$U$16+T58</f>
        <v>1.22</v>
      </c>
      <c r="BP58" s="226" t="n">
        <f aca="false">BP57+BV58</f>
        <v>57</v>
      </c>
      <c r="BQ58" s="227" t="s">
        <v>569</v>
      </c>
      <c r="BR58" s="224" t="s">
        <v>285</v>
      </c>
      <c r="BS58" s="161" t="s">
        <v>421</v>
      </c>
      <c r="BT58" s="230" t="s">
        <v>287</v>
      </c>
      <c r="BU58" s="230"/>
      <c r="BV58" s="161" t="n">
        <v>1</v>
      </c>
      <c r="BW58" s="224" t="s">
        <v>570</v>
      </c>
      <c r="BX58" s="0"/>
      <c r="BZ58" s="226" t="n">
        <f aca="false">BZ57+CF58</f>
        <v>57</v>
      </c>
      <c r="CA58" s="227" t="s">
        <v>571</v>
      </c>
      <c r="CB58" s="224" t="s">
        <v>289</v>
      </c>
      <c r="CC58" s="161" t="s">
        <v>286</v>
      </c>
      <c r="CD58" s="230" t="s">
        <v>287</v>
      </c>
      <c r="CE58" s="230"/>
      <c r="CF58" s="161" t="n">
        <v>1</v>
      </c>
      <c r="CG58" s="231" t="s">
        <v>572</v>
      </c>
      <c r="CH58" s="0"/>
    </row>
    <row r="59" customFormat="false" ht="12.75" hidden="false" customHeight="false" outlineLevel="0" collapsed="false">
      <c r="A59" s="244"/>
      <c r="B59" s="245" t="e">
        <f aca="false">NextMonth(B58)</f>
        <v>#VALUE!</v>
      </c>
      <c r="C59" s="246" t="n">
        <v>0.051624764229206</v>
      </c>
      <c r="D59" s="246" t="n">
        <v>1.15</v>
      </c>
      <c r="E59" s="246" t="n">
        <v>1.15</v>
      </c>
      <c r="F59" s="246" t="n">
        <v>0.28</v>
      </c>
      <c r="G59" s="246" t="n">
        <v>0.2875</v>
      </c>
      <c r="H59" s="246" t="n">
        <v>0.295</v>
      </c>
      <c r="I59" s="247" t="n">
        <v>3.879</v>
      </c>
      <c r="J59" s="248" t="n">
        <v>3.884</v>
      </c>
      <c r="K59" s="248" t="n">
        <v>3.889</v>
      </c>
      <c r="L59" s="248" t="n">
        <v>0.17</v>
      </c>
      <c r="M59" s="248" t="n">
        <v>0.17</v>
      </c>
      <c r="N59" s="249" t="n">
        <v>0</v>
      </c>
      <c r="O59" s="249" t="n">
        <v>0</v>
      </c>
      <c r="P59" s="250"/>
      <c r="Q59" s="250"/>
      <c r="R59" s="251" t="e">
        <f aca="false">B59</f>
        <v>#VALUE!</v>
      </c>
      <c r="S59" s="252" t="n">
        <f aca="false">T59-$S$16</f>
        <v>1.08</v>
      </c>
      <c r="T59" s="243" t="n">
        <f aca="false">D59</f>
        <v>1.15</v>
      </c>
      <c r="U59" s="253" t="n">
        <f aca="false">$U$16+T59</f>
        <v>1.22</v>
      </c>
      <c r="BP59" s="226" t="n">
        <f aca="false">BP58+BV59</f>
        <v>58</v>
      </c>
      <c r="BQ59" s="227" t="s">
        <v>573</v>
      </c>
      <c r="BR59" s="224" t="s">
        <v>285</v>
      </c>
      <c r="BS59" s="161" t="s">
        <v>421</v>
      </c>
      <c r="BT59" s="230" t="s">
        <v>287</v>
      </c>
      <c r="BU59" s="230"/>
      <c r="BV59" s="161" t="n">
        <v>1</v>
      </c>
      <c r="BW59" s="224" t="s">
        <v>574</v>
      </c>
      <c r="BX59" s="0"/>
      <c r="BZ59" s="226" t="n">
        <f aca="false">BZ58+CF59</f>
        <v>58</v>
      </c>
      <c r="CA59" s="227" t="s">
        <v>575</v>
      </c>
      <c r="CB59" s="224" t="s">
        <v>289</v>
      </c>
      <c r="CC59" s="161" t="s">
        <v>286</v>
      </c>
      <c r="CD59" s="230" t="s">
        <v>287</v>
      </c>
      <c r="CE59" s="230"/>
      <c r="CF59" s="161" t="n">
        <v>1</v>
      </c>
      <c r="CG59" s="231" t="s">
        <v>576</v>
      </c>
      <c r="CH59" s="0"/>
    </row>
    <row r="60" customFormat="false" ht="12.75" hidden="false" customHeight="false" outlineLevel="0" collapsed="false">
      <c r="A60" s="244"/>
      <c r="B60" s="245" t="e">
        <f aca="false">NextMonth(B59)</f>
        <v>#VALUE!</v>
      </c>
      <c r="C60" s="246" t="n">
        <v>0.0518807626128734</v>
      </c>
      <c r="D60" s="246" t="n">
        <v>0.9</v>
      </c>
      <c r="E60" s="246" t="n">
        <v>0.9</v>
      </c>
      <c r="F60" s="246" t="n">
        <v>0.2675</v>
      </c>
      <c r="G60" s="246" t="n">
        <v>0.275</v>
      </c>
      <c r="H60" s="246" t="n">
        <v>0.2825</v>
      </c>
      <c r="I60" s="247" t="n">
        <v>3.746</v>
      </c>
      <c r="J60" s="248" t="n">
        <v>3.751</v>
      </c>
      <c r="K60" s="248" t="n">
        <v>3.756</v>
      </c>
      <c r="L60" s="248" t="n">
        <v>0.17</v>
      </c>
      <c r="M60" s="248" t="n">
        <v>0.17</v>
      </c>
      <c r="N60" s="249" t="n">
        <v>0</v>
      </c>
      <c r="O60" s="249" t="n">
        <v>0</v>
      </c>
      <c r="P60" s="250"/>
      <c r="Q60" s="250"/>
      <c r="R60" s="251" t="e">
        <f aca="false">B60</f>
        <v>#VALUE!</v>
      </c>
      <c r="S60" s="252" t="n">
        <f aca="false">T60-$S$16</f>
        <v>0.83</v>
      </c>
      <c r="T60" s="243" t="n">
        <f aca="false">D60</f>
        <v>0.9</v>
      </c>
      <c r="U60" s="253" t="n">
        <f aca="false">$U$16+T60</f>
        <v>0.97</v>
      </c>
      <c r="BP60" s="226" t="n">
        <f aca="false">BP59+BV60</f>
        <v>59</v>
      </c>
      <c r="BQ60" s="227" t="s">
        <v>577</v>
      </c>
      <c r="BR60" s="224" t="s">
        <v>285</v>
      </c>
      <c r="BS60" s="161" t="s">
        <v>421</v>
      </c>
      <c r="BT60" s="230" t="s">
        <v>287</v>
      </c>
      <c r="BU60" s="230"/>
      <c r="BV60" s="161" t="n">
        <v>1</v>
      </c>
      <c r="BW60" s="224" t="s">
        <v>578</v>
      </c>
      <c r="BX60" s="0"/>
      <c r="BZ60" s="226" t="n">
        <f aca="false">BZ59+CF60</f>
        <v>59</v>
      </c>
      <c r="CA60" s="227" t="s">
        <v>579</v>
      </c>
      <c r="CB60" s="224" t="s">
        <v>289</v>
      </c>
      <c r="CC60" s="161" t="s">
        <v>286</v>
      </c>
      <c r="CD60" s="230" t="s">
        <v>287</v>
      </c>
      <c r="CE60" s="230"/>
      <c r="CF60" s="161" t="n">
        <v>1</v>
      </c>
      <c r="CG60" s="231" t="s">
        <v>580</v>
      </c>
      <c r="CH60" s="0"/>
    </row>
    <row r="61" customFormat="false" ht="12.75" hidden="false" customHeight="false" outlineLevel="0" collapsed="false">
      <c r="A61" s="244"/>
      <c r="B61" s="245" t="e">
        <f aca="false">NextMonth(B60)</f>
        <v>#VALUE!</v>
      </c>
      <c r="C61" s="246" t="n">
        <v>0.0521429683012142</v>
      </c>
      <c r="D61" s="246" t="n">
        <v>0.55</v>
      </c>
      <c r="E61" s="246" t="n">
        <v>0.55</v>
      </c>
      <c r="F61" s="246" t="n">
        <v>0.255</v>
      </c>
      <c r="G61" s="246" t="n">
        <v>0.2625</v>
      </c>
      <c r="H61" s="246" t="n">
        <v>0.27</v>
      </c>
      <c r="I61" s="247" t="n">
        <v>3.526</v>
      </c>
      <c r="J61" s="248" t="n">
        <v>3.531</v>
      </c>
      <c r="K61" s="248" t="n">
        <v>3.536</v>
      </c>
      <c r="L61" s="248" t="n">
        <v>0.105</v>
      </c>
      <c r="M61" s="248" t="n">
        <v>0.105</v>
      </c>
      <c r="N61" s="249" t="n">
        <v>0</v>
      </c>
      <c r="O61" s="249" t="n">
        <v>0</v>
      </c>
      <c r="P61" s="250"/>
      <c r="Q61" s="250"/>
      <c r="R61" s="251" t="e">
        <f aca="false">B61</f>
        <v>#VALUE!</v>
      </c>
      <c r="S61" s="252" t="n">
        <f aca="false">T61-$S$16</f>
        <v>0.48</v>
      </c>
      <c r="T61" s="243" t="n">
        <f aca="false">D61</f>
        <v>0.55</v>
      </c>
      <c r="U61" s="253" t="n">
        <f aca="false">$U$16+T61</f>
        <v>0.62</v>
      </c>
      <c r="BP61" s="226" t="n">
        <f aca="false">BP60+BV61</f>
        <v>60</v>
      </c>
      <c r="BQ61" s="227" t="s">
        <v>581</v>
      </c>
      <c r="BR61" s="224" t="s">
        <v>285</v>
      </c>
      <c r="BS61" s="161" t="s">
        <v>421</v>
      </c>
      <c r="BT61" s="230" t="s">
        <v>287</v>
      </c>
      <c r="BU61" s="230"/>
      <c r="BV61" s="161" t="n">
        <v>1</v>
      </c>
      <c r="BW61" s="224" t="s">
        <v>582</v>
      </c>
      <c r="BX61" s="0"/>
      <c r="BZ61" s="226" t="n">
        <f aca="false">BZ60+CF61</f>
        <v>60</v>
      </c>
      <c r="CA61" s="227" t="s">
        <v>583</v>
      </c>
      <c r="CB61" s="224" t="s">
        <v>289</v>
      </c>
      <c r="CC61" s="161" t="s">
        <v>286</v>
      </c>
      <c r="CD61" s="230" t="s">
        <v>287</v>
      </c>
      <c r="CE61" s="230"/>
      <c r="CF61" s="161" t="n">
        <v>1</v>
      </c>
      <c r="CG61" s="231" t="s">
        <v>584</v>
      </c>
      <c r="CH61" s="0"/>
    </row>
    <row r="62" customFormat="false" ht="12.75" hidden="false" customHeight="false" outlineLevel="0" collapsed="false">
      <c r="A62" s="244"/>
      <c r="B62" s="245" t="e">
        <f aca="false">NextMonth(B61)</f>
        <v>#VALUE!</v>
      </c>
      <c r="C62" s="246" t="n">
        <v>0.0523782003597639</v>
      </c>
      <c r="D62" s="246" t="n">
        <v>0.6</v>
      </c>
      <c r="E62" s="246" t="n">
        <v>0.6</v>
      </c>
      <c r="F62" s="246" t="n">
        <v>0.2475</v>
      </c>
      <c r="G62" s="246" t="n">
        <v>0.255</v>
      </c>
      <c r="H62" s="246" t="n">
        <v>0.2625</v>
      </c>
      <c r="I62" s="247" t="n">
        <v>3.516</v>
      </c>
      <c r="J62" s="248" t="n">
        <v>3.521</v>
      </c>
      <c r="K62" s="248" t="n">
        <v>3.526</v>
      </c>
      <c r="L62" s="248" t="n">
        <v>0.105</v>
      </c>
      <c r="M62" s="248" t="n">
        <v>0.105</v>
      </c>
      <c r="N62" s="249" t="n">
        <v>0</v>
      </c>
      <c r="O62" s="249" t="n">
        <v>0</v>
      </c>
      <c r="P62" s="250"/>
      <c r="Q62" s="250"/>
      <c r="R62" s="251" t="e">
        <f aca="false">B62</f>
        <v>#VALUE!</v>
      </c>
      <c r="S62" s="252" t="n">
        <f aca="false">T62-$S$16</f>
        <v>0.53</v>
      </c>
      <c r="T62" s="243" t="n">
        <f aca="false">D62</f>
        <v>0.6</v>
      </c>
      <c r="U62" s="253" t="n">
        <f aca="false">$U$16+T62</f>
        <v>0.67</v>
      </c>
      <c r="BP62" s="226" t="n">
        <f aca="false">BP61+BV62</f>
        <v>61</v>
      </c>
      <c r="BQ62" s="227" t="s">
        <v>585</v>
      </c>
      <c r="BR62" s="224" t="s">
        <v>285</v>
      </c>
      <c r="BS62" s="161" t="s">
        <v>421</v>
      </c>
      <c r="BT62" s="230" t="s">
        <v>287</v>
      </c>
      <c r="BU62" s="230"/>
      <c r="BV62" s="161" t="n">
        <v>1</v>
      </c>
      <c r="BW62" s="224" t="s">
        <v>586</v>
      </c>
      <c r="BX62" s="0"/>
      <c r="BZ62" s="226" t="n">
        <f aca="false">BZ61+CF62</f>
        <v>61</v>
      </c>
      <c r="CA62" s="227" t="s">
        <v>587</v>
      </c>
      <c r="CB62" s="224" t="s">
        <v>289</v>
      </c>
      <c r="CC62" s="161" t="s">
        <v>286</v>
      </c>
      <c r="CD62" s="230" t="s">
        <v>287</v>
      </c>
      <c r="CE62" s="230"/>
      <c r="CF62" s="161" t="n">
        <v>1</v>
      </c>
      <c r="CG62" s="231" t="s">
        <v>588</v>
      </c>
      <c r="CH62" s="0"/>
    </row>
    <row r="63" customFormat="false" ht="12.75" hidden="false" customHeight="false" outlineLevel="0" collapsed="false">
      <c r="A63" s="244"/>
      <c r="B63" s="245" t="e">
        <f aca="false">NextMonth(B62)</f>
        <v>#VALUE!</v>
      </c>
      <c r="C63" s="246" t="n">
        <v>0.0526212735063183</v>
      </c>
      <c r="D63" s="246" t="n">
        <v>0.6</v>
      </c>
      <c r="E63" s="246" t="n">
        <v>0.6</v>
      </c>
      <c r="F63" s="246" t="n">
        <v>0.2425</v>
      </c>
      <c r="G63" s="246" t="n">
        <v>0.25</v>
      </c>
      <c r="H63" s="246" t="n">
        <v>0.2575</v>
      </c>
      <c r="I63" s="247" t="n">
        <v>3.552</v>
      </c>
      <c r="J63" s="248" t="n">
        <v>3.557</v>
      </c>
      <c r="K63" s="248" t="n">
        <v>3.562</v>
      </c>
      <c r="L63" s="248" t="n">
        <v>0.105</v>
      </c>
      <c r="M63" s="248" t="n">
        <v>0.105</v>
      </c>
      <c r="N63" s="249" t="n">
        <v>0</v>
      </c>
      <c r="O63" s="249" t="n">
        <v>0</v>
      </c>
      <c r="P63" s="250"/>
      <c r="Q63" s="250"/>
      <c r="R63" s="251" t="e">
        <f aca="false">B63</f>
        <v>#VALUE!</v>
      </c>
      <c r="S63" s="252" t="n">
        <f aca="false">T63-$S$16</f>
        <v>0.53</v>
      </c>
      <c r="T63" s="243" t="n">
        <f aca="false">D63</f>
        <v>0.6</v>
      </c>
      <c r="U63" s="253" t="n">
        <f aca="false">$U$16+T63</f>
        <v>0.67</v>
      </c>
      <c r="BP63" s="226" t="n">
        <f aca="false">BP62+BV63</f>
        <v>62</v>
      </c>
      <c r="BQ63" s="227" t="s">
        <v>589</v>
      </c>
      <c r="BR63" s="224" t="s">
        <v>285</v>
      </c>
      <c r="BS63" s="161" t="s">
        <v>421</v>
      </c>
      <c r="BT63" s="230" t="s">
        <v>287</v>
      </c>
      <c r="BU63" s="230"/>
      <c r="BV63" s="161" t="n">
        <v>1</v>
      </c>
      <c r="BW63" s="224" t="s">
        <v>590</v>
      </c>
      <c r="BX63" s="0"/>
      <c r="BZ63" s="226" t="n">
        <f aca="false">BZ62+CF63</f>
        <v>62</v>
      </c>
      <c r="CA63" s="227" t="s">
        <v>591</v>
      </c>
      <c r="CB63" s="224" t="s">
        <v>289</v>
      </c>
      <c r="CC63" s="161" t="s">
        <v>286</v>
      </c>
      <c r="CD63" s="230" t="s">
        <v>287</v>
      </c>
      <c r="CE63" s="230"/>
      <c r="CF63" s="161" t="n">
        <v>1</v>
      </c>
      <c r="CG63" s="231" t="s">
        <v>592</v>
      </c>
      <c r="CH63" s="0"/>
    </row>
    <row r="64" customFormat="false" ht="12.75" hidden="false" customHeight="false" outlineLevel="0" collapsed="false">
      <c r="A64" s="244"/>
      <c r="B64" s="245" t="e">
        <f aca="false">NextMonth(B63)</f>
        <v>#VALUE!</v>
      </c>
      <c r="C64" s="246" t="n">
        <v>0.0528468735450556</v>
      </c>
      <c r="D64" s="246" t="n">
        <v>0.65</v>
      </c>
      <c r="E64" s="246" t="n">
        <v>0.65</v>
      </c>
      <c r="F64" s="246" t="n">
        <v>0.2425</v>
      </c>
      <c r="G64" s="246" t="n">
        <v>0.25</v>
      </c>
      <c r="H64" s="246" t="n">
        <v>0.2575</v>
      </c>
      <c r="I64" s="247" t="n">
        <v>3.602</v>
      </c>
      <c r="J64" s="248" t="n">
        <v>3.607</v>
      </c>
      <c r="K64" s="248" t="n">
        <v>3.612</v>
      </c>
      <c r="L64" s="248" t="n">
        <v>0.105</v>
      </c>
      <c r="M64" s="248" t="n">
        <v>0.105</v>
      </c>
      <c r="N64" s="249" t="n">
        <v>0</v>
      </c>
      <c r="O64" s="249" t="n">
        <v>0</v>
      </c>
      <c r="P64" s="250"/>
      <c r="Q64" s="250"/>
      <c r="R64" s="251" t="e">
        <f aca="false">B64</f>
        <v>#VALUE!</v>
      </c>
      <c r="S64" s="252" t="n">
        <f aca="false">T64-$S$16</f>
        <v>0.58</v>
      </c>
      <c r="T64" s="243" t="n">
        <f aca="false">D64</f>
        <v>0.65</v>
      </c>
      <c r="U64" s="253" t="n">
        <f aca="false">$U$16+T64</f>
        <v>0.72</v>
      </c>
      <c r="BP64" s="226" t="n">
        <f aca="false">BP63+BV64</f>
        <v>63</v>
      </c>
      <c r="BQ64" s="227" t="s">
        <v>593</v>
      </c>
      <c r="BR64" s="224" t="s">
        <v>285</v>
      </c>
      <c r="BS64" s="161" t="s">
        <v>421</v>
      </c>
      <c r="BT64" s="230" t="s">
        <v>287</v>
      </c>
      <c r="BU64" s="230"/>
      <c r="BV64" s="161" t="n">
        <v>1</v>
      </c>
      <c r="BW64" s="224" t="s">
        <v>594</v>
      </c>
      <c r="BX64" s="0"/>
      <c r="BZ64" s="226" t="n">
        <f aca="false">BZ63+CF64</f>
        <v>63</v>
      </c>
      <c r="CA64" s="227" t="s">
        <v>595</v>
      </c>
      <c r="CB64" s="224" t="s">
        <v>289</v>
      </c>
      <c r="CC64" s="161" t="s">
        <v>286</v>
      </c>
      <c r="CD64" s="230" t="s">
        <v>287</v>
      </c>
      <c r="CE64" s="230"/>
      <c r="CF64" s="161" t="n">
        <v>1</v>
      </c>
      <c r="CG64" s="231" t="s">
        <v>596</v>
      </c>
      <c r="CH64" s="0"/>
    </row>
    <row r="65" customFormat="false" ht="12.75" hidden="false" customHeight="false" outlineLevel="0" collapsed="false">
      <c r="A65" s="244"/>
      <c r="B65" s="245" t="e">
        <f aca="false">NextMonth(B64)</f>
        <v>#VALUE!</v>
      </c>
      <c r="C65" s="246" t="n">
        <v>0.0530707223458018</v>
      </c>
      <c r="D65" s="246" t="n">
        <v>0.7</v>
      </c>
      <c r="E65" s="246" t="n">
        <v>0.7</v>
      </c>
      <c r="F65" s="246" t="n">
        <v>0.2425</v>
      </c>
      <c r="G65" s="246" t="n">
        <v>0.25</v>
      </c>
      <c r="H65" s="246" t="n">
        <v>0.2575</v>
      </c>
      <c r="I65" s="247" t="n">
        <v>3.625</v>
      </c>
      <c r="J65" s="248" t="n">
        <v>3.63</v>
      </c>
      <c r="K65" s="248" t="n">
        <v>3.635</v>
      </c>
      <c r="L65" s="248" t="n">
        <v>0.105</v>
      </c>
      <c r="M65" s="248" t="n">
        <v>0.105</v>
      </c>
      <c r="N65" s="249" t="n">
        <v>0</v>
      </c>
      <c r="O65" s="249" t="n">
        <v>0</v>
      </c>
      <c r="P65" s="250"/>
      <c r="Q65" s="250"/>
      <c r="R65" s="251" t="e">
        <f aca="false">B65</f>
        <v>#VALUE!</v>
      </c>
      <c r="S65" s="252" t="n">
        <f aca="false">T65-$S$16</f>
        <v>0.63</v>
      </c>
      <c r="T65" s="243" t="n">
        <f aca="false">D65</f>
        <v>0.7</v>
      </c>
      <c r="U65" s="253" t="n">
        <f aca="false">$U$16+T65</f>
        <v>0.77</v>
      </c>
      <c r="BP65" s="226" t="n">
        <f aca="false">BP64+BV65</f>
        <v>64</v>
      </c>
      <c r="BQ65" s="227" t="s">
        <v>597</v>
      </c>
      <c r="BR65" s="224" t="s">
        <v>285</v>
      </c>
      <c r="BS65" s="161" t="s">
        <v>421</v>
      </c>
      <c r="BT65" s="230" t="s">
        <v>287</v>
      </c>
      <c r="BU65" s="230"/>
      <c r="BV65" s="161" t="n">
        <v>1</v>
      </c>
      <c r="BW65" s="224" t="s">
        <v>598</v>
      </c>
      <c r="BX65" s="0"/>
      <c r="BZ65" s="226" t="n">
        <f aca="false">BZ64+CF65</f>
        <v>64</v>
      </c>
      <c r="CA65" s="227" t="s">
        <v>599</v>
      </c>
      <c r="CB65" s="224" t="s">
        <v>289</v>
      </c>
      <c r="CC65" s="161" t="s">
        <v>286</v>
      </c>
      <c r="CD65" s="230" t="s">
        <v>287</v>
      </c>
      <c r="CE65" s="230"/>
      <c r="CF65" s="161" t="n">
        <v>1</v>
      </c>
      <c r="CG65" s="231" t="s">
        <v>600</v>
      </c>
      <c r="CH65" s="0"/>
    </row>
    <row r="66" customFormat="false" ht="12.75" hidden="false" customHeight="false" outlineLevel="0" collapsed="false">
      <c r="A66" s="244"/>
      <c r="B66" s="245" t="e">
        <f aca="false">NextMonth(B65)</f>
        <v>#VALUE!</v>
      </c>
      <c r="C66" s="246" t="n">
        <v>0.0532945711632538</v>
      </c>
      <c r="D66" s="246" t="n">
        <v>0.7</v>
      </c>
      <c r="E66" s="246" t="n">
        <v>0.7</v>
      </c>
      <c r="F66" s="246" t="n">
        <v>0.2425</v>
      </c>
      <c r="G66" s="246" t="n">
        <v>0.25</v>
      </c>
      <c r="H66" s="246" t="n">
        <v>0.2575</v>
      </c>
      <c r="I66" s="247" t="n">
        <v>3.64</v>
      </c>
      <c r="J66" s="248" t="n">
        <v>3.645</v>
      </c>
      <c r="K66" s="248" t="n">
        <v>3.65</v>
      </c>
      <c r="L66" s="248" t="n">
        <v>0.105</v>
      </c>
      <c r="M66" s="248" t="n">
        <v>0.105</v>
      </c>
      <c r="N66" s="249" t="n">
        <v>0</v>
      </c>
      <c r="O66" s="249" t="n">
        <v>0</v>
      </c>
      <c r="P66" s="250"/>
      <c r="Q66" s="250"/>
      <c r="R66" s="251" t="e">
        <f aca="false">B66</f>
        <v>#VALUE!</v>
      </c>
      <c r="S66" s="252" t="n">
        <f aca="false">T66-$S$16</f>
        <v>0.63</v>
      </c>
      <c r="T66" s="243" t="n">
        <f aca="false">D66</f>
        <v>0.7</v>
      </c>
      <c r="U66" s="253" t="n">
        <f aca="false">$U$16+T66</f>
        <v>0.77</v>
      </c>
      <c r="BP66" s="226" t="n">
        <f aca="false">BP65+BV66</f>
        <v>65</v>
      </c>
      <c r="BQ66" s="227" t="s">
        <v>601</v>
      </c>
      <c r="BR66" s="224" t="s">
        <v>285</v>
      </c>
      <c r="BS66" s="161" t="s">
        <v>421</v>
      </c>
      <c r="BT66" s="230" t="s">
        <v>287</v>
      </c>
      <c r="BU66" s="230"/>
      <c r="BV66" s="161" t="n">
        <v>1</v>
      </c>
      <c r="BW66" s="224" t="s">
        <v>602</v>
      </c>
      <c r="BX66" s="0"/>
      <c r="BZ66" s="226" t="n">
        <f aca="false">BZ65+CF66</f>
        <v>65</v>
      </c>
      <c r="CA66" s="227" t="s">
        <v>603</v>
      </c>
      <c r="CB66" s="224" t="s">
        <v>289</v>
      </c>
      <c r="CC66" s="161" t="s">
        <v>286</v>
      </c>
      <c r="CD66" s="230" t="s">
        <v>287</v>
      </c>
      <c r="CE66" s="230"/>
      <c r="CF66" s="161" t="n">
        <v>1</v>
      </c>
      <c r="CG66" s="231" t="s">
        <v>604</v>
      </c>
      <c r="CH66" s="0"/>
    </row>
    <row r="67" customFormat="false" ht="12.75" hidden="false" customHeight="false" outlineLevel="0" collapsed="false">
      <c r="A67" s="244"/>
      <c r="B67" s="245" t="e">
        <f aca="false">NextMonth(B66)</f>
        <v>#VALUE!</v>
      </c>
      <c r="C67" s="246" t="n">
        <v>0.0535008045660654</v>
      </c>
      <c r="D67" s="246" t="n">
        <v>0.75</v>
      </c>
      <c r="E67" s="246" t="n">
        <v>0.75</v>
      </c>
      <c r="F67" s="246" t="n">
        <v>0.2425</v>
      </c>
      <c r="G67" s="246" t="n">
        <v>0.25</v>
      </c>
      <c r="H67" s="246" t="n">
        <v>0.2575</v>
      </c>
      <c r="I67" s="247" t="n">
        <v>3.669</v>
      </c>
      <c r="J67" s="248" t="n">
        <v>3.674</v>
      </c>
      <c r="K67" s="248" t="n">
        <v>3.679</v>
      </c>
      <c r="L67" s="248" t="n">
        <v>0.105</v>
      </c>
      <c r="M67" s="248" t="n">
        <v>0.105</v>
      </c>
      <c r="N67" s="249" t="n">
        <v>0</v>
      </c>
      <c r="O67" s="249" t="n">
        <v>0</v>
      </c>
      <c r="P67" s="250"/>
      <c r="Q67" s="250"/>
      <c r="R67" s="251" t="e">
        <f aca="false">B67</f>
        <v>#VALUE!</v>
      </c>
      <c r="S67" s="252" t="n">
        <f aca="false">T67-$S$16</f>
        <v>0.68</v>
      </c>
      <c r="T67" s="243" t="n">
        <f aca="false">D67</f>
        <v>0.75</v>
      </c>
      <c r="U67" s="253" t="n">
        <f aca="false">$U$16+T67</f>
        <v>0.82</v>
      </c>
      <c r="BP67" s="226" t="n">
        <f aca="false">BP66+BV67</f>
        <v>66</v>
      </c>
      <c r="BQ67" s="227" t="s">
        <v>605</v>
      </c>
      <c r="BR67" s="224" t="s">
        <v>285</v>
      </c>
      <c r="BS67" s="161" t="s">
        <v>421</v>
      </c>
      <c r="BT67" s="230" t="s">
        <v>287</v>
      </c>
      <c r="BU67" s="230"/>
      <c r="BV67" s="161" t="n">
        <v>1</v>
      </c>
      <c r="BW67" s="224" t="s">
        <v>606</v>
      </c>
      <c r="BX67" s="0"/>
      <c r="BZ67" s="226" t="n">
        <f aca="false">BZ66+CF67</f>
        <v>66</v>
      </c>
      <c r="CA67" s="227" t="s">
        <v>607</v>
      </c>
      <c r="CB67" s="224" t="s">
        <v>289</v>
      </c>
      <c r="CC67" s="161" t="s">
        <v>286</v>
      </c>
      <c r="CD67" s="230" t="s">
        <v>287</v>
      </c>
      <c r="CE67" s="230"/>
      <c r="CF67" s="161" t="n">
        <v>1</v>
      </c>
      <c r="CG67" s="231" t="s">
        <v>608</v>
      </c>
      <c r="CH67" s="0"/>
    </row>
    <row r="68" customFormat="false" ht="12.75" hidden="false" customHeight="false" outlineLevel="0" collapsed="false">
      <c r="A68" s="244"/>
      <c r="B68" s="245" t="e">
        <f aca="false">NextMonth(B67)</f>
        <v>#VALUE!</v>
      </c>
      <c r="C68" s="246" t="n">
        <v>0.0537045140686203</v>
      </c>
      <c r="D68" s="246" t="n">
        <v>0.95</v>
      </c>
      <c r="E68" s="246" t="n">
        <v>0.95</v>
      </c>
      <c r="F68" s="246" t="n">
        <v>0.2425</v>
      </c>
      <c r="G68" s="246" t="n">
        <v>0.25</v>
      </c>
      <c r="H68" s="246" t="n">
        <v>0.2575</v>
      </c>
      <c r="I68" s="247" t="n">
        <v>3.809</v>
      </c>
      <c r="J68" s="248" t="n">
        <v>3.814</v>
      </c>
      <c r="K68" s="248" t="n">
        <v>3.819</v>
      </c>
      <c r="L68" s="248" t="n">
        <v>0.17</v>
      </c>
      <c r="M68" s="248" t="n">
        <v>0.17</v>
      </c>
      <c r="N68" s="249" t="n">
        <v>0</v>
      </c>
      <c r="O68" s="249" t="n">
        <v>0</v>
      </c>
      <c r="P68" s="250"/>
      <c r="Q68" s="250"/>
      <c r="R68" s="251" t="e">
        <f aca="false">B68</f>
        <v>#VALUE!</v>
      </c>
      <c r="S68" s="252" t="n">
        <f aca="false">T68-$S$16</f>
        <v>0.88</v>
      </c>
      <c r="T68" s="243" t="n">
        <f aca="false">D68</f>
        <v>0.95</v>
      </c>
      <c r="U68" s="253" t="n">
        <f aca="false">$U$16+T68</f>
        <v>1.02</v>
      </c>
      <c r="BP68" s="226" t="n">
        <f aca="false">BP67+BV68</f>
        <v>67</v>
      </c>
      <c r="BQ68" s="227" t="s">
        <v>609</v>
      </c>
      <c r="BR68" s="224" t="s">
        <v>285</v>
      </c>
      <c r="BS68" s="161" t="s">
        <v>421</v>
      </c>
      <c r="BT68" s="230" t="s">
        <v>287</v>
      </c>
      <c r="BU68" s="230"/>
      <c r="BV68" s="161" t="n">
        <v>1</v>
      </c>
      <c r="BW68" s="224" t="s">
        <v>610</v>
      </c>
      <c r="BX68" s="0"/>
      <c r="BZ68" s="226" t="n">
        <f aca="false">BZ67+CF68</f>
        <v>67</v>
      </c>
      <c r="CA68" s="227" t="s">
        <v>611</v>
      </c>
      <c r="CB68" s="224" t="s">
        <v>289</v>
      </c>
      <c r="CC68" s="161" t="s">
        <v>286</v>
      </c>
      <c r="CD68" s="230" t="s">
        <v>287</v>
      </c>
      <c r="CE68" s="230"/>
      <c r="CF68" s="161" t="n">
        <v>1</v>
      </c>
      <c r="CG68" s="231" t="s">
        <v>612</v>
      </c>
      <c r="CH68" s="0"/>
    </row>
    <row r="69" customFormat="false" ht="12.75" hidden="false" customHeight="false" outlineLevel="0" collapsed="false">
      <c r="A69" s="244"/>
      <c r="B69" s="245" t="e">
        <f aca="false">NextMonth(B68)</f>
        <v>#VALUE!</v>
      </c>
      <c r="C69" s="246" t="n">
        <v>0.0539016523100675</v>
      </c>
      <c r="D69" s="246" t="n">
        <v>1.15</v>
      </c>
      <c r="E69" s="246" t="n">
        <v>1.15</v>
      </c>
      <c r="F69" s="246" t="n">
        <v>0.245</v>
      </c>
      <c r="G69" s="246" t="n">
        <v>0.2525</v>
      </c>
      <c r="H69" s="246" t="n">
        <v>0.26</v>
      </c>
      <c r="I69" s="247" t="n">
        <v>3.958</v>
      </c>
      <c r="J69" s="248" t="n">
        <v>3.963</v>
      </c>
      <c r="K69" s="248" t="n">
        <v>3.968</v>
      </c>
      <c r="L69" s="248" t="n">
        <v>0.17</v>
      </c>
      <c r="M69" s="248" t="n">
        <v>0.17</v>
      </c>
      <c r="N69" s="249" t="n">
        <v>0</v>
      </c>
      <c r="O69" s="249" t="n">
        <v>0</v>
      </c>
      <c r="P69" s="250"/>
      <c r="Q69" s="250"/>
      <c r="R69" s="251" t="e">
        <f aca="false">B69</f>
        <v>#VALUE!</v>
      </c>
      <c r="S69" s="252" t="n">
        <f aca="false">T69-$S$16</f>
        <v>1.08</v>
      </c>
      <c r="T69" s="243" t="n">
        <f aca="false">D69</f>
        <v>1.15</v>
      </c>
      <c r="U69" s="253" t="n">
        <f aca="false">$U$16+T69</f>
        <v>1.22</v>
      </c>
      <c r="BP69" s="226" t="n">
        <f aca="false">BP68+BV69</f>
        <v>68</v>
      </c>
      <c r="BQ69" s="227" t="s">
        <v>613</v>
      </c>
      <c r="BR69" s="224" t="s">
        <v>285</v>
      </c>
      <c r="BS69" s="161" t="s">
        <v>421</v>
      </c>
      <c r="BT69" s="230" t="s">
        <v>287</v>
      </c>
      <c r="BU69" s="230"/>
      <c r="BV69" s="161" t="n">
        <v>1</v>
      </c>
      <c r="BW69" s="224" t="s">
        <v>614</v>
      </c>
      <c r="BX69" s="0"/>
      <c r="BZ69" s="226" t="n">
        <f aca="false">BZ68+CF69</f>
        <v>68</v>
      </c>
      <c r="CA69" s="227" t="s">
        <v>615</v>
      </c>
      <c r="CB69" s="224" t="s">
        <v>289</v>
      </c>
      <c r="CC69" s="161" t="s">
        <v>286</v>
      </c>
      <c r="CD69" s="230" t="s">
        <v>287</v>
      </c>
      <c r="CE69" s="230"/>
      <c r="CF69" s="161" t="n">
        <v>1</v>
      </c>
      <c r="CG69" s="231" t="s">
        <v>616</v>
      </c>
      <c r="CH69" s="0"/>
    </row>
    <row r="70" customFormat="false" ht="12.75" hidden="false" customHeight="false" outlineLevel="0" collapsed="false">
      <c r="A70" s="244"/>
      <c r="B70" s="245" t="e">
        <f aca="false">NextMonth(B69)</f>
        <v>#VALUE!</v>
      </c>
      <c r="C70" s="246" t="n">
        <v>0.0541053618398357</v>
      </c>
      <c r="D70" s="246" t="n">
        <v>1.15</v>
      </c>
      <c r="E70" s="246" t="n">
        <v>1.15</v>
      </c>
      <c r="F70" s="246" t="n">
        <v>0.2475</v>
      </c>
      <c r="G70" s="246" t="n">
        <v>0.255</v>
      </c>
      <c r="H70" s="246" t="n">
        <v>0.2625</v>
      </c>
      <c r="I70" s="247" t="n">
        <v>4.042</v>
      </c>
      <c r="J70" s="248" t="n">
        <v>4.047</v>
      </c>
      <c r="K70" s="248" t="n">
        <v>4.052</v>
      </c>
      <c r="L70" s="248" t="n">
        <v>0.17</v>
      </c>
      <c r="M70" s="248" t="n">
        <v>0.17</v>
      </c>
      <c r="N70" s="249" t="n">
        <v>0</v>
      </c>
      <c r="O70" s="249" t="n">
        <v>0</v>
      </c>
      <c r="P70" s="250"/>
      <c r="Q70" s="250"/>
      <c r="R70" s="251" t="e">
        <f aca="false">B70</f>
        <v>#VALUE!</v>
      </c>
      <c r="S70" s="252" t="n">
        <f aca="false">T70-$S$16</f>
        <v>1.08</v>
      </c>
      <c r="T70" s="243" t="n">
        <f aca="false">D70</f>
        <v>1.15</v>
      </c>
      <c r="U70" s="253" t="n">
        <f aca="false">$U$16+T70</f>
        <v>1.22</v>
      </c>
      <c r="BP70" s="226" t="n">
        <f aca="false">BP69+BV70</f>
        <v>69</v>
      </c>
      <c r="BQ70" s="227" t="s">
        <v>617</v>
      </c>
      <c r="BR70" s="224" t="s">
        <v>285</v>
      </c>
      <c r="BS70" s="161" t="s">
        <v>421</v>
      </c>
      <c r="BT70" s="230" t="s">
        <v>287</v>
      </c>
      <c r="BU70" s="230"/>
      <c r="BV70" s="161" t="n">
        <v>1</v>
      </c>
      <c r="BW70" s="224" t="s">
        <v>618</v>
      </c>
      <c r="BX70" s="0"/>
      <c r="BZ70" s="226" t="n">
        <f aca="false">BZ69+CF70</f>
        <v>69</v>
      </c>
      <c r="CA70" s="227" t="s">
        <v>619</v>
      </c>
      <c r="CB70" s="224" t="s">
        <v>289</v>
      </c>
      <c r="CC70" s="161" t="s">
        <v>286</v>
      </c>
      <c r="CD70" s="230" t="s">
        <v>287</v>
      </c>
      <c r="CE70" s="230"/>
      <c r="CF70" s="161" t="n">
        <v>1</v>
      </c>
      <c r="CG70" s="231" t="s">
        <v>620</v>
      </c>
      <c r="CH70" s="0"/>
    </row>
    <row r="71" customFormat="false" ht="12.75" hidden="false" customHeight="false" outlineLevel="0" collapsed="false">
      <c r="A71" s="244"/>
      <c r="B71" s="245" t="e">
        <f aca="false">NextMonth(B70)</f>
        <v>#VALUE!</v>
      </c>
      <c r="C71" s="246" t="n">
        <v>0.0543090713834311</v>
      </c>
      <c r="D71" s="246" t="n">
        <v>1.15</v>
      </c>
      <c r="E71" s="246" t="n">
        <v>1.15</v>
      </c>
      <c r="F71" s="246" t="n">
        <v>0.245</v>
      </c>
      <c r="G71" s="246" t="n">
        <v>0.2525</v>
      </c>
      <c r="H71" s="246" t="n">
        <v>0.26</v>
      </c>
      <c r="I71" s="247" t="n">
        <v>3.929</v>
      </c>
      <c r="J71" s="248" t="n">
        <v>3.934</v>
      </c>
      <c r="K71" s="248" t="n">
        <v>3.939</v>
      </c>
      <c r="L71" s="248" t="n">
        <v>0.17</v>
      </c>
      <c r="M71" s="248" t="n">
        <v>0.17</v>
      </c>
      <c r="N71" s="249" t="n">
        <v>0</v>
      </c>
      <c r="O71" s="249" t="n">
        <v>0</v>
      </c>
      <c r="P71" s="250"/>
      <c r="Q71" s="250"/>
      <c r="R71" s="251" t="e">
        <f aca="false">B71</f>
        <v>#VALUE!</v>
      </c>
      <c r="S71" s="252" t="n">
        <f aca="false">T71-$S$16</f>
        <v>1.08</v>
      </c>
      <c r="T71" s="243" t="n">
        <f aca="false">D71</f>
        <v>1.15</v>
      </c>
      <c r="U71" s="253" t="n">
        <f aca="false">$U$16+T71</f>
        <v>1.22</v>
      </c>
      <c r="BP71" s="226" t="n">
        <f aca="false">BP70+BV71</f>
        <v>70</v>
      </c>
      <c r="BQ71" s="227" t="s">
        <v>621</v>
      </c>
      <c r="BR71" s="224" t="s">
        <v>285</v>
      </c>
      <c r="BS71" s="161" t="s">
        <v>421</v>
      </c>
      <c r="BT71" s="230" t="s">
        <v>287</v>
      </c>
      <c r="BU71" s="230"/>
      <c r="BV71" s="161" t="n">
        <v>1</v>
      </c>
      <c r="BW71" s="224" t="s">
        <v>622</v>
      </c>
      <c r="BX71" s="0"/>
      <c r="BZ71" s="226" t="n">
        <f aca="false">BZ70+CF71</f>
        <v>70</v>
      </c>
      <c r="CA71" s="227" t="s">
        <v>623</v>
      </c>
      <c r="CB71" s="224" t="s">
        <v>289</v>
      </c>
      <c r="CC71" s="161" t="s">
        <v>286</v>
      </c>
      <c r="CD71" s="230" t="s">
        <v>287</v>
      </c>
      <c r="CE71" s="230"/>
      <c r="CF71" s="161" t="n">
        <v>1</v>
      </c>
      <c r="CG71" s="231" t="s">
        <v>624</v>
      </c>
      <c r="CH71" s="0"/>
    </row>
    <row r="72" customFormat="false" ht="12.75" hidden="false" customHeight="false" outlineLevel="0" collapsed="false">
      <c r="A72" s="244"/>
      <c r="B72" s="245" t="e">
        <f aca="false">NextMonth(B71)</f>
        <v>#VALUE!</v>
      </c>
      <c r="C72" s="246" t="n">
        <v>0.0544930671121118</v>
      </c>
      <c r="D72" s="246" t="n">
        <v>0.9</v>
      </c>
      <c r="E72" s="246" t="n">
        <v>0.9</v>
      </c>
      <c r="F72" s="246" t="n">
        <v>0.245</v>
      </c>
      <c r="G72" s="246" t="n">
        <v>0.2525</v>
      </c>
      <c r="H72" s="246" t="n">
        <v>0.26</v>
      </c>
      <c r="I72" s="247" t="n">
        <v>3.796</v>
      </c>
      <c r="J72" s="248" t="n">
        <v>3.801</v>
      </c>
      <c r="K72" s="248" t="n">
        <v>3.806</v>
      </c>
      <c r="L72" s="248" t="n">
        <v>0.17</v>
      </c>
      <c r="M72" s="248" t="n">
        <v>0.17</v>
      </c>
      <c r="N72" s="249" t="n">
        <v>0</v>
      </c>
      <c r="O72" s="249" t="n">
        <v>0</v>
      </c>
      <c r="P72" s="250"/>
      <c r="Q72" s="250"/>
      <c r="R72" s="251" t="e">
        <f aca="false">B72</f>
        <v>#VALUE!</v>
      </c>
      <c r="S72" s="252" t="n">
        <f aca="false">T72-$S$16</f>
        <v>0.83</v>
      </c>
      <c r="T72" s="243" t="n">
        <f aca="false">D72</f>
        <v>0.9</v>
      </c>
      <c r="U72" s="253" t="n">
        <f aca="false">$U$16+T72</f>
        <v>0.97</v>
      </c>
      <c r="BP72" s="226" t="n">
        <f aca="false">BP71+BV72</f>
        <v>71</v>
      </c>
      <c r="BQ72" s="227" t="s">
        <v>625</v>
      </c>
      <c r="BR72" s="224" t="s">
        <v>285</v>
      </c>
      <c r="BS72" s="161" t="s">
        <v>421</v>
      </c>
      <c r="BT72" s="230" t="s">
        <v>287</v>
      </c>
      <c r="BU72" s="230"/>
      <c r="BV72" s="161" t="n">
        <v>1</v>
      </c>
      <c r="BW72" s="224" t="s">
        <v>626</v>
      </c>
      <c r="BX72" s="0"/>
      <c r="BZ72" s="226" t="n">
        <f aca="false">BZ71+CF72</f>
        <v>71</v>
      </c>
      <c r="CA72" s="227" t="s">
        <v>627</v>
      </c>
      <c r="CB72" s="224" t="s">
        <v>289</v>
      </c>
      <c r="CC72" s="161" t="s">
        <v>286</v>
      </c>
      <c r="CD72" s="230" t="s">
        <v>287</v>
      </c>
      <c r="CE72" s="230"/>
      <c r="CF72" s="161" t="n">
        <v>1</v>
      </c>
      <c r="CG72" s="231" t="s">
        <v>628</v>
      </c>
      <c r="CH72" s="0"/>
    </row>
    <row r="73" customFormat="false" ht="12.75" hidden="false" customHeight="false" outlineLevel="0" collapsed="false">
      <c r="A73" s="244"/>
      <c r="B73" s="245" t="e">
        <f aca="false">NextMonth(B72)</f>
        <v>#VALUE!</v>
      </c>
      <c r="C73" s="246" t="n">
        <v>0.0546967766820212</v>
      </c>
      <c r="D73" s="246" t="n">
        <v>0.55</v>
      </c>
      <c r="E73" s="246" t="n">
        <v>0.55</v>
      </c>
      <c r="F73" s="246" t="n">
        <v>0.2425</v>
      </c>
      <c r="G73" s="246" t="n">
        <v>0.25</v>
      </c>
      <c r="H73" s="246" t="n">
        <v>0.2575</v>
      </c>
      <c r="I73" s="247" t="n">
        <v>3.576</v>
      </c>
      <c r="J73" s="248" t="n">
        <v>3.581</v>
      </c>
      <c r="K73" s="248" t="n">
        <v>3.586</v>
      </c>
      <c r="L73" s="248" t="n">
        <v>0.105</v>
      </c>
      <c r="M73" s="248" t="n">
        <v>0.105</v>
      </c>
      <c r="N73" s="249" t="n">
        <v>0</v>
      </c>
      <c r="O73" s="249" t="n">
        <v>0</v>
      </c>
      <c r="P73" s="250"/>
      <c r="Q73" s="250"/>
      <c r="R73" s="251" t="e">
        <f aca="false">B73</f>
        <v>#VALUE!</v>
      </c>
      <c r="S73" s="252" t="n">
        <f aca="false">T73-$S$16</f>
        <v>0.48</v>
      </c>
      <c r="T73" s="243" t="n">
        <f aca="false">D73</f>
        <v>0.55</v>
      </c>
      <c r="U73" s="253" t="n">
        <f aca="false">$U$16+T73</f>
        <v>0.62</v>
      </c>
      <c r="BP73" s="226" t="n">
        <f aca="false">BP72+BV73</f>
        <v>72</v>
      </c>
      <c r="BQ73" s="227" t="s">
        <v>629</v>
      </c>
      <c r="BR73" s="224" t="s">
        <v>285</v>
      </c>
      <c r="BS73" s="161" t="s">
        <v>421</v>
      </c>
      <c r="BT73" s="230" t="s">
        <v>287</v>
      </c>
      <c r="BU73" s="230"/>
      <c r="BV73" s="161" t="n">
        <v>1</v>
      </c>
      <c r="BW73" s="224" t="s">
        <v>630</v>
      </c>
      <c r="BX73" s="0"/>
      <c r="BZ73" s="226" t="n">
        <f aca="false">BZ72+CF73</f>
        <v>72</v>
      </c>
      <c r="CA73" s="227" t="s">
        <v>631</v>
      </c>
      <c r="CB73" s="224" t="s">
        <v>289</v>
      </c>
      <c r="CC73" s="161" t="s">
        <v>286</v>
      </c>
      <c r="CD73" s="230" t="s">
        <v>287</v>
      </c>
      <c r="CE73" s="230"/>
      <c r="CF73" s="161" t="n">
        <v>1</v>
      </c>
      <c r="CG73" s="231" t="s">
        <v>632</v>
      </c>
      <c r="CH73" s="0"/>
    </row>
    <row r="74" customFormat="false" ht="12.75" hidden="false" customHeight="false" outlineLevel="0" collapsed="false">
      <c r="A74" s="244"/>
      <c r="B74" s="245" t="e">
        <f aca="false">NextMonth(B73)</f>
        <v>#VALUE!</v>
      </c>
      <c r="C74" s="246" t="n">
        <v>0.0548939149886438</v>
      </c>
      <c r="D74" s="246" t="n">
        <v>0.6</v>
      </c>
      <c r="E74" s="246" t="n">
        <v>0.6</v>
      </c>
      <c r="F74" s="246" t="n">
        <v>0.24</v>
      </c>
      <c r="G74" s="246" t="n">
        <v>0.2475</v>
      </c>
      <c r="H74" s="246" t="n">
        <v>0.255</v>
      </c>
      <c r="I74" s="247" t="n">
        <v>3.566</v>
      </c>
      <c r="J74" s="248" t="n">
        <v>3.571</v>
      </c>
      <c r="K74" s="248" t="n">
        <v>3.576</v>
      </c>
      <c r="L74" s="248" t="n">
        <v>0.105</v>
      </c>
      <c r="M74" s="248" t="n">
        <v>0.105</v>
      </c>
      <c r="N74" s="249" t="n">
        <v>0</v>
      </c>
      <c r="O74" s="249" t="n">
        <v>0</v>
      </c>
      <c r="P74" s="250"/>
      <c r="Q74" s="250"/>
      <c r="R74" s="251" t="e">
        <f aca="false">B74</f>
        <v>#VALUE!</v>
      </c>
      <c r="S74" s="252" t="n">
        <f aca="false">T74-$S$16</f>
        <v>0.53</v>
      </c>
      <c r="T74" s="243" t="n">
        <f aca="false">D74</f>
        <v>0.6</v>
      </c>
      <c r="U74" s="253" t="n">
        <f aca="false">$U$16+T74</f>
        <v>0.67</v>
      </c>
      <c r="BP74" s="226" t="n">
        <f aca="false">BP73+BV74</f>
        <v>73</v>
      </c>
      <c r="BQ74" s="227" t="s">
        <v>633</v>
      </c>
      <c r="BR74" s="224" t="s">
        <v>285</v>
      </c>
      <c r="BS74" s="161" t="s">
        <v>421</v>
      </c>
      <c r="BT74" s="230" t="s">
        <v>287</v>
      </c>
      <c r="BU74" s="230"/>
      <c r="BV74" s="161" t="n">
        <v>1</v>
      </c>
      <c r="BW74" s="224" t="s">
        <v>634</v>
      </c>
      <c r="BX74" s="0"/>
      <c r="BZ74" s="226" t="n">
        <f aca="false">BZ73+CF74</f>
        <v>73</v>
      </c>
      <c r="CA74" s="227" t="s">
        <v>635</v>
      </c>
      <c r="CB74" s="224" t="s">
        <v>289</v>
      </c>
      <c r="CC74" s="161" t="s">
        <v>286</v>
      </c>
      <c r="CD74" s="230" t="s">
        <v>287</v>
      </c>
      <c r="CE74" s="230"/>
      <c r="CF74" s="161" t="n">
        <v>1</v>
      </c>
      <c r="CG74" s="231" t="s">
        <v>636</v>
      </c>
      <c r="CH74" s="0"/>
    </row>
    <row r="75" customFormat="false" ht="12.75" hidden="false" customHeight="false" outlineLevel="0" collapsed="false">
      <c r="A75" s="244"/>
      <c r="B75" s="245" t="e">
        <f aca="false">NextMonth(B74)</f>
        <v>#VALUE!</v>
      </c>
      <c r="C75" s="246" t="n">
        <v>0.0550976245857533</v>
      </c>
      <c r="D75" s="246" t="n">
        <v>0.6</v>
      </c>
      <c r="E75" s="246" t="n">
        <v>0.6</v>
      </c>
      <c r="F75" s="246" t="n">
        <v>0.24</v>
      </c>
      <c r="G75" s="246" t="n">
        <v>0.2475</v>
      </c>
      <c r="H75" s="246" t="n">
        <v>0.255</v>
      </c>
      <c r="I75" s="247" t="n">
        <v>3.602</v>
      </c>
      <c r="J75" s="248" t="n">
        <v>3.607</v>
      </c>
      <c r="K75" s="248" t="n">
        <v>3.612</v>
      </c>
      <c r="L75" s="248" t="n">
        <v>0.105</v>
      </c>
      <c r="M75" s="248" t="n">
        <v>0.105</v>
      </c>
      <c r="N75" s="249" t="n">
        <v>0</v>
      </c>
      <c r="O75" s="249" t="n">
        <v>0</v>
      </c>
      <c r="P75" s="250"/>
      <c r="Q75" s="250"/>
      <c r="R75" s="251" t="e">
        <f aca="false">B75</f>
        <v>#VALUE!</v>
      </c>
      <c r="S75" s="252" t="n">
        <f aca="false">T75-$S$16</f>
        <v>0.53</v>
      </c>
      <c r="T75" s="243" t="n">
        <f aca="false">D75</f>
        <v>0.6</v>
      </c>
      <c r="U75" s="253" t="n">
        <f aca="false">$U$16+T75</f>
        <v>0.67</v>
      </c>
      <c r="BP75" s="226" t="n">
        <f aca="false">BP74+BV75</f>
        <v>74</v>
      </c>
      <c r="BQ75" s="227" t="s">
        <v>637</v>
      </c>
      <c r="BR75" s="224" t="s">
        <v>285</v>
      </c>
      <c r="BS75" s="161" t="s">
        <v>421</v>
      </c>
      <c r="BT75" s="230" t="s">
        <v>287</v>
      </c>
      <c r="BU75" s="230"/>
      <c r="BV75" s="161" t="n">
        <v>1</v>
      </c>
      <c r="BW75" s="224" t="s">
        <v>638</v>
      </c>
      <c r="BX75" s="0"/>
      <c r="BZ75" s="226" t="n">
        <f aca="false">BZ74+CF75</f>
        <v>74</v>
      </c>
      <c r="CA75" s="227" t="s">
        <v>639</v>
      </c>
      <c r="CB75" s="224" t="s">
        <v>289</v>
      </c>
      <c r="CC75" s="161" t="s">
        <v>286</v>
      </c>
      <c r="CD75" s="230" t="s">
        <v>287</v>
      </c>
      <c r="CE75" s="230"/>
      <c r="CF75" s="161" t="n">
        <v>1</v>
      </c>
      <c r="CG75" s="231" t="s">
        <v>640</v>
      </c>
      <c r="CH75" s="0"/>
    </row>
    <row r="76" customFormat="false" ht="12.75" hidden="false" customHeight="false" outlineLevel="0" collapsed="false">
      <c r="A76" s="244"/>
      <c r="B76" s="245" t="e">
        <f aca="false">NextMonth(B75)</f>
        <v>#VALUE!</v>
      </c>
      <c r="C76" s="246" t="n">
        <v>0.0552947629186957</v>
      </c>
      <c r="D76" s="246" t="n">
        <v>0.65</v>
      </c>
      <c r="E76" s="246" t="n">
        <v>0.65</v>
      </c>
      <c r="F76" s="246" t="n">
        <v>0.24</v>
      </c>
      <c r="G76" s="246" t="n">
        <v>0.2475</v>
      </c>
      <c r="H76" s="246" t="n">
        <v>0.255</v>
      </c>
      <c r="I76" s="247" t="n">
        <v>3.652</v>
      </c>
      <c r="J76" s="248" t="n">
        <v>3.657</v>
      </c>
      <c r="K76" s="248" t="n">
        <v>3.662</v>
      </c>
      <c r="L76" s="248" t="n">
        <v>0.105</v>
      </c>
      <c r="M76" s="248" t="n">
        <v>0.105</v>
      </c>
      <c r="N76" s="249" t="n">
        <v>0</v>
      </c>
      <c r="O76" s="249" t="n">
        <v>0</v>
      </c>
      <c r="P76" s="250"/>
      <c r="Q76" s="250"/>
      <c r="R76" s="251" t="e">
        <f aca="false">B76</f>
        <v>#VALUE!</v>
      </c>
      <c r="S76" s="252" t="n">
        <f aca="false">T76-$S$16</f>
        <v>0.58</v>
      </c>
      <c r="T76" s="243" t="n">
        <f aca="false">D76</f>
        <v>0.65</v>
      </c>
      <c r="U76" s="253" t="n">
        <f aca="false">$U$16+T76</f>
        <v>0.72</v>
      </c>
      <c r="BP76" s="226" t="n">
        <f aca="false">BP75+BV76</f>
        <v>75</v>
      </c>
      <c r="BQ76" s="227" t="s">
        <v>641</v>
      </c>
      <c r="BR76" s="224" t="s">
        <v>285</v>
      </c>
      <c r="BS76" s="161" t="s">
        <v>421</v>
      </c>
      <c r="BT76" s="230" t="s">
        <v>287</v>
      </c>
      <c r="BU76" s="230"/>
      <c r="BV76" s="161" t="n">
        <v>1</v>
      </c>
      <c r="BW76" s="224" t="s">
        <v>642</v>
      </c>
      <c r="BX76" s="0"/>
      <c r="BZ76" s="226" t="n">
        <f aca="false">BZ75+CF76</f>
        <v>75</v>
      </c>
      <c r="CA76" s="227" t="s">
        <v>643</v>
      </c>
      <c r="CB76" s="224" t="s">
        <v>289</v>
      </c>
      <c r="CC76" s="161" t="s">
        <v>286</v>
      </c>
      <c r="CD76" s="230" t="s">
        <v>287</v>
      </c>
      <c r="CE76" s="230"/>
      <c r="CF76" s="161" t="n">
        <v>1</v>
      </c>
      <c r="CG76" s="231" t="s">
        <v>644</v>
      </c>
      <c r="CH76" s="0"/>
    </row>
    <row r="77" customFormat="false" ht="12.75" hidden="false" customHeight="false" outlineLevel="0" collapsed="false">
      <c r="A77" s="244"/>
      <c r="B77" s="245" t="e">
        <f aca="false">NextMonth(B76)</f>
        <v>#VALUE!</v>
      </c>
      <c r="C77" s="246" t="n">
        <v>0.0554773674432894</v>
      </c>
      <c r="D77" s="246" t="n">
        <v>0.7</v>
      </c>
      <c r="E77" s="246" t="n">
        <v>0.7</v>
      </c>
      <c r="F77" s="246" t="n">
        <v>0.24</v>
      </c>
      <c r="G77" s="246" t="n">
        <v>0.2475</v>
      </c>
      <c r="H77" s="246" t="n">
        <v>0.255</v>
      </c>
      <c r="I77" s="247" t="n">
        <v>3.675</v>
      </c>
      <c r="J77" s="248" t="n">
        <v>3.68</v>
      </c>
      <c r="K77" s="248" t="n">
        <v>3.685</v>
      </c>
      <c r="L77" s="248" t="n">
        <v>0.105</v>
      </c>
      <c r="M77" s="248" t="n">
        <v>0.105</v>
      </c>
      <c r="N77" s="249" t="n">
        <v>0</v>
      </c>
      <c r="O77" s="249" t="n">
        <v>0</v>
      </c>
      <c r="P77" s="250"/>
      <c r="Q77" s="250"/>
      <c r="R77" s="251" t="e">
        <f aca="false">B77</f>
        <v>#VALUE!</v>
      </c>
      <c r="S77" s="252" t="n">
        <f aca="false">T77-$S$16</f>
        <v>0.63</v>
      </c>
      <c r="T77" s="243" t="n">
        <f aca="false">D77</f>
        <v>0.7</v>
      </c>
      <c r="U77" s="253" t="n">
        <f aca="false">$U$16+T77</f>
        <v>0.77</v>
      </c>
      <c r="BP77" s="226" t="n">
        <f aca="false">BP76+BV77</f>
        <v>76</v>
      </c>
      <c r="BQ77" s="227" t="s">
        <v>645</v>
      </c>
      <c r="BR77" s="224" t="s">
        <v>285</v>
      </c>
      <c r="BS77" s="161" t="s">
        <v>421</v>
      </c>
      <c r="BT77" s="230" t="s">
        <v>287</v>
      </c>
      <c r="BU77" s="230"/>
      <c r="BV77" s="161" t="n">
        <v>1</v>
      </c>
      <c r="BW77" s="224" t="s">
        <v>646</v>
      </c>
      <c r="BX77" s="0"/>
      <c r="BZ77" s="226" t="n">
        <f aca="false">BZ76+CF77</f>
        <v>76</v>
      </c>
      <c r="CA77" s="227" t="s">
        <v>647</v>
      </c>
      <c r="CB77" s="224" t="s">
        <v>289</v>
      </c>
      <c r="CC77" s="161" t="s">
        <v>286</v>
      </c>
      <c r="CD77" s="230" t="s">
        <v>287</v>
      </c>
      <c r="CE77" s="230"/>
      <c r="CF77" s="161" t="n">
        <v>1</v>
      </c>
      <c r="CG77" s="231" t="s">
        <v>648</v>
      </c>
      <c r="CH77" s="0"/>
    </row>
    <row r="78" customFormat="false" ht="12.75" hidden="false" customHeight="false" outlineLevel="0" collapsed="false">
      <c r="A78" s="244"/>
      <c r="B78" s="245" t="e">
        <f aca="false">NextMonth(B77)</f>
        <v>#VALUE!</v>
      </c>
      <c r="C78" s="246" t="n">
        <v>0.0555992948144537</v>
      </c>
      <c r="D78" s="246" t="n">
        <v>0.7</v>
      </c>
      <c r="E78" s="246" t="n">
        <v>0.7</v>
      </c>
      <c r="F78" s="246" t="n">
        <v>0.24</v>
      </c>
      <c r="G78" s="246" t="n">
        <v>0.2475</v>
      </c>
      <c r="H78" s="246" t="n">
        <v>0.255</v>
      </c>
      <c r="I78" s="247" t="n">
        <v>3.69</v>
      </c>
      <c r="J78" s="248" t="n">
        <v>3.695</v>
      </c>
      <c r="K78" s="248" t="n">
        <v>3.7</v>
      </c>
      <c r="L78" s="248" t="n">
        <v>0.105</v>
      </c>
      <c r="M78" s="248" t="n">
        <v>0.105</v>
      </c>
      <c r="N78" s="249" t="n">
        <v>0</v>
      </c>
      <c r="O78" s="249" t="n">
        <v>0</v>
      </c>
      <c r="P78" s="250"/>
      <c r="Q78" s="250"/>
      <c r="R78" s="251" t="e">
        <f aca="false">B78</f>
        <v>#VALUE!</v>
      </c>
      <c r="S78" s="252" t="n">
        <f aca="false">T78-$S$16</f>
        <v>0.63</v>
      </c>
      <c r="T78" s="243" t="n">
        <f aca="false">D78</f>
        <v>0.7</v>
      </c>
      <c r="U78" s="253" t="n">
        <f aca="false">$U$16+T78</f>
        <v>0.77</v>
      </c>
      <c r="BP78" s="226" t="n">
        <f aca="false">BP77+BV78</f>
        <v>77</v>
      </c>
      <c r="BQ78" s="227" t="s">
        <v>649</v>
      </c>
      <c r="BR78" s="224" t="s">
        <v>285</v>
      </c>
      <c r="BS78" s="161" t="s">
        <v>421</v>
      </c>
      <c r="BT78" s="230" t="s">
        <v>287</v>
      </c>
      <c r="BU78" s="230"/>
      <c r="BV78" s="161" t="n">
        <v>1</v>
      </c>
      <c r="BW78" s="224" t="s">
        <v>650</v>
      </c>
      <c r="BX78" s="0"/>
      <c r="BZ78" s="226" t="n">
        <f aca="false">BZ77+CF78</f>
        <v>77</v>
      </c>
      <c r="CA78" s="227" t="s">
        <v>651</v>
      </c>
      <c r="CB78" s="224" t="s">
        <v>289</v>
      </c>
      <c r="CC78" s="161" t="s">
        <v>286</v>
      </c>
      <c r="CD78" s="230" t="s">
        <v>287</v>
      </c>
      <c r="CE78" s="230"/>
      <c r="CF78" s="161" t="n">
        <v>1</v>
      </c>
      <c r="CG78" s="231" t="s">
        <v>652</v>
      </c>
      <c r="CH78" s="0"/>
    </row>
    <row r="79" customFormat="false" ht="12.75" hidden="false" customHeight="false" outlineLevel="0" collapsed="false">
      <c r="A79" s="244"/>
      <c r="B79" s="245" t="e">
        <f aca="false">NextMonth(B78)</f>
        <v>#VALUE!</v>
      </c>
      <c r="C79" s="246" t="n">
        <v>0.0557172890493254</v>
      </c>
      <c r="D79" s="246" t="n">
        <v>0.75</v>
      </c>
      <c r="E79" s="246" t="n">
        <v>0.75</v>
      </c>
      <c r="F79" s="246" t="n">
        <v>0.24</v>
      </c>
      <c r="G79" s="246" t="n">
        <v>0.2475</v>
      </c>
      <c r="H79" s="246" t="n">
        <v>0.255</v>
      </c>
      <c r="I79" s="247" t="n">
        <v>3.719</v>
      </c>
      <c r="J79" s="248" t="n">
        <v>3.724</v>
      </c>
      <c r="K79" s="248" t="n">
        <v>3.729</v>
      </c>
      <c r="L79" s="248" t="n">
        <v>0.105</v>
      </c>
      <c r="M79" s="248" t="n">
        <v>0.105</v>
      </c>
      <c r="N79" s="249" t="n">
        <v>0</v>
      </c>
      <c r="O79" s="249" t="n">
        <v>0</v>
      </c>
      <c r="P79" s="250"/>
      <c r="Q79" s="250"/>
      <c r="R79" s="251" t="e">
        <f aca="false">B79</f>
        <v>#VALUE!</v>
      </c>
      <c r="S79" s="252" t="n">
        <f aca="false">T79-$S$16</f>
        <v>0.68</v>
      </c>
      <c r="T79" s="243" t="n">
        <f aca="false">D79</f>
        <v>0.75</v>
      </c>
      <c r="U79" s="253" t="n">
        <f aca="false">$U$16+T79</f>
        <v>0.82</v>
      </c>
      <c r="BP79" s="226" t="n">
        <f aca="false">BP78+BV79</f>
        <v>78</v>
      </c>
      <c r="BQ79" s="227" t="s">
        <v>653</v>
      </c>
      <c r="BR79" s="224" t="s">
        <v>285</v>
      </c>
      <c r="BS79" s="161" t="s">
        <v>421</v>
      </c>
      <c r="BT79" s="230" t="s">
        <v>287</v>
      </c>
      <c r="BU79" s="230"/>
      <c r="BV79" s="161" t="n">
        <v>1</v>
      </c>
      <c r="BW79" s="224" t="s">
        <v>654</v>
      </c>
      <c r="BX79" s="0"/>
      <c r="BZ79" s="226" t="n">
        <f aca="false">BZ78+CF79</f>
        <v>78</v>
      </c>
      <c r="CA79" s="227" t="s">
        <v>655</v>
      </c>
      <c r="CB79" s="224" t="s">
        <v>289</v>
      </c>
      <c r="CC79" s="161" t="s">
        <v>286</v>
      </c>
      <c r="CD79" s="230" t="s">
        <v>287</v>
      </c>
      <c r="CE79" s="230"/>
      <c r="CF79" s="161" t="n">
        <v>1</v>
      </c>
      <c r="CG79" s="231" t="s">
        <v>656</v>
      </c>
      <c r="CH79" s="0"/>
    </row>
    <row r="80" customFormat="false" ht="12.75" hidden="false" customHeight="false" outlineLevel="0" collapsed="false">
      <c r="A80" s="244"/>
      <c r="B80" s="245" t="e">
        <f aca="false">NextMonth(B79)</f>
        <v>#VALUE!</v>
      </c>
      <c r="C80" s="246" t="n">
        <v>0.0558392164302299</v>
      </c>
      <c r="D80" s="246" t="n">
        <v>0.95</v>
      </c>
      <c r="E80" s="246" t="n">
        <v>0.95</v>
      </c>
      <c r="F80" s="246" t="n">
        <v>0.2425</v>
      </c>
      <c r="G80" s="246" t="n">
        <v>0.25</v>
      </c>
      <c r="H80" s="246" t="n">
        <v>0.2575</v>
      </c>
      <c r="I80" s="247" t="n">
        <v>3.859</v>
      </c>
      <c r="J80" s="248" t="n">
        <v>3.864</v>
      </c>
      <c r="K80" s="248" t="n">
        <v>3.869</v>
      </c>
      <c r="L80" s="248" t="n">
        <v>0.17</v>
      </c>
      <c r="M80" s="248" t="n">
        <v>0.17</v>
      </c>
      <c r="N80" s="249" t="n">
        <v>0</v>
      </c>
      <c r="O80" s="249" t="n">
        <v>0</v>
      </c>
      <c r="P80" s="250"/>
      <c r="Q80" s="250"/>
      <c r="R80" s="251" t="e">
        <f aca="false">B80</f>
        <v>#VALUE!</v>
      </c>
      <c r="S80" s="252" t="n">
        <f aca="false">T80-$S$16</f>
        <v>0.88</v>
      </c>
      <c r="T80" s="243" t="n">
        <f aca="false">D80</f>
        <v>0.95</v>
      </c>
      <c r="U80" s="253" t="n">
        <f aca="false">$U$16+T80</f>
        <v>1.02</v>
      </c>
      <c r="BP80" s="226" t="n">
        <f aca="false">BP79+BV80</f>
        <v>79</v>
      </c>
      <c r="BQ80" s="227" t="s">
        <v>657</v>
      </c>
      <c r="BR80" s="224" t="s">
        <v>285</v>
      </c>
      <c r="BS80" s="161" t="s">
        <v>421</v>
      </c>
      <c r="BT80" s="230" t="s">
        <v>287</v>
      </c>
      <c r="BU80" s="230"/>
      <c r="BV80" s="161" t="n">
        <v>1</v>
      </c>
      <c r="BW80" s="224" t="s">
        <v>658</v>
      </c>
      <c r="BX80" s="0"/>
      <c r="BZ80" s="226" t="n">
        <f aca="false">BZ79+CF80</f>
        <v>79</v>
      </c>
      <c r="CA80" s="227" t="s">
        <v>659</v>
      </c>
      <c r="CB80" s="224" t="s">
        <v>289</v>
      </c>
      <c r="CC80" s="161" t="s">
        <v>286</v>
      </c>
      <c r="CD80" s="230" t="s">
        <v>287</v>
      </c>
      <c r="CE80" s="230"/>
      <c r="CF80" s="161" t="n">
        <v>1</v>
      </c>
      <c r="CG80" s="231" t="s">
        <v>660</v>
      </c>
      <c r="CH80" s="0"/>
    </row>
    <row r="81" customFormat="false" ht="12.75" hidden="false" customHeight="false" outlineLevel="0" collapsed="false">
      <c r="A81" s="244"/>
      <c r="B81" s="245" t="e">
        <f aca="false">NextMonth(B80)</f>
        <v>#VALUE!</v>
      </c>
      <c r="C81" s="246" t="n">
        <v>0.0559572106745279</v>
      </c>
      <c r="D81" s="246" t="n">
        <v>1.15</v>
      </c>
      <c r="E81" s="246" t="n">
        <v>1.15</v>
      </c>
      <c r="F81" s="246" t="n">
        <v>0.2475</v>
      </c>
      <c r="G81" s="246" t="n">
        <v>0.255</v>
      </c>
      <c r="H81" s="246" t="n">
        <v>0.2625</v>
      </c>
      <c r="I81" s="247" t="n">
        <v>4.008</v>
      </c>
      <c r="J81" s="248" t="n">
        <v>4.013</v>
      </c>
      <c r="K81" s="248" t="n">
        <v>4.018</v>
      </c>
      <c r="L81" s="248" t="n">
        <v>0.17</v>
      </c>
      <c r="M81" s="248" t="n">
        <v>0.17</v>
      </c>
      <c r="N81" s="249" t="n">
        <v>0</v>
      </c>
      <c r="O81" s="249" t="n">
        <v>0</v>
      </c>
      <c r="P81" s="250"/>
      <c r="Q81" s="250"/>
      <c r="R81" s="251" t="e">
        <f aca="false">B81</f>
        <v>#VALUE!</v>
      </c>
      <c r="S81" s="252" t="n">
        <f aca="false">T81-$S$16</f>
        <v>1.08</v>
      </c>
      <c r="T81" s="243" t="n">
        <f aca="false">D81</f>
        <v>1.15</v>
      </c>
      <c r="U81" s="253" t="n">
        <f aca="false">$U$16+T81</f>
        <v>1.22</v>
      </c>
      <c r="BP81" s="226" t="n">
        <f aca="false">BP80+BV81</f>
        <v>80</v>
      </c>
      <c r="BQ81" s="227" t="s">
        <v>661</v>
      </c>
      <c r="BR81" s="224" t="s">
        <v>285</v>
      </c>
      <c r="BS81" s="161" t="s">
        <v>421</v>
      </c>
      <c r="BT81" s="230" t="s">
        <v>287</v>
      </c>
      <c r="BU81" s="230"/>
      <c r="BV81" s="161" t="n">
        <v>1</v>
      </c>
      <c r="BW81" s="224" t="s">
        <v>662</v>
      </c>
      <c r="BX81" s="0"/>
      <c r="BZ81" s="226" t="n">
        <f aca="false">BZ80+CF81</f>
        <v>80</v>
      </c>
      <c r="CA81" s="227" t="s">
        <v>663</v>
      </c>
      <c r="CB81" s="224" t="s">
        <v>289</v>
      </c>
      <c r="CC81" s="161" t="s">
        <v>286</v>
      </c>
      <c r="CD81" s="230" t="s">
        <v>287</v>
      </c>
      <c r="CE81" s="230"/>
      <c r="CF81" s="161" t="n">
        <v>1</v>
      </c>
      <c r="CG81" s="231" t="s">
        <v>664</v>
      </c>
      <c r="CH81" s="0"/>
    </row>
    <row r="82" customFormat="false" ht="12.75" hidden="false" customHeight="false" outlineLevel="0" collapsed="false">
      <c r="A82" s="244"/>
      <c r="B82" s="245" t="e">
        <f aca="false">NextMonth(B81)</f>
        <v>#VALUE!</v>
      </c>
      <c r="C82" s="246" t="n">
        <v>0.0560791380651713</v>
      </c>
      <c r="D82" s="246" t="n">
        <v>1.15</v>
      </c>
      <c r="E82" s="246" t="n">
        <v>1.15</v>
      </c>
      <c r="F82" s="246" t="n">
        <v>0.25</v>
      </c>
      <c r="G82" s="246" t="n">
        <v>0.2575</v>
      </c>
      <c r="H82" s="246" t="n">
        <v>0.265</v>
      </c>
      <c r="I82" s="247" t="n">
        <v>4.097</v>
      </c>
      <c r="J82" s="248" t="n">
        <v>4.102</v>
      </c>
      <c r="K82" s="248" t="n">
        <v>4.107</v>
      </c>
      <c r="L82" s="248" t="n">
        <v>0.17</v>
      </c>
      <c r="M82" s="248" t="n">
        <v>0.17</v>
      </c>
      <c r="N82" s="249" t="n">
        <v>0</v>
      </c>
      <c r="O82" s="249" t="n">
        <v>0</v>
      </c>
      <c r="P82" s="250"/>
      <c r="Q82" s="250"/>
      <c r="R82" s="251" t="e">
        <f aca="false">B82</f>
        <v>#VALUE!</v>
      </c>
      <c r="S82" s="252" t="n">
        <f aca="false">T82-$S$16</f>
        <v>1.08</v>
      </c>
      <c r="T82" s="243" t="n">
        <f aca="false">D82</f>
        <v>1.15</v>
      </c>
      <c r="U82" s="253" t="n">
        <f aca="false">$U$16+T82</f>
        <v>1.22</v>
      </c>
      <c r="BP82" s="226" t="n">
        <f aca="false">BP81+BV82</f>
        <v>81</v>
      </c>
      <c r="BQ82" s="227" t="s">
        <v>665</v>
      </c>
      <c r="BR82" s="224" t="s">
        <v>285</v>
      </c>
      <c r="BS82" s="161" t="s">
        <v>421</v>
      </c>
      <c r="BT82" s="230" t="s">
        <v>287</v>
      </c>
      <c r="BU82" s="230"/>
      <c r="BV82" s="161" t="n">
        <v>1</v>
      </c>
      <c r="BW82" s="224" t="s">
        <v>666</v>
      </c>
      <c r="BX82" s="0"/>
      <c r="BZ82" s="226" t="n">
        <f aca="false">BZ81+CF82</f>
        <v>81</v>
      </c>
      <c r="CA82" s="227" t="s">
        <v>667</v>
      </c>
      <c r="CB82" s="224" t="s">
        <v>289</v>
      </c>
      <c r="CC82" s="161" t="s">
        <v>286</v>
      </c>
      <c r="CD82" s="230" t="s">
        <v>287</v>
      </c>
      <c r="CE82" s="230"/>
      <c r="CF82" s="161" t="n">
        <v>1</v>
      </c>
      <c r="CG82" s="231" t="s">
        <v>668</v>
      </c>
      <c r="CH82" s="0"/>
    </row>
    <row r="83" customFormat="false" ht="12.75" hidden="false" customHeight="false" outlineLevel="0" collapsed="false">
      <c r="A83" s="244"/>
      <c r="B83" s="245" t="e">
        <f aca="false">NextMonth(B82)</f>
        <v>#VALUE!</v>
      </c>
      <c r="C83" s="246" t="n">
        <v>0.0562010654607641</v>
      </c>
      <c r="D83" s="246" t="n">
        <v>1.15</v>
      </c>
      <c r="E83" s="246" t="n">
        <v>1.15</v>
      </c>
      <c r="F83" s="246" t="n">
        <v>0.2375</v>
      </c>
      <c r="G83" s="246" t="n">
        <v>0.245</v>
      </c>
      <c r="H83" s="246" t="n">
        <v>0.2525</v>
      </c>
      <c r="I83" s="247" t="n">
        <v>3.984</v>
      </c>
      <c r="J83" s="248" t="n">
        <v>3.989</v>
      </c>
      <c r="K83" s="248" t="n">
        <v>3.994</v>
      </c>
      <c r="L83" s="248" t="n">
        <v>0.17</v>
      </c>
      <c r="M83" s="248" t="n">
        <v>0.17</v>
      </c>
      <c r="N83" s="249" t="n">
        <v>0</v>
      </c>
      <c r="O83" s="249" t="n">
        <v>0</v>
      </c>
      <c r="P83" s="250"/>
      <c r="Q83" s="250"/>
      <c r="R83" s="251" t="e">
        <f aca="false">B83</f>
        <v>#VALUE!</v>
      </c>
      <c r="S83" s="252" t="n">
        <f aca="false">T83-$S$16</f>
        <v>1.08</v>
      </c>
      <c r="T83" s="243" t="n">
        <f aca="false">D83</f>
        <v>1.15</v>
      </c>
      <c r="U83" s="253" t="n">
        <f aca="false">$U$16+T83</f>
        <v>1.22</v>
      </c>
      <c r="BP83" s="226" t="n">
        <f aca="false">BP82+BV83</f>
        <v>82</v>
      </c>
      <c r="BQ83" s="227" t="s">
        <v>669</v>
      </c>
      <c r="BR83" s="224" t="s">
        <v>285</v>
      </c>
      <c r="BS83" s="161" t="s">
        <v>421</v>
      </c>
      <c r="BT83" s="230" t="s">
        <v>287</v>
      </c>
      <c r="BU83" s="230"/>
      <c r="BV83" s="161" t="n">
        <v>1</v>
      </c>
      <c r="BW83" s="224" t="s">
        <v>670</v>
      </c>
      <c r="BX83" s="0"/>
      <c r="BZ83" s="226" t="n">
        <f aca="false">BZ82+CF83</f>
        <v>82</v>
      </c>
      <c r="CA83" s="227" t="s">
        <v>671</v>
      </c>
      <c r="CB83" s="224" t="s">
        <v>289</v>
      </c>
      <c r="CC83" s="161" t="s">
        <v>286</v>
      </c>
      <c r="CD83" s="230" t="s">
        <v>287</v>
      </c>
      <c r="CE83" s="230"/>
      <c r="CF83" s="161" t="n">
        <v>1</v>
      </c>
      <c r="CG83" s="231" t="s">
        <v>672</v>
      </c>
      <c r="CH83" s="0"/>
    </row>
    <row r="84" customFormat="false" ht="12.75" hidden="false" customHeight="false" outlineLevel="0" collapsed="false">
      <c r="A84" s="244"/>
      <c r="B84" s="245" t="e">
        <f aca="false">NextMonth(B83)</f>
        <v>#VALUE!</v>
      </c>
      <c r="C84" s="246" t="n">
        <v>0.0563111934352301</v>
      </c>
      <c r="D84" s="246" t="n">
        <v>0.9</v>
      </c>
      <c r="E84" s="246" t="n">
        <v>0.9</v>
      </c>
      <c r="F84" s="246" t="n">
        <v>0.23</v>
      </c>
      <c r="G84" s="246" t="n">
        <v>0.2375</v>
      </c>
      <c r="H84" s="246" t="n">
        <v>0.245</v>
      </c>
      <c r="I84" s="247" t="n">
        <v>3.851</v>
      </c>
      <c r="J84" s="248" t="n">
        <v>3.856</v>
      </c>
      <c r="K84" s="248" t="n">
        <v>3.861</v>
      </c>
      <c r="L84" s="248" t="n">
        <v>0.17</v>
      </c>
      <c r="M84" s="248" t="n">
        <v>0.17</v>
      </c>
      <c r="N84" s="249" t="n">
        <v>0</v>
      </c>
      <c r="O84" s="249" t="n">
        <v>0</v>
      </c>
      <c r="P84" s="250"/>
      <c r="Q84" s="250"/>
      <c r="R84" s="251" t="e">
        <f aca="false">B84</f>
        <v>#VALUE!</v>
      </c>
      <c r="S84" s="252" t="n">
        <f aca="false">T84-$S$16</f>
        <v>0.83</v>
      </c>
      <c r="T84" s="243" t="n">
        <f aca="false">D84</f>
        <v>0.9</v>
      </c>
      <c r="U84" s="253" t="n">
        <f aca="false">$U$16+T84</f>
        <v>0.97</v>
      </c>
      <c r="BP84" s="226" t="n">
        <f aca="false">BP83+BV84</f>
        <v>83</v>
      </c>
      <c r="BQ84" s="227" t="s">
        <v>673</v>
      </c>
      <c r="BR84" s="224" t="s">
        <v>285</v>
      </c>
      <c r="BS84" s="161" t="s">
        <v>421</v>
      </c>
      <c r="BT84" s="230" t="s">
        <v>287</v>
      </c>
      <c r="BU84" s="230"/>
      <c r="BV84" s="161" t="n">
        <v>1</v>
      </c>
      <c r="BW84" s="224" t="s">
        <v>674</v>
      </c>
      <c r="BX84" s="0"/>
      <c r="BZ84" s="226" t="n">
        <f aca="false">BZ83+CF84</f>
        <v>83</v>
      </c>
      <c r="CA84" s="227" t="s">
        <v>675</v>
      </c>
      <c r="CB84" s="224" t="s">
        <v>289</v>
      </c>
      <c r="CC84" s="161" t="s">
        <v>286</v>
      </c>
      <c r="CD84" s="230" t="s">
        <v>287</v>
      </c>
      <c r="CE84" s="230"/>
      <c r="CF84" s="161" t="n">
        <v>1</v>
      </c>
      <c r="CG84" s="231" t="s">
        <v>676</v>
      </c>
      <c r="CH84" s="0"/>
    </row>
    <row r="85" customFormat="false" ht="12.75" hidden="false" customHeight="false" outlineLevel="0" collapsed="false">
      <c r="A85" s="244"/>
      <c r="B85" s="245" t="e">
        <f aca="false">NextMonth(B84)</f>
        <v>#VALUE!</v>
      </c>
      <c r="C85" s="246" t="n">
        <v>0.0564331208402407</v>
      </c>
      <c r="D85" s="246" t="n">
        <v>0.55</v>
      </c>
      <c r="E85" s="246" t="n">
        <v>0.55</v>
      </c>
      <c r="F85" s="246" t="n">
        <v>0.2275</v>
      </c>
      <c r="G85" s="246" t="n">
        <v>0.235</v>
      </c>
      <c r="H85" s="246" t="n">
        <v>0.2425</v>
      </c>
      <c r="I85" s="247" t="n">
        <v>3.631</v>
      </c>
      <c r="J85" s="248" t="n">
        <v>3.636</v>
      </c>
      <c r="K85" s="248" t="n">
        <v>3.641</v>
      </c>
      <c r="L85" s="248" t="n">
        <v>0.105</v>
      </c>
      <c r="M85" s="248" t="n">
        <v>0.105</v>
      </c>
      <c r="N85" s="249" t="n">
        <v>0</v>
      </c>
      <c r="O85" s="249" t="n">
        <v>0</v>
      </c>
      <c r="P85" s="250"/>
      <c r="Q85" s="250"/>
      <c r="R85" s="251" t="e">
        <f aca="false">B85</f>
        <v>#VALUE!</v>
      </c>
      <c r="S85" s="252" t="n">
        <f aca="false">T85-$S$16</f>
        <v>0.48</v>
      </c>
      <c r="T85" s="243" t="n">
        <f aca="false">D85</f>
        <v>0.55</v>
      </c>
      <c r="U85" s="253" t="n">
        <f aca="false">$U$16+T85</f>
        <v>0.62</v>
      </c>
      <c r="BP85" s="226" t="n">
        <f aca="false">BP84+BV85</f>
        <v>84</v>
      </c>
      <c r="BQ85" s="227" t="s">
        <v>677</v>
      </c>
      <c r="BR85" s="224" t="s">
        <v>285</v>
      </c>
      <c r="BS85" s="161" t="s">
        <v>421</v>
      </c>
      <c r="BT85" s="230" t="s">
        <v>287</v>
      </c>
      <c r="BU85" s="230"/>
      <c r="BV85" s="161" t="n">
        <v>1</v>
      </c>
      <c r="BW85" s="224" t="s">
        <v>678</v>
      </c>
      <c r="BX85" s="0"/>
      <c r="BZ85" s="226" t="n">
        <f aca="false">BZ84+CF85</f>
        <v>84</v>
      </c>
      <c r="CA85" s="227" t="s">
        <v>679</v>
      </c>
      <c r="CB85" s="224" t="s">
        <v>289</v>
      </c>
      <c r="CC85" s="161" t="s">
        <v>286</v>
      </c>
      <c r="CD85" s="230" t="s">
        <v>287</v>
      </c>
      <c r="CE85" s="230"/>
      <c r="CF85" s="161" t="n">
        <v>1</v>
      </c>
      <c r="CG85" s="231" t="s">
        <v>680</v>
      </c>
      <c r="CH85" s="0"/>
    </row>
    <row r="86" customFormat="false" ht="12.75" hidden="false" customHeight="false" outlineLevel="0" collapsed="false">
      <c r="A86" s="244"/>
      <c r="B86" s="245" t="e">
        <f aca="false">NextMonth(B85)</f>
        <v>#VALUE!</v>
      </c>
      <c r="C86" s="246" t="n">
        <v>0.0565511151078657</v>
      </c>
      <c r="D86" s="246" t="n">
        <v>0.6</v>
      </c>
      <c r="E86" s="246" t="n">
        <v>0.6</v>
      </c>
      <c r="F86" s="246" t="n">
        <v>0.2275</v>
      </c>
      <c r="G86" s="246" t="n">
        <v>0.235</v>
      </c>
      <c r="H86" s="246" t="n">
        <v>0.2425</v>
      </c>
      <c r="I86" s="247" t="n">
        <v>3.621</v>
      </c>
      <c r="J86" s="248" t="n">
        <v>3.626</v>
      </c>
      <c r="K86" s="248" t="n">
        <v>3.631</v>
      </c>
      <c r="L86" s="248" t="n">
        <v>0.105</v>
      </c>
      <c r="M86" s="248" t="n">
        <v>0.105</v>
      </c>
      <c r="N86" s="249" t="n">
        <v>0</v>
      </c>
      <c r="O86" s="249" t="n">
        <v>0</v>
      </c>
      <c r="P86" s="250"/>
      <c r="Q86" s="250"/>
      <c r="R86" s="251" t="e">
        <f aca="false">B86</f>
        <v>#VALUE!</v>
      </c>
      <c r="S86" s="252" t="n">
        <f aca="false">T86-$S$16</f>
        <v>0.53</v>
      </c>
      <c r="T86" s="243" t="n">
        <f aca="false">D86</f>
        <v>0.6</v>
      </c>
      <c r="U86" s="253" t="n">
        <f aca="false">$U$16+T86</f>
        <v>0.67</v>
      </c>
      <c r="BP86" s="226" t="n">
        <f aca="false">BP85+BV86</f>
        <v>85</v>
      </c>
      <c r="BQ86" s="227" t="s">
        <v>681</v>
      </c>
      <c r="BR86" s="224" t="s">
        <v>285</v>
      </c>
      <c r="BS86" s="161" t="s">
        <v>421</v>
      </c>
      <c r="BT86" s="230" t="s">
        <v>287</v>
      </c>
      <c r="BU86" s="230"/>
      <c r="BV86" s="161" t="n">
        <v>1</v>
      </c>
      <c r="BW86" s="224" t="s">
        <v>682</v>
      </c>
      <c r="BX86" s="0"/>
      <c r="BZ86" s="226" t="n">
        <f aca="false">BZ85+CF86</f>
        <v>85</v>
      </c>
      <c r="CA86" s="227" t="s">
        <v>683</v>
      </c>
      <c r="CB86" s="224" t="s">
        <v>289</v>
      </c>
      <c r="CC86" s="161" t="s">
        <v>286</v>
      </c>
      <c r="CD86" s="230" t="s">
        <v>287</v>
      </c>
      <c r="CE86" s="230"/>
      <c r="CF86" s="161" t="n">
        <v>1</v>
      </c>
      <c r="CG86" s="231" t="s">
        <v>684</v>
      </c>
      <c r="CH86" s="0"/>
    </row>
    <row r="87" customFormat="false" ht="12.75" hidden="false" customHeight="false" outlineLevel="0" collapsed="false">
      <c r="A87" s="244"/>
      <c r="B87" s="245" t="e">
        <f aca="false">NextMonth(B86)</f>
        <v>#VALUE!</v>
      </c>
      <c r="C87" s="246" t="n">
        <v>0.056673042522613</v>
      </c>
      <c r="D87" s="246" t="n">
        <v>0.6</v>
      </c>
      <c r="E87" s="246" t="n">
        <v>0.6</v>
      </c>
      <c r="F87" s="246" t="n">
        <v>0.225</v>
      </c>
      <c r="G87" s="246" t="n">
        <v>0.2325</v>
      </c>
      <c r="H87" s="246" t="n">
        <v>0.24</v>
      </c>
      <c r="I87" s="247" t="n">
        <v>3.657</v>
      </c>
      <c r="J87" s="248" t="n">
        <v>3.662</v>
      </c>
      <c r="K87" s="248" t="n">
        <v>3.667</v>
      </c>
      <c r="L87" s="248" t="n">
        <v>0.105</v>
      </c>
      <c r="M87" s="248" t="n">
        <v>0.105</v>
      </c>
      <c r="N87" s="249" t="n">
        <v>0</v>
      </c>
      <c r="O87" s="249" t="n">
        <v>0</v>
      </c>
      <c r="P87" s="250"/>
      <c r="Q87" s="250"/>
      <c r="R87" s="251" t="e">
        <f aca="false">B87</f>
        <v>#VALUE!</v>
      </c>
      <c r="S87" s="252" t="n">
        <f aca="false">T87-$S$16</f>
        <v>0.53</v>
      </c>
      <c r="T87" s="243" t="n">
        <f aca="false">D87</f>
        <v>0.6</v>
      </c>
      <c r="U87" s="253" t="n">
        <f aca="false">$U$16+T87</f>
        <v>0.67</v>
      </c>
      <c r="BP87" s="226" t="n">
        <f aca="false">BP86+BV87</f>
        <v>86</v>
      </c>
      <c r="BQ87" s="227" t="s">
        <v>685</v>
      </c>
      <c r="BR87" s="224" t="s">
        <v>285</v>
      </c>
      <c r="BS87" s="161" t="s">
        <v>421</v>
      </c>
      <c r="BT87" s="230" t="s">
        <v>287</v>
      </c>
      <c r="BU87" s="230"/>
      <c r="BV87" s="161" t="n">
        <v>1</v>
      </c>
      <c r="BW87" s="224" t="s">
        <v>686</v>
      </c>
      <c r="BX87" s="0"/>
      <c r="BZ87" s="226" t="n">
        <f aca="false">BZ86+CF87</f>
        <v>86</v>
      </c>
      <c r="CA87" s="227" t="s">
        <v>687</v>
      </c>
      <c r="CB87" s="224" t="s">
        <v>289</v>
      </c>
      <c r="CC87" s="161" t="s">
        <v>286</v>
      </c>
      <c r="CD87" s="230" t="s">
        <v>287</v>
      </c>
      <c r="CE87" s="230"/>
      <c r="CF87" s="161" t="n">
        <v>1</v>
      </c>
      <c r="CG87" s="231" t="s">
        <v>688</v>
      </c>
      <c r="CH87" s="0"/>
    </row>
    <row r="88" customFormat="false" ht="12.75" hidden="false" customHeight="false" outlineLevel="0" collapsed="false">
      <c r="A88" s="244"/>
      <c r="B88" s="245" t="e">
        <f aca="false">NextMonth(B87)</f>
        <v>#VALUE!</v>
      </c>
      <c r="C88" s="246" t="n">
        <v>0.0567910367996594</v>
      </c>
      <c r="D88" s="246" t="n">
        <v>0.65</v>
      </c>
      <c r="E88" s="246" t="n">
        <v>0.65</v>
      </c>
      <c r="F88" s="246" t="n">
        <v>0.225</v>
      </c>
      <c r="G88" s="246" t="n">
        <v>0.2325</v>
      </c>
      <c r="H88" s="246" t="n">
        <v>0.24</v>
      </c>
      <c r="I88" s="247" t="n">
        <v>3.707</v>
      </c>
      <c r="J88" s="248" t="n">
        <v>3.712</v>
      </c>
      <c r="K88" s="248" t="n">
        <v>3.717</v>
      </c>
      <c r="L88" s="248" t="n">
        <v>0.105</v>
      </c>
      <c r="M88" s="248" t="n">
        <v>0.105</v>
      </c>
      <c r="N88" s="249" t="n">
        <v>0</v>
      </c>
      <c r="O88" s="249" t="n">
        <v>0</v>
      </c>
      <c r="P88" s="250"/>
      <c r="Q88" s="250"/>
      <c r="R88" s="251" t="e">
        <f aca="false">B88</f>
        <v>#VALUE!</v>
      </c>
      <c r="S88" s="252" t="n">
        <f aca="false">T88-$S$16</f>
        <v>0.58</v>
      </c>
      <c r="T88" s="243" t="n">
        <f aca="false">D88</f>
        <v>0.65</v>
      </c>
      <c r="U88" s="253" t="n">
        <f aca="false">$U$16+T88</f>
        <v>0.72</v>
      </c>
      <c r="BP88" s="226" t="n">
        <f aca="false">BP87+BV88</f>
        <v>87</v>
      </c>
      <c r="BQ88" s="227" t="s">
        <v>689</v>
      </c>
      <c r="BR88" s="224" t="s">
        <v>285</v>
      </c>
      <c r="BS88" s="161" t="s">
        <v>421</v>
      </c>
      <c r="BT88" s="230" t="s">
        <v>287</v>
      </c>
      <c r="BU88" s="230"/>
      <c r="BV88" s="161" t="n">
        <v>1</v>
      </c>
      <c r="BW88" s="224" t="s">
        <v>690</v>
      </c>
      <c r="BX88" s="0"/>
      <c r="BZ88" s="226" t="n">
        <f aca="false">BZ87+CF88</f>
        <v>87</v>
      </c>
      <c r="CA88" s="227" t="s">
        <v>691</v>
      </c>
      <c r="CB88" s="224" t="s">
        <v>289</v>
      </c>
      <c r="CC88" s="161" t="s">
        <v>286</v>
      </c>
      <c r="CD88" s="230" t="s">
        <v>287</v>
      </c>
      <c r="CE88" s="230"/>
      <c r="CF88" s="161" t="n">
        <v>1</v>
      </c>
      <c r="CG88" s="231" t="s">
        <v>692</v>
      </c>
      <c r="CH88" s="0"/>
    </row>
    <row r="89" customFormat="false" ht="12.75" hidden="false" customHeight="false" outlineLevel="0" collapsed="false">
      <c r="A89" s="244"/>
      <c r="B89" s="245" t="e">
        <f aca="false">NextMonth(B88)</f>
        <v>#VALUE!</v>
      </c>
      <c r="C89" s="246" t="n">
        <v>0.0569129642241415</v>
      </c>
      <c r="D89" s="246" t="n">
        <v>0.7</v>
      </c>
      <c r="E89" s="246" t="n">
        <v>0.7</v>
      </c>
      <c r="F89" s="246" t="n">
        <v>0.225</v>
      </c>
      <c r="G89" s="246" t="n">
        <v>0.2325</v>
      </c>
      <c r="H89" s="246" t="n">
        <v>0.24</v>
      </c>
      <c r="I89" s="247" t="n">
        <v>3.73</v>
      </c>
      <c r="J89" s="248" t="n">
        <v>3.735</v>
      </c>
      <c r="K89" s="248" t="n">
        <v>3.74</v>
      </c>
      <c r="L89" s="248" t="n">
        <v>0.105</v>
      </c>
      <c r="M89" s="248" t="n">
        <v>0.105</v>
      </c>
      <c r="N89" s="249" t="n">
        <v>0</v>
      </c>
      <c r="O89" s="249" t="n">
        <v>0</v>
      </c>
      <c r="P89" s="250"/>
      <c r="Q89" s="250"/>
      <c r="R89" s="251" t="e">
        <f aca="false">B89</f>
        <v>#VALUE!</v>
      </c>
      <c r="S89" s="252" t="n">
        <f aca="false">T89-$S$16</f>
        <v>0.63</v>
      </c>
      <c r="T89" s="243" t="n">
        <f aca="false">D89</f>
        <v>0.7</v>
      </c>
      <c r="U89" s="253" t="n">
        <f aca="false">$U$16+T89</f>
        <v>0.77</v>
      </c>
      <c r="BP89" s="226" t="n">
        <f aca="false">BP88+BV89</f>
        <v>88</v>
      </c>
      <c r="BQ89" s="227" t="s">
        <v>693</v>
      </c>
      <c r="BR89" s="224" t="s">
        <v>285</v>
      </c>
      <c r="BS89" s="161" t="s">
        <v>421</v>
      </c>
      <c r="BT89" s="230" t="s">
        <v>287</v>
      </c>
      <c r="BU89" s="230"/>
      <c r="BV89" s="161" t="n">
        <v>1</v>
      </c>
      <c r="BW89" s="224" t="s">
        <v>694</v>
      </c>
      <c r="BX89" s="0"/>
      <c r="BZ89" s="226" t="n">
        <f aca="false">BZ88+CF89</f>
        <v>88</v>
      </c>
      <c r="CA89" s="227" t="s">
        <v>695</v>
      </c>
      <c r="CB89" s="224" t="s">
        <v>289</v>
      </c>
      <c r="CC89" s="161" t="s">
        <v>286</v>
      </c>
      <c r="CD89" s="230" t="s">
        <v>287</v>
      </c>
      <c r="CE89" s="230"/>
      <c r="CF89" s="161" t="n">
        <v>1</v>
      </c>
      <c r="CG89" s="231" t="s">
        <v>696</v>
      </c>
      <c r="CH89" s="0"/>
    </row>
    <row r="90" customFormat="false" ht="12.75" hidden="false" customHeight="false" outlineLevel="0" collapsed="false">
      <c r="A90" s="244"/>
      <c r="B90" s="245" t="e">
        <f aca="false">NextMonth(B89)</f>
        <v>#VALUE!</v>
      </c>
      <c r="C90" s="246" t="n">
        <v>0.0570348916535708</v>
      </c>
      <c r="D90" s="246" t="n">
        <v>0.7</v>
      </c>
      <c r="E90" s="246" t="n">
        <v>0.7</v>
      </c>
      <c r="F90" s="246" t="n">
        <v>0.225</v>
      </c>
      <c r="G90" s="246" t="n">
        <v>0.2325</v>
      </c>
      <c r="H90" s="246" t="n">
        <v>0.24</v>
      </c>
      <c r="I90" s="247" t="n">
        <v>3.745</v>
      </c>
      <c r="J90" s="248" t="n">
        <v>3.75</v>
      </c>
      <c r="K90" s="248" t="n">
        <v>3.755</v>
      </c>
      <c r="L90" s="248" t="n">
        <v>0.105</v>
      </c>
      <c r="M90" s="248" t="n">
        <v>0.105</v>
      </c>
      <c r="N90" s="249" t="n">
        <v>0</v>
      </c>
      <c r="O90" s="249" t="n">
        <v>0</v>
      </c>
      <c r="P90" s="250"/>
      <c r="Q90" s="250"/>
      <c r="R90" s="251" t="e">
        <f aca="false">B90</f>
        <v>#VALUE!</v>
      </c>
      <c r="S90" s="252" t="n">
        <f aca="false">T90-$S$16</f>
        <v>0.63</v>
      </c>
      <c r="T90" s="243" t="n">
        <f aca="false">D90</f>
        <v>0.7</v>
      </c>
      <c r="U90" s="253" t="n">
        <f aca="false">$U$16+T90</f>
        <v>0.77</v>
      </c>
      <c r="BP90" s="226" t="n">
        <f aca="false">BP89+BV90</f>
        <v>89</v>
      </c>
      <c r="BQ90" s="227" t="s">
        <v>697</v>
      </c>
      <c r="BR90" s="224" t="s">
        <v>285</v>
      </c>
      <c r="BS90" s="161" t="s">
        <v>421</v>
      </c>
      <c r="BT90" s="230" t="s">
        <v>287</v>
      </c>
      <c r="BU90" s="230"/>
      <c r="BV90" s="161" t="n">
        <v>1</v>
      </c>
      <c r="BW90" s="224" t="s">
        <v>698</v>
      </c>
      <c r="BX90" s="0"/>
      <c r="BZ90" s="226" t="n">
        <f aca="false">BZ89+CF90</f>
        <v>89</v>
      </c>
      <c r="CA90" s="227" t="s">
        <v>699</v>
      </c>
      <c r="CB90" s="224" t="s">
        <v>289</v>
      </c>
      <c r="CC90" s="161" t="s">
        <v>286</v>
      </c>
      <c r="CD90" s="230" t="s">
        <v>287</v>
      </c>
      <c r="CE90" s="230"/>
      <c r="CF90" s="161" t="n">
        <v>1</v>
      </c>
      <c r="CG90" s="231" t="s">
        <v>700</v>
      </c>
      <c r="CH90" s="0"/>
    </row>
    <row r="91" customFormat="false" ht="12.75" hidden="false" customHeight="false" outlineLevel="0" collapsed="false">
      <c r="A91" s="244"/>
      <c r="B91" s="245" t="e">
        <f aca="false">NextMonth(B90)</f>
        <v>#VALUE!</v>
      </c>
      <c r="C91" s="246" t="n">
        <v>0.0571528859448249</v>
      </c>
      <c r="D91" s="246" t="n">
        <v>0.75</v>
      </c>
      <c r="E91" s="246" t="n">
        <v>0.75</v>
      </c>
      <c r="F91" s="246" t="n">
        <v>0.225</v>
      </c>
      <c r="G91" s="246" t="n">
        <v>0.2325</v>
      </c>
      <c r="H91" s="246" t="n">
        <v>0.24</v>
      </c>
      <c r="I91" s="247" t="n">
        <v>3.774</v>
      </c>
      <c r="J91" s="248" t="n">
        <v>3.779</v>
      </c>
      <c r="K91" s="248" t="n">
        <v>3.784</v>
      </c>
      <c r="L91" s="248" t="n">
        <v>0.105</v>
      </c>
      <c r="M91" s="248" t="n">
        <v>0.105</v>
      </c>
      <c r="N91" s="249" t="n">
        <v>0</v>
      </c>
      <c r="O91" s="249" t="n">
        <v>0</v>
      </c>
      <c r="P91" s="250"/>
      <c r="Q91" s="250"/>
      <c r="R91" s="251" t="e">
        <f aca="false">B91</f>
        <v>#VALUE!</v>
      </c>
      <c r="S91" s="252" t="n">
        <f aca="false">T91-$S$16</f>
        <v>0.68</v>
      </c>
      <c r="T91" s="243" t="n">
        <f aca="false">D91</f>
        <v>0.75</v>
      </c>
      <c r="U91" s="253" t="n">
        <f aca="false">$U$16+T91</f>
        <v>0.82</v>
      </c>
      <c r="BP91" s="226" t="n">
        <f aca="false">BP90+BV91</f>
        <v>90</v>
      </c>
      <c r="BQ91" s="227" t="s">
        <v>701</v>
      </c>
      <c r="BR91" s="224" t="s">
        <v>285</v>
      </c>
      <c r="BS91" s="161" t="s">
        <v>421</v>
      </c>
      <c r="BT91" s="230" t="s">
        <v>287</v>
      </c>
      <c r="BU91" s="230"/>
      <c r="BV91" s="161" t="n">
        <v>1</v>
      </c>
      <c r="BW91" s="224" t="s">
        <v>702</v>
      </c>
      <c r="BX91" s="0"/>
      <c r="BZ91" s="226" t="n">
        <f aca="false">BZ90+CF91</f>
        <v>90</v>
      </c>
      <c r="CA91" s="227" t="s">
        <v>703</v>
      </c>
      <c r="CB91" s="224" t="s">
        <v>289</v>
      </c>
      <c r="CC91" s="161" t="s">
        <v>286</v>
      </c>
      <c r="CD91" s="230" t="s">
        <v>287</v>
      </c>
      <c r="CE91" s="230"/>
      <c r="CF91" s="161" t="n">
        <v>1</v>
      </c>
      <c r="CG91" s="231" t="s">
        <v>704</v>
      </c>
      <c r="CH91" s="0"/>
    </row>
    <row r="92" customFormat="false" ht="12.75" hidden="false" customHeight="false" outlineLevel="0" collapsed="false">
      <c r="A92" s="244"/>
      <c r="B92" s="245" t="e">
        <f aca="false">NextMonth(B91)</f>
        <v>#VALUE!</v>
      </c>
      <c r="C92" s="246" t="n">
        <v>0.0572748133839873</v>
      </c>
      <c r="D92" s="246" t="n">
        <v>0.95</v>
      </c>
      <c r="E92" s="246" t="n">
        <v>0.95</v>
      </c>
      <c r="F92" s="246" t="n">
        <v>0.225</v>
      </c>
      <c r="G92" s="246" t="n">
        <v>0.2325</v>
      </c>
      <c r="H92" s="246" t="n">
        <v>0.24</v>
      </c>
      <c r="I92" s="247" t="n">
        <v>3.914</v>
      </c>
      <c r="J92" s="248" t="n">
        <v>3.919</v>
      </c>
      <c r="K92" s="248" t="n">
        <v>3.924</v>
      </c>
      <c r="L92" s="248" t="n">
        <v>0.17</v>
      </c>
      <c r="M92" s="248" t="n">
        <v>0.17</v>
      </c>
      <c r="N92" s="249" t="n">
        <v>0</v>
      </c>
      <c r="O92" s="249" t="n">
        <v>0</v>
      </c>
      <c r="P92" s="250"/>
      <c r="Q92" s="250"/>
      <c r="R92" s="251" t="e">
        <f aca="false">B92</f>
        <v>#VALUE!</v>
      </c>
      <c r="S92" s="252" t="n">
        <f aca="false">T92-$S$16</f>
        <v>0.88</v>
      </c>
      <c r="T92" s="243" t="n">
        <f aca="false">D92</f>
        <v>0.95</v>
      </c>
      <c r="U92" s="253" t="n">
        <f aca="false">$U$16+T92</f>
        <v>1.02</v>
      </c>
      <c r="BP92" s="226" t="n">
        <f aca="false">BP91+BV92</f>
        <v>91</v>
      </c>
      <c r="BQ92" s="227" t="s">
        <v>705</v>
      </c>
      <c r="BR92" s="224" t="s">
        <v>285</v>
      </c>
      <c r="BS92" s="161" t="s">
        <v>421</v>
      </c>
      <c r="BT92" s="230" t="s">
        <v>287</v>
      </c>
      <c r="BU92" s="230"/>
      <c r="BV92" s="161" t="n">
        <v>1</v>
      </c>
      <c r="BW92" s="224" t="s">
        <v>706</v>
      </c>
      <c r="BX92" s="0"/>
      <c r="BZ92" s="226" t="n">
        <f aca="false">BZ91+CF92</f>
        <v>91</v>
      </c>
      <c r="CA92" s="227" t="s">
        <v>707</v>
      </c>
      <c r="CB92" s="224" t="s">
        <v>289</v>
      </c>
      <c r="CC92" s="161" t="s">
        <v>286</v>
      </c>
      <c r="CD92" s="230" t="s">
        <v>287</v>
      </c>
      <c r="CE92" s="230"/>
      <c r="CF92" s="161" t="n">
        <v>1</v>
      </c>
      <c r="CG92" s="231" t="s">
        <v>708</v>
      </c>
      <c r="CH92" s="0"/>
    </row>
    <row r="93" customFormat="false" ht="12.75" hidden="false" customHeight="false" outlineLevel="0" collapsed="false">
      <c r="A93" s="244"/>
      <c r="B93" s="245" t="e">
        <f aca="false">NextMonth(B92)</f>
        <v>#VALUE!</v>
      </c>
      <c r="C93" s="246" t="n">
        <v>0.0573928076846606</v>
      </c>
      <c r="D93" s="246" t="n">
        <v>1.15</v>
      </c>
      <c r="E93" s="246" t="n">
        <v>1.15</v>
      </c>
      <c r="F93" s="246" t="n">
        <v>0.225</v>
      </c>
      <c r="G93" s="246" t="n">
        <v>0.2325</v>
      </c>
      <c r="H93" s="246" t="n">
        <v>0.24</v>
      </c>
      <c r="I93" s="247" t="n">
        <v>4.063</v>
      </c>
      <c r="J93" s="248" t="n">
        <v>4.068</v>
      </c>
      <c r="K93" s="248" t="n">
        <v>4.073</v>
      </c>
      <c r="L93" s="248" t="n">
        <v>0.17</v>
      </c>
      <c r="M93" s="248" t="n">
        <v>0.17</v>
      </c>
      <c r="N93" s="249" t="n">
        <v>0</v>
      </c>
      <c r="O93" s="249" t="n">
        <v>0</v>
      </c>
      <c r="P93" s="250"/>
      <c r="Q93" s="250"/>
      <c r="R93" s="251" t="e">
        <f aca="false">B93</f>
        <v>#VALUE!</v>
      </c>
      <c r="S93" s="252" t="n">
        <f aca="false">T93-$S$16</f>
        <v>1.08</v>
      </c>
      <c r="T93" s="243" t="n">
        <f aca="false">D93</f>
        <v>1.15</v>
      </c>
      <c r="U93" s="253" t="n">
        <f aca="false">$U$16+T93</f>
        <v>1.22</v>
      </c>
      <c r="BP93" s="226" t="n">
        <f aca="false">BP92+BV93</f>
        <v>92</v>
      </c>
      <c r="BQ93" s="227" t="s">
        <v>709</v>
      </c>
      <c r="BR93" s="224" t="s">
        <v>285</v>
      </c>
      <c r="BS93" s="161" t="s">
        <v>421</v>
      </c>
      <c r="BT93" s="230" t="s">
        <v>287</v>
      </c>
      <c r="BU93" s="230"/>
      <c r="BV93" s="161" t="n">
        <v>1</v>
      </c>
      <c r="BW93" s="224" t="s">
        <v>710</v>
      </c>
      <c r="BX93" s="0"/>
      <c r="BZ93" s="226" t="n">
        <f aca="false">BZ92+CF93</f>
        <v>92</v>
      </c>
      <c r="CA93" s="227" t="s">
        <v>711</v>
      </c>
      <c r="CB93" s="224" t="s">
        <v>289</v>
      </c>
      <c r="CC93" s="161" t="s">
        <v>286</v>
      </c>
      <c r="CD93" s="230" t="s">
        <v>287</v>
      </c>
      <c r="CE93" s="230"/>
      <c r="CF93" s="161" t="n">
        <v>1</v>
      </c>
      <c r="CG93" s="231" t="s">
        <v>712</v>
      </c>
      <c r="CH93" s="0"/>
    </row>
    <row r="94" customFormat="false" ht="12.75" hidden="false" customHeight="false" outlineLevel="0" collapsed="false">
      <c r="A94" s="244"/>
      <c r="B94" s="245" t="e">
        <f aca="false">NextMonth(B93)</f>
        <v>#VALUE!</v>
      </c>
      <c r="C94" s="246" t="n">
        <v>0.0575147351335556</v>
      </c>
      <c r="D94" s="246" t="n">
        <v>1.15</v>
      </c>
      <c r="E94" s="246" t="n">
        <v>1.15</v>
      </c>
      <c r="F94" s="246" t="n">
        <v>0.225</v>
      </c>
      <c r="G94" s="246" t="n">
        <v>0.2325</v>
      </c>
      <c r="H94" s="246" t="n">
        <v>0.24</v>
      </c>
      <c r="I94" s="247" t="n">
        <v>4.157</v>
      </c>
      <c r="J94" s="248" t="n">
        <v>4.162</v>
      </c>
      <c r="K94" s="248" t="n">
        <v>4.167</v>
      </c>
      <c r="L94" s="248" t="n">
        <v>0.17</v>
      </c>
      <c r="M94" s="248" t="n">
        <v>0.17</v>
      </c>
      <c r="N94" s="249" t="n">
        <v>0</v>
      </c>
      <c r="O94" s="249" t="n">
        <v>0</v>
      </c>
      <c r="P94" s="250"/>
      <c r="Q94" s="250"/>
      <c r="R94" s="251" t="e">
        <f aca="false">B94</f>
        <v>#VALUE!</v>
      </c>
      <c r="S94" s="252" t="n">
        <f aca="false">T94-$S$16</f>
        <v>1.08</v>
      </c>
      <c r="T94" s="243" t="n">
        <f aca="false">D94</f>
        <v>1.15</v>
      </c>
      <c r="U94" s="253" t="n">
        <f aca="false">$U$16+T94</f>
        <v>1.22</v>
      </c>
      <c r="BP94" s="226" t="n">
        <f aca="false">BP93+BV94</f>
        <v>93</v>
      </c>
      <c r="BQ94" s="227" t="s">
        <v>713</v>
      </c>
      <c r="BR94" s="224" t="s">
        <v>285</v>
      </c>
      <c r="BS94" s="161" t="s">
        <v>421</v>
      </c>
      <c r="BT94" s="230" t="s">
        <v>287</v>
      </c>
      <c r="BU94" s="230"/>
      <c r="BV94" s="161" t="n">
        <v>1</v>
      </c>
      <c r="BW94" s="224" t="s">
        <v>714</v>
      </c>
      <c r="BX94" s="0"/>
      <c r="BZ94" s="226" t="n">
        <f aca="false">BZ93+CF94</f>
        <v>93</v>
      </c>
      <c r="CA94" s="227" t="s">
        <v>715</v>
      </c>
      <c r="CB94" s="224" t="s">
        <v>289</v>
      </c>
      <c r="CC94" s="161" t="s">
        <v>286</v>
      </c>
      <c r="CD94" s="230" t="s">
        <v>287</v>
      </c>
      <c r="CE94" s="230"/>
      <c r="CF94" s="161" t="n">
        <v>1</v>
      </c>
      <c r="CG94" s="231" t="s">
        <v>716</v>
      </c>
      <c r="CH94" s="0"/>
    </row>
    <row r="95" customFormat="false" ht="12.75" hidden="false" customHeight="false" outlineLevel="0" collapsed="false">
      <c r="A95" s="244"/>
      <c r="B95" s="245" t="e">
        <f aca="false">NextMonth(B94)</f>
        <v>#VALUE!</v>
      </c>
      <c r="C95" s="246" t="n">
        <v>0.0576366625873961</v>
      </c>
      <c r="D95" s="246" t="n">
        <v>1.15</v>
      </c>
      <c r="E95" s="246" t="n">
        <v>1.15</v>
      </c>
      <c r="F95" s="246" t="n">
        <v>0.225</v>
      </c>
      <c r="G95" s="246" t="n">
        <v>0.2325</v>
      </c>
      <c r="H95" s="246" t="n">
        <v>0.24</v>
      </c>
      <c r="I95" s="247" t="n">
        <v>4.044</v>
      </c>
      <c r="J95" s="248" t="n">
        <v>4.049</v>
      </c>
      <c r="K95" s="248" t="n">
        <v>4.054</v>
      </c>
      <c r="L95" s="248" t="n">
        <v>0.17</v>
      </c>
      <c r="M95" s="248" t="n">
        <v>0.17</v>
      </c>
      <c r="N95" s="249" t="n">
        <v>0</v>
      </c>
      <c r="O95" s="249" t="n">
        <v>0</v>
      </c>
      <c r="P95" s="250"/>
      <c r="Q95" s="250"/>
      <c r="R95" s="251" t="e">
        <f aca="false">B95</f>
        <v>#VALUE!</v>
      </c>
      <c r="S95" s="252" t="n">
        <f aca="false">T95-$S$16</f>
        <v>1.08</v>
      </c>
      <c r="T95" s="243" t="n">
        <f aca="false">D95</f>
        <v>1.15</v>
      </c>
      <c r="U95" s="253" t="n">
        <f aca="false">$U$16+T95</f>
        <v>1.22</v>
      </c>
      <c r="BP95" s="226" t="n">
        <f aca="false">BP94+BV95</f>
        <v>94</v>
      </c>
      <c r="BQ95" s="227" t="s">
        <v>717</v>
      </c>
      <c r="BR95" s="224" t="s">
        <v>285</v>
      </c>
      <c r="BS95" s="161" t="s">
        <v>421</v>
      </c>
      <c r="BT95" s="230" t="s">
        <v>287</v>
      </c>
      <c r="BU95" s="230"/>
      <c r="BV95" s="161" t="n">
        <v>1</v>
      </c>
      <c r="BW95" s="224" t="s">
        <v>718</v>
      </c>
      <c r="BX95" s="0"/>
      <c r="BZ95" s="226" t="n">
        <f aca="false">BZ94+CF95</f>
        <v>94</v>
      </c>
      <c r="CA95" s="227" t="s">
        <v>719</v>
      </c>
      <c r="CB95" s="224" t="s">
        <v>289</v>
      </c>
      <c r="CC95" s="161" t="s">
        <v>286</v>
      </c>
      <c r="CD95" s="230" t="s">
        <v>287</v>
      </c>
      <c r="CE95" s="230"/>
      <c r="CF95" s="161" t="n">
        <v>1</v>
      </c>
      <c r="CG95" s="231" t="s">
        <v>720</v>
      </c>
      <c r="CH95" s="0"/>
    </row>
    <row r="96" customFormat="false" ht="12.75" hidden="false" customHeight="false" outlineLevel="0" collapsed="false">
      <c r="A96" s="244"/>
      <c r="B96" s="245" t="e">
        <f aca="false">NextMonth(B95)</f>
        <v>#VALUE!</v>
      </c>
      <c r="C96" s="246" t="n">
        <v>0.0577507237583683</v>
      </c>
      <c r="D96" s="246" t="n">
        <v>0.9</v>
      </c>
      <c r="E96" s="246" t="n">
        <v>0.9</v>
      </c>
      <c r="F96" s="246" t="n">
        <v>0.215</v>
      </c>
      <c r="G96" s="246" t="n">
        <v>0.2225</v>
      </c>
      <c r="H96" s="246" t="n">
        <v>0.23</v>
      </c>
      <c r="I96" s="247" t="n">
        <v>3.911</v>
      </c>
      <c r="J96" s="248" t="n">
        <v>3.916</v>
      </c>
      <c r="K96" s="248" t="n">
        <v>3.921</v>
      </c>
      <c r="L96" s="248" t="n">
        <v>0.17</v>
      </c>
      <c r="M96" s="248" t="n">
        <v>0.17</v>
      </c>
      <c r="N96" s="249" t="n">
        <v>0</v>
      </c>
      <c r="O96" s="249" t="n">
        <v>0</v>
      </c>
      <c r="P96" s="250"/>
      <c r="Q96" s="250"/>
      <c r="R96" s="251" t="e">
        <f aca="false">B96</f>
        <v>#VALUE!</v>
      </c>
      <c r="S96" s="252" t="n">
        <f aca="false">T96-$S$16</f>
        <v>0.83</v>
      </c>
      <c r="T96" s="243" t="n">
        <f aca="false">D96</f>
        <v>0.9</v>
      </c>
      <c r="U96" s="253" t="n">
        <f aca="false">$U$16+T96</f>
        <v>0.97</v>
      </c>
      <c r="BP96" s="226" t="n">
        <f aca="false">BP95+BV96</f>
        <v>95</v>
      </c>
      <c r="BQ96" s="227" t="s">
        <v>721</v>
      </c>
      <c r="BR96" s="224" t="s">
        <v>285</v>
      </c>
      <c r="BS96" s="161" t="s">
        <v>421</v>
      </c>
      <c r="BT96" s="230" t="s">
        <v>287</v>
      </c>
      <c r="BU96" s="230"/>
      <c r="BV96" s="161" t="n">
        <v>1</v>
      </c>
      <c r="BW96" s="224" t="s">
        <v>722</v>
      </c>
      <c r="BX96" s="0"/>
      <c r="BZ96" s="226" t="n">
        <f aca="false">BZ95+CF96</f>
        <v>95</v>
      </c>
      <c r="CA96" s="227" t="s">
        <v>723</v>
      </c>
      <c r="CB96" s="224" t="s">
        <v>289</v>
      </c>
      <c r="CC96" s="161" t="s">
        <v>286</v>
      </c>
      <c r="CD96" s="230" t="s">
        <v>287</v>
      </c>
      <c r="CE96" s="230"/>
      <c r="CF96" s="161" t="n">
        <v>1</v>
      </c>
      <c r="CG96" s="231" t="s">
        <v>724</v>
      </c>
      <c r="CH96" s="0"/>
    </row>
    <row r="97" customFormat="false" ht="12.75" hidden="false" customHeight="false" outlineLevel="0" collapsed="false">
      <c r="A97" s="244"/>
      <c r="B97" s="245" t="e">
        <f aca="false">NextMonth(B96)</f>
        <v>#VALUE!</v>
      </c>
      <c r="C97" s="246" t="n">
        <v>0.0578726512217802</v>
      </c>
      <c r="D97" s="246" t="n">
        <v>0.55</v>
      </c>
      <c r="E97" s="246" t="n">
        <v>0.55</v>
      </c>
      <c r="F97" s="246" t="n">
        <v>0.215</v>
      </c>
      <c r="G97" s="246" t="n">
        <v>0.2225</v>
      </c>
      <c r="H97" s="246" t="n">
        <v>0.23</v>
      </c>
      <c r="I97" s="247" t="n">
        <v>3.691</v>
      </c>
      <c r="J97" s="248" t="n">
        <v>3.696</v>
      </c>
      <c r="K97" s="248" t="n">
        <v>3.701</v>
      </c>
      <c r="L97" s="248" t="n">
        <v>0.105</v>
      </c>
      <c r="M97" s="248" t="n">
        <v>0.105</v>
      </c>
      <c r="N97" s="249" t="n">
        <v>0</v>
      </c>
      <c r="O97" s="249" t="n">
        <v>0</v>
      </c>
      <c r="P97" s="250"/>
      <c r="Q97" s="250"/>
      <c r="R97" s="251" t="e">
        <f aca="false">B97</f>
        <v>#VALUE!</v>
      </c>
      <c r="S97" s="252" t="n">
        <f aca="false">T97-$S$16</f>
        <v>0.48</v>
      </c>
      <c r="T97" s="243" t="n">
        <f aca="false">D97</f>
        <v>0.55</v>
      </c>
      <c r="U97" s="253" t="n">
        <f aca="false">$U$16+T97</f>
        <v>0.62</v>
      </c>
      <c r="BP97" s="226" t="n">
        <f aca="false">BP96+BV97</f>
        <v>96</v>
      </c>
      <c r="BQ97" s="227" t="s">
        <v>725</v>
      </c>
      <c r="BR97" s="224" t="s">
        <v>285</v>
      </c>
      <c r="BS97" s="161" t="s">
        <v>421</v>
      </c>
      <c r="BT97" s="230" t="s">
        <v>287</v>
      </c>
      <c r="BU97" s="230"/>
      <c r="BV97" s="161" t="n">
        <v>1</v>
      </c>
      <c r="BW97" s="224" t="s">
        <v>726</v>
      </c>
      <c r="BX97" s="0"/>
      <c r="BZ97" s="226" t="n">
        <f aca="false">BZ96+CF97</f>
        <v>96</v>
      </c>
      <c r="CA97" s="227" t="s">
        <v>727</v>
      </c>
      <c r="CB97" s="224" t="s">
        <v>289</v>
      </c>
      <c r="CC97" s="161" t="s">
        <v>286</v>
      </c>
      <c r="CD97" s="230" t="s">
        <v>287</v>
      </c>
      <c r="CE97" s="230"/>
      <c r="CF97" s="161" t="n">
        <v>1</v>
      </c>
      <c r="CG97" s="231" t="s">
        <v>728</v>
      </c>
      <c r="CH97" s="0"/>
    </row>
    <row r="98" customFormat="false" ht="12.75" hidden="false" customHeight="false" outlineLevel="0" collapsed="false">
      <c r="A98" s="244"/>
      <c r="B98" s="245" t="e">
        <f aca="false">NextMonth(B97)</f>
        <v>#VALUE!</v>
      </c>
      <c r="C98" s="246" t="n">
        <v>0.0579906455459187</v>
      </c>
      <c r="D98" s="246" t="n">
        <v>0.6</v>
      </c>
      <c r="E98" s="246" t="n">
        <v>0.6</v>
      </c>
      <c r="F98" s="246" t="n">
        <v>0.215</v>
      </c>
      <c r="G98" s="246" t="n">
        <v>0.2225</v>
      </c>
      <c r="H98" s="246" t="n">
        <v>0.23</v>
      </c>
      <c r="I98" s="247" t="n">
        <v>3.681</v>
      </c>
      <c r="J98" s="248" t="n">
        <v>3.686</v>
      </c>
      <c r="K98" s="248" t="n">
        <v>3.691</v>
      </c>
      <c r="L98" s="248" t="n">
        <v>0.105</v>
      </c>
      <c r="M98" s="248" t="n">
        <v>0.105</v>
      </c>
      <c r="N98" s="249" t="n">
        <v>0</v>
      </c>
      <c r="O98" s="249" t="n">
        <v>0</v>
      </c>
      <c r="P98" s="250"/>
      <c r="Q98" s="250"/>
      <c r="R98" s="251" t="e">
        <f aca="false">B98</f>
        <v>#VALUE!</v>
      </c>
      <c r="S98" s="252" t="n">
        <f aca="false">T98-$S$16</f>
        <v>0.53</v>
      </c>
      <c r="T98" s="243" t="n">
        <f aca="false">D98</f>
        <v>0.6</v>
      </c>
      <c r="U98" s="253" t="n">
        <f aca="false">$U$16+T98</f>
        <v>0.67</v>
      </c>
      <c r="BP98" s="226" t="n">
        <f aca="false">BP97+BV98</f>
        <v>97</v>
      </c>
      <c r="BQ98" s="227" t="s">
        <v>729</v>
      </c>
      <c r="BR98" s="224" t="s">
        <v>285</v>
      </c>
      <c r="BS98" s="161" t="s">
        <v>421</v>
      </c>
      <c r="BT98" s="230" t="s">
        <v>287</v>
      </c>
      <c r="BU98" s="230"/>
      <c r="BV98" s="161" t="n">
        <v>1</v>
      </c>
      <c r="BW98" s="224" t="s">
        <v>730</v>
      </c>
      <c r="BX98" s="0"/>
      <c r="BZ98" s="226" t="n">
        <f aca="false">BZ97+CF98</f>
        <v>97</v>
      </c>
      <c r="CA98" s="227" t="s">
        <v>731</v>
      </c>
      <c r="CB98" s="224" t="s">
        <v>289</v>
      </c>
      <c r="CC98" s="161" t="s">
        <v>286</v>
      </c>
      <c r="CD98" s="230" t="s">
        <v>287</v>
      </c>
      <c r="CE98" s="230"/>
      <c r="CF98" s="161" t="n">
        <v>1</v>
      </c>
      <c r="CG98" s="231" t="s">
        <v>732</v>
      </c>
      <c r="CH98" s="0"/>
    </row>
    <row r="99" customFormat="false" ht="12.75" hidden="false" customHeight="false" outlineLevel="0" collapsed="false">
      <c r="A99" s="244"/>
      <c r="B99" s="245" t="e">
        <f aca="false">NextMonth(B98)</f>
        <v>#VALUE!</v>
      </c>
      <c r="C99" s="246" t="n">
        <v>0.0581125730190593</v>
      </c>
      <c r="D99" s="246" t="n">
        <v>0.6</v>
      </c>
      <c r="E99" s="246" t="n">
        <v>0.6</v>
      </c>
      <c r="F99" s="246" t="n">
        <v>0.215</v>
      </c>
      <c r="G99" s="246" t="n">
        <v>0.2225</v>
      </c>
      <c r="H99" s="246" t="n">
        <v>0.23</v>
      </c>
      <c r="I99" s="247" t="n">
        <v>3.717</v>
      </c>
      <c r="J99" s="248" t="n">
        <v>3.722</v>
      </c>
      <c r="K99" s="248" t="n">
        <v>3.727</v>
      </c>
      <c r="L99" s="248" t="n">
        <v>0.105</v>
      </c>
      <c r="M99" s="248" t="n">
        <v>0.105</v>
      </c>
      <c r="N99" s="249" t="n">
        <v>0</v>
      </c>
      <c r="O99" s="249" t="n">
        <v>0</v>
      </c>
      <c r="P99" s="250"/>
      <c r="Q99" s="250"/>
      <c r="R99" s="251" t="e">
        <f aca="false">B99</f>
        <v>#VALUE!</v>
      </c>
      <c r="S99" s="252" t="n">
        <f aca="false">T99-$S$16</f>
        <v>0.53</v>
      </c>
      <c r="T99" s="243" t="n">
        <f aca="false">D99</f>
        <v>0.6</v>
      </c>
      <c r="U99" s="253" t="n">
        <f aca="false">$U$16+T99</f>
        <v>0.67</v>
      </c>
      <c r="BP99" s="226" t="n">
        <f aca="false">BP98+BV99</f>
        <v>98</v>
      </c>
      <c r="BQ99" s="227" t="s">
        <v>733</v>
      </c>
      <c r="BR99" s="224" t="s">
        <v>285</v>
      </c>
      <c r="BS99" s="161" t="s">
        <v>421</v>
      </c>
      <c r="BT99" s="230" t="s">
        <v>287</v>
      </c>
      <c r="BU99" s="230"/>
      <c r="BV99" s="161" t="n">
        <v>1</v>
      </c>
      <c r="BW99" s="224" t="s">
        <v>734</v>
      </c>
      <c r="BX99" s="0"/>
      <c r="BZ99" s="226" t="n">
        <f aca="false">BZ98+CF99</f>
        <v>98</v>
      </c>
      <c r="CA99" s="227" t="s">
        <v>735</v>
      </c>
      <c r="CB99" s="224" t="s">
        <v>289</v>
      </c>
      <c r="CC99" s="161" t="s">
        <v>286</v>
      </c>
      <c r="CD99" s="230" t="s">
        <v>287</v>
      </c>
      <c r="CE99" s="230"/>
      <c r="CF99" s="161" t="n">
        <v>1</v>
      </c>
      <c r="CG99" s="231" t="s">
        <v>736</v>
      </c>
      <c r="CH99" s="0"/>
    </row>
    <row r="100" customFormat="false" ht="12.75" hidden="false" customHeight="false" outlineLevel="0" collapsed="false">
      <c r="A100" s="244"/>
      <c r="B100" s="245" t="e">
        <f aca="false">NextMonth(B99)</f>
        <v>#VALUE!</v>
      </c>
      <c r="C100" s="246" t="n">
        <v>0.0582305673526129</v>
      </c>
      <c r="D100" s="246" t="n">
        <v>0.65</v>
      </c>
      <c r="E100" s="246" t="n">
        <v>0.65</v>
      </c>
      <c r="F100" s="246" t="n">
        <v>0.2125</v>
      </c>
      <c r="G100" s="246" t="n">
        <v>0.22</v>
      </c>
      <c r="H100" s="246" t="n">
        <v>0.2275</v>
      </c>
      <c r="I100" s="247" t="n">
        <v>3.767</v>
      </c>
      <c r="J100" s="248" t="n">
        <v>3.772</v>
      </c>
      <c r="K100" s="248" t="n">
        <v>3.777</v>
      </c>
      <c r="L100" s="248" t="n">
        <v>0.105</v>
      </c>
      <c r="M100" s="248" t="n">
        <v>0.105</v>
      </c>
      <c r="N100" s="249" t="n">
        <v>0</v>
      </c>
      <c r="O100" s="249" t="n">
        <v>0</v>
      </c>
      <c r="P100" s="250"/>
      <c r="Q100" s="250"/>
      <c r="R100" s="251" t="e">
        <f aca="false">B100</f>
        <v>#VALUE!</v>
      </c>
      <c r="S100" s="252" t="n">
        <f aca="false">T100-$S$16</f>
        <v>0.58</v>
      </c>
      <c r="T100" s="243" t="n">
        <f aca="false">D100</f>
        <v>0.65</v>
      </c>
      <c r="U100" s="253" t="n">
        <f aca="false">$U$16+T100</f>
        <v>0.72</v>
      </c>
      <c r="BP100" s="226" t="n">
        <f aca="false">BP99+BV100</f>
        <v>99</v>
      </c>
      <c r="BQ100" s="227" t="s">
        <v>737</v>
      </c>
      <c r="BR100" s="224" t="s">
        <v>285</v>
      </c>
      <c r="BS100" s="161" t="s">
        <v>421</v>
      </c>
      <c r="BT100" s="230" t="s">
        <v>287</v>
      </c>
      <c r="BU100" s="230"/>
      <c r="BV100" s="161" t="n">
        <v>1</v>
      </c>
      <c r="BW100" s="224" t="s">
        <v>738</v>
      </c>
      <c r="BX100" s="0"/>
      <c r="BZ100" s="226" t="n">
        <f aca="false">BZ99+CF100</f>
        <v>99</v>
      </c>
      <c r="CA100" s="227" t="s">
        <v>739</v>
      </c>
      <c r="CB100" s="224" t="s">
        <v>289</v>
      </c>
      <c r="CC100" s="161" t="s">
        <v>286</v>
      </c>
      <c r="CD100" s="230" t="s">
        <v>287</v>
      </c>
      <c r="CE100" s="230"/>
      <c r="CF100" s="161" t="n">
        <v>1</v>
      </c>
      <c r="CG100" s="231" t="s">
        <v>740</v>
      </c>
      <c r="CH100" s="0"/>
    </row>
    <row r="101" customFormat="false" ht="12.75" hidden="false" customHeight="false" outlineLevel="0" collapsed="false">
      <c r="A101" s="244"/>
      <c r="B101" s="245" t="e">
        <f aca="false">NextMonth(B100)</f>
        <v>#VALUE!</v>
      </c>
      <c r="C101" s="246" t="n">
        <v>0.0583376912303937</v>
      </c>
      <c r="D101" s="246" t="n">
        <v>0.7</v>
      </c>
      <c r="E101" s="246" t="n">
        <v>0.7</v>
      </c>
      <c r="F101" s="246" t="n">
        <v>0.2125</v>
      </c>
      <c r="G101" s="246" t="n">
        <v>0.22</v>
      </c>
      <c r="H101" s="246" t="n">
        <v>0.2275</v>
      </c>
      <c r="I101" s="247" t="n">
        <v>3.79</v>
      </c>
      <c r="J101" s="248" t="n">
        <v>3.795</v>
      </c>
      <c r="K101" s="248" t="n">
        <v>3.8</v>
      </c>
      <c r="L101" s="248" t="n">
        <v>0.105</v>
      </c>
      <c r="M101" s="248" t="n">
        <v>0.105</v>
      </c>
      <c r="N101" s="249" t="n">
        <v>0</v>
      </c>
      <c r="O101" s="249" t="n">
        <v>0</v>
      </c>
      <c r="P101" s="250"/>
      <c r="Q101" s="250"/>
      <c r="R101" s="251" t="e">
        <f aca="false">B101</f>
        <v>#VALUE!</v>
      </c>
      <c r="S101" s="252" t="n">
        <f aca="false">T101-$S$16</f>
        <v>0.63</v>
      </c>
      <c r="T101" s="243" t="n">
        <f aca="false">D101</f>
        <v>0.7</v>
      </c>
      <c r="U101" s="253" t="n">
        <f aca="false">$U$16+T101</f>
        <v>0.77</v>
      </c>
      <c r="BP101" s="226" t="n">
        <f aca="false">BP100+BV101</f>
        <v>100</v>
      </c>
      <c r="BQ101" s="227" t="s">
        <v>741</v>
      </c>
      <c r="BR101" s="224" t="s">
        <v>285</v>
      </c>
      <c r="BS101" s="161" t="s">
        <v>421</v>
      </c>
      <c r="BT101" s="230" t="s">
        <v>287</v>
      </c>
      <c r="BU101" s="230"/>
      <c r="BV101" s="161" t="n">
        <v>1</v>
      </c>
      <c r="BW101" s="224" t="s">
        <v>742</v>
      </c>
      <c r="BX101" s="0"/>
      <c r="BZ101" s="226" t="n">
        <f aca="false">BZ100+CF101</f>
        <v>100</v>
      </c>
      <c r="CA101" s="227" t="s">
        <v>743</v>
      </c>
      <c r="CB101" s="224" t="s">
        <v>289</v>
      </c>
      <c r="CC101" s="161" t="s">
        <v>286</v>
      </c>
      <c r="CD101" s="230" t="s">
        <v>287</v>
      </c>
      <c r="CE101" s="230"/>
      <c r="CF101" s="161" t="n">
        <v>1</v>
      </c>
      <c r="CG101" s="231" t="s">
        <v>744</v>
      </c>
      <c r="CH101" s="0"/>
    </row>
    <row r="102" customFormat="false" ht="12.75" hidden="false" customHeight="false" outlineLevel="0" collapsed="false">
      <c r="A102" s="244"/>
      <c r="B102" s="245" t="e">
        <f aca="false">NextMonth(B101)</f>
        <v>#VALUE!</v>
      </c>
      <c r="C102" s="246" t="n">
        <v>0.0584022547462513</v>
      </c>
      <c r="D102" s="246" t="n">
        <v>0.7</v>
      </c>
      <c r="E102" s="246" t="n">
        <v>0.7</v>
      </c>
      <c r="F102" s="246" t="n">
        <v>0.2125</v>
      </c>
      <c r="G102" s="246" t="n">
        <v>0.22</v>
      </c>
      <c r="H102" s="246" t="n">
        <v>0.2275</v>
      </c>
      <c r="I102" s="247" t="n">
        <v>3.805</v>
      </c>
      <c r="J102" s="248" t="n">
        <v>3.81</v>
      </c>
      <c r="K102" s="248" t="n">
        <v>3.815</v>
      </c>
      <c r="L102" s="248" t="n">
        <v>0.105</v>
      </c>
      <c r="M102" s="248" t="n">
        <v>0.105</v>
      </c>
      <c r="N102" s="249" t="n">
        <v>0</v>
      </c>
      <c r="O102" s="249" t="n">
        <v>0</v>
      </c>
      <c r="P102" s="250"/>
      <c r="Q102" s="250"/>
      <c r="R102" s="251" t="e">
        <f aca="false">B102</f>
        <v>#VALUE!</v>
      </c>
      <c r="S102" s="252" t="n">
        <f aca="false">T102-$S$16</f>
        <v>0.63</v>
      </c>
      <c r="T102" s="243" t="n">
        <f aca="false">D102</f>
        <v>0.7</v>
      </c>
      <c r="U102" s="253" t="n">
        <f aca="false">$U$16+T102</f>
        <v>0.77</v>
      </c>
      <c r="BP102" s="226" t="n">
        <f aca="false">BP101+BV102</f>
        <v>101</v>
      </c>
      <c r="BQ102" s="227" t="s">
        <v>745</v>
      </c>
      <c r="BR102" s="224" t="s">
        <v>285</v>
      </c>
      <c r="BS102" s="161" t="s">
        <v>421</v>
      </c>
      <c r="BT102" s="230" t="s">
        <v>287</v>
      </c>
      <c r="BU102" s="230"/>
      <c r="BV102" s="161" t="n">
        <v>1</v>
      </c>
      <c r="BW102" s="224" t="s">
        <v>746</v>
      </c>
      <c r="BX102" s="0"/>
      <c r="BZ102" s="226" t="n">
        <f aca="false">BZ101+CF102</f>
        <v>101</v>
      </c>
      <c r="CA102" s="227" t="s">
        <v>747</v>
      </c>
      <c r="CB102" s="224" t="s">
        <v>289</v>
      </c>
      <c r="CC102" s="161" t="s">
        <v>286</v>
      </c>
      <c r="CD102" s="230" t="s">
        <v>287</v>
      </c>
      <c r="CE102" s="230"/>
      <c r="CF102" s="161" t="n">
        <v>1</v>
      </c>
      <c r="CG102" s="231" t="s">
        <v>748</v>
      </c>
      <c r="CH102" s="0"/>
    </row>
    <row r="103" customFormat="false" ht="12.75" hidden="false" customHeight="false" outlineLevel="0" collapsed="false">
      <c r="A103" s="244"/>
      <c r="B103" s="245" t="e">
        <f aca="false">NextMonth(B102)</f>
        <v>#VALUE!</v>
      </c>
      <c r="C103" s="246" t="n">
        <v>0.0584647355693684</v>
      </c>
      <c r="D103" s="246" t="n">
        <v>0.75</v>
      </c>
      <c r="E103" s="246" t="n">
        <v>0.75</v>
      </c>
      <c r="F103" s="246" t="n">
        <v>0.2125</v>
      </c>
      <c r="G103" s="246" t="n">
        <v>0.22</v>
      </c>
      <c r="H103" s="246" t="n">
        <v>0.2275</v>
      </c>
      <c r="I103" s="247" t="n">
        <v>3.834</v>
      </c>
      <c r="J103" s="248" t="n">
        <v>3.839</v>
      </c>
      <c r="K103" s="248" t="n">
        <v>3.844</v>
      </c>
      <c r="L103" s="248" t="n">
        <v>0.105</v>
      </c>
      <c r="M103" s="248" t="n">
        <v>0.105</v>
      </c>
      <c r="N103" s="249" t="n">
        <v>0</v>
      </c>
      <c r="O103" s="249" t="n">
        <v>0</v>
      </c>
      <c r="P103" s="250"/>
      <c r="Q103" s="250"/>
      <c r="R103" s="251" t="e">
        <f aca="false">B103</f>
        <v>#VALUE!</v>
      </c>
      <c r="S103" s="252" t="n">
        <f aca="false">T103-$S$16</f>
        <v>0.68</v>
      </c>
      <c r="T103" s="243" t="n">
        <f aca="false">D103</f>
        <v>0.75</v>
      </c>
      <c r="U103" s="253" t="n">
        <f aca="false">$U$16+T103</f>
        <v>0.82</v>
      </c>
      <c r="BP103" s="226" t="n">
        <f aca="false">BP102+BV103</f>
        <v>102</v>
      </c>
      <c r="BQ103" s="227" t="s">
        <v>749</v>
      </c>
      <c r="BR103" s="224" t="s">
        <v>285</v>
      </c>
      <c r="BS103" s="161" t="s">
        <v>421</v>
      </c>
      <c r="BT103" s="230" t="s">
        <v>287</v>
      </c>
      <c r="BU103" s="230"/>
      <c r="BV103" s="161" t="n">
        <v>1</v>
      </c>
      <c r="BW103" s="224" t="s">
        <v>750</v>
      </c>
      <c r="BX103" s="0"/>
      <c r="BZ103" s="226" t="n">
        <f aca="false">BZ102+CF103</f>
        <v>102</v>
      </c>
      <c r="CA103" s="227" t="s">
        <v>751</v>
      </c>
      <c r="CB103" s="224" t="s">
        <v>289</v>
      </c>
      <c r="CC103" s="161" t="s">
        <v>286</v>
      </c>
      <c r="CD103" s="230" t="s">
        <v>287</v>
      </c>
      <c r="CE103" s="230"/>
      <c r="CF103" s="161" t="n">
        <v>1</v>
      </c>
      <c r="CG103" s="231" t="s">
        <v>752</v>
      </c>
      <c r="CH103" s="0"/>
    </row>
    <row r="104" customFormat="false" ht="12.75" hidden="false" customHeight="false" outlineLevel="0" collapsed="false">
      <c r="A104" s="244"/>
      <c r="B104" s="245" t="e">
        <f aca="false">NextMonth(B103)</f>
        <v>#VALUE!</v>
      </c>
      <c r="C104" s="246" t="n">
        <v>0.0585292990879531</v>
      </c>
      <c r="D104" s="246" t="n">
        <v>0.95</v>
      </c>
      <c r="E104" s="246" t="n">
        <v>0.95</v>
      </c>
      <c r="F104" s="246" t="n">
        <v>0.2125</v>
      </c>
      <c r="G104" s="246" t="n">
        <v>0.22</v>
      </c>
      <c r="H104" s="246" t="n">
        <v>0.2275</v>
      </c>
      <c r="I104" s="247" t="n">
        <v>3.974</v>
      </c>
      <c r="J104" s="248" t="n">
        <v>3.979</v>
      </c>
      <c r="K104" s="248" t="n">
        <v>3.984</v>
      </c>
      <c r="L104" s="248" t="n">
        <v>0.16</v>
      </c>
      <c r="M104" s="248" t="n">
        <v>0.16</v>
      </c>
      <c r="N104" s="249" t="n">
        <v>0</v>
      </c>
      <c r="O104" s="249" t="n">
        <v>0</v>
      </c>
      <c r="P104" s="250"/>
      <c r="Q104" s="250"/>
      <c r="R104" s="251" t="e">
        <f aca="false">B104</f>
        <v>#VALUE!</v>
      </c>
      <c r="S104" s="252" t="n">
        <f aca="false">T104-$S$16</f>
        <v>0.88</v>
      </c>
      <c r="T104" s="243" t="n">
        <f aca="false">D104</f>
        <v>0.95</v>
      </c>
      <c r="U104" s="253" t="n">
        <f aca="false">$U$16+T104</f>
        <v>1.02</v>
      </c>
      <c r="BP104" s="226" t="n">
        <f aca="false">BP103+BV104</f>
        <v>103</v>
      </c>
      <c r="BQ104" s="227" t="s">
        <v>753</v>
      </c>
      <c r="BR104" s="224" t="s">
        <v>285</v>
      </c>
      <c r="BS104" s="161" t="s">
        <v>421</v>
      </c>
      <c r="BT104" s="230" t="s">
        <v>287</v>
      </c>
      <c r="BU104" s="230"/>
      <c r="BV104" s="161" t="n">
        <v>1</v>
      </c>
      <c r="BW104" s="224" t="s">
        <v>754</v>
      </c>
      <c r="BX104" s="0"/>
      <c r="BZ104" s="226" t="n">
        <f aca="false">BZ103+CF104</f>
        <v>103</v>
      </c>
      <c r="CA104" s="227" t="s">
        <v>755</v>
      </c>
      <c r="CB104" s="224" t="s">
        <v>289</v>
      </c>
      <c r="CC104" s="161" t="s">
        <v>286</v>
      </c>
      <c r="CD104" s="230" t="s">
        <v>287</v>
      </c>
      <c r="CE104" s="230"/>
      <c r="CF104" s="161" t="n">
        <v>1</v>
      </c>
      <c r="CG104" s="231" t="s">
        <v>756</v>
      </c>
      <c r="CH104" s="0"/>
    </row>
    <row r="105" customFormat="false" ht="12.75" hidden="false" customHeight="false" outlineLevel="0" collapsed="false">
      <c r="A105" s="244"/>
      <c r="B105" s="245" t="e">
        <f aca="false">NextMonth(B104)</f>
        <v>#VALUE!</v>
      </c>
      <c r="C105" s="246" t="n">
        <v>0.0585917799137103</v>
      </c>
      <c r="D105" s="246" t="n">
        <v>1.15</v>
      </c>
      <c r="E105" s="246" t="n">
        <v>1.15</v>
      </c>
      <c r="F105" s="246" t="n">
        <v>0.215</v>
      </c>
      <c r="G105" s="246" t="n">
        <v>0.2225</v>
      </c>
      <c r="H105" s="246" t="n">
        <v>0.23</v>
      </c>
      <c r="I105" s="247" t="n">
        <v>4.123</v>
      </c>
      <c r="J105" s="248" t="n">
        <v>4.128</v>
      </c>
      <c r="K105" s="248" t="n">
        <v>4.133</v>
      </c>
      <c r="L105" s="248" t="n">
        <v>0.16</v>
      </c>
      <c r="M105" s="248" t="n">
        <v>0.16</v>
      </c>
      <c r="N105" s="249" t="n">
        <v>0</v>
      </c>
      <c r="O105" s="249" t="n">
        <v>0</v>
      </c>
      <c r="P105" s="250"/>
      <c r="Q105" s="250"/>
      <c r="R105" s="251" t="e">
        <f aca="false">B105</f>
        <v>#VALUE!</v>
      </c>
      <c r="S105" s="252" t="n">
        <f aca="false">T105-$S$16</f>
        <v>1.08</v>
      </c>
      <c r="T105" s="243" t="n">
        <f aca="false">D105</f>
        <v>1.15</v>
      </c>
      <c r="U105" s="253" t="n">
        <f aca="false">$U$16+T105</f>
        <v>1.22</v>
      </c>
      <c r="BP105" s="226" t="n">
        <f aca="false">BP104+BV105</f>
        <v>104</v>
      </c>
      <c r="BQ105" s="227" t="s">
        <v>431</v>
      </c>
      <c r="BR105" s="224" t="s">
        <v>285</v>
      </c>
      <c r="BS105" s="161" t="s">
        <v>286</v>
      </c>
      <c r="BT105" s="230" t="s">
        <v>287</v>
      </c>
      <c r="BU105" s="230"/>
      <c r="BV105" s="161" t="n">
        <v>1</v>
      </c>
      <c r="BW105" s="224" t="s">
        <v>757</v>
      </c>
      <c r="BX105" s="0"/>
      <c r="BZ105" s="226" t="n">
        <f aca="false">BZ104+CF105</f>
        <v>104</v>
      </c>
      <c r="CA105" s="227" t="s">
        <v>758</v>
      </c>
      <c r="CB105" s="224" t="s">
        <v>289</v>
      </c>
      <c r="CC105" s="161" t="s">
        <v>286</v>
      </c>
      <c r="CD105" s="230" t="s">
        <v>287</v>
      </c>
      <c r="CE105" s="230"/>
      <c r="CF105" s="161" t="n">
        <v>1</v>
      </c>
      <c r="CG105" s="231" t="s">
        <v>759</v>
      </c>
      <c r="CH105" s="0"/>
    </row>
    <row r="106" customFormat="false" ht="12.75" hidden="false" customHeight="false" outlineLevel="0" collapsed="false">
      <c r="A106" s="244"/>
      <c r="B106" s="245" t="e">
        <f aca="false">NextMonth(B105)</f>
        <v>#VALUE!</v>
      </c>
      <c r="C106" s="246" t="n">
        <v>0.0586563434350222</v>
      </c>
      <c r="D106" s="246" t="n">
        <v>1.15</v>
      </c>
      <c r="E106" s="246" t="n">
        <v>1.15</v>
      </c>
      <c r="F106" s="246" t="n">
        <v>0.2175</v>
      </c>
      <c r="G106" s="246" t="n">
        <v>0.225</v>
      </c>
      <c r="H106" s="246" t="n">
        <v>0.2325</v>
      </c>
      <c r="I106" s="247" t="n">
        <v>4.222</v>
      </c>
      <c r="J106" s="248" t="n">
        <v>4.227</v>
      </c>
      <c r="K106" s="248" t="n">
        <v>4.232</v>
      </c>
      <c r="L106" s="248" t="n">
        <v>0.16</v>
      </c>
      <c r="M106" s="248" t="n">
        <v>0.16</v>
      </c>
      <c r="N106" s="249" t="n">
        <v>0</v>
      </c>
      <c r="O106" s="249" t="n">
        <v>0</v>
      </c>
      <c r="P106" s="250"/>
      <c r="Q106" s="250"/>
      <c r="R106" s="251" t="e">
        <f aca="false">B106</f>
        <v>#VALUE!</v>
      </c>
      <c r="S106" s="252" t="n">
        <f aca="false">T106-$S$16</f>
        <v>1.08</v>
      </c>
      <c r="T106" s="243" t="n">
        <f aca="false">D106</f>
        <v>1.15</v>
      </c>
      <c r="U106" s="253" t="n">
        <f aca="false">$U$16+T106</f>
        <v>1.22</v>
      </c>
      <c r="BP106" s="226" t="n">
        <f aca="false">BP105+BV106</f>
        <v>105</v>
      </c>
      <c r="BQ106" s="227" t="s">
        <v>760</v>
      </c>
      <c r="BR106" s="224" t="s">
        <v>285</v>
      </c>
      <c r="BS106" s="161" t="s">
        <v>421</v>
      </c>
      <c r="BT106" s="230" t="s">
        <v>287</v>
      </c>
      <c r="BU106" s="230"/>
      <c r="BV106" s="161" t="n">
        <v>1</v>
      </c>
      <c r="BW106" s="224" t="s">
        <v>761</v>
      </c>
      <c r="BX106" s="0"/>
      <c r="BZ106" s="226" t="n">
        <f aca="false">BZ105+CF106</f>
        <v>105</v>
      </c>
      <c r="CA106" s="227" t="s">
        <v>762</v>
      </c>
      <c r="CB106" s="224" t="s">
        <v>289</v>
      </c>
      <c r="CC106" s="161" t="s">
        <v>286</v>
      </c>
      <c r="CD106" s="230" t="s">
        <v>287</v>
      </c>
      <c r="CE106" s="230"/>
      <c r="CF106" s="161" t="n">
        <v>1</v>
      </c>
      <c r="CG106" s="231" t="s">
        <v>763</v>
      </c>
      <c r="CH106" s="0"/>
    </row>
    <row r="107" customFormat="false" ht="12.75" hidden="false" customHeight="false" outlineLevel="0" collapsed="false">
      <c r="A107" s="244"/>
      <c r="B107" s="245" t="e">
        <f aca="false">NextMonth(B106)</f>
        <v>#VALUE!</v>
      </c>
      <c r="C107" s="246" t="n">
        <v>0.0587209069577201</v>
      </c>
      <c r="D107" s="246" t="n">
        <v>1.15</v>
      </c>
      <c r="E107" s="246" t="n">
        <v>1.15</v>
      </c>
      <c r="F107" s="246" t="n">
        <v>0.2125</v>
      </c>
      <c r="G107" s="246" t="n">
        <v>0.22</v>
      </c>
      <c r="H107" s="246" t="n">
        <v>0.2275</v>
      </c>
      <c r="I107" s="247" t="n">
        <v>4.109</v>
      </c>
      <c r="J107" s="248" t="n">
        <v>4.114</v>
      </c>
      <c r="K107" s="248" t="n">
        <v>4.119</v>
      </c>
      <c r="L107" s="248" t="n">
        <v>0.16</v>
      </c>
      <c r="M107" s="248" t="n">
        <v>0.16</v>
      </c>
      <c r="N107" s="249" t="n">
        <v>0</v>
      </c>
      <c r="O107" s="249" t="n">
        <v>0</v>
      </c>
      <c r="P107" s="250"/>
      <c r="Q107" s="250"/>
      <c r="R107" s="251" t="e">
        <f aca="false">B107</f>
        <v>#VALUE!</v>
      </c>
      <c r="S107" s="252" t="n">
        <f aca="false">T107-$S$16</f>
        <v>1.08</v>
      </c>
      <c r="T107" s="243" t="n">
        <f aca="false">D107</f>
        <v>1.15</v>
      </c>
      <c r="U107" s="253" t="n">
        <f aca="false">$U$16+T107</f>
        <v>1.22</v>
      </c>
      <c r="BP107" s="226" t="n">
        <f aca="false">BP106+BV107</f>
        <v>106</v>
      </c>
      <c r="BQ107" s="227" t="s">
        <v>764</v>
      </c>
      <c r="BR107" s="224" t="s">
        <v>285</v>
      </c>
      <c r="BS107" s="161" t="s">
        <v>421</v>
      </c>
      <c r="BT107" s="230" t="s">
        <v>287</v>
      </c>
      <c r="BU107" s="230"/>
      <c r="BV107" s="161" t="n">
        <v>1</v>
      </c>
      <c r="BW107" s="224" t="s">
        <v>765</v>
      </c>
      <c r="BX107" s="0"/>
      <c r="BZ107" s="226" t="n">
        <f aca="false">BZ106+CF107</f>
        <v>106</v>
      </c>
      <c r="CA107" s="227" t="s">
        <v>766</v>
      </c>
      <c r="CB107" s="224" t="s">
        <v>289</v>
      </c>
      <c r="CC107" s="161" t="s">
        <v>286</v>
      </c>
      <c r="CD107" s="230" t="s">
        <v>287</v>
      </c>
      <c r="CE107" s="230"/>
      <c r="CF107" s="161" t="n">
        <v>1</v>
      </c>
      <c r="CG107" s="231" t="s">
        <v>767</v>
      </c>
      <c r="CH107" s="0"/>
    </row>
    <row r="108" customFormat="false" ht="12.75" hidden="false" customHeight="false" outlineLevel="0" collapsed="false">
      <c r="A108" s="244"/>
      <c r="B108" s="245" t="e">
        <f aca="false">NextMonth(B107)</f>
        <v>#VALUE!</v>
      </c>
      <c r="C108" s="246" t="n">
        <v>0.0587792223987678</v>
      </c>
      <c r="D108" s="246" t="n">
        <v>0.9</v>
      </c>
      <c r="E108" s="246" t="n">
        <v>0.9</v>
      </c>
      <c r="F108" s="246" t="n">
        <v>0.1975</v>
      </c>
      <c r="G108" s="246" t="n">
        <v>0.205</v>
      </c>
      <c r="H108" s="246" t="n">
        <v>0.2125</v>
      </c>
      <c r="I108" s="247" t="n">
        <v>3.976</v>
      </c>
      <c r="J108" s="248" t="n">
        <v>3.981</v>
      </c>
      <c r="K108" s="248" t="n">
        <v>3.986</v>
      </c>
      <c r="L108" s="248" t="n">
        <v>0.16</v>
      </c>
      <c r="M108" s="248" t="n">
        <v>0.16</v>
      </c>
      <c r="N108" s="249" t="n">
        <v>0</v>
      </c>
      <c r="O108" s="249" t="n">
        <v>0</v>
      </c>
      <c r="P108" s="250"/>
      <c r="Q108" s="250"/>
      <c r="R108" s="251" t="e">
        <f aca="false">B108</f>
        <v>#VALUE!</v>
      </c>
      <c r="S108" s="252" t="n">
        <f aca="false">T108-$S$16</f>
        <v>0.83</v>
      </c>
      <c r="T108" s="243" t="n">
        <f aca="false">D108</f>
        <v>0.9</v>
      </c>
      <c r="U108" s="253" t="n">
        <f aca="false">$U$16+T108</f>
        <v>0.97</v>
      </c>
      <c r="BP108" s="226" t="n">
        <f aca="false">BP107+BV108</f>
        <v>107</v>
      </c>
      <c r="BQ108" s="227" t="s">
        <v>768</v>
      </c>
      <c r="BR108" s="224" t="s">
        <v>285</v>
      </c>
      <c r="BS108" s="161" t="s">
        <v>421</v>
      </c>
      <c r="BT108" s="230" t="s">
        <v>287</v>
      </c>
      <c r="BU108" s="230"/>
      <c r="BV108" s="161" t="n">
        <v>1</v>
      </c>
      <c r="BW108" s="224" t="s">
        <v>769</v>
      </c>
      <c r="BX108" s="0"/>
      <c r="BZ108" s="226" t="n">
        <f aca="false">BZ107+CF108</f>
        <v>107</v>
      </c>
      <c r="CA108" s="227" t="s">
        <v>770</v>
      </c>
      <c r="CB108" s="224" t="s">
        <v>289</v>
      </c>
      <c r="CC108" s="161" t="s">
        <v>286</v>
      </c>
      <c r="CD108" s="230" t="s">
        <v>287</v>
      </c>
      <c r="CE108" s="230"/>
      <c r="CF108" s="161" t="n">
        <v>1</v>
      </c>
      <c r="CG108" s="231" t="s">
        <v>771</v>
      </c>
      <c r="CH108" s="0"/>
    </row>
    <row r="109" customFormat="false" ht="12.75" hidden="false" customHeight="false" outlineLevel="0" collapsed="false">
      <c r="A109" s="244"/>
      <c r="B109" s="245" t="e">
        <f aca="false">NextMonth(B108)</f>
        <v>#VALUE!</v>
      </c>
      <c r="C109" s="246" t="n">
        <v>0.0588437859241036</v>
      </c>
      <c r="D109" s="246" t="n">
        <v>0.55</v>
      </c>
      <c r="E109" s="246" t="n">
        <v>0.55</v>
      </c>
      <c r="F109" s="246" t="n">
        <v>0.1875</v>
      </c>
      <c r="G109" s="246" t="n">
        <v>0.195</v>
      </c>
      <c r="H109" s="246" t="n">
        <v>0.2025</v>
      </c>
      <c r="I109" s="247" t="n">
        <v>3.756</v>
      </c>
      <c r="J109" s="248" t="n">
        <v>3.761</v>
      </c>
      <c r="K109" s="248" t="n">
        <v>3.766</v>
      </c>
      <c r="L109" s="248" t="n">
        <v>0.11</v>
      </c>
      <c r="M109" s="248" t="n">
        <v>0.11</v>
      </c>
      <c r="N109" s="249" t="n">
        <v>0</v>
      </c>
      <c r="O109" s="249" t="n">
        <v>0</v>
      </c>
      <c r="P109" s="250"/>
      <c r="Q109" s="250"/>
      <c r="R109" s="251" t="e">
        <f aca="false">B109</f>
        <v>#VALUE!</v>
      </c>
      <c r="S109" s="252" t="n">
        <f aca="false">T109-$S$16</f>
        <v>0.48</v>
      </c>
      <c r="T109" s="243" t="n">
        <f aca="false">D109</f>
        <v>0.55</v>
      </c>
      <c r="U109" s="253" t="n">
        <f aca="false">$U$16+T109</f>
        <v>0.62</v>
      </c>
      <c r="BP109" s="226" t="n">
        <f aca="false">BP108+BV109</f>
        <v>108</v>
      </c>
      <c r="BQ109" s="227" t="s">
        <v>772</v>
      </c>
      <c r="BR109" s="224" t="s">
        <v>285</v>
      </c>
      <c r="BS109" s="161" t="s">
        <v>421</v>
      </c>
      <c r="BT109" s="230" t="s">
        <v>287</v>
      </c>
      <c r="BU109" s="230"/>
      <c r="BV109" s="161" t="n">
        <v>1</v>
      </c>
      <c r="BW109" s="224" t="s">
        <v>773</v>
      </c>
      <c r="BX109" s="0"/>
      <c r="BZ109" s="226" t="n">
        <f aca="false">BZ108+CF109</f>
        <v>108</v>
      </c>
      <c r="CA109" s="227" t="s">
        <v>774</v>
      </c>
      <c r="CB109" s="224" t="s">
        <v>289</v>
      </c>
      <c r="CC109" s="161" t="s">
        <v>286</v>
      </c>
      <c r="CD109" s="230" t="s">
        <v>287</v>
      </c>
      <c r="CE109" s="230"/>
      <c r="CF109" s="161" t="n">
        <v>1</v>
      </c>
      <c r="CG109" s="231" t="s">
        <v>775</v>
      </c>
      <c r="CH109" s="0"/>
    </row>
    <row r="110" customFormat="false" ht="12.75" hidden="false" customHeight="false" outlineLevel="0" collapsed="false">
      <c r="A110" s="244"/>
      <c r="B110" s="245" t="e">
        <f aca="false">NextMonth(B109)</f>
        <v>#VALUE!</v>
      </c>
      <c r="C110" s="246" t="n">
        <v>0.0589062667563929</v>
      </c>
      <c r="D110" s="246" t="n">
        <v>0.6</v>
      </c>
      <c r="E110" s="246" t="n">
        <v>0.6</v>
      </c>
      <c r="F110" s="246" t="n">
        <v>0.1875</v>
      </c>
      <c r="G110" s="246" t="n">
        <v>0.195</v>
      </c>
      <c r="H110" s="246" t="n">
        <v>0.2025</v>
      </c>
      <c r="I110" s="247" t="n">
        <v>3.746</v>
      </c>
      <c r="J110" s="248" t="n">
        <v>3.751</v>
      </c>
      <c r="K110" s="248" t="n">
        <v>3.756</v>
      </c>
      <c r="L110" s="248" t="n">
        <v>0.11</v>
      </c>
      <c r="M110" s="248" t="n">
        <v>0.11</v>
      </c>
      <c r="N110" s="249" t="n">
        <v>0</v>
      </c>
      <c r="O110" s="249" t="n">
        <v>0</v>
      </c>
      <c r="P110" s="250"/>
      <c r="Q110" s="250"/>
      <c r="R110" s="251" t="e">
        <f aca="false">B110</f>
        <v>#VALUE!</v>
      </c>
      <c r="S110" s="252" t="n">
        <f aca="false">T110-$S$16</f>
        <v>0.53</v>
      </c>
      <c r="T110" s="243" t="n">
        <f aca="false">D110</f>
        <v>0.6</v>
      </c>
      <c r="U110" s="253" t="n">
        <f aca="false">$U$16+T110</f>
        <v>0.67</v>
      </c>
      <c r="BP110" s="226" t="n">
        <f aca="false">BP109+BV110</f>
        <v>109</v>
      </c>
      <c r="BQ110" s="227" t="s">
        <v>776</v>
      </c>
      <c r="BR110" s="224" t="s">
        <v>285</v>
      </c>
      <c r="BS110" s="161" t="s">
        <v>421</v>
      </c>
      <c r="BT110" s="230" t="s">
        <v>287</v>
      </c>
      <c r="BU110" s="230"/>
      <c r="BV110" s="161" t="n">
        <v>1</v>
      </c>
      <c r="BW110" s="224" t="s">
        <v>777</v>
      </c>
      <c r="BX110" s="0"/>
      <c r="BZ110" s="226" t="n">
        <f aca="false">BZ109+CF110</f>
        <v>109</v>
      </c>
      <c r="CA110" s="227" t="s">
        <v>778</v>
      </c>
      <c r="CB110" s="224" t="s">
        <v>289</v>
      </c>
      <c r="CC110" s="161" t="s">
        <v>286</v>
      </c>
      <c r="CD110" s="230" t="s">
        <v>287</v>
      </c>
      <c r="CE110" s="230"/>
      <c r="CF110" s="161" t="n">
        <v>1</v>
      </c>
      <c r="CG110" s="231" t="s">
        <v>779</v>
      </c>
      <c r="CH110" s="0"/>
    </row>
    <row r="111" customFormat="false" ht="12.75" hidden="false" customHeight="false" outlineLevel="0" collapsed="false">
      <c r="A111" s="244"/>
      <c r="B111" s="245" t="e">
        <f aca="false">NextMonth(B110)</f>
        <v>#VALUE!</v>
      </c>
      <c r="C111" s="246" t="n">
        <v>0.0589708302844549</v>
      </c>
      <c r="D111" s="246" t="n">
        <v>0.6</v>
      </c>
      <c r="E111" s="246" t="n">
        <v>0.6</v>
      </c>
      <c r="F111" s="246" t="n">
        <v>0.1875</v>
      </c>
      <c r="G111" s="246" t="n">
        <v>0.195</v>
      </c>
      <c r="H111" s="246" t="n">
        <v>0.2025</v>
      </c>
      <c r="I111" s="247" t="n">
        <v>3.782</v>
      </c>
      <c r="J111" s="248" t="n">
        <v>3.787</v>
      </c>
      <c r="K111" s="248" t="n">
        <v>3.792</v>
      </c>
      <c r="L111" s="248" t="n">
        <v>0.11</v>
      </c>
      <c r="M111" s="248" t="n">
        <v>0.11</v>
      </c>
      <c r="N111" s="249" t="n">
        <v>0</v>
      </c>
      <c r="O111" s="249" t="n">
        <v>0</v>
      </c>
      <c r="P111" s="250"/>
      <c r="Q111" s="250"/>
      <c r="R111" s="251" t="e">
        <f aca="false">B111</f>
        <v>#VALUE!</v>
      </c>
      <c r="S111" s="252" t="n">
        <f aca="false">T111-$S$16</f>
        <v>0.53</v>
      </c>
      <c r="T111" s="243" t="n">
        <f aca="false">D111</f>
        <v>0.6</v>
      </c>
      <c r="U111" s="253" t="n">
        <f aca="false">$U$16+T111</f>
        <v>0.67</v>
      </c>
      <c r="BP111" s="226" t="n">
        <f aca="false">BP110+BV111</f>
        <v>110</v>
      </c>
      <c r="BQ111" s="227" t="s">
        <v>780</v>
      </c>
      <c r="BR111" s="224" t="s">
        <v>285</v>
      </c>
      <c r="BS111" s="161" t="s">
        <v>421</v>
      </c>
      <c r="BT111" s="230" t="s">
        <v>287</v>
      </c>
      <c r="BU111" s="230"/>
      <c r="BV111" s="161" t="n">
        <v>1</v>
      </c>
      <c r="BW111" s="224" t="s">
        <v>781</v>
      </c>
      <c r="BX111" s="0"/>
      <c r="BZ111" s="226" t="n">
        <f aca="false">BZ110+CF111</f>
        <v>110</v>
      </c>
      <c r="CA111" s="227" t="s">
        <v>782</v>
      </c>
      <c r="CB111" s="224" t="s">
        <v>289</v>
      </c>
      <c r="CC111" s="161" t="s">
        <v>286</v>
      </c>
      <c r="CD111" s="230" t="s">
        <v>287</v>
      </c>
      <c r="CE111" s="230"/>
      <c r="CF111" s="161" t="n">
        <v>1</v>
      </c>
      <c r="CG111" s="231" t="s">
        <v>783</v>
      </c>
      <c r="CH111" s="0"/>
    </row>
    <row r="112" customFormat="false" ht="12.75" hidden="false" customHeight="false" outlineLevel="0" collapsed="false">
      <c r="A112" s="244"/>
      <c r="B112" s="245" t="e">
        <f aca="false">NextMonth(B111)</f>
        <v>#VALUE!</v>
      </c>
      <c r="C112" s="246" t="n">
        <v>0.0590333111193835</v>
      </c>
      <c r="D112" s="246" t="n">
        <v>0.65</v>
      </c>
      <c r="E112" s="246" t="n">
        <v>0.65</v>
      </c>
      <c r="F112" s="246" t="n">
        <v>0.1875</v>
      </c>
      <c r="G112" s="246" t="n">
        <v>0.195</v>
      </c>
      <c r="H112" s="246" t="n">
        <v>0.2025</v>
      </c>
      <c r="I112" s="247" t="n">
        <v>3.832</v>
      </c>
      <c r="J112" s="248" t="n">
        <v>3.837</v>
      </c>
      <c r="K112" s="248" t="n">
        <v>3.842</v>
      </c>
      <c r="L112" s="248" t="n">
        <v>0.11</v>
      </c>
      <c r="M112" s="248" t="n">
        <v>0.11</v>
      </c>
      <c r="N112" s="249" t="n">
        <v>0</v>
      </c>
      <c r="O112" s="249" t="n">
        <v>0</v>
      </c>
      <c r="P112" s="250"/>
      <c r="Q112" s="250"/>
      <c r="R112" s="251" t="e">
        <f aca="false">B112</f>
        <v>#VALUE!</v>
      </c>
      <c r="S112" s="252" t="n">
        <f aca="false">T112-$S$16</f>
        <v>0.58</v>
      </c>
      <c r="T112" s="243" t="n">
        <f aca="false">D112</f>
        <v>0.65</v>
      </c>
      <c r="U112" s="253" t="n">
        <f aca="false">$U$16+T112</f>
        <v>0.72</v>
      </c>
      <c r="BP112" s="226" t="n">
        <f aca="false">BP111+BV112</f>
        <v>111</v>
      </c>
      <c r="BQ112" s="227" t="s">
        <v>784</v>
      </c>
      <c r="BR112" s="224" t="s">
        <v>285</v>
      </c>
      <c r="BS112" s="161" t="s">
        <v>421</v>
      </c>
      <c r="BT112" s="230" t="s">
        <v>287</v>
      </c>
      <c r="BU112" s="230"/>
      <c r="BV112" s="161" t="n">
        <v>1</v>
      </c>
      <c r="BW112" s="224" t="s">
        <v>785</v>
      </c>
      <c r="BX112" s="0"/>
      <c r="BZ112" s="226" t="n">
        <f aca="false">BZ111+CF112</f>
        <v>111</v>
      </c>
      <c r="CA112" s="227" t="s">
        <v>786</v>
      </c>
      <c r="CB112" s="224" t="s">
        <v>289</v>
      </c>
      <c r="CC112" s="161" t="s">
        <v>286</v>
      </c>
      <c r="CD112" s="230" t="s">
        <v>287</v>
      </c>
      <c r="CE112" s="230"/>
      <c r="CF112" s="161" t="n">
        <v>1</v>
      </c>
      <c r="CG112" s="231" t="s">
        <v>787</v>
      </c>
      <c r="CH112" s="0"/>
    </row>
    <row r="113" customFormat="false" ht="12.75" hidden="false" customHeight="false" outlineLevel="0" collapsed="false">
      <c r="A113" s="244"/>
      <c r="B113" s="245" t="e">
        <f aca="false">NextMonth(B112)</f>
        <v>#VALUE!</v>
      </c>
      <c r="C113" s="246" t="n">
        <v>0.0590978746501727</v>
      </c>
      <c r="D113" s="246" t="n">
        <v>0.7</v>
      </c>
      <c r="E113" s="246" t="n">
        <v>0.7</v>
      </c>
      <c r="F113" s="246" t="n">
        <v>0.1875</v>
      </c>
      <c r="G113" s="246" t="n">
        <v>0.195</v>
      </c>
      <c r="H113" s="246" t="n">
        <v>0.2025</v>
      </c>
      <c r="I113" s="247" t="n">
        <v>3.855</v>
      </c>
      <c r="J113" s="248" t="n">
        <v>3.86</v>
      </c>
      <c r="K113" s="248" t="n">
        <v>3.865</v>
      </c>
      <c r="L113" s="248" t="n">
        <v>0.11</v>
      </c>
      <c r="M113" s="248" t="n">
        <v>0.11</v>
      </c>
      <c r="N113" s="249" t="n">
        <v>0</v>
      </c>
      <c r="O113" s="249" t="n">
        <v>0</v>
      </c>
      <c r="P113" s="250"/>
      <c r="Q113" s="250"/>
      <c r="R113" s="251" t="e">
        <f aca="false">B113</f>
        <v>#VALUE!</v>
      </c>
      <c r="S113" s="252" t="n">
        <f aca="false">T113-$S$16</f>
        <v>0.63</v>
      </c>
      <c r="T113" s="243" t="n">
        <f aca="false">D113</f>
        <v>0.7</v>
      </c>
      <c r="U113" s="253" t="n">
        <f aca="false">$U$16+T113</f>
        <v>0.77</v>
      </c>
      <c r="BP113" s="226" t="n">
        <f aca="false">BP112+BV113</f>
        <v>112</v>
      </c>
      <c r="BQ113" s="227" t="s">
        <v>788</v>
      </c>
      <c r="BR113" s="224" t="s">
        <v>285</v>
      </c>
      <c r="BS113" s="161" t="s">
        <v>421</v>
      </c>
      <c r="BT113" s="230" t="s">
        <v>287</v>
      </c>
      <c r="BU113" s="230"/>
      <c r="BV113" s="161" t="n">
        <v>1</v>
      </c>
      <c r="BW113" s="224" t="s">
        <v>789</v>
      </c>
      <c r="BX113" s="0"/>
      <c r="BZ113" s="226" t="n">
        <f aca="false">BZ112+CF113</f>
        <v>112</v>
      </c>
      <c r="CA113" s="227" t="s">
        <v>790</v>
      </c>
      <c r="CB113" s="224" t="s">
        <v>289</v>
      </c>
      <c r="CC113" s="161" t="s">
        <v>286</v>
      </c>
      <c r="CD113" s="230" t="s">
        <v>287</v>
      </c>
      <c r="CE113" s="230"/>
      <c r="CF113" s="161" t="n">
        <v>1</v>
      </c>
      <c r="CG113" s="231" t="s">
        <v>791</v>
      </c>
      <c r="CH113" s="0"/>
    </row>
    <row r="114" customFormat="false" ht="12.75" hidden="false" customHeight="false" outlineLevel="0" collapsed="false">
      <c r="A114" s="244"/>
      <c r="B114" s="245" t="e">
        <f aca="false">NextMonth(B113)</f>
        <v>#VALUE!</v>
      </c>
      <c r="C114" s="246" t="n">
        <v>0.0591624381823479</v>
      </c>
      <c r="D114" s="246" t="n">
        <v>0.7</v>
      </c>
      <c r="E114" s="246" t="n">
        <v>0.7</v>
      </c>
      <c r="F114" s="246" t="n">
        <v>0.1875</v>
      </c>
      <c r="G114" s="246" t="n">
        <v>0.195</v>
      </c>
      <c r="H114" s="246" t="n">
        <v>0.2025</v>
      </c>
      <c r="I114" s="247" t="n">
        <v>3.87</v>
      </c>
      <c r="J114" s="248" t="n">
        <v>3.875</v>
      </c>
      <c r="K114" s="248" t="n">
        <v>3.88</v>
      </c>
      <c r="L114" s="248" t="n">
        <v>0.11</v>
      </c>
      <c r="M114" s="248" t="n">
        <v>0.11</v>
      </c>
      <c r="N114" s="249" t="n">
        <v>0</v>
      </c>
      <c r="O114" s="249" t="n">
        <v>0</v>
      </c>
      <c r="P114" s="250"/>
      <c r="Q114" s="250"/>
      <c r="R114" s="251" t="e">
        <f aca="false">B114</f>
        <v>#VALUE!</v>
      </c>
      <c r="S114" s="252" t="n">
        <f aca="false">T114-$S$16</f>
        <v>0.63</v>
      </c>
      <c r="T114" s="243" t="n">
        <f aca="false">D114</f>
        <v>0.7</v>
      </c>
      <c r="U114" s="253" t="n">
        <f aca="false">$U$16+T114</f>
        <v>0.77</v>
      </c>
      <c r="BP114" s="226" t="n">
        <f aca="false">BP113+BV114</f>
        <v>113</v>
      </c>
      <c r="BQ114" s="227" t="s">
        <v>792</v>
      </c>
      <c r="BR114" s="224" t="s">
        <v>285</v>
      </c>
      <c r="BS114" s="161" t="s">
        <v>421</v>
      </c>
      <c r="BT114" s="230" t="s">
        <v>287</v>
      </c>
      <c r="BU114" s="230"/>
      <c r="BV114" s="161" t="n">
        <v>1</v>
      </c>
      <c r="BW114" s="224" t="s">
        <v>793</v>
      </c>
      <c r="BX114" s="0"/>
      <c r="BZ114" s="226" t="n">
        <f aca="false">BZ113+CF114</f>
        <v>113</v>
      </c>
      <c r="CA114" s="227" t="s">
        <v>794</v>
      </c>
      <c r="CB114" s="224" t="s">
        <v>289</v>
      </c>
      <c r="CC114" s="161" t="s">
        <v>286</v>
      </c>
      <c r="CD114" s="230" t="s">
        <v>287</v>
      </c>
      <c r="CE114" s="230"/>
      <c r="CF114" s="161" t="n">
        <v>1</v>
      </c>
      <c r="CG114" s="231" t="s">
        <v>795</v>
      </c>
      <c r="CH114" s="0"/>
    </row>
    <row r="115" customFormat="false" ht="12.75" hidden="false" customHeight="false" outlineLevel="0" collapsed="false">
      <c r="A115" s="244"/>
      <c r="B115" s="245" t="e">
        <f aca="false">NextMonth(B114)</f>
        <v>#VALUE!</v>
      </c>
      <c r="C115" s="246" t="n">
        <v>0.0592249190212555</v>
      </c>
      <c r="D115" s="246" t="n">
        <v>0.75</v>
      </c>
      <c r="E115" s="246" t="n">
        <v>0.75</v>
      </c>
      <c r="F115" s="246" t="n">
        <v>0.1875</v>
      </c>
      <c r="G115" s="246" t="n">
        <v>0.195</v>
      </c>
      <c r="H115" s="246" t="n">
        <v>0.2025</v>
      </c>
      <c r="I115" s="247" t="n">
        <v>3.899</v>
      </c>
      <c r="J115" s="248" t="n">
        <v>3.904</v>
      </c>
      <c r="K115" s="248" t="n">
        <v>3.909</v>
      </c>
      <c r="L115" s="248" t="n">
        <v>0.11</v>
      </c>
      <c r="M115" s="248" t="n">
        <v>0.11</v>
      </c>
      <c r="N115" s="249" t="n">
        <v>0</v>
      </c>
      <c r="O115" s="249" t="n">
        <v>0</v>
      </c>
      <c r="P115" s="250"/>
      <c r="Q115" s="250"/>
      <c r="R115" s="251" t="e">
        <f aca="false">B115</f>
        <v>#VALUE!</v>
      </c>
      <c r="S115" s="252" t="n">
        <f aca="false">T115-$S$16</f>
        <v>0.68</v>
      </c>
      <c r="T115" s="243" t="n">
        <f aca="false">D115</f>
        <v>0.75</v>
      </c>
      <c r="U115" s="253" t="n">
        <f aca="false">$U$16+T115</f>
        <v>0.82</v>
      </c>
      <c r="BP115" s="226" t="n">
        <f aca="false">BP114+BV115</f>
        <v>114</v>
      </c>
      <c r="BQ115" s="227" t="s">
        <v>796</v>
      </c>
      <c r="BR115" s="224" t="s">
        <v>285</v>
      </c>
      <c r="BS115" s="161" t="s">
        <v>421</v>
      </c>
      <c r="BT115" s="230" t="s">
        <v>287</v>
      </c>
      <c r="BU115" s="230"/>
      <c r="BV115" s="161" t="n">
        <v>1</v>
      </c>
      <c r="BW115" s="224" t="s">
        <v>797</v>
      </c>
      <c r="BX115" s="0"/>
      <c r="BZ115" s="226" t="n">
        <f aca="false">BZ114+CF115</f>
        <v>114</v>
      </c>
      <c r="CA115" s="227" t="s">
        <v>798</v>
      </c>
      <c r="CB115" s="224" t="s">
        <v>289</v>
      </c>
      <c r="CC115" s="161" t="s">
        <v>286</v>
      </c>
      <c r="CD115" s="230" t="s">
        <v>287</v>
      </c>
      <c r="CE115" s="230"/>
      <c r="CF115" s="161" t="n">
        <v>1</v>
      </c>
      <c r="CG115" s="231" t="s">
        <v>799</v>
      </c>
      <c r="CH115" s="0"/>
    </row>
    <row r="116" customFormat="false" ht="12.75" hidden="false" customHeight="false" outlineLevel="0" collapsed="false">
      <c r="A116" s="244"/>
      <c r="B116" s="245" t="e">
        <f aca="false">NextMonth(B115)</f>
        <v>#VALUE!</v>
      </c>
      <c r="C116" s="246" t="n">
        <v>0.059289482556157</v>
      </c>
      <c r="D116" s="246" t="n">
        <v>0.95</v>
      </c>
      <c r="E116" s="246" t="n">
        <v>0.95</v>
      </c>
      <c r="F116" s="246" t="n">
        <v>0.1875</v>
      </c>
      <c r="G116" s="246" t="n">
        <v>0.195</v>
      </c>
      <c r="H116" s="246" t="n">
        <v>0.2025</v>
      </c>
      <c r="I116" s="247" t="n">
        <v>4.039</v>
      </c>
      <c r="J116" s="248" t="n">
        <v>4.044</v>
      </c>
      <c r="K116" s="248" t="n">
        <v>4.049</v>
      </c>
      <c r="L116" s="248" t="n">
        <v>0.16</v>
      </c>
      <c r="M116" s="248" t="n">
        <v>0.16</v>
      </c>
      <c r="N116" s="249" t="n">
        <v>0</v>
      </c>
      <c r="O116" s="249" t="n">
        <v>0</v>
      </c>
      <c r="P116" s="250"/>
      <c r="Q116" s="250"/>
      <c r="R116" s="251" t="e">
        <f aca="false">B116</f>
        <v>#VALUE!</v>
      </c>
      <c r="S116" s="252" t="n">
        <f aca="false">T116-$S$16</f>
        <v>0.88</v>
      </c>
      <c r="T116" s="243" t="n">
        <f aca="false">D116</f>
        <v>0.95</v>
      </c>
      <c r="U116" s="253" t="n">
        <f aca="false">$U$16+T116</f>
        <v>1.02</v>
      </c>
      <c r="BP116" s="226" t="n">
        <f aca="false">BP115+BV116</f>
        <v>115</v>
      </c>
      <c r="BQ116" s="227" t="s">
        <v>800</v>
      </c>
      <c r="BR116" s="224" t="s">
        <v>285</v>
      </c>
      <c r="BS116" s="161" t="s">
        <v>421</v>
      </c>
      <c r="BT116" s="230" t="s">
        <v>287</v>
      </c>
      <c r="BU116" s="230"/>
      <c r="BV116" s="161" t="n">
        <v>1</v>
      </c>
      <c r="BW116" s="224" t="s">
        <v>801</v>
      </c>
      <c r="BX116" s="0"/>
      <c r="BZ116" s="226" t="n">
        <f aca="false">BZ115+CF116</f>
        <v>115</v>
      </c>
      <c r="CA116" s="227" t="s">
        <v>802</v>
      </c>
      <c r="CB116" s="224" t="s">
        <v>289</v>
      </c>
      <c r="CC116" s="161" t="s">
        <v>286</v>
      </c>
      <c r="CD116" s="230" t="s">
        <v>287</v>
      </c>
      <c r="CE116" s="230"/>
      <c r="CF116" s="161" t="n">
        <v>1</v>
      </c>
      <c r="CG116" s="231" t="s">
        <v>803</v>
      </c>
      <c r="CH116" s="0"/>
    </row>
    <row r="117" customFormat="false" ht="12.75" hidden="false" customHeight="false" outlineLevel="0" collapsed="false">
      <c r="A117" s="244"/>
      <c r="B117" s="245" t="e">
        <f aca="false">NextMonth(B116)</f>
        <v>#VALUE!</v>
      </c>
      <c r="C117" s="246" t="n">
        <v>0.0593519633977029</v>
      </c>
      <c r="D117" s="246" t="n">
        <v>1.15</v>
      </c>
      <c r="E117" s="246" t="n">
        <v>1.15</v>
      </c>
      <c r="F117" s="246" t="n">
        <v>0.1875</v>
      </c>
      <c r="G117" s="246" t="n">
        <v>0.195</v>
      </c>
      <c r="H117" s="246" t="n">
        <v>0.2025</v>
      </c>
      <c r="I117" s="247" t="n">
        <v>4.188</v>
      </c>
      <c r="J117" s="248" t="n">
        <v>4.193</v>
      </c>
      <c r="K117" s="248" t="n">
        <v>4.198</v>
      </c>
      <c r="L117" s="248" t="n">
        <v>0.16</v>
      </c>
      <c r="M117" s="248" t="n">
        <v>0.16</v>
      </c>
      <c r="N117" s="249" t="n">
        <v>0</v>
      </c>
      <c r="O117" s="249" t="n">
        <v>0</v>
      </c>
      <c r="P117" s="250"/>
      <c r="Q117" s="250"/>
      <c r="R117" s="251" t="e">
        <f aca="false">B117</f>
        <v>#VALUE!</v>
      </c>
      <c r="S117" s="252" t="n">
        <f aca="false">T117-$S$16</f>
        <v>1.08</v>
      </c>
      <c r="T117" s="243" t="n">
        <f aca="false">D117</f>
        <v>1.15</v>
      </c>
      <c r="U117" s="253" t="n">
        <f aca="false">$U$16+T117</f>
        <v>1.22</v>
      </c>
      <c r="BP117" s="226" t="n">
        <f aca="false">BP116+BV117</f>
        <v>116</v>
      </c>
      <c r="BQ117" s="227" t="s">
        <v>804</v>
      </c>
      <c r="BR117" s="224" t="s">
        <v>285</v>
      </c>
      <c r="BS117" s="161" t="s">
        <v>421</v>
      </c>
      <c r="BT117" s="230" t="s">
        <v>287</v>
      </c>
      <c r="BU117" s="230"/>
      <c r="BV117" s="161" t="n">
        <v>1</v>
      </c>
      <c r="BW117" s="224" t="s">
        <v>805</v>
      </c>
      <c r="BX117" s="0"/>
      <c r="BZ117" s="226" t="n">
        <f aca="false">BZ116+CF117</f>
        <v>116</v>
      </c>
      <c r="CA117" s="227" t="s">
        <v>806</v>
      </c>
      <c r="CB117" s="224" t="s">
        <v>289</v>
      </c>
      <c r="CC117" s="161" t="s">
        <v>286</v>
      </c>
      <c r="CD117" s="230" t="s">
        <v>287</v>
      </c>
      <c r="CE117" s="230"/>
      <c r="CF117" s="161" t="n">
        <v>1</v>
      </c>
      <c r="CG117" s="231" t="s">
        <v>807</v>
      </c>
      <c r="CH117" s="0"/>
    </row>
    <row r="118" customFormat="false" ht="12.75" hidden="false" customHeight="false" outlineLevel="0" collapsed="false">
      <c r="A118" s="244"/>
      <c r="B118" s="245" t="e">
        <f aca="false">NextMonth(B117)</f>
        <v>#VALUE!</v>
      </c>
      <c r="C118" s="246" t="n">
        <v>0.0594165269353302</v>
      </c>
      <c r="D118" s="246" t="n">
        <v>1.15</v>
      </c>
      <c r="E118" s="246" t="n">
        <v>1.15</v>
      </c>
      <c r="F118" s="246" t="n">
        <v>0.1875</v>
      </c>
      <c r="G118" s="246" t="n">
        <v>0.195</v>
      </c>
      <c r="H118" s="246" t="n">
        <v>0.2025</v>
      </c>
      <c r="I118" s="247" t="n">
        <v>4.292</v>
      </c>
      <c r="J118" s="248" t="n">
        <v>4.297</v>
      </c>
      <c r="K118" s="248" t="n">
        <v>4.302</v>
      </c>
      <c r="L118" s="248" t="n">
        <v>0.16</v>
      </c>
      <c r="M118" s="248" t="n">
        <v>0.16</v>
      </c>
      <c r="N118" s="249" t="n">
        <v>0</v>
      </c>
      <c r="O118" s="249" t="n">
        <v>0</v>
      </c>
      <c r="P118" s="250"/>
      <c r="Q118" s="250"/>
      <c r="R118" s="251" t="e">
        <f aca="false">B118</f>
        <v>#VALUE!</v>
      </c>
      <c r="S118" s="252" t="n">
        <f aca="false">T118-$S$16</f>
        <v>1.08</v>
      </c>
      <c r="T118" s="243" t="n">
        <f aca="false">D118</f>
        <v>1.15</v>
      </c>
      <c r="U118" s="253" t="n">
        <f aca="false">$U$16+T118</f>
        <v>1.22</v>
      </c>
      <c r="BP118" s="226" t="n">
        <f aca="false">BP117+BV118</f>
        <v>117</v>
      </c>
      <c r="BQ118" s="227" t="s">
        <v>808</v>
      </c>
      <c r="BR118" s="224" t="s">
        <v>285</v>
      </c>
      <c r="BS118" s="161" t="s">
        <v>421</v>
      </c>
      <c r="BT118" s="230" t="s">
        <v>287</v>
      </c>
      <c r="BU118" s="230"/>
      <c r="BV118" s="161" t="n">
        <v>1</v>
      </c>
      <c r="BW118" s="224" t="s">
        <v>809</v>
      </c>
      <c r="BX118" s="0"/>
      <c r="BZ118" s="226" t="n">
        <f aca="false">BZ117+CF118</f>
        <v>117</v>
      </c>
      <c r="CA118" s="227" t="s">
        <v>810</v>
      </c>
      <c r="CB118" s="224" t="s">
        <v>289</v>
      </c>
      <c r="CC118" s="161" t="s">
        <v>286</v>
      </c>
      <c r="CD118" s="230" t="s">
        <v>287</v>
      </c>
      <c r="CE118" s="230"/>
      <c r="CF118" s="161" t="n">
        <v>1</v>
      </c>
      <c r="CG118" s="231" t="s">
        <v>811</v>
      </c>
      <c r="CH118" s="0"/>
    </row>
    <row r="119" customFormat="false" ht="12.75" hidden="false" customHeight="false" outlineLevel="0" collapsed="false">
      <c r="A119" s="244"/>
      <c r="B119" s="245" t="e">
        <f aca="false">NextMonth(B118)</f>
        <v>#VALUE!</v>
      </c>
      <c r="C119" s="246" t="n">
        <v>0.0594810904743435</v>
      </c>
      <c r="D119" s="246" t="n">
        <v>1.15</v>
      </c>
      <c r="E119" s="246" t="n">
        <v>1.15</v>
      </c>
      <c r="F119" s="246" t="n">
        <v>0.1825</v>
      </c>
      <c r="G119" s="246" t="n">
        <v>0.19</v>
      </c>
      <c r="H119" s="246" t="n">
        <v>0.1975</v>
      </c>
      <c r="I119" s="247" t="n">
        <v>4.179</v>
      </c>
      <c r="J119" s="248" t="n">
        <v>4.184</v>
      </c>
      <c r="K119" s="248" t="n">
        <v>4.189</v>
      </c>
      <c r="L119" s="248" t="n">
        <v>0.16</v>
      </c>
      <c r="M119" s="248" t="n">
        <v>0.16</v>
      </c>
      <c r="N119" s="249" t="n">
        <v>0</v>
      </c>
      <c r="O119" s="249" t="n">
        <v>0</v>
      </c>
      <c r="P119" s="250"/>
      <c r="Q119" s="250"/>
      <c r="R119" s="251" t="e">
        <f aca="false">B119</f>
        <v>#VALUE!</v>
      </c>
      <c r="S119" s="252" t="n">
        <f aca="false">T119-$S$16</f>
        <v>1.08</v>
      </c>
      <c r="T119" s="243" t="n">
        <f aca="false">D119</f>
        <v>1.15</v>
      </c>
      <c r="U119" s="253" t="n">
        <f aca="false">$U$16+T119</f>
        <v>1.22</v>
      </c>
      <c r="BP119" s="226" t="n">
        <f aca="false">BP118+BV119</f>
        <v>118</v>
      </c>
      <c r="BQ119" s="227" t="s">
        <v>812</v>
      </c>
      <c r="BR119" s="224" t="s">
        <v>285</v>
      </c>
      <c r="BS119" s="161" t="s">
        <v>421</v>
      </c>
      <c r="BT119" s="230" t="s">
        <v>287</v>
      </c>
      <c r="BU119" s="230"/>
      <c r="BV119" s="161" t="n">
        <v>1</v>
      </c>
      <c r="BW119" s="224" t="s">
        <v>813</v>
      </c>
      <c r="BX119" s="0"/>
      <c r="BZ119" s="226" t="n">
        <f aca="false">BZ118+CF119</f>
        <v>118</v>
      </c>
      <c r="CA119" s="227" t="s">
        <v>814</v>
      </c>
      <c r="CB119" s="224" t="s">
        <v>289</v>
      </c>
      <c r="CC119" s="161" t="s">
        <v>286</v>
      </c>
      <c r="CD119" s="230" t="s">
        <v>287</v>
      </c>
      <c r="CE119" s="230"/>
      <c r="CF119" s="161" t="n">
        <v>1</v>
      </c>
      <c r="CG119" s="231" t="s">
        <v>815</v>
      </c>
      <c r="CH119" s="0"/>
    </row>
    <row r="120" customFormat="false" ht="12.75" hidden="false" customHeight="false" outlineLevel="0" collapsed="false">
      <c r="A120" s="244"/>
      <c r="B120" s="245" t="e">
        <f aca="false">NextMonth(B119)</f>
        <v>#VALUE!</v>
      </c>
      <c r="C120" s="246" t="n">
        <v>0.0595394059301264</v>
      </c>
      <c r="D120" s="246" t="n">
        <v>0.9</v>
      </c>
      <c r="E120" s="246" t="n">
        <v>0.9</v>
      </c>
      <c r="F120" s="246" t="n">
        <v>0.18</v>
      </c>
      <c r="G120" s="246" t="n">
        <v>0.1875</v>
      </c>
      <c r="H120" s="246" t="n">
        <v>0.195</v>
      </c>
      <c r="I120" s="247" t="n">
        <v>4.046</v>
      </c>
      <c r="J120" s="248" t="n">
        <v>4.051</v>
      </c>
      <c r="K120" s="248" t="n">
        <v>4.056</v>
      </c>
      <c r="L120" s="248" t="n">
        <v>0.16</v>
      </c>
      <c r="M120" s="248" t="n">
        <v>0.16</v>
      </c>
      <c r="N120" s="249" t="n">
        <v>0</v>
      </c>
      <c r="O120" s="249" t="n">
        <v>0</v>
      </c>
      <c r="P120" s="250"/>
      <c r="Q120" s="250"/>
      <c r="R120" s="251" t="e">
        <f aca="false">B120</f>
        <v>#VALUE!</v>
      </c>
      <c r="S120" s="252" t="n">
        <f aca="false">T120-$S$16</f>
        <v>0.83</v>
      </c>
      <c r="T120" s="243" t="n">
        <f aca="false">D120</f>
        <v>0.9</v>
      </c>
      <c r="U120" s="253" t="n">
        <f aca="false">$U$16+T120</f>
        <v>0.97</v>
      </c>
      <c r="BP120" s="226" t="n">
        <f aca="false">BP119+BV120</f>
        <v>119</v>
      </c>
      <c r="BQ120" s="227" t="s">
        <v>816</v>
      </c>
      <c r="BR120" s="224" t="s">
        <v>285</v>
      </c>
      <c r="BS120" s="161" t="s">
        <v>421</v>
      </c>
      <c r="BT120" s="230" t="s">
        <v>287</v>
      </c>
      <c r="BU120" s="230"/>
      <c r="BV120" s="161" t="n">
        <v>1</v>
      </c>
      <c r="BW120" s="224" t="s">
        <v>817</v>
      </c>
      <c r="BX120" s="0"/>
      <c r="BZ120" s="226" t="n">
        <f aca="false">BZ119+CF120</f>
        <v>119</v>
      </c>
      <c r="CA120" s="227" t="s">
        <v>818</v>
      </c>
      <c r="CB120" s="224" t="s">
        <v>289</v>
      </c>
      <c r="CC120" s="161" t="s">
        <v>286</v>
      </c>
      <c r="CD120" s="230" t="s">
        <v>287</v>
      </c>
      <c r="CE120" s="230"/>
      <c r="CF120" s="161" t="n">
        <v>1</v>
      </c>
      <c r="CG120" s="231" t="s">
        <v>819</v>
      </c>
      <c r="CH120" s="0"/>
    </row>
    <row r="121" customFormat="false" ht="12.75" hidden="false" customHeight="false" outlineLevel="0" collapsed="false">
      <c r="A121" s="244"/>
      <c r="B121" s="245" t="e">
        <f aca="false">NextMonth(B120)</f>
        <v>#VALUE!</v>
      </c>
      <c r="C121" s="246" t="n">
        <v>0.0596039694717763</v>
      </c>
      <c r="D121" s="246" t="n">
        <v>0.55</v>
      </c>
      <c r="E121" s="246" t="n">
        <v>0.55</v>
      </c>
      <c r="F121" s="246" t="n">
        <v>0.1775</v>
      </c>
      <c r="G121" s="246" t="n">
        <v>0.185</v>
      </c>
      <c r="H121" s="246" t="n">
        <v>0.1925</v>
      </c>
      <c r="I121" s="247" t="n">
        <v>3.826</v>
      </c>
      <c r="J121" s="248" t="n">
        <v>3.831</v>
      </c>
      <c r="K121" s="248" t="n">
        <v>3.836</v>
      </c>
      <c r="L121" s="248" t="n">
        <v>0.11</v>
      </c>
      <c r="M121" s="248" t="n">
        <v>0.11</v>
      </c>
      <c r="N121" s="249" t="n">
        <v>0</v>
      </c>
      <c r="O121" s="249" t="n">
        <v>0</v>
      </c>
      <c r="P121" s="250"/>
      <c r="Q121" s="250"/>
      <c r="R121" s="251" t="e">
        <f aca="false">B121</f>
        <v>#VALUE!</v>
      </c>
      <c r="S121" s="252" t="n">
        <f aca="false">T121-$S$16</f>
        <v>0.48</v>
      </c>
      <c r="T121" s="243" t="n">
        <f aca="false">D121</f>
        <v>0.55</v>
      </c>
      <c r="U121" s="253" t="n">
        <f aca="false">$U$16+T121</f>
        <v>0.62</v>
      </c>
      <c r="BP121" s="226" t="n">
        <f aca="false">BP120+BV121</f>
        <v>120</v>
      </c>
      <c r="BQ121" s="227" t="s">
        <v>820</v>
      </c>
      <c r="BR121" s="224" t="s">
        <v>285</v>
      </c>
      <c r="BS121" s="161" t="s">
        <v>421</v>
      </c>
      <c r="BT121" s="230" t="s">
        <v>287</v>
      </c>
      <c r="BU121" s="230"/>
      <c r="BV121" s="161" t="n">
        <v>1</v>
      </c>
      <c r="BW121" s="224" t="s">
        <v>821</v>
      </c>
      <c r="BX121" s="0"/>
      <c r="BZ121" s="226" t="n">
        <f aca="false">BZ120+CF121</f>
        <v>120</v>
      </c>
      <c r="CA121" s="227" t="s">
        <v>822</v>
      </c>
      <c r="CB121" s="224" t="s">
        <v>289</v>
      </c>
      <c r="CC121" s="161" t="s">
        <v>286</v>
      </c>
      <c r="CD121" s="230" t="s">
        <v>287</v>
      </c>
      <c r="CE121" s="230"/>
      <c r="CF121" s="161" t="n">
        <v>1</v>
      </c>
      <c r="CG121" s="231" t="s">
        <v>823</v>
      </c>
      <c r="CH121" s="0"/>
    </row>
    <row r="122" customFormat="false" ht="12.75" hidden="false" customHeight="false" outlineLevel="0" collapsed="false">
      <c r="A122" s="244"/>
      <c r="B122" s="245" t="e">
        <f aca="false">NextMonth(B121)</f>
        <v>#VALUE!</v>
      </c>
      <c r="C122" s="246" t="n">
        <v>0.059666450319853</v>
      </c>
      <c r="D122" s="246" t="n">
        <v>0.6</v>
      </c>
      <c r="E122" s="246" t="n">
        <v>0.6</v>
      </c>
      <c r="F122" s="246" t="n">
        <v>0.1775</v>
      </c>
      <c r="G122" s="246" t="n">
        <v>0.185</v>
      </c>
      <c r="H122" s="246" t="n">
        <v>0.1925</v>
      </c>
      <c r="I122" s="247" t="n">
        <v>3.816</v>
      </c>
      <c r="J122" s="248" t="n">
        <v>3.821</v>
      </c>
      <c r="K122" s="248" t="n">
        <v>3.826</v>
      </c>
      <c r="L122" s="248" t="n">
        <v>0.11</v>
      </c>
      <c r="M122" s="248" t="n">
        <v>0.11</v>
      </c>
      <c r="N122" s="249" t="n">
        <v>0</v>
      </c>
      <c r="O122" s="249" t="n">
        <v>0</v>
      </c>
      <c r="P122" s="250"/>
      <c r="Q122" s="250"/>
      <c r="R122" s="251" t="e">
        <f aca="false">B122</f>
        <v>#VALUE!</v>
      </c>
      <c r="S122" s="252" t="n">
        <f aca="false">T122-$S$16</f>
        <v>0.53</v>
      </c>
      <c r="T122" s="243" t="n">
        <f aca="false">D122</f>
        <v>0.6</v>
      </c>
      <c r="U122" s="253" t="n">
        <f aca="false">$U$16+T122</f>
        <v>0.67</v>
      </c>
      <c r="BP122" s="226" t="n">
        <f aca="false">BP121+BV122</f>
        <v>121</v>
      </c>
      <c r="BQ122" s="227" t="s">
        <v>824</v>
      </c>
      <c r="BR122" s="224" t="s">
        <v>285</v>
      </c>
      <c r="BS122" s="161" t="s">
        <v>421</v>
      </c>
      <c r="BT122" s="230" t="s">
        <v>287</v>
      </c>
      <c r="BU122" s="230"/>
      <c r="BV122" s="161" t="n">
        <v>1</v>
      </c>
      <c r="BW122" s="224" t="s">
        <v>825</v>
      </c>
      <c r="BX122" s="0"/>
      <c r="BZ122" s="226" t="n">
        <f aca="false">BZ121+CF122</f>
        <v>121</v>
      </c>
      <c r="CA122" s="227" t="s">
        <v>826</v>
      </c>
      <c r="CB122" s="224" t="s">
        <v>289</v>
      </c>
      <c r="CC122" s="161" t="s">
        <v>286</v>
      </c>
      <c r="CD122" s="230" t="s">
        <v>287</v>
      </c>
      <c r="CE122" s="230"/>
      <c r="CF122" s="161" t="n">
        <v>1</v>
      </c>
      <c r="CG122" s="231" t="s">
        <v>827</v>
      </c>
      <c r="CH122" s="0"/>
    </row>
    <row r="123" customFormat="false" ht="12.75" hidden="false" customHeight="false" outlineLevel="0" collapsed="false">
      <c r="A123" s="244"/>
      <c r="B123" s="245" t="e">
        <f aca="false">NextMonth(B122)</f>
        <v>#VALUE!</v>
      </c>
      <c r="C123" s="246" t="n">
        <v>0.0597310138642282</v>
      </c>
      <c r="D123" s="246" t="n">
        <v>0.6</v>
      </c>
      <c r="E123" s="246" t="n">
        <v>0.6</v>
      </c>
      <c r="F123" s="246" t="n">
        <v>0.1775</v>
      </c>
      <c r="G123" s="246" t="n">
        <v>0.185</v>
      </c>
      <c r="H123" s="246" t="n">
        <v>0.1925</v>
      </c>
      <c r="I123" s="247" t="n">
        <v>3.852</v>
      </c>
      <c r="J123" s="248" t="n">
        <v>3.857</v>
      </c>
      <c r="K123" s="248" t="n">
        <v>3.862</v>
      </c>
      <c r="L123" s="248" t="n">
        <v>0.11</v>
      </c>
      <c r="M123" s="248" t="n">
        <v>0.11</v>
      </c>
      <c r="N123" s="249" t="n">
        <v>0</v>
      </c>
      <c r="O123" s="249" t="n">
        <v>0</v>
      </c>
      <c r="P123" s="250"/>
      <c r="Q123" s="250"/>
      <c r="R123" s="251" t="e">
        <f aca="false">B123</f>
        <v>#VALUE!</v>
      </c>
      <c r="S123" s="252" t="n">
        <f aca="false">T123-$S$16</f>
        <v>0.53</v>
      </c>
      <c r="T123" s="243" t="n">
        <f aca="false">D123</f>
        <v>0.6</v>
      </c>
      <c r="U123" s="253" t="n">
        <f aca="false">$U$16+T123</f>
        <v>0.67</v>
      </c>
      <c r="BP123" s="226" t="n">
        <f aca="false">BP122+BV123</f>
        <v>122</v>
      </c>
      <c r="BQ123" s="227" t="s">
        <v>828</v>
      </c>
      <c r="BR123" s="224" t="s">
        <v>285</v>
      </c>
      <c r="BS123" s="161" t="s">
        <v>421</v>
      </c>
      <c r="BT123" s="230" t="s">
        <v>287</v>
      </c>
      <c r="BU123" s="230"/>
      <c r="BV123" s="161" t="n">
        <v>1</v>
      </c>
      <c r="BW123" s="224" t="s">
        <v>829</v>
      </c>
      <c r="BX123" s="0"/>
      <c r="BZ123" s="226" t="n">
        <f aca="false">BZ122+CF123</f>
        <v>122</v>
      </c>
      <c r="CA123" s="227" t="s">
        <v>830</v>
      </c>
      <c r="CB123" s="224" t="s">
        <v>289</v>
      </c>
      <c r="CC123" s="161" t="s">
        <v>286</v>
      </c>
      <c r="CD123" s="230" t="s">
        <v>287</v>
      </c>
      <c r="CE123" s="230"/>
      <c r="CF123" s="161" t="n">
        <v>1</v>
      </c>
      <c r="CG123" s="231" t="s">
        <v>831</v>
      </c>
      <c r="CH123" s="0"/>
    </row>
    <row r="124" customFormat="false" ht="12.75" hidden="false" customHeight="false" outlineLevel="0" collapsed="false">
      <c r="A124" s="244"/>
      <c r="B124" s="245" t="e">
        <f aca="false">NextMonth(B123)</f>
        <v>#VALUE!</v>
      </c>
      <c r="C124" s="246" t="n">
        <v>0.0597934947149428</v>
      </c>
      <c r="D124" s="246" t="n">
        <v>0.65</v>
      </c>
      <c r="E124" s="246" t="n">
        <v>0.65</v>
      </c>
      <c r="F124" s="246" t="n">
        <v>0.1775</v>
      </c>
      <c r="G124" s="246" t="n">
        <v>0.185</v>
      </c>
      <c r="H124" s="246" t="n">
        <v>0.1925</v>
      </c>
      <c r="I124" s="247" t="n">
        <v>3.902</v>
      </c>
      <c r="J124" s="248" t="n">
        <v>3.907</v>
      </c>
      <c r="K124" s="248" t="n">
        <v>3.912</v>
      </c>
      <c r="L124" s="248" t="n">
        <v>0.11</v>
      </c>
      <c r="M124" s="248" t="n">
        <v>0.11</v>
      </c>
      <c r="N124" s="249" t="n">
        <v>0</v>
      </c>
      <c r="O124" s="249" t="n">
        <v>0</v>
      </c>
      <c r="P124" s="250"/>
      <c r="Q124" s="250"/>
      <c r="R124" s="251" t="e">
        <f aca="false">B124</f>
        <v>#VALUE!</v>
      </c>
      <c r="S124" s="252" t="n">
        <f aca="false">T124-$S$16</f>
        <v>0.58</v>
      </c>
      <c r="T124" s="243" t="n">
        <f aca="false">D124</f>
        <v>0.65</v>
      </c>
      <c r="U124" s="253" t="n">
        <f aca="false">$U$16+T124</f>
        <v>0.72</v>
      </c>
      <c r="BP124" s="226" t="n">
        <f aca="false">BP123+BV124</f>
        <v>123</v>
      </c>
      <c r="BQ124" s="227" t="s">
        <v>832</v>
      </c>
      <c r="BR124" s="224" t="s">
        <v>285</v>
      </c>
      <c r="BS124" s="161" t="s">
        <v>421</v>
      </c>
      <c r="BT124" s="230" t="s">
        <v>287</v>
      </c>
      <c r="BU124" s="230"/>
      <c r="BV124" s="161" t="n">
        <v>1</v>
      </c>
      <c r="BW124" s="224" t="s">
        <v>833</v>
      </c>
      <c r="BX124" s="0"/>
      <c r="BZ124" s="226" t="n">
        <f aca="false">BZ123+CF124</f>
        <v>123</v>
      </c>
      <c r="CA124" s="227" t="s">
        <v>834</v>
      </c>
      <c r="CB124" s="224" t="s">
        <v>289</v>
      </c>
      <c r="CC124" s="161" t="s">
        <v>286</v>
      </c>
      <c r="CD124" s="230" t="s">
        <v>287</v>
      </c>
      <c r="CE124" s="230"/>
      <c r="CF124" s="161" t="n">
        <v>1</v>
      </c>
      <c r="CG124" s="231" t="s">
        <v>835</v>
      </c>
      <c r="CH124" s="0"/>
    </row>
    <row r="125" customFormat="false" ht="12.75" hidden="false" customHeight="false" outlineLevel="0" collapsed="false">
      <c r="A125" s="244"/>
      <c r="B125" s="245" t="e">
        <f aca="false">NextMonth(B124)</f>
        <v>#VALUE!</v>
      </c>
      <c r="C125" s="246" t="n">
        <v>0.0598580582620438</v>
      </c>
      <c r="D125" s="246" t="n">
        <v>0.7</v>
      </c>
      <c r="E125" s="246" t="n">
        <v>0.7</v>
      </c>
      <c r="F125" s="246" t="n">
        <v>0.1775</v>
      </c>
      <c r="G125" s="246" t="n">
        <v>0.185</v>
      </c>
      <c r="H125" s="246" t="n">
        <v>0.1925</v>
      </c>
      <c r="I125" s="247" t="n">
        <v>3.925</v>
      </c>
      <c r="J125" s="248" t="n">
        <v>3.93</v>
      </c>
      <c r="K125" s="248" t="n">
        <v>3.935</v>
      </c>
      <c r="L125" s="248" t="n">
        <v>0.11</v>
      </c>
      <c r="M125" s="248" t="n">
        <v>0.11</v>
      </c>
      <c r="N125" s="249" t="n">
        <v>0</v>
      </c>
      <c r="O125" s="249" t="n">
        <v>0</v>
      </c>
      <c r="P125" s="250"/>
      <c r="Q125" s="250"/>
      <c r="R125" s="251" t="e">
        <f aca="false">B125</f>
        <v>#VALUE!</v>
      </c>
      <c r="S125" s="252" t="n">
        <f aca="false">T125-$S$16</f>
        <v>0.63</v>
      </c>
      <c r="T125" s="243" t="n">
        <f aca="false">D125</f>
        <v>0.7</v>
      </c>
      <c r="U125" s="253" t="n">
        <f aca="false">$U$16+T125</f>
        <v>0.77</v>
      </c>
      <c r="BP125" s="226" t="n">
        <f aca="false">BP124+BV125</f>
        <v>124</v>
      </c>
      <c r="BQ125" s="227" t="s">
        <v>836</v>
      </c>
      <c r="BR125" s="224" t="s">
        <v>285</v>
      </c>
      <c r="BS125" s="161" t="s">
        <v>421</v>
      </c>
      <c r="BT125" s="230" t="s">
        <v>287</v>
      </c>
      <c r="BU125" s="230"/>
      <c r="BV125" s="161" t="n">
        <v>1</v>
      </c>
      <c r="BW125" s="224" t="s">
        <v>837</v>
      </c>
      <c r="BX125" s="0"/>
      <c r="BZ125" s="226" t="n">
        <f aca="false">BZ124+CF125</f>
        <v>124</v>
      </c>
      <c r="CA125" s="227" t="s">
        <v>838</v>
      </c>
      <c r="CB125" s="224" t="s">
        <v>289</v>
      </c>
      <c r="CC125" s="161" t="s">
        <v>286</v>
      </c>
      <c r="CD125" s="230" t="s">
        <v>287</v>
      </c>
      <c r="CE125" s="230"/>
      <c r="CF125" s="161" t="n">
        <v>1</v>
      </c>
      <c r="CG125" s="231" t="s">
        <v>839</v>
      </c>
      <c r="CH125" s="0"/>
    </row>
    <row r="126" customFormat="false" ht="12.75" hidden="false" customHeight="false" outlineLevel="0" collapsed="false">
      <c r="A126" s="244"/>
      <c r="B126" s="245" t="e">
        <f aca="false">NextMonth(B125)</f>
        <v>#VALUE!</v>
      </c>
      <c r="C126" s="246" t="n">
        <v>0.05992262181053</v>
      </c>
      <c r="D126" s="246" t="n">
        <v>0.7</v>
      </c>
      <c r="E126" s="246" t="n">
        <v>0.7</v>
      </c>
      <c r="F126" s="246" t="n">
        <v>0.1775</v>
      </c>
      <c r="G126" s="246" t="n">
        <v>0.185</v>
      </c>
      <c r="H126" s="246" t="n">
        <v>0.1925</v>
      </c>
      <c r="I126" s="247" t="n">
        <v>3.94</v>
      </c>
      <c r="J126" s="248" t="n">
        <v>3.945</v>
      </c>
      <c r="K126" s="248" t="n">
        <v>3.95</v>
      </c>
      <c r="L126" s="248" t="n">
        <v>0.11</v>
      </c>
      <c r="M126" s="248" t="n">
        <v>0.11</v>
      </c>
      <c r="N126" s="249" t="n">
        <v>0</v>
      </c>
      <c r="O126" s="249" t="n">
        <v>0</v>
      </c>
      <c r="P126" s="250"/>
      <c r="Q126" s="250"/>
      <c r="R126" s="251" t="e">
        <f aca="false">B126</f>
        <v>#VALUE!</v>
      </c>
      <c r="S126" s="252" t="n">
        <f aca="false">T126-$S$16</f>
        <v>0.63</v>
      </c>
      <c r="T126" s="243" t="n">
        <f aca="false">D126</f>
        <v>0.7</v>
      </c>
      <c r="U126" s="253" t="n">
        <f aca="false">$U$16+T126</f>
        <v>0.77</v>
      </c>
      <c r="BP126" s="226" t="n">
        <f aca="false">BP125+BV126</f>
        <v>125</v>
      </c>
      <c r="BQ126" s="227" t="s">
        <v>840</v>
      </c>
      <c r="BR126" s="224" t="s">
        <v>285</v>
      </c>
      <c r="BS126" s="161" t="s">
        <v>421</v>
      </c>
      <c r="BT126" s="230" t="s">
        <v>287</v>
      </c>
      <c r="BU126" s="230"/>
      <c r="BV126" s="161" t="n">
        <v>1</v>
      </c>
      <c r="BW126" s="224" t="s">
        <v>841</v>
      </c>
      <c r="BX126" s="0"/>
      <c r="BZ126" s="226" t="n">
        <f aca="false">BZ125+CF126</f>
        <v>125</v>
      </c>
      <c r="CA126" s="227" t="s">
        <v>842</v>
      </c>
      <c r="CB126" s="224" t="s">
        <v>289</v>
      </c>
      <c r="CC126" s="161" t="s">
        <v>286</v>
      </c>
      <c r="CD126" s="230" t="s">
        <v>287</v>
      </c>
      <c r="CE126" s="230"/>
      <c r="CF126" s="161" t="n">
        <v>1</v>
      </c>
      <c r="CG126" s="231" t="s">
        <v>843</v>
      </c>
      <c r="CH126" s="0"/>
    </row>
    <row r="127" customFormat="false" ht="12.75" hidden="false" customHeight="false" outlineLevel="0" collapsed="false">
      <c r="A127" s="244"/>
      <c r="B127" s="245" t="e">
        <f aca="false">NextMonth(B126)</f>
        <v>#VALUE!</v>
      </c>
      <c r="C127" s="246" t="n">
        <v>0.0599851026652227</v>
      </c>
      <c r="D127" s="246" t="n">
        <v>0.75</v>
      </c>
      <c r="E127" s="246" t="n">
        <v>0.75</v>
      </c>
      <c r="F127" s="246" t="n">
        <v>0.1775</v>
      </c>
      <c r="G127" s="246" t="n">
        <v>0.185</v>
      </c>
      <c r="H127" s="246" t="n">
        <v>0.1925</v>
      </c>
      <c r="I127" s="247" t="n">
        <v>3.969</v>
      </c>
      <c r="J127" s="248" t="n">
        <v>3.974</v>
      </c>
      <c r="K127" s="248" t="n">
        <v>3.979</v>
      </c>
      <c r="L127" s="248" t="n">
        <v>0.11</v>
      </c>
      <c r="M127" s="248" t="n">
        <v>0.11</v>
      </c>
      <c r="N127" s="249" t="n">
        <v>0</v>
      </c>
      <c r="O127" s="249" t="n">
        <v>0</v>
      </c>
      <c r="P127" s="250"/>
      <c r="Q127" s="250"/>
      <c r="R127" s="251" t="e">
        <f aca="false">B127</f>
        <v>#VALUE!</v>
      </c>
      <c r="S127" s="252" t="n">
        <f aca="false">T127-$S$16</f>
        <v>0.68</v>
      </c>
      <c r="T127" s="243" t="n">
        <f aca="false">D127</f>
        <v>0.75</v>
      </c>
      <c r="U127" s="253" t="n">
        <f aca="false">$U$16+T127</f>
        <v>0.82</v>
      </c>
      <c r="BP127" s="226" t="n">
        <f aca="false">BP126+BV127</f>
        <v>126</v>
      </c>
      <c r="BQ127" s="227" t="s">
        <v>844</v>
      </c>
      <c r="BR127" s="224" t="s">
        <v>285</v>
      </c>
      <c r="BS127" s="161" t="s">
        <v>421</v>
      </c>
      <c r="BT127" s="230" t="s">
        <v>287</v>
      </c>
      <c r="BU127" s="230"/>
      <c r="BV127" s="161" t="n">
        <v>1</v>
      </c>
      <c r="BW127" s="224" t="s">
        <v>845</v>
      </c>
      <c r="BX127" s="0"/>
      <c r="BZ127" s="226" t="n">
        <f aca="false">BZ126+CF127</f>
        <v>126</v>
      </c>
      <c r="CA127" s="227" t="s">
        <v>846</v>
      </c>
      <c r="CB127" s="224" t="s">
        <v>289</v>
      </c>
      <c r="CC127" s="161" t="s">
        <v>286</v>
      </c>
      <c r="CD127" s="230" t="s">
        <v>287</v>
      </c>
      <c r="CE127" s="230"/>
      <c r="CF127" s="161" t="n">
        <v>1</v>
      </c>
      <c r="CG127" s="231" t="s">
        <v>847</v>
      </c>
      <c r="CH127" s="0"/>
    </row>
    <row r="128" customFormat="false" ht="12.75" hidden="false" customHeight="false" outlineLevel="0" collapsed="false">
      <c r="A128" s="244"/>
      <c r="B128" s="245" t="e">
        <f aca="false">NextMonth(B127)</f>
        <v>#VALUE!</v>
      </c>
      <c r="C128" s="246" t="n">
        <v>0.0600496662164347</v>
      </c>
      <c r="D128" s="246" t="n">
        <v>0.95</v>
      </c>
      <c r="E128" s="246" t="n">
        <v>0.95</v>
      </c>
      <c r="F128" s="246" t="n">
        <v>0.1775</v>
      </c>
      <c r="G128" s="246" t="n">
        <v>0.185</v>
      </c>
      <c r="H128" s="246" t="n">
        <v>0.1925</v>
      </c>
      <c r="I128" s="247" t="n">
        <v>4.109</v>
      </c>
      <c r="J128" s="248" t="n">
        <v>4.114</v>
      </c>
      <c r="K128" s="248" t="n">
        <v>4.119</v>
      </c>
      <c r="L128" s="248" t="n">
        <v>0.16</v>
      </c>
      <c r="M128" s="248" t="n">
        <v>0.16</v>
      </c>
      <c r="N128" s="249" t="n">
        <v>0</v>
      </c>
      <c r="O128" s="249" t="n">
        <v>0</v>
      </c>
      <c r="P128" s="250"/>
      <c r="Q128" s="250"/>
      <c r="R128" s="251" t="e">
        <f aca="false">B128</f>
        <v>#VALUE!</v>
      </c>
      <c r="S128" s="252" t="n">
        <f aca="false">T128-$S$16</f>
        <v>0.88</v>
      </c>
      <c r="T128" s="243" t="n">
        <f aca="false">D128</f>
        <v>0.95</v>
      </c>
      <c r="U128" s="253" t="n">
        <f aca="false">$U$16+T128</f>
        <v>1.02</v>
      </c>
      <c r="BP128" s="226" t="n">
        <f aca="false">BP127+BV128</f>
        <v>127</v>
      </c>
      <c r="BQ128" s="227" t="s">
        <v>848</v>
      </c>
      <c r="BR128" s="224" t="s">
        <v>285</v>
      </c>
      <c r="BS128" s="161" t="s">
        <v>421</v>
      </c>
      <c r="BT128" s="230" t="s">
        <v>287</v>
      </c>
      <c r="BU128" s="230"/>
      <c r="BV128" s="161" t="n">
        <v>1</v>
      </c>
      <c r="BW128" s="224" t="s">
        <v>849</v>
      </c>
      <c r="BX128" s="0"/>
      <c r="BZ128" s="226" t="n">
        <f aca="false">BZ127+CF128</f>
        <v>127</v>
      </c>
      <c r="CA128" s="227" t="s">
        <v>850</v>
      </c>
      <c r="CB128" s="224" t="s">
        <v>289</v>
      </c>
      <c r="CC128" s="161" t="s">
        <v>286</v>
      </c>
      <c r="CD128" s="230" t="s">
        <v>287</v>
      </c>
      <c r="CE128" s="230"/>
      <c r="CF128" s="161" t="n">
        <v>1</v>
      </c>
      <c r="CG128" s="231" t="s">
        <v>851</v>
      </c>
      <c r="CH128" s="0"/>
    </row>
    <row r="129" customFormat="false" ht="12.75" hidden="false" customHeight="false" outlineLevel="0" collapsed="false">
      <c r="A129" s="244"/>
      <c r="B129" s="245" t="e">
        <f aca="false">NextMonth(B128)</f>
        <v>#VALUE!</v>
      </c>
      <c r="C129" s="246" t="n">
        <v>0.0601121470737644</v>
      </c>
      <c r="D129" s="246" t="n">
        <v>1.15</v>
      </c>
      <c r="E129" s="246" t="n">
        <v>1.15</v>
      </c>
      <c r="F129" s="246" t="n">
        <v>0.1775</v>
      </c>
      <c r="G129" s="246" t="n">
        <v>0.185</v>
      </c>
      <c r="H129" s="246" t="n">
        <v>0.1925</v>
      </c>
      <c r="I129" s="247" t="n">
        <v>4.258</v>
      </c>
      <c r="J129" s="248" t="n">
        <v>4.263</v>
      </c>
      <c r="K129" s="248" t="n">
        <v>4.268</v>
      </c>
      <c r="L129" s="248" t="n">
        <v>0.16</v>
      </c>
      <c r="M129" s="248" t="n">
        <v>0.16</v>
      </c>
      <c r="N129" s="249" t="n">
        <v>0</v>
      </c>
      <c r="O129" s="249" t="n">
        <v>0</v>
      </c>
      <c r="P129" s="250"/>
      <c r="Q129" s="250"/>
      <c r="R129" s="251" t="e">
        <f aca="false">B129</f>
        <v>#VALUE!</v>
      </c>
      <c r="S129" s="252" t="n">
        <f aca="false">T129-$S$16</f>
        <v>1.08</v>
      </c>
      <c r="T129" s="243" t="n">
        <f aca="false">D129</f>
        <v>1.15</v>
      </c>
      <c r="U129" s="253" t="n">
        <f aca="false">$U$16+T129</f>
        <v>1.22</v>
      </c>
      <c r="BP129" s="226" t="n">
        <f aca="false">BP128+BV129</f>
        <v>128</v>
      </c>
      <c r="BQ129" s="227" t="s">
        <v>852</v>
      </c>
      <c r="BR129" s="224" t="s">
        <v>285</v>
      </c>
      <c r="BS129" s="161" t="s">
        <v>421</v>
      </c>
      <c r="BT129" s="230" t="s">
        <v>287</v>
      </c>
      <c r="BU129" s="230"/>
      <c r="BV129" s="161" t="n">
        <v>1</v>
      </c>
      <c r="BW129" s="224" t="s">
        <v>853</v>
      </c>
      <c r="BX129" s="0"/>
      <c r="BZ129" s="226" t="n">
        <f aca="false">BZ128+CF129</f>
        <v>128</v>
      </c>
      <c r="CA129" s="227" t="s">
        <v>854</v>
      </c>
      <c r="CB129" s="224" t="s">
        <v>289</v>
      </c>
      <c r="CC129" s="161" t="s">
        <v>286</v>
      </c>
      <c r="CD129" s="230" t="s">
        <v>287</v>
      </c>
      <c r="CE129" s="230"/>
      <c r="CF129" s="161" t="n">
        <v>1</v>
      </c>
      <c r="CG129" s="231" t="s">
        <v>855</v>
      </c>
      <c r="CH129" s="0"/>
    </row>
    <row r="130" customFormat="false" ht="12.75" hidden="false" customHeight="false" outlineLevel="0" collapsed="false">
      <c r="A130" s="244"/>
      <c r="B130" s="245" t="e">
        <f aca="false">NextMonth(B129)</f>
        <v>#VALUE!</v>
      </c>
      <c r="C130" s="246" t="n">
        <v>0.0601767106277014</v>
      </c>
      <c r="D130" s="246" t="n">
        <v>1.15</v>
      </c>
      <c r="E130" s="246" t="n">
        <v>1.15</v>
      </c>
      <c r="F130" s="246" t="n">
        <v>0.1775</v>
      </c>
      <c r="G130" s="246" t="n">
        <v>0.185</v>
      </c>
      <c r="H130" s="246" t="n">
        <v>0.1925</v>
      </c>
      <c r="I130" s="247" t="n">
        <v>4.367</v>
      </c>
      <c r="J130" s="248" t="n">
        <v>4.372</v>
      </c>
      <c r="K130" s="248" t="n">
        <v>4.377</v>
      </c>
      <c r="L130" s="248" t="n">
        <v>0.16</v>
      </c>
      <c r="M130" s="248" t="n">
        <v>0.16</v>
      </c>
      <c r="N130" s="249" t="n">
        <v>0</v>
      </c>
      <c r="O130" s="249" t="n">
        <v>0</v>
      </c>
      <c r="P130" s="250"/>
      <c r="Q130" s="250"/>
      <c r="R130" s="251" t="e">
        <f aca="false">B130</f>
        <v>#VALUE!</v>
      </c>
      <c r="S130" s="252" t="n">
        <f aca="false">T130-$S$16</f>
        <v>1.08</v>
      </c>
      <c r="T130" s="243" t="n">
        <f aca="false">D130</f>
        <v>1.15</v>
      </c>
      <c r="U130" s="253" t="n">
        <f aca="false">$U$16+T130</f>
        <v>1.22</v>
      </c>
      <c r="BP130" s="226" t="n">
        <f aca="false">BP129+BV130</f>
        <v>129</v>
      </c>
      <c r="BQ130" s="227" t="s">
        <v>856</v>
      </c>
      <c r="BR130" s="224" t="s">
        <v>285</v>
      </c>
      <c r="BS130" s="161" t="s">
        <v>421</v>
      </c>
      <c r="BT130" s="230" t="s">
        <v>287</v>
      </c>
      <c r="BU130" s="230"/>
      <c r="BV130" s="161" t="n">
        <v>1</v>
      </c>
      <c r="BW130" s="224" t="s">
        <v>857</v>
      </c>
      <c r="BX130" s="0"/>
      <c r="BZ130" s="226" t="n">
        <f aca="false">BZ129+CF130</f>
        <v>129</v>
      </c>
      <c r="CA130" s="227" t="s">
        <v>858</v>
      </c>
      <c r="CB130" s="224" t="s">
        <v>289</v>
      </c>
      <c r="CC130" s="161" t="s">
        <v>286</v>
      </c>
      <c r="CD130" s="230" t="s">
        <v>287</v>
      </c>
      <c r="CE130" s="230"/>
      <c r="CF130" s="161" t="n">
        <v>1</v>
      </c>
      <c r="CG130" s="231" t="s">
        <v>859</v>
      </c>
      <c r="CH130" s="0"/>
    </row>
    <row r="131" customFormat="false" ht="12.75" hidden="false" customHeight="false" outlineLevel="0" collapsed="false">
      <c r="A131" s="244"/>
      <c r="B131" s="245" t="e">
        <f aca="false">NextMonth(B130)</f>
        <v>#VALUE!</v>
      </c>
      <c r="C131" s="246" t="n">
        <v>0.0602412741830234</v>
      </c>
      <c r="D131" s="246" t="n">
        <v>1.15</v>
      </c>
      <c r="E131" s="246" t="n">
        <v>1.15</v>
      </c>
      <c r="F131" s="246" t="n">
        <v>0.1775</v>
      </c>
      <c r="G131" s="246" t="n">
        <v>0.185</v>
      </c>
      <c r="H131" s="246" t="n">
        <v>0.1925</v>
      </c>
      <c r="I131" s="247" t="n">
        <v>4.254</v>
      </c>
      <c r="J131" s="248" t="n">
        <v>4.259</v>
      </c>
      <c r="K131" s="248" t="n">
        <v>4.264</v>
      </c>
      <c r="L131" s="248" t="n">
        <v>0.16</v>
      </c>
      <c r="M131" s="248" t="n">
        <v>0.16</v>
      </c>
      <c r="N131" s="249" t="n">
        <v>0</v>
      </c>
      <c r="O131" s="249" t="n">
        <v>0</v>
      </c>
      <c r="P131" s="250"/>
      <c r="Q131" s="250"/>
      <c r="R131" s="251" t="e">
        <f aca="false">B131</f>
        <v>#VALUE!</v>
      </c>
      <c r="S131" s="252" t="n">
        <f aca="false">T131-$S$16</f>
        <v>1.08</v>
      </c>
      <c r="T131" s="243" t="n">
        <f aca="false">D131</f>
        <v>1.15</v>
      </c>
      <c r="U131" s="253" t="n">
        <f aca="false">$U$16+T131</f>
        <v>1.22</v>
      </c>
      <c r="BP131" s="226" t="n">
        <f aca="false">BP130+BV131</f>
        <v>130</v>
      </c>
      <c r="BQ131" s="227" t="s">
        <v>860</v>
      </c>
      <c r="BR131" s="224" t="s">
        <v>285</v>
      </c>
      <c r="BS131" s="161" t="s">
        <v>421</v>
      </c>
      <c r="BT131" s="230" t="s">
        <v>287</v>
      </c>
      <c r="BU131" s="230"/>
      <c r="BV131" s="161" t="n">
        <v>1</v>
      </c>
      <c r="BW131" s="224" t="s">
        <v>861</v>
      </c>
      <c r="BX131" s="0"/>
      <c r="BZ131" s="226" t="n">
        <f aca="false">BZ130+CF131</f>
        <v>130</v>
      </c>
      <c r="CA131" s="227" t="s">
        <v>862</v>
      </c>
      <c r="CB131" s="224" t="s">
        <v>289</v>
      </c>
      <c r="CC131" s="161" t="s">
        <v>286</v>
      </c>
      <c r="CD131" s="230" t="s">
        <v>287</v>
      </c>
      <c r="CE131" s="230"/>
      <c r="CF131" s="161" t="n">
        <v>1</v>
      </c>
      <c r="CG131" s="231" t="s">
        <v>863</v>
      </c>
      <c r="CH131" s="0"/>
    </row>
    <row r="132" customFormat="false" ht="12.75" hidden="false" customHeight="false" outlineLevel="0" collapsed="false">
      <c r="A132" s="244"/>
      <c r="B132" s="245" t="e">
        <f aca="false">NextMonth(B131)</f>
        <v>#VALUE!</v>
      </c>
      <c r="C132" s="246" t="n">
        <v>0.0602995896535368</v>
      </c>
      <c r="D132" s="246" t="n">
        <v>0.9</v>
      </c>
      <c r="E132" s="246" t="n">
        <v>0.9</v>
      </c>
      <c r="F132" s="246" t="n">
        <v>0.1725</v>
      </c>
      <c r="G132" s="246" t="n">
        <v>0.18</v>
      </c>
      <c r="H132" s="246" t="n">
        <v>0.1875</v>
      </c>
      <c r="I132" s="247" t="n">
        <v>4.121</v>
      </c>
      <c r="J132" s="248" t="n">
        <v>4.126</v>
      </c>
      <c r="K132" s="248" t="n">
        <v>4.131</v>
      </c>
      <c r="L132" s="248" t="n">
        <v>0.16</v>
      </c>
      <c r="M132" s="248" t="n">
        <v>0.16</v>
      </c>
      <c r="N132" s="249" t="n">
        <v>0</v>
      </c>
      <c r="O132" s="249" t="n">
        <v>0</v>
      </c>
      <c r="P132" s="250"/>
      <c r="Q132" s="250"/>
      <c r="R132" s="251" t="e">
        <f aca="false">B132</f>
        <v>#VALUE!</v>
      </c>
      <c r="S132" s="252" t="n">
        <f aca="false">T132-$S$16</f>
        <v>0.83</v>
      </c>
      <c r="T132" s="243" t="n">
        <f aca="false">D132</f>
        <v>0.9</v>
      </c>
      <c r="U132" s="253" t="n">
        <f aca="false">$U$16+T132</f>
        <v>0.97</v>
      </c>
      <c r="BP132" s="226" t="n">
        <f aca="false">BP131+BV132</f>
        <v>131</v>
      </c>
      <c r="BQ132" s="227" t="s">
        <v>864</v>
      </c>
      <c r="BR132" s="224" t="s">
        <v>285</v>
      </c>
      <c r="BS132" s="161" t="s">
        <v>421</v>
      </c>
      <c r="BT132" s="230" t="s">
        <v>287</v>
      </c>
      <c r="BU132" s="230"/>
      <c r="BV132" s="161" t="n">
        <v>1</v>
      </c>
      <c r="BW132" s="224" t="s">
        <v>865</v>
      </c>
      <c r="BX132" s="0"/>
      <c r="BZ132" s="226" t="n">
        <f aca="false">BZ131+CF132</f>
        <v>131</v>
      </c>
      <c r="CA132" s="227" t="s">
        <v>866</v>
      </c>
      <c r="CB132" s="224" t="s">
        <v>289</v>
      </c>
      <c r="CC132" s="161" t="s">
        <v>286</v>
      </c>
      <c r="CD132" s="230" t="s">
        <v>287</v>
      </c>
      <c r="CE132" s="230"/>
      <c r="CF132" s="161" t="n">
        <v>1</v>
      </c>
      <c r="CG132" s="231" t="s">
        <v>867</v>
      </c>
      <c r="CH132" s="0"/>
    </row>
    <row r="133" customFormat="false" ht="12.75" hidden="false" customHeight="false" outlineLevel="0" collapsed="false">
      <c r="A133" s="244"/>
      <c r="B133" s="245" t="e">
        <f aca="false">NextMonth(B132)</f>
        <v>#VALUE!</v>
      </c>
      <c r="C133" s="246" t="n">
        <v>0.060364153211494</v>
      </c>
      <c r="D133" s="246" t="n">
        <v>0.55</v>
      </c>
      <c r="E133" s="246" t="n">
        <v>0.55</v>
      </c>
      <c r="F133" s="246" t="n">
        <v>0.1725</v>
      </c>
      <c r="G133" s="246" t="n">
        <v>0.18</v>
      </c>
      <c r="H133" s="246" t="n">
        <v>0.1875</v>
      </c>
      <c r="I133" s="247" t="n">
        <v>3.901</v>
      </c>
      <c r="J133" s="248" t="n">
        <v>3.906</v>
      </c>
      <c r="K133" s="248" t="n">
        <v>3.911</v>
      </c>
      <c r="L133" s="248" t="n">
        <v>0.11</v>
      </c>
      <c r="M133" s="248" t="n">
        <v>0.11</v>
      </c>
      <c r="N133" s="249" t="n">
        <v>0</v>
      </c>
      <c r="O133" s="249" t="n">
        <v>0</v>
      </c>
      <c r="P133" s="250"/>
      <c r="Q133" s="250"/>
      <c r="R133" s="251" t="e">
        <f aca="false">B133</f>
        <v>#VALUE!</v>
      </c>
      <c r="S133" s="252" t="n">
        <f aca="false">T133-$S$16</f>
        <v>0.48</v>
      </c>
      <c r="T133" s="243" t="n">
        <f aca="false">D133</f>
        <v>0.55</v>
      </c>
      <c r="U133" s="253" t="n">
        <f aca="false">$U$16+T133</f>
        <v>0.62</v>
      </c>
      <c r="BP133" s="226" t="n">
        <f aca="false">BP132+BV133</f>
        <v>132</v>
      </c>
      <c r="BQ133" s="227" t="s">
        <v>868</v>
      </c>
      <c r="BR133" s="224" t="s">
        <v>285</v>
      </c>
      <c r="BS133" s="161" t="s">
        <v>421</v>
      </c>
      <c r="BT133" s="230" t="s">
        <v>287</v>
      </c>
      <c r="BU133" s="230"/>
      <c r="BV133" s="161" t="n">
        <v>1</v>
      </c>
      <c r="BW133" s="224" t="s">
        <v>869</v>
      </c>
      <c r="BX133" s="0"/>
      <c r="BZ133" s="226" t="n">
        <f aca="false">BZ132+CF133</f>
        <v>132</v>
      </c>
      <c r="CA133" s="227" t="s">
        <v>870</v>
      </c>
      <c r="CB133" s="224" t="s">
        <v>289</v>
      </c>
      <c r="CC133" s="161" t="s">
        <v>286</v>
      </c>
      <c r="CD133" s="230" t="s">
        <v>287</v>
      </c>
      <c r="CE133" s="230"/>
      <c r="CF133" s="161" t="n">
        <v>1</v>
      </c>
      <c r="CG133" s="231" t="s">
        <v>871</v>
      </c>
      <c r="CH133" s="0"/>
    </row>
    <row r="134" customFormat="false" ht="12.75" hidden="false" customHeight="false" outlineLevel="0" collapsed="false">
      <c r="A134" s="244"/>
      <c r="B134" s="245" t="e">
        <f aca="false">NextMonth(B133)</f>
        <v>#VALUE!</v>
      </c>
      <c r="C134" s="246" t="n">
        <v>0.0604266340753519</v>
      </c>
      <c r="D134" s="246" t="n">
        <v>0.6</v>
      </c>
      <c r="E134" s="246" t="n">
        <v>0.6</v>
      </c>
      <c r="F134" s="246" t="n">
        <v>0.1725</v>
      </c>
      <c r="G134" s="246" t="n">
        <v>0.18</v>
      </c>
      <c r="H134" s="246" t="n">
        <v>0.1875</v>
      </c>
      <c r="I134" s="247" t="n">
        <v>3.891</v>
      </c>
      <c r="J134" s="248" t="n">
        <v>3.896</v>
      </c>
      <c r="K134" s="248" t="n">
        <v>3.901</v>
      </c>
      <c r="L134" s="248" t="n">
        <v>0.11</v>
      </c>
      <c r="M134" s="248" t="n">
        <v>0.11</v>
      </c>
      <c r="N134" s="249" t="n">
        <v>0</v>
      </c>
      <c r="O134" s="249" t="n">
        <v>0</v>
      </c>
      <c r="P134" s="250"/>
      <c r="Q134" s="250"/>
      <c r="R134" s="251" t="e">
        <f aca="false">B134</f>
        <v>#VALUE!</v>
      </c>
      <c r="S134" s="252" t="n">
        <f aca="false">T134-$S$16</f>
        <v>0.53</v>
      </c>
      <c r="T134" s="243" t="n">
        <f aca="false">D134</f>
        <v>0.6</v>
      </c>
      <c r="U134" s="253" t="n">
        <f aca="false">$U$16+T134</f>
        <v>0.67</v>
      </c>
      <c r="BP134" s="226" t="n">
        <f aca="false">BP133+BV134</f>
        <v>133</v>
      </c>
      <c r="BQ134" s="227" t="s">
        <v>872</v>
      </c>
      <c r="BR134" s="224" t="s">
        <v>285</v>
      </c>
      <c r="BS134" s="161" t="s">
        <v>421</v>
      </c>
      <c r="BT134" s="230" t="s">
        <v>287</v>
      </c>
      <c r="BU134" s="230"/>
      <c r="BV134" s="161" t="n">
        <v>1</v>
      </c>
      <c r="BW134" s="224" t="s">
        <v>873</v>
      </c>
      <c r="BX134" s="0"/>
      <c r="BZ134" s="226" t="n">
        <f aca="false">BZ133+CF134</f>
        <v>133</v>
      </c>
      <c r="CA134" s="227" t="s">
        <v>874</v>
      </c>
      <c r="CB134" s="224" t="s">
        <v>289</v>
      </c>
      <c r="CC134" s="161" t="s">
        <v>286</v>
      </c>
      <c r="CD134" s="230" t="s">
        <v>287</v>
      </c>
      <c r="CE134" s="230"/>
      <c r="CF134" s="161" t="n">
        <v>1</v>
      </c>
      <c r="CG134" s="231" t="s">
        <v>875</v>
      </c>
      <c r="CH134" s="0"/>
    </row>
    <row r="135" customFormat="false" ht="12.75" hidden="false" customHeight="false" outlineLevel="0" collapsed="false">
      <c r="A135" s="244"/>
      <c r="B135" s="245" t="e">
        <f aca="false">NextMonth(B134)</f>
        <v>#VALUE!</v>
      </c>
      <c r="C135" s="246" t="n">
        <v>0.0604911976360345</v>
      </c>
      <c r="D135" s="246" t="n">
        <v>0.6</v>
      </c>
      <c r="E135" s="246" t="n">
        <v>0.6</v>
      </c>
      <c r="F135" s="246" t="n">
        <v>0.1725</v>
      </c>
      <c r="G135" s="246" t="n">
        <v>0.18</v>
      </c>
      <c r="H135" s="246" t="n">
        <v>0.1875</v>
      </c>
      <c r="I135" s="247" t="n">
        <v>3.927</v>
      </c>
      <c r="J135" s="248" t="n">
        <v>3.932</v>
      </c>
      <c r="K135" s="248" t="n">
        <v>3.937</v>
      </c>
      <c r="L135" s="248" t="n">
        <v>0.11</v>
      </c>
      <c r="M135" s="248" t="n">
        <v>0.11</v>
      </c>
      <c r="N135" s="249" t="n">
        <v>0</v>
      </c>
      <c r="O135" s="249" t="n">
        <v>0</v>
      </c>
      <c r="P135" s="250"/>
      <c r="Q135" s="250"/>
      <c r="R135" s="251" t="e">
        <f aca="false">B135</f>
        <v>#VALUE!</v>
      </c>
      <c r="S135" s="252" t="n">
        <f aca="false">T135-$S$16</f>
        <v>0.53</v>
      </c>
      <c r="T135" s="243" t="n">
        <f aca="false">D135</f>
        <v>0.6</v>
      </c>
      <c r="U135" s="253" t="n">
        <f aca="false">$U$16+T135</f>
        <v>0.67</v>
      </c>
      <c r="BP135" s="226" t="n">
        <f aca="false">BP134+BV135</f>
        <v>134</v>
      </c>
      <c r="BQ135" s="227" t="s">
        <v>876</v>
      </c>
      <c r="BR135" s="224" t="s">
        <v>285</v>
      </c>
      <c r="BS135" s="161" t="s">
        <v>421</v>
      </c>
      <c r="BT135" s="230" t="s">
        <v>287</v>
      </c>
      <c r="BU135" s="230"/>
      <c r="BV135" s="161" t="n">
        <v>1</v>
      </c>
      <c r="BW135" s="224" t="s">
        <v>877</v>
      </c>
      <c r="BX135" s="0"/>
      <c r="BZ135" s="226" t="n">
        <f aca="false">BZ134+CF135</f>
        <v>134</v>
      </c>
      <c r="CA135" s="227" t="s">
        <v>878</v>
      </c>
      <c r="CB135" s="224" t="s">
        <v>289</v>
      </c>
      <c r="CC135" s="161" t="s">
        <v>286</v>
      </c>
      <c r="CD135" s="230" t="s">
        <v>287</v>
      </c>
      <c r="CE135" s="230"/>
      <c r="CF135" s="161" t="n">
        <v>1</v>
      </c>
      <c r="CG135" s="231" t="s">
        <v>879</v>
      </c>
      <c r="CH135" s="0"/>
    </row>
    <row r="136" customFormat="false" ht="12.75" hidden="false" customHeight="false" outlineLevel="0" collapsed="false">
      <c r="A136" s="244"/>
      <c r="B136" s="245" t="e">
        <f aca="false">NextMonth(B135)</f>
        <v>#VALUE!</v>
      </c>
      <c r="C136" s="246" t="n">
        <v>0.0605536785025294</v>
      </c>
      <c r="D136" s="246" t="n">
        <v>0.65</v>
      </c>
      <c r="E136" s="246" t="n">
        <v>0.65</v>
      </c>
      <c r="F136" s="246" t="n">
        <v>0.1725</v>
      </c>
      <c r="G136" s="246" t="n">
        <v>0.18</v>
      </c>
      <c r="H136" s="246" t="n">
        <v>0.1875</v>
      </c>
      <c r="I136" s="247" t="n">
        <v>3.977</v>
      </c>
      <c r="J136" s="248" t="n">
        <v>3.982</v>
      </c>
      <c r="K136" s="248" t="n">
        <v>3.987</v>
      </c>
      <c r="L136" s="248" t="n">
        <v>0.11</v>
      </c>
      <c r="M136" s="248" t="n">
        <v>0.11</v>
      </c>
      <c r="N136" s="249" t="n">
        <v>0</v>
      </c>
      <c r="O136" s="249" t="n">
        <v>0</v>
      </c>
      <c r="P136" s="250"/>
      <c r="Q136" s="250"/>
      <c r="R136" s="251" t="e">
        <f aca="false">B136</f>
        <v>#VALUE!</v>
      </c>
      <c r="S136" s="252" t="n">
        <f aca="false">T136-$S$16</f>
        <v>0.58</v>
      </c>
      <c r="T136" s="243" t="n">
        <f aca="false">D136</f>
        <v>0.65</v>
      </c>
      <c r="U136" s="253" t="n">
        <f aca="false">$U$16+T136</f>
        <v>0.72</v>
      </c>
      <c r="BP136" s="226" t="n">
        <f aca="false">BP135+BV136</f>
        <v>135</v>
      </c>
      <c r="BQ136" s="227" t="s">
        <v>880</v>
      </c>
      <c r="BR136" s="224" t="s">
        <v>285</v>
      </c>
      <c r="BS136" s="161" t="s">
        <v>421</v>
      </c>
      <c r="BT136" s="230" t="s">
        <v>287</v>
      </c>
      <c r="BU136" s="230"/>
      <c r="BV136" s="161" t="n">
        <v>1</v>
      </c>
      <c r="BW136" s="224" t="s">
        <v>881</v>
      </c>
      <c r="BX136" s="0"/>
      <c r="BZ136" s="226" t="n">
        <f aca="false">BZ135+CF136</f>
        <v>135</v>
      </c>
      <c r="CA136" s="227" t="s">
        <v>882</v>
      </c>
      <c r="CB136" s="224" t="s">
        <v>289</v>
      </c>
      <c r="CC136" s="161" t="s">
        <v>286</v>
      </c>
      <c r="CD136" s="230" t="s">
        <v>287</v>
      </c>
      <c r="CE136" s="230"/>
      <c r="CF136" s="161" t="n">
        <v>1</v>
      </c>
      <c r="CG136" s="231" t="s">
        <v>883</v>
      </c>
      <c r="CH136" s="0"/>
    </row>
    <row r="137" customFormat="false" ht="12.75" hidden="false" customHeight="false" outlineLevel="0" collapsed="false">
      <c r="A137" s="244"/>
      <c r="B137" s="245" t="e">
        <f aca="false">NextMonth(B136)</f>
        <v>#VALUE!</v>
      </c>
      <c r="C137" s="246" t="n">
        <v>0.0606119341279907</v>
      </c>
      <c r="D137" s="246" t="n">
        <v>0.7</v>
      </c>
      <c r="E137" s="246" t="n">
        <v>0.7</v>
      </c>
      <c r="F137" s="246" t="n">
        <v>0.1725</v>
      </c>
      <c r="G137" s="246" t="n">
        <v>0.18</v>
      </c>
      <c r="H137" s="246" t="n">
        <v>0.1875</v>
      </c>
      <c r="I137" s="247" t="n">
        <v>4</v>
      </c>
      <c r="J137" s="248" t="n">
        <v>4.005</v>
      </c>
      <c r="K137" s="248" t="n">
        <v>4.01</v>
      </c>
      <c r="L137" s="248" t="n">
        <v>0.11</v>
      </c>
      <c r="M137" s="248" t="n">
        <v>0.11</v>
      </c>
      <c r="N137" s="249" t="n">
        <v>0</v>
      </c>
      <c r="O137" s="249" t="n">
        <v>0</v>
      </c>
      <c r="P137" s="250"/>
      <c r="Q137" s="250"/>
      <c r="R137" s="251" t="e">
        <f aca="false">B137</f>
        <v>#VALUE!</v>
      </c>
      <c r="S137" s="252" t="n">
        <f aca="false">T137-$S$16</f>
        <v>0.63</v>
      </c>
      <c r="T137" s="243" t="n">
        <f aca="false">D137</f>
        <v>0.7</v>
      </c>
      <c r="U137" s="253" t="n">
        <f aca="false">$U$16+T137</f>
        <v>0.77</v>
      </c>
      <c r="BP137" s="226" t="n">
        <f aca="false">BP136+BV137</f>
        <v>136</v>
      </c>
      <c r="BQ137" s="227" t="s">
        <v>884</v>
      </c>
      <c r="BR137" s="224" t="s">
        <v>285</v>
      </c>
      <c r="BS137" s="161" t="s">
        <v>421</v>
      </c>
      <c r="BT137" s="230" t="s">
        <v>287</v>
      </c>
      <c r="BU137" s="230"/>
      <c r="BV137" s="161" t="n">
        <v>1</v>
      </c>
      <c r="BW137" s="224" t="s">
        <v>885</v>
      </c>
      <c r="BX137" s="0"/>
      <c r="BZ137" s="226" t="n">
        <f aca="false">BZ136+CF137</f>
        <v>136</v>
      </c>
      <c r="CA137" s="227" t="s">
        <v>886</v>
      </c>
      <c r="CB137" s="224" t="s">
        <v>289</v>
      </c>
      <c r="CC137" s="161" t="s">
        <v>286</v>
      </c>
      <c r="CD137" s="230" t="s">
        <v>287</v>
      </c>
      <c r="CE137" s="230"/>
      <c r="CF137" s="161" t="n">
        <v>1</v>
      </c>
      <c r="CG137" s="231" t="s">
        <v>887</v>
      </c>
      <c r="CH137" s="0"/>
    </row>
    <row r="138" customFormat="false" ht="12.75" hidden="false" customHeight="false" outlineLevel="0" collapsed="false">
      <c r="A138" s="244"/>
      <c r="B138" s="245" t="e">
        <f aca="false">NextMonth(B137)</f>
        <v>#VALUE!</v>
      </c>
      <c r="C138" s="246" t="n">
        <v>0.0606485625384465</v>
      </c>
      <c r="D138" s="246" t="n">
        <v>0.7</v>
      </c>
      <c r="E138" s="246" t="n">
        <v>0.7</v>
      </c>
      <c r="F138" s="246" t="n">
        <v>0.1725</v>
      </c>
      <c r="G138" s="246" t="n">
        <v>0.18</v>
      </c>
      <c r="H138" s="246" t="n">
        <v>0.1875</v>
      </c>
      <c r="I138" s="247" t="n">
        <v>4.015</v>
      </c>
      <c r="J138" s="248" t="n">
        <v>4.02</v>
      </c>
      <c r="K138" s="248" t="n">
        <v>4.025</v>
      </c>
      <c r="L138" s="248" t="n">
        <v>0.11</v>
      </c>
      <c r="M138" s="248" t="n">
        <v>0.11</v>
      </c>
      <c r="N138" s="249" t="n">
        <v>0</v>
      </c>
      <c r="O138" s="249" t="n">
        <v>0</v>
      </c>
      <c r="P138" s="250"/>
      <c r="Q138" s="250"/>
      <c r="R138" s="251" t="e">
        <f aca="false">B138</f>
        <v>#VALUE!</v>
      </c>
      <c r="S138" s="252" t="n">
        <f aca="false">T138-$S$16</f>
        <v>0.63</v>
      </c>
      <c r="T138" s="243" t="n">
        <f aca="false">D138</f>
        <v>0.7</v>
      </c>
      <c r="U138" s="253" t="n">
        <f aca="false">$U$16+T138</f>
        <v>0.77</v>
      </c>
      <c r="BP138" s="226" t="n">
        <f aca="false">BP137+BV138</f>
        <v>137</v>
      </c>
      <c r="BQ138" s="227" t="s">
        <v>888</v>
      </c>
      <c r="BR138" s="224" t="s">
        <v>285</v>
      </c>
      <c r="BS138" s="161" t="s">
        <v>421</v>
      </c>
      <c r="BT138" s="230" t="s">
        <v>287</v>
      </c>
      <c r="BU138" s="230"/>
      <c r="BV138" s="161" t="n">
        <v>1</v>
      </c>
      <c r="BW138" s="224" t="s">
        <v>889</v>
      </c>
      <c r="BX138" s="0"/>
      <c r="BZ138" s="226" t="n">
        <f aca="false">BZ137+CF138</f>
        <v>137</v>
      </c>
      <c r="CA138" s="227" t="s">
        <v>890</v>
      </c>
      <c r="CB138" s="224" t="s">
        <v>289</v>
      </c>
      <c r="CC138" s="161" t="s">
        <v>286</v>
      </c>
      <c r="CD138" s="230" t="s">
        <v>287</v>
      </c>
      <c r="CE138" s="230"/>
      <c r="CF138" s="161" t="n">
        <v>1</v>
      </c>
      <c r="CG138" s="231" t="s">
        <v>891</v>
      </c>
      <c r="CH138" s="0"/>
    </row>
    <row r="139" customFormat="false" ht="12.75" hidden="false" customHeight="false" outlineLevel="0" collapsed="false">
      <c r="A139" s="244"/>
      <c r="B139" s="245" t="e">
        <f aca="false">NextMonth(B138)</f>
        <v>#VALUE!</v>
      </c>
      <c r="C139" s="246" t="n">
        <v>0.0606840093876988</v>
      </c>
      <c r="D139" s="246" t="n">
        <v>0.75</v>
      </c>
      <c r="E139" s="246" t="n">
        <v>0.75</v>
      </c>
      <c r="F139" s="246" t="n">
        <v>0.1725</v>
      </c>
      <c r="G139" s="246" t="n">
        <v>0.18</v>
      </c>
      <c r="H139" s="246" t="n">
        <v>0.1875</v>
      </c>
      <c r="I139" s="247" t="n">
        <v>4.044</v>
      </c>
      <c r="J139" s="248" t="n">
        <v>4.049</v>
      </c>
      <c r="K139" s="248" t="n">
        <v>4.054</v>
      </c>
      <c r="L139" s="248" t="n">
        <v>0.11</v>
      </c>
      <c r="M139" s="248" t="n">
        <v>0.11</v>
      </c>
      <c r="N139" s="249" t="n">
        <v>0</v>
      </c>
      <c r="O139" s="249" t="n">
        <v>0</v>
      </c>
      <c r="P139" s="250"/>
      <c r="Q139" s="250"/>
      <c r="R139" s="251" t="e">
        <f aca="false">B139</f>
        <v>#VALUE!</v>
      </c>
      <c r="S139" s="252" t="n">
        <f aca="false">T139-$S$16</f>
        <v>0.68</v>
      </c>
      <c r="T139" s="243" t="n">
        <f aca="false">D139</f>
        <v>0.75</v>
      </c>
      <c r="U139" s="253" t="n">
        <f aca="false">$U$16+T139</f>
        <v>0.82</v>
      </c>
      <c r="BP139" s="226" t="n">
        <f aca="false">BP138+BV139</f>
        <v>138</v>
      </c>
      <c r="BQ139" s="227" t="s">
        <v>892</v>
      </c>
      <c r="BR139" s="224" t="s">
        <v>285</v>
      </c>
      <c r="BS139" s="161" t="s">
        <v>421</v>
      </c>
      <c r="BT139" s="230" t="s">
        <v>287</v>
      </c>
      <c r="BU139" s="230"/>
      <c r="BV139" s="161" t="n">
        <v>1</v>
      </c>
      <c r="BW139" s="224" t="s">
        <v>893</v>
      </c>
      <c r="BX139" s="0"/>
      <c r="BZ139" s="226" t="n">
        <f aca="false">BZ138+CF139</f>
        <v>138</v>
      </c>
      <c r="CA139" s="227" t="s">
        <v>894</v>
      </c>
      <c r="CB139" s="224" t="s">
        <v>289</v>
      </c>
      <c r="CC139" s="161" t="s">
        <v>286</v>
      </c>
      <c r="CD139" s="230" t="s">
        <v>287</v>
      </c>
      <c r="CE139" s="230"/>
      <c r="CF139" s="161" t="n">
        <v>1</v>
      </c>
      <c r="CG139" s="231" t="s">
        <v>895</v>
      </c>
      <c r="CH139" s="0"/>
    </row>
    <row r="140" customFormat="false" ht="12.75" hidden="false" customHeight="false" outlineLevel="0" collapsed="false">
      <c r="A140" s="244"/>
      <c r="B140" s="245" t="e">
        <f aca="false">NextMonth(B139)</f>
        <v>#VALUE!</v>
      </c>
      <c r="C140" s="246" t="n">
        <v>0.0607206377990317</v>
      </c>
      <c r="D140" s="246" t="n">
        <v>0.95</v>
      </c>
      <c r="E140" s="246" t="n">
        <v>0.95</v>
      </c>
      <c r="F140" s="246" t="n">
        <v>0.1725</v>
      </c>
      <c r="G140" s="246" t="n">
        <v>0.18</v>
      </c>
      <c r="H140" s="246" t="n">
        <v>0.1875</v>
      </c>
      <c r="I140" s="247" t="n">
        <v>4.184</v>
      </c>
      <c r="J140" s="248" t="n">
        <v>4.189</v>
      </c>
      <c r="K140" s="248" t="n">
        <v>4.194</v>
      </c>
      <c r="L140" s="248" t="n">
        <v>0.16</v>
      </c>
      <c r="M140" s="248" t="n">
        <v>0.16</v>
      </c>
      <c r="N140" s="249" t="n">
        <v>0</v>
      </c>
      <c r="O140" s="249" t="n">
        <v>0</v>
      </c>
      <c r="P140" s="250"/>
      <c r="Q140" s="250"/>
      <c r="R140" s="251" t="e">
        <f aca="false">B140</f>
        <v>#VALUE!</v>
      </c>
      <c r="S140" s="252" t="n">
        <f aca="false">T140-$S$16</f>
        <v>0.88</v>
      </c>
      <c r="T140" s="243" t="n">
        <f aca="false">D140</f>
        <v>0.95</v>
      </c>
      <c r="U140" s="253" t="n">
        <f aca="false">$U$16+T140</f>
        <v>1.02</v>
      </c>
      <c r="BP140" s="226" t="n">
        <f aca="false">BP139+BV140</f>
        <v>139</v>
      </c>
      <c r="BQ140" s="227" t="s">
        <v>896</v>
      </c>
      <c r="BR140" s="224" t="s">
        <v>285</v>
      </c>
      <c r="BS140" s="161" t="s">
        <v>421</v>
      </c>
      <c r="BT140" s="230" t="s">
        <v>287</v>
      </c>
      <c r="BU140" s="230"/>
      <c r="BV140" s="161" t="n">
        <v>1</v>
      </c>
      <c r="BW140" s="224" t="s">
        <v>897</v>
      </c>
      <c r="BX140" s="0"/>
      <c r="BZ140" s="226" t="n">
        <f aca="false">BZ139+CF140</f>
        <v>139</v>
      </c>
      <c r="CA140" s="227" t="s">
        <v>898</v>
      </c>
      <c r="CB140" s="224" t="s">
        <v>289</v>
      </c>
      <c r="CC140" s="161" t="s">
        <v>286</v>
      </c>
      <c r="CD140" s="230" t="s">
        <v>287</v>
      </c>
      <c r="CE140" s="230"/>
      <c r="CF140" s="161" t="n">
        <v>1</v>
      </c>
      <c r="CG140" s="231" t="s">
        <v>899</v>
      </c>
      <c r="CH140" s="0"/>
    </row>
    <row r="141" customFormat="false" ht="12.75" hidden="false" customHeight="false" outlineLevel="0" collapsed="false">
      <c r="A141" s="244"/>
      <c r="B141" s="245" t="e">
        <f aca="false">NextMonth(B140)</f>
        <v>#VALUE!</v>
      </c>
      <c r="C141" s="246" t="n">
        <v>0.0607560846491331</v>
      </c>
      <c r="D141" s="246" t="n">
        <v>1.15</v>
      </c>
      <c r="E141" s="246" t="n">
        <v>1.15</v>
      </c>
      <c r="F141" s="246" t="n">
        <v>0.1725</v>
      </c>
      <c r="G141" s="246" t="n">
        <v>0.18</v>
      </c>
      <c r="H141" s="246" t="n">
        <v>0.1875</v>
      </c>
      <c r="I141" s="247" t="n">
        <v>4.333</v>
      </c>
      <c r="J141" s="248" t="n">
        <v>4.338</v>
      </c>
      <c r="K141" s="248" t="n">
        <v>4.343</v>
      </c>
      <c r="L141" s="248" t="n">
        <v>0.16</v>
      </c>
      <c r="M141" s="248" t="n">
        <v>0.16</v>
      </c>
      <c r="N141" s="249" t="n">
        <v>0</v>
      </c>
      <c r="O141" s="249" t="n">
        <v>0</v>
      </c>
      <c r="P141" s="250"/>
      <c r="Q141" s="250"/>
      <c r="R141" s="251" t="e">
        <f aca="false">B141</f>
        <v>#VALUE!</v>
      </c>
      <c r="S141" s="252" t="n">
        <f aca="false">T141-$S$16</f>
        <v>1.08</v>
      </c>
      <c r="T141" s="243" t="n">
        <f aca="false">D141</f>
        <v>1.15</v>
      </c>
      <c r="U141" s="253" t="n">
        <f aca="false">$U$16+T141</f>
        <v>1.22</v>
      </c>
      <c r="BP141" s="226" t="n">
        <f aca="false">BP140+BV141</f>
        <v>140</v>
      </c>
      <c r="BQ141" s="227" t="s">
        <v>900</v>
      </c>
      <c r="BR141" s="224" t="s">
        <v>285</v>
      </c>
      <c r="BS141" s="161" t="s">
        <v>421</v>
      </c>
      <c r="BT141" s="230" t="s">
        <v>287</v>
      </c>
      <c r="BU141" s="230"/>
      <c r="BV141" s="161" t="n">
        <v>1</v>
      </c>
      <c r="BW141" s="224" t="s">
        <v>901</v>
      </c>
      <c r="BX141" s="0"/>
      <c r="BZ141" s="226" t="n">
        <f aca="false">BZ140+CF141</f>
        <v>140</v>
      </c>
      <c r="CA141" s="227" t="s">
        <v>902</v>
      </c>
      <c r="CB141" s="224" t="s">
        <v>289</v>
      </c>
      <c r="CC141" s="161" t="s">
        <v>286</v>
      </c>
      <c r="CD141" s="230" t="s">
        <v>287</v>
      </c>
      <c r="CE141" s="230"/>
      <c r="CF141" s="161" t="n">
        <v>1</v>
      </c>
      <c r="CG141" s="231" t="s">
        <v>903</v>
      </c>
      <c r="CH141" s="0"/>
    </row>
    <row r="142" customFormat="false" ht="12.75" hidden="false" customHeight="false" outlineLevel="0" collapsed="false">
      <c r="A142" s="244"/>
      <c r="B142" s="245" t="e">
        <f aca="false">NextMonth(B141)</f>
        <v>#VALUE!</v>
      </c>
      <c r="C142" s="246" t="n">
        <v>0.0607927130613426</v>
      </c>
      <c r="D142" s="246" t="n">
        <v>1.15</v>
      </c>
      <c r="E142" s="246" t="n">
        <v>1.15</v>
      </c>
      <c r="F142" s="246" t="n">
        <v>0.1725</v>
      </c>
      <c r="G142" s="246" t="n">
        <v>0.18</v>
      </c>
      <c r="H142" s="246" t="n">
        <v>0.1875</v>
      </c>
      <c r="I142" s="247" t="n">
        <v>4.447</v>
      </c>
      <c r="J142" s="248" t="n">
        <v>4.452</v>
      </c>
      <c r="K142" s="248" t="n">
        <v>4.457</v>
      </c>
      <c r="L142" s="248" t="n">
        <v>0.16</v>
      </c>
      <c r="M142" s="248" t="n">
        <v>0.16</v>
      </c>
      <c r="N142" s="249" t="n">
        <v>0</v>
      </c>
      <c r="O142" s="249" t="n">
        <v>0</v>
      </c>
      <c r="P142" s="250"/>
      <c r="Q142" s="250"/>
      <c r="R142" s="251" t="e">
        <f aca="false">B142</f>
        <v>#VALUE!</v>
      </c>
      <c r="S142" s="252" t="n">
        <f aca="false">T142-$S$16</f>
        <v>1.08</v>
      </c>
      <c r="T142" s="243" t="n">
        <f aca="false">D142</f>
        <v>1.15</v>
      </c>
      <c r="U142" s="253" t="n">
        <f aca="false">$U$16+T142</f>
        <v>1.22</v>
      </c>
      <c r="BP142" s="226" t="n">
        <f aca="false">BP141+BV142</f>
        <v>141</v>
      </c>
      <c r="BQ142" s="227" t="s">
        <v>904</v>
      </c>
      <c r="BR142" s="224" t="s">
        <v>285</v>
      </c>
      <c r="BS142" s="161" t="s">
        <v>421</v>
      </c>
      <c r="BT142" s="230" t="s">
        <v>287</v>
      </c>
      <c r="BU142" s="230"/>
      <c r="BV142" s="161" t="n">
        <v>1</v>
      </c>
      <c r="BW142" s="224" t="s">
        <v>905</v>
      </c>
      <c r="BX142" s="0"/>
      <c r="BZ142" s="226" t="n">
        <f aca="false">BZ141+CF142</f>
        <v>141</v>
      </c>
      <c r="CA142" s="227" t="s">
        <v>906</v>
      </c>
      <c r="CB142" s="224" t="s">
        <v>289</v>
      </c>
      <c r="CC142" s="161" t="s">
        <v>286</v>
      </c>
      <c r="CD142" s="230" t="s">
        <v>287</v>
      </c>
      <c r="CE142" s="230"/>
      <c r="CF142" s="161" t="n">
        <v>1</v>
      </c>
      <c r="CG142" s="231" t="s">
        <v>907</v>
      </c>
      <c r="CH142" s="0"/>
    </row>
    <row r="143" customFormat="false" ht="12.75" hidden="false" customHeight="false" outlineLevel="0" collapsed="false">
      <c r="A143" s="244"/>
      <c r="B143" s="245" t="e">
        <f aca="false">NextMonth(B142)</f>
        <v>#VALUE!</v>
      </c>
      <c r="C143" s="246" t="n">
        <v>0.060829341473998</v>
      </c>
      <c r="D143" s="246" t="n">
        <v>1.15</v>
      </c>
      <c r="E143" s="246" t="n">
        <v>1.15</v>
      </c>
      <c r="F143" s="246" t="n">
        <v>0.1675</v>
      </c>
      <c r="G143" s="246" t="n">
        <v>0.175</v>
      </c>
      <c r="H143" s="246" t="n">
        <v>0.1825</v>
      </c>
      <c r="I143" s="247" t="n">
        <v>4.334</v>
      </c>
      <c r="J143" s="248" t="n">
        <v>4.339</v>
      </c>
      <c r="K143" s="248" t="n">
        <v>4.344</v>
      </c>
      <c r="L143" s="248" t="n">
        <v>0.16</v>
      </c>
      <c r="M143" s="248" t="n">
        <v>0.16</v>
      </c>
      <c r="N143" s="249" t="n">
        <v>0</v>
      </c>
      <c r="O143" s="249" t="n">
        <v>0</v>
      </c>
      <c r="P143" s="250"/>
      <c r="Q143" s="250"/>
      <c r="R143" s="251" t="e">
        <f aca="false">B143</f>
        <v>#VALUE!</v>
      </c>
      <c r="S143" s="252" t="n">
        <f aca="false">T143-$S$16</f>
        <v>1.08</v>
      </c>
      <c r="T143" s="243" t="n">
        <f aca="false">D143</f>
        <v>1.15</v>
      </c>
      <c r="U143" s="253" t="n">
        <f aca="false">$U$16+T143</f>
        <v>1.22</v>
      </c>
      <c r="BP143" s="226" t="n">
        <f aca="false">BP142+BV143</f>
        <v>142</v>
      </c>
      <c r="BQ143" s="227" t="s">
        <v>908</v>
      </c>
      <c r="BR143" s="224" t="s">
        <v>285</v>
      </c>
      <c r="BS143" s="161" t="s">
        <v>421</v>
      </c>
      <c r="BT143" s="230" t="s">
        <v>287</v>
      </c>
      <c r="BU143" s="230"/>
      <c r="BV143" s="161" t="n">
        <v>1</v>
      </c>
      <c r="BW143" s="224" t="s">
        <v>909</v>
      </c>
      <c r="BX143" s="0"/>
      <c r="BZ143" s="226" t="n">
        <f aca="false">BZ142+CF143</f>
        <v>142</v>
      </c>
      <c r="CA143" s="227" t="s">
        <v>910</v>
      </c>
      <c r="CB143" s="224" t="s">
        <v>289</v>
      </c>
      <c r="CC143" s="161" t="s">
        <v>286</v>
      </c>
      <c r="CD143" s="230" t="s">
        <v>287</v>
      </c>
      <c r="CE143" s="230"/>
      <c r="CF143" s="161" t="n">
        <v>1</v>
      </c>
      <c r="CG143" s="231" t="s">
        <v>911</v>
      </c>
      <c r="CH143" s="0"/>
    </row>
    <row r="144" customFormat="false" ht="12.75" hidden="false" customHeight="false" outlineLevel="0" collapsed="false">
      <c r="A144" s="244"/>
      <c r="B144" s="245" t="e">
        <f aca="false">NextMonth(B143)</f>
        <v>#VALUE!</v>
      </c>
      <c r="C144" s="246" t="n">
        <v>0.0608636067636596</v>
      </c>
      <c r="D144" s="246" t="n">
        <v>0.9</v>
      </c>
      <c r="E144" s="246" t="n">
        <v>0.9</v>
      </c>
      <c r="F144" s="246" t="n">
        <v>0.1625</v>
      </c>
      <c r="G144" s="246" t="n">
        <v>0.17</v>
      </c>
      <c r="H144" s="246" t="n">
        <v>0.1775</v>
      </c>
      <c r="I144" s="247" t="n">
        <v>4.201</v>
      </c>
      <c r="J144" s="248" t="n">
        <v>4.206</v>
      </c>
      <c r="K144" s="248" t="n">
        <v>4.211</v>
      </c>
      <c r="L144" s="248" t="n">
        <v>0.16</v>
      </c>
      <c r="M144" s="248" t="n">
        <v>0.16</v>
      </c>
      <c r="N144" s="249" t="n">
        <v>0</v>
      </c>
      <c r="O144" s="249" t="n">
        <v>0</v>
      </c>
      <c r="P144" s="250"/>
      <c r="Q144" s="250"/>
      <c r="R144" s="251" t="e">
        <f aca="false">B144</f>
        <v>#VALUE!</v>
      </c>
      <c r="S144" s="252" t="n">
        <f aca="false">T144-$S$16</f>
        <v>0.83</v>
      </c>
      <c r="T144" s="243" t="n">
        <f aca="false">D144</f>
        <v>0.9</v>
      </c>
      <c r="U144" s="253" t="n">
        <f aca="false">$U$16+T144</f>
        <v>0.97</v>
      </c>
      <c r="BP144" s="226" t="n">
        <f aca="false">BP143+BV144</f>
        <v>143</v>
      </c>
      <c r="BQ144" s="227" t="s">
        <v>912</v>
      </c>
      <c r="BR144" s="224" t="s">
        <v>285</v>
      </c>
      <c r="BS144" s="161" t="s">
        <v>421</v>
      </c>
      <c r="BT144" s="230" t="s">
        <v>287</v>
      </c>
      <c r="BU144" s="230"/>
      <c r="BV144" s="161" t="n">
        <v>1</v>
      </c>
      <c r="BW144" s="224" t="s">
        <v>913</v>
      </c>
      <c r="BX144" s="0"/>
      <c r="BZ144" s="226" t="n">
        <f aca="false">BZ143+CF144</f>
        <v>143</v>
      </c>
      <c r="CA144" s="227" t="s">
        <v>914</v>
      </c>
      <c r="CB144" s="224" t="s">
        <v>289</v>
      </c>
      <c r="CC144" s="161" t="s">
        <v>286</v>
      </c>
      <c r="CD144" s="230" t="s">
        <v>287</v>
      </c>
      <c r="CE144" s="230"/>
      <c r="CF144" s="161" t="n">
        <v>1</v>
      </c>
      <c r="CG144" s="231" t="s">
        <v>915</v>
      </c>
      <c r="CH144" s="0"/>
    </row>
    <row r="145" customFormat="false" ht="12.75" hidden="false" customHeight="false" outlineLevel="0" collapsed="false">
      <c r="A145" s="244"/>
      <c r="B145" s="245" t="e">
        <f aca="false">NextMonth(B144)</f>
        <v>#VALUE!</v>
      </c>
      <c r="C145" s="246" t="n">
        <v>0.0609002351771775</v>
      </c>
      <c r="D145" s="246" t="n">
        <v>0.55</v>
      </c>
      <c r="E145" s="246" t="n">
        <v>0.55</v>
      </c>
      <c r="F145" s="246" t="n">
        <v>0.1625</v>
      </c>
      <c r="G145" s="246" t="n">
        <v>0.17</v>
      </c>
      <c r="H145" s="246" t="n">
        <v>0.1775</v>
      </c>
      <c r="I145" s="247" t="n">
        <v>3.981</v>
      </c>
      <c r="J145" s="248" t="n">
        <v>3.986</v>
      </c>
      <c r="K145" s="248" t="n">
        <v>3.991</v>
      </c>
      <c r="L145" s="248" t="n">
        <v>0.11</v>
      </c>
      <c r="M145" s="248" t="n">
        <v>0.11</v>
      </c>
      <c r="N145" s="249" t="n">
        <v>0</v>
      </c>
      <c r="O145" s="249" t="n">
        <v>0</v>
      </c>
      <c r="P145" s="250"/>
      <c r="Q145" s="250"/>
      <c r="R145" s="251" t="e">
        <f aca="false">B145</f>
        <v>#VALUE!</v>
      </c>
      <c r="S145" s="252" t="n">
        <f aca="false">T145-$S$16</f>
        <v>0.48</v>
      </c>
      <c r="T145" s="243" t="n">
        <f aca="false">D145</f>
        <v>0.55</v>
      </c>
      <c r="U145" s="253" t="n">
        <f aca="false">$U$16+T145</f>
        <v>0.62</v>
      </c>
      <c r="BP145" s="226" t="n">
        <f aca="false">BP144+BV145</f>
        <v>144</v>
      </c>
      <c r="BQ145" s="227" t="s">
        <v>916</v>
      </c>
      <c r="BR145" s="224" t="s">
        <v>285</v>
      </c>
      <c r="BS145" s="161" t="s">
        <v>421</v>
      </c>
      <c r="BT145" s="230" t="s">
        <v>287</v>
      </c>
      <c r="BU145" s="230"/>
      <c r="BV145" s="161" t="n">
        <v>1</v>
      </c>
      <c r="BW145" s="224" t="s">
        <v>917</v>
      </c>
      <c r="BX145" s="0"/>
      <c r="BZ145" s="226" t="n">
        <f aca="false">BZ144+CF145</f>
        <v>144</v>
      </c>
      <c r="CA145" s="227" t="s">
        <v>918</v>
      </c>
      <c r="CB145" s="224" t="s">
        <v>289</v>
      </c>
      <c r="CC145" s="161" t="s">
        <v>286</v>
      </c>
      <c r="CD145" s="230" t="s">
        <v>287</v>
      </c>
      <c r="CE145" s="230"/>
      <c r="CF145" s="161" t="n">
        <v>1</v>
      </c>
      <c r="CG145" s="231" t="s">
        <v>919</v>
      </c>
      <c r="CH145" s="0"/>
    </row>
    <row r="146" customFormat="false" ht="12.75" hidden="false" customHeight="false" outlineLevel="0" collapsed="false">
      <c r="A146" s="244"/>
      <c r="B146" s="245" t="e">
        <f aca="false">NextMonth(B145)</f>
        <v>#VALUE!</v>
      </c>
      <c r="C146" s="246" t="n">
        <v>0.0609356820293927</v>
      </c>
      <c r="D146" s="246" t="n">
        <v>0.6</v>
      </c>
      <c r="E146" s="246" t="n">
        <v>0.6</v>
      </c>
      <c r="F146" s="246" t="n">
        <v>0.1625</v>
      </c>
      <c r="G146" s="246" t="n">
        <v>0.17</v>
      </c>
      <c r="H146" s="246" t="n">
        <v>0.1775</v>
      </c>
      <c r="I146" s="247" t="n">
        <v>3.971</v>
      </c>
      <c r="J146" s="248" t="n">
        <v>3.976</v>
      </c>
      <c r="K146" s="248" t="n">
        <v>3.981</v>
      </c>
      <c r="L146" s="248" t="n">
        <v>0.11</v>
      </c>
      <c r="M146" s="248" t="n">
        <v>0.11</v>
      </c>
      <c r="N146" s="249" t="n">
        <v>0</v>
      </c>
      <c r="O146" s="249" t="n">
        <v>0</v>
      </c>
      <c r="P146" s="250"/>
      <c r="Q146" s="250"/>
      <c r="R146" s="251" t="e">
        <f aca="false">B146</f>
        <v>#VALUE!</v>
      </c>
      <c r="S146" s="252" t="n">
        <f aca="false">T146-$S$16</f>
        <v>0.53</v>
      </c>
      <c r="T146" s="243" t="n">
        <f aca="false">D146</f>
        <v>0.6</v>
      </c>
      <c r="U146" s="253" t="n">
        <f aca="false">$U$16+T146</f>
        <v>0.67</v>
      </c>
      <c r="BP146" s="226" t="n">
        <f aca="false">BP145+BV146</f>
        <v>145</v>
      </c>
      <c r="BQ146" s="227" t="s">
        <v>920</v>
      </c>
      <c r="BR146" s="224" t="s">
        <v>285</v>
      </c>
      <c r="BS146" s="161" t="s">
        <v>421</v>
      </c>
      <c r="BT146" s="230" t="s">
        <v>287</v>
      </c>
      <c r="BU146" s="230"/>
      <c r="BV146" s="161" t="n">
        <v>1</v>
      </c>
      <c r="BW146" s="224" t="s">
        <v>921</v>
      </c>
      <c r="BX146" s="0"/>
      <c r="BZ146" s="226" t="n">
        <f aca="false">BZ145+CF146</f>
        <v>145</v>
      </c>
      <c r="CA146" s="227" t="s">
        <v>922</v>
      </c>
      <c r="CB146" s="224" t="s">
        <v>289</v>
      </c>
      <c r="CC146" s="161" t="s">
        <v>286</v>
      </c>
      <c r="CD146" s="230" t="s">
        <v>287</v>
      </c>
      <c r="CE146" s="230"/>
      <c r="CF146" s="161" t="n">
        <v>1</v>
      </c>
      <c r="CG146" s="231" t="s">
        <v>923</v>
      </c>
      <c r="CH146" s="0"/>
    </row>
    <row r="147" customFormat="false" ht="12.75" hidden="false" customHeight="false" outlineLevel="0" collapsed="false">
      <c r="A147" s="244"/>
      <c r="B147" s="245" t="e">
        <f aca="false">NextMonth(B146)</f>
        <v>#VALUE!</v>
      </c>
      <c r="C147" s="246" t="n">
        <v>0.0609723104437872</v>
      </c>
      <c r="D147" s="246" t="n">
        <v>0.6</v>
      </c>
      <c r="E147" s="246" t="n">
        <v>0.6</v>
      </c>
      <c r="F147" s="246" t="n">
        <v>0.1625</v>
      </c>
      <c r="G147" s="246" t="n">
        <v>0.17</v>
      </c>
      <c r="H147" s="246" t="n">
        <v>0.1775</v>
      </c>
      <c r="I147" s="247" t="n">
        <v>4.007</v>
      </c>
      <c r="J147" s="248" t="n">
        <v>4.012</v>
      </c>
      <c r="K147" s="248" t="n">
        <v>4.017</v>
      </c>
      <c r="L147" s="248" t="n">
        <v>0.11</v>
      </c>
      <c r="M147" s="248" t="n">
        <v>0.11</v>
      </c>
      <c r="N147" s="249" t="n">
        <v>0</v>
      </c>
      <c r="O147" s="249" t="n">
        <v>0</v>
      </c>
      <c r="P147" s="250"/>
      <c r="Q147" s="250"/>
      <c r="R147" s="251" t="e">
        <f aca="false">B147</f>
        <v>#VALUE!</v>
      </c>
      <c r="S147" s="252" t="n">
        <f aca="false">T147-$S$16</f>
        <v>0.53</v>
      </c>
      <c r="T147" s="243" t="n">
        <f aca="false">D147</f>
        <v>0.6</v>
      </c>
      <c r="U147" s="253" t="n">
        <f aca="false">$U$16+T147</f>
        <v>0.67</v>
      </c>
      <c r="BP147" s="226" t="n">
        <f aca="false">BP146+BV147</f>
        <v>146</v>
      </c>
      <c r="BQ147" s="227" t="s">
        <v>924</v>
      </c>
      <c r="BR147" s="224" t="s">
        <v>285</v>
      </c>
      <c r="BS147" s="161" t="s">
        <v>421</v>
      </c>
      <c r="BT147" s="230" t="s">
        <v>287</v>
      </c>
      <c r="BU147" s="230"/>
      <c r="BV147" s="161" t="n">
        <v>1</v>
      </c>
      <c r="BW147" s="224" t="s">
        <v>925</v>
      </c>
      <c r="BX147" s="0"/>
      <c r="BZ147" s="226" t="n">
        <f aca="false">BZ146+CF147</f>
        <v>146</v>
      </c>
      <c r="CA147" s="227" t="s">
        <v>926</v>
      </c>
      <c r="CB147" s="224" t="s">
        <v>289</v>
      </c>
      <c r="CC147" s="161" t="s">
        <v>286</v>
      </c>
      <c r="CD147" s="230" t="s">
        <v>287</v>
      </c>
      <c r="CE147" s="230"/>
      <c r="CF147" s="161" t="n">
        <v>1</v>
      </c>
      <c r="CG147" s="231" t="s">
        <v>927</v>
      </c>
      <c r="CH147" s="0"/>
    </row>
    <row r="148" customFormat="false" ht="12.75" hidden="false" customHeight="false" outlineLevel="0" collapsed="false">
      <c r="A148" s="244"/>
      <c r="B148" s="245" t="e">
        <f aca="false">NextMonth(B147)</f>
        <v>#VALUE!</v>
      </c>
      <c r="C148" s="246" t="n">
        <v>0.0610077572968515</v>
      </c>
      <c r="D148" s="246" t="n">
        <v>0.65</v>
      </c>
      <c r="E148" s="246" t="n">
        <v>0.65</v>
      </c>
      <c r="F148" s="246" t="n">
        <v>0.1625</v>
      </c>
      <c r="G148" s="246" t="n">
        <v>0.17</v>
      </c>
      <c r="H148" s="246" t="n">
        <v>0.1775</v>
      </c>
      <c r="I148" s="247" t="n">
        <v>4.057</v>
      </c>
      <c r="J148" s="248" t="n">
        <v>4.062</v>
      </c>
      <c r="K148" s="248" t="n">
        <v>4.067</v>
      </c>
      <c r="L148" s="248" t="n">
        <v>0.11</v>
      </c>
      <c r="M148" s="248" t="n">
        <v>0.11</v>
      </c>
      <c r="N148" s="249" t="n">
        <v>0</v>
      </c>
      <c r="O148" s="249" t="n">
        <v>0</v>
      </c>
      <c r="P148" s="250"/>
      <c r="Q148" s="250"/>
      <c r="R148" s="251" t="e">
        <f aca="false">B148</f>
        <v>#VALUE!</v>
      </c>
      <c r="S148" s="252" t="n">
        <f aca="false">T148-$S$16</f>
        <v>0.58</v>
      </c>
      <c r="T148" s="243" t="n">
        <f aca="false">D148</f>
        <v>0.65</v>
      </c>
      <c r="U148" s="253" t="n">
        <f aca="false">$U$16+T148</f>
        <v>0.72</v>
      </c>
      <c r="BP148" s="226" t="n">
        <f aca="false">BP147+BV148</f>
        <v>147</v>
      </c>
      <c r="BQ148" s="227" t="s">
        <v>928</v>
      </c>
      <c r="BR148" s="224" t="s">
        <v>285</v>
      </c>
      <c r="BS148" s="161" t="s">
        <v>421</v>
      </c>
      <c r="BT148" s="230" t="s">
        <v>287</v>
      </c>
      <c r="BU148" s="230"/>
      <c r="BV148" s="161" t="n">
        <v>1</v>
      </c>
      <c r="BW148" s="224" t="s">
        <v>929</v>
      </c>
      <c r="BX148" s="0"/>
      <c r="BZ148" s="226" t="n">
        <f aca="false">BZ147+CF148</f>
        <v>147</v>
      </c>
      <c r="CA148" s="227" t="s">
        <v>930</v>
      </c>
      <c r="CB148" s="224" t="s">
        <v>289</v>
      </c>
      <c r="CC148" s="161" t="s">
        <v>286</v>
      </c>
      <c r="CD148" s="230" t="s">
        <v>287</v>
      </c>
      <c r="CE148" s="230"/>
      <c r="CF148" s="161" t="n">
        <v>1</v>
      </c>
      <c r="CG148" s="231" t="s">
        <v>931</v>
      </c>
      <c r="CH148" s="0"/>
    </row>
    <row r="149" customFormat="false" ht="12.75" hidden="false" customHeight="false" outlineLevel="0" collapsed="false">
      <c r="A149" s="244"/>
      <c r="B149" s="245" t="e">
        <f aca="false">NextMonth(B148)</f>
        <v>#VALUE!</v>
      </c>
      <c r="C149" s="246" t="n">
        <v>0.0610443857121226</v>
      </c>
      <c r="D149" s="246" t="n">
        <v>0.7</v>
      </c>
      <c r="E149" s="246" t="n">
        <v>0.7</v>
      </c>
      <c r="F149" s="246" t="n">
        <v>0.1625</v>
      </c>
      <c r="G149" s="246" t="n">
        <v>0.17</v>
      </c>
      <c r="H149" s="246" t="n">
        <v>0.1775</v>
      </c>
      <c r="I149" s="247" t="n">
        <v>4.08</v>
      </c>
      <c r="J149" s="248" t="n">
        <v>4.085</v>
      </c>
      <c r="K149" s="248" t="n">
        <v>4.09</v>
      </c>
      <c r="L149" s="248" t="n">
        <v>0.11</v>
      </c>
      <c r="M149" s="248" t="n">
        <v>0.11</v>
      </c>
      <c r="N149" s="249" t="n">
        <v>0</v>
      </c>
      <c r="O149" s="249" t="n">
        <v>0</v>
      </c>
      <c r="P149" s="250"/>
      <c r="Q149" s="250"/>
      <c r="R149" s="251" t="e">
        <f aca="false">B149</f>
        <v>#VALUE!</v>
      </c>
      <c r="S149" s="252" t="n">
        <f aca="false">T149-$S$16</f>
        <v>0.63</v>
      </c>
      <c r="T149" s="243" t="n">
        <f aca="false">D149</f>
        <v>0.7</v>
      </c>
      <c r="U149" s="253" t="n">
        <f aca="false">$U$16+T149</f>
        <v>0.77</v>
      </c>
      <c r="BP149" s="226" t="n">
        <f aca="false">BP148+BV149</f>
        <v>148</v>
      </c>
      <c r="BQ149" s="227" t="s">
        <v>932</v>
      </c>
      <c r="BR149" s="224" t="s">
        <v>285</v>
      </c>
      <c r="BS149" s="161" t="s">
        <v>421</v>
      </c>
      <c r="BT149" s="230" t="s">
        <v>287</v>
      </c>
      <c r="BU149" s="230"/>
      <c r="BV149" s="161" t="n">
        <v>1</v>
      </c>
      <c r="BW149" s="224" t="s">
        <v>933</v>
      </c>
      <c r="BX149" s="0"/>
      <c r="BZ149" s="226" t="n">
        <f aca="false">BZ148+CF149</f>
        <v>148</v>
      </c>
      <c r="CA149" s="227" t="s">
        <v>934</v>
      </c>
      <c r="CB149" s="224" t="s">
        <v>289</v>
      </c>
      <c r="CC149" s="161" t="s">
        <v>286</v>
      </c>
      <c r="CD149" s="230" t="s">
        <v>287</v>
      </c>
      <c r="CE149" s="230"/>
      <c r="CF149" s="161" t="n">
        <v>1</v>
      </c>
      <c r="CG149" s="231" t="s">
        <v>935</v>
      </c>
      <c r="CH149" s="0"/>
    </row>
    <row r="150" customFormat="false" ht="12.75" hidden="false" customHeight="false" outlineLevel="0" collapsed="false">
      <c r="A150" s="244"/>
      <c r="B150" s="245" t="e">
        <f aca="false">NextMonth(B149)</f>
        <v>#VALUE!</v>
      </c>
      <c r="C150" s="246" t="n">
        <v>0.0610810141278395</v>
      </c>
      <c r="D150" s="246" t="n">
        <v>0.7</v>
      </c>
      <c r="E150" s="246" t="n">
        <v>0.7</v>
      </c>
      <c r="F150" s="246" t="n">
        <v>0.1625</v>
      </c>
      <c r="G150" s="246" t="n">
        <v>0.17</v>
      </c>
      <c r="H150" s="246" t="n">
        <v>0.1775</v>
      </c>
      <c r="I150" s="247" t="n">
        <v>4.095</v>
      </c>
      <c r="J150" s="248" t="n">
        <v>4.1</v>
      </c>
      <c r="K150" s="248" t="n">
        <v>4.105</v>
      </c>
      <c r="L150" s="248" t="n">
        <v>0.11</v>
      </c>
      <c r="M150" s="248" t="n">
        <v>0.11</v>
      </c>
      <c r="N150" s="249" t="n">
        <v>0</v>
      </c>
      <c r="O150" s="249" t="n">
        <v>0</v>
      </c>
      <c r="P150" s="250"/>
      <c r="Q150" s="250"/>
      <c r="R150" s="251" t="e">
        <f aca="false">B150</f>
        <v>#VALUE!</v>
      </c>
      <c r="S150" s="252" t="n">
        <f aca="false">T150-$S$16</f>
        <v>0.63</v>
      </c>
      <c r="T150" s="243" t="n">
        <f aca="false">D150</f>
        <v>0.7</v>
      </c>
      <c r="U150" s="253" t="n">
        <f aca="false">$U$16+T150</f>
        <v>0.77</v>
      </c>
      <c r="BP150" s="226" t="n">
        <f aca="false">BP149+BV150</f>
        <v>149</v>
      </c>
      <c r="BQ150" s="227" t="s">
        <v>936</v>
      </c>
      <c r="BR150" s="224" t="s">
        <v>285</v>
      </c>
      <c r="BS150" s="161" t="s">
        <v>421</v>
      </c>
      <c r="BT150" s="230" t="s">
        <v>287</v>
      </c>
      <c r="BU150" s="230"/>
      <c r="BV150" s="161" t="n">
        <v>1</v>
      </c>
      <c r="BW150" s="224" t="s">
        <v>937</v>
      </c>
      <c r="BX150" s="0"/>
      <c r="BZ150" s="226" t="n">
        <f aca="false">BZ149+CF150</f>
        <v>149</v>
      </c>
      <c r="CA150" s="227" t="s">
        <v>938</v>
      </c>
      <c r="CB150" s="224" t="s">
        <v>289</v>
      </c>
      <c r="CC150" s="161" t="s">
        <v>286</v>
      </c>
      <c r="CD150" s="230" t="s">
        <v>287</v>
      </c>
      <c r="CE150" s="230"/>
      <c r="CF150" s="161" t="n">
        <v>1</v>
      </c>
      <c r="CG150" s="231" t="s">
        <v>939</v>
      </c>
      <c r="CH150" s="0"/>
    </row>
    <row r="151" customFormat="false" ht="12.75" hidden="false" customHeight="false" outlineLevel="0" collapsed="false">
      <c r="A151" s="244"/>
      <c r="B151" s="245" t="e">
        <f aca="false">NextMonth(B150)</f>
        <v>#VALUE!</v>
      </c>
      <c r="C151" s="246" t="n">
        <v>0.0611164609821828</v>
      </c>
      <c r="D151" s="246" t="n">
        <v>0.75</v>
      </c>
      <c r="E151" s="246" t="n">
        <v>0.75</v>
      </c>
      <c r="F151" s="246" t="n">
        <v>0.1625</v>
      </c>
      <c r="G151" s="246" t="n">
        <v>0.17</v>
      </c>
      <c r="H151" s="246" t="n">
        <v>0.1775</v>
      </c>
      <c r="I151" s="247" t="n">
        <v>4.124</v>
      </c>
      <c r="J151" s="248" t="n">
        <v>4.129</v>
      </c>
      <c r="K151" s="248" t="n">
        <v>4.134</v>
      </c>
      <c r="L151" s="248" t="n">
        <v>0.11</v>
      </c>
      <c r="M151" s="248" t="n">
        <v>0.11</v>
      </c>
      <c r="N151" s="249" t="n">
        <v>0</v>
      </c>
      <c r="O151" s="249" t="n">
        <v>0</v>
      </c>
      <c r="P151" s="250"/>
      <c r="Q151" s="250"/>
      <c r="R151" s="251" t="e">
        <f aca="false">B151</f>
        <v>#VALUE!</v>
      </c>
      <c r="S151" s="252" t="n">
        <f aca="false">T151-$S$16</f>
        <v>0.68</v>
      </c>
      <c r="T151" s="243" t="n">
        <f aca="false">D151</f>
        <v>0.75</v>
      </c>
      <c r="U151" s="253" t="n">
        <f aca="false">$U$16+T151</f>
        <v>0.82</v>
      </c>
      <c r="BP151" s="226" t="n">
        <f aca="false">BP150+BV151</f>
        <v>150</v>
      </c>
      <c r="BQ151" s="227" t="s">
        <v>940</v>
      </c>
      <c r="BR151" s="224" t="s">
        <v>285</v>
      </c>
      <c r="BS151" s="161" t="s">
        <v>421</v>
      </c>
      <c r="BT151" s="230" t="s">
        <v>287</v>
      </c>
      <c r="BU151" s="230"/>
      <c r="BV151" s="161" t="n">
        <v>1</v>
      </c>
      <c r="BW151" s="224" t="s">
        <v>941</v>
      </c>
      <c r="BX151" s="0"/>
      <c r="BZ151" s="226" t="n">
        <f aca="false">BZ150+CF151</f>
        <v>150</v>
      </c>
      <c r="CA151" s="227" t="s">
        <v>942</v>
      </c>
      <c r="CB151" s="224" t="s">
        <v>289</v>
      </c>
      <c r="CC151" s="161" t="s">
        <v>286</v>
      </c>
      <c r="CD151" s="230" t="s">
        <v>287</v>
      </c>
      <c r="CE151" s="230"/>
      <c r="CF151" s="161" t="n">
        <v>1</v>
      </c>
      <c r="CG151" s="231" t="s">
        <v>943</v>
      </c>
      <c r="CH151" s="0"/>
    </row>
    <row r="152" customFormat="false" ht="12.75" hidden="false" customHeight="false" outlineLevel="0" collapsed="false">
      <c r="A152" s="244"/>
      <c r="B152" s="245" t="e">
        <f aca="false">NextMonth(B151)</f>
        <v>#VALUE!</v>
      </c>
      <c r="C152" s="246" t="n">
        <v>0.0611530893987764</v>
      </c>
      <c r="D152" s="246" t="n">
        <v>0.95</v>
      </c>
      <c r="E152" s="246" t="n">
        <v>0.95</v>
      </c>
      <c r="F152" s="246" t="n">
        <v>0.1625</v>
      </c>
      <c r="G152" s="246" t="n">
        <v>0.17</v>
      </c>
      <c r="H152" s="246" t="n">
        <v>0.1775</v>
      </c>
      <c r="I152" s="247" t="n">
        <v>4.264</v>
      </c>
      <c r="J152" s="248" t="n">
        <v>4.269</v>
      </c>
      <c r="K152" s="248" t="n">
        <v>4.274</v>
      </c>
      <c r="L152" s="248" t="n">
        <v>0.16</v>
      </c>
      <c r="M152" s="248" t="n">
        <v>0.16</v>
      </c>
      <c r="N152" s="249" t="n">
        <v>0</v>
      </c>
      <c r="O152" s="249" t="n">
        <v>0</v>
      </c>
      <c r="P152" s="250"/>
      <c r="Q152" s="250"/>
      <c r="R152" s="251" t="e">
        <f aca="false">B152</f>
        <v>#VALUE!</v>
      </c>
      <c r="S152" s="252" t="n">
        <f aca="false">T152-$S$16</f>
        <v>0.88</v>
      </c>
      <c r="T152" s="243" t="n">
        <f aca="false">D152</f>
        <v>0.95</v>
      </c>
      <c r="U152" s="253" t="n">
        <f aca="false">$U$16+T152</f>
        <v>1.02</v>
      </c>
      <c r="BP152" s="226" t="n">
        <f aca="false">BP151+BV152</f>
        <v>151</v>
      </c>
      <c r="BQ152" s="227" t="s">
        <v>944</v>
      </c>
      <c r="BR152" s="224" t="s">
        <v>285</v>
      </c>
      <c r="BS152" s="161" t="s">
        <v>421</v>
      </c>
      <c r="BT152" s="230" t="s">
        <v>287</v>
      </c>
      <c r="BU152" s="230"/>
      <c r="BV152" s="161" t="n">
        <v>1</v>
      </c>
      <c r="BW152" s="224" t="s">
        <v>945</v>
      </c>
      <c r="BX152" s="0"/>
      <c r="BZ152" s="226" t="n">
        <f aca="false">BZ151+CF152</f>
        <v>151</v>
      </c>
      <c r="CA152" s="227" t="s">
        <v>946</v>
      </c>
      <c r="CB152" s="224" t="s">
        <v>289</v>
      </c>
      <c r="CC152" s="161" t="s">
        <v>286</v>
      </c>
      <c r="CD152" s="230" t="s">
        <v>287</v>
      </c>
      <c r="CE152" s="230"/>
      <c r="CF152" s="161" t="n">
        <v>1</v>
      </c>
      <c r="CG152" s="231" t="s">
        <v>947</v>
      </c>
      <c r="CH152" s="0"/>
    </row>
    <row r="153" customFormat="false" ht="12.75" hidden="false" customHeight="false" outlineLevel="0" collapsed="false">
      <c r="A153" s="244"/>
      <c r="B153" s="245" t="e">
        <f aca="false">NextMonth(B152)</f>
        <v>#VALUE!</v>
      </c>
      <c r="C153" s="246" t="n">
        <v>0.0611885362539688</v>
      </c>
      <c r="D153" s="246" t="n">
        <v>1.15</v>
      </c>
      <c r="E153" s="246" t="n">
        <v>1.15</v>
      </c>
      <c r="F153" s="246" t="n">
        <v>0.1625</v>
      </c>
      <c r="G153" s="246" t="n">
        <v>0.17</v>
      </c>
      <c r="H153" s="246" t="n">
        <v>0.1775</v>
      </c>
      <c r="I153" s="247" t="n">
        <v>4.413</v>
      </c>
      <c r="J153" s="248" t="n">
        <v>4.418</v>
      </c>
      <c r="K153" s="248" t="n">
        <v>4.423</v>
      </c>
      <c r="L153" s="248" t="n">
        <v>0.16</v>
      </c>
      <c r="M153" s="248" t="n">
        <v>0.16</v>
      </c>
      <c r="N153" s="249" t="n">
        <v>0</v>
      </c>
      <c r="O153" s="249" t="n">
        <v>0</v>
      </c>
      <c r="P153" s="250"/>
      <c r="Q153" s="250"/>
      <c r="R153" s="251" t="e">
        <f aca="false">B153</f>
        <v>#VALUE!</v>
      </c>
      <c r="S153" s="252" t="n">
        <f aca="false">T153-$S$16</f>
        <v>1.08</v>
      </c>
      <c r="T153" s="243" t="n">
        <f aca="false">D153</f>
        <v>1.15</v>
      </c>
      <c r="U153" s="253" t="n">
        <f aca="false">$U$16+T153</f>
        <v>1.22</v>
      </c>
      <c r="BP153" s="226" t="n">
        <f aca="false">BP152+BV153</f>
        <v>152</v>
      </c>
      <c r="BQ153" s="227" t="s">
        <v>948</v>
      </c>
      <c r="BR153" s="224" t="s">
        <v>285</v>
      </c>
      <c r="BS153" s="161" t="s">
        <v>421</v>
      </c>
      <c r="BT153" s="230" t="s">
        <v>287</v>
      </c>
      <c r="BU153" s="230"/>
      <c r="BV153" s="161" t="n">
        <v>1</v>
      </c>
      <c r="BW153" s="224" t="s">
        <v>949</v>
      </c>
      <c r="BX153" s="0"/>
      <c r="BZ153" s="226" t="n">
        <f aca="false">BZ152+CF153</f>
        <v>152</v>
      </c>
      <c r="CA153" s="227" t="s">
        <v>950</v>
      </c>
      <c r="CB153" s="224" t="s">
        <v>289</v>
      </c>
      <c r="CC153" s="161" t="s">
        <v>286</v>
      </c>
      <c r="CD153" s="230" t="s">
        <v>287</v>
      </c>
      <c r="CE153" s="230"/>
      <c r="CF153" s="161" t="n">
        <v>1</v>
      </c>
      <c r="CG153" s="231" t="s">
        <v>951</v>
      </c>
      <c r="CH153" s="0"/>
    </row>
    <row r="154" customFormat="false" ht="12.75" hidden="false" customHeight="false" outlineLevel="0" collapsed="false">
      <c r="A154" s="244"/>
      <c r="B154" s="245" t="e">
        <f aca="false">NextMonth(B153)</f>
        <v>#VALUE!</v>
      </c>
      <c r="C154" s="246" t="n">
        <v>0.061225164671439</v>
      </c>
      <c r="D154" s="246" t="n">
        <v>1.15</v>
      </c>
      <c r="E154" s="246" t="n">
        <v>1.15</v>
      </c>
      <c r="F154" s="246" t="n">
        <v>0.1625</v>
      </c>
      <c r="G154" s="246" t="n">
        <v>0.17</v>
      </c>
      <c r="H154" s="246" t="n">
        <v>0.1775</v>
      </c>
      <c r="I154" s="247" t="n">
        <v>4.532</v>
      </c>
      <c r="J154" s="248" t="n">
        <v>4.537</v>
      </c>
      <c r="K154" s="248" t="n">
        <v>4.542</v>
      </c>
      <c r="L154" s="248" t="n">
        <v>0.16</v>
      </c>
      <c r="M154" s="248" t="n">
        <v>0.16</v>
      </c>
      <c r="N154" s="249" t="n">
        <v>0</v>
      </c>
      <c r="O154" s="249" t="n">
        <v>0</v>
      </c>
      <c r="P154" s="250"/>
      <c r="Q154" s="250"/>
      <c r="R154" s="251" t="e">
        <f aca="false">B154</f>
        <v>#VALUE!</v>
      </c>
      <c r="S154" s="252" t="n">
        <f aca="false">T154-$S$16</f>
        <v>1.08</v>
      </c>
      <c r="T154" s="243" t="n">
        <f aca="false">D154</f>
        <v>1.15</v>
      </c>
      <c r="U154" s="253" t="n">
        <f aca="false">$U$16+T154</f>
        <v>1.22</v>
      </c>
      <c r="BP154" s="226" t="n">
        <f aca="false">BP153+BV154</f>
        <v>153</v>
      </c>
      <c r="BQ154" s="227" t="s">
        <v>952</v>
      </c>
      <c r="BR154" s="224" t="s">
        <v>285</v>
      </c>
      <c r="BS154" s="161" t="s">
        <v>421</v>
      </c>
      <c r="BT154" s="230" t="s">
        <v>287</v>
      </c>
      <c r="BU154" s="230"/>
      <c r="BV154" s="161" t="n">
        <v>1</v>
      </c>
      <c r="BW154" s="224" t="s">
        <v>953</v>
      </c>
      <c r="BX154" s="0"/>
      <c r="BZ154" s="226" t="n">
        <f aca="false">BZ153+CF154</f>
        <v>153</v>
      </c>
      <c r="CA154" s="227" t="s">
        <v>954</v>
      </c>
      <c r="CB154" s="224" t="s">
        <v>289</v>
      </c>
      <c r="CC154" s="161" t="s">
        <v>286</v>
      </c>
      <c r="CD154" s="230" t="s">
        <v>287</v>
      </c>
      <c r="CE154" s="230"/>
      <c r="CF154" s="161" t="n">
        <v>1</v>
      </c>
      <c r="CG154" s="231" t="s">
        <v>955</v>
      </c>
      <c r="CH154" s="0"/>
    </row>
    <row r="155" customFormat="false" ht="12.75" hidden="false" customHeight="false" outlineLevel="0" collapsed="false">
      <c r="A155" s="244"/>
      <c r="B155" s="245" t="e">
        <f aca="false">NextMonth(B154)</f>
        <v>#VALUE!</v>
      </c>
      <c r="C155" s="246" t="n">
        <v>0.0612617930893546</v>
      </c>
      <c r="D155" s="246" t="n">
        <v>1.15</v>
      </c>
      <c r="E155" s="246" t="n">
        <v>1.15</v>
      </c>
      <c r="F155" s="246" t="n">
        <v>0.1625</v>
      </c>
      <c r="G155" s="246" t="n">
        <v>0.17</v>
      </c>
      <c r="H155" s="246" t="n">
        <v>0.1775</v>
      </c>
      <c r="I155" s="247" t="n">
        <v>4.419</v>
      </c>
      <c r="J155" s="248" t="n">
        <v>4.424</v>
      </c>
      <c r="K155" s="248" t="n">
        <v>4.429</v>
      </c>
      <c r="L155" s="248" t="n">
        <v>0.16</v>
      </c>
      <c r="M155" s="248" t="n">
        <v>0.16</v>
      </c>
      <c r="N155" s="249" t="n">
        <v>0</v>
      </c>
      <c r="O155" s="249" t="n">
        <v>0</v>
      </c>
      <c r="P155" s="250"/>
      <c r="Q155" s="250"/>
      <c r="R155" s="251" t="e">
        <f aca="false">B155</f>
        <v>#VALUE!</v>
      </c>
      <c r="S155" s="252" t="n">
        <f aca="false">T155-$S$16</f>
        <v>1.08</v>
      </c>
      <c r="T155" s="243" t="n">
        <f aca="false">D155</f>
        <v>1.15</v>
      </c>
      <c r="U155" s="253" t="n">
        <f aca="false">$U$16+T155</f>
        <v>1.22</v>
      </c>
      <c r="BP155" s="226" t="n">
        <f aca="false">BP154+BV155</f>
        <v>154</v>
      </c>
      <c r="BQ155" s="227" t="s">
        <v>956</v>
      </c>
      <c r="BR155" s="224" t="s">
        <v>285</v>
      </c>
      <c r="BS155" s="161" t="s">
        <v>421</v>
      </c>
      <c r="BT155" s="230" t="s">
        <v>287</v>
      </c>
      <c r="BU155" s="230"/>
      <c r="BV155" s="161" t="n">
        <v>1</v>
      </c>
      <c r="BW155" s="224" t="s">
        <v>957</v>
      </c>
      <c r="BX155" s="0"/>
      <c r="BZ155" s="226" t="n">
        <f aca="false">BZ154+CF155</f>
        <v>154</v>
      </c>
      <c r="CA155" s="227" t="s">
        <v>958</v>
      </c>
      <c r="CB155" s="224" t="s">
        <v>289</v>
      </c>
      <c r="CC155" s="161" t="s">
        <v>286</v>
      </c>
      <c r="CD155" s="230" t="s">
        <v>287</v>
      </c>
      <c r="CE155" s="230"/>
      <c r="CF155" s="161" t="n">
        <v>1</v>
      </c>
      <c r="CG155" s="231" t="s">
        <v>959</v>
      </c>
      <c r="CH155" s="0"/>
    </row>
    <row r="156" customFormat="false" ht="12.75" hidden="false" customHeight="false" outlineLevel="0" collapsed="false">
      <c r="A156" s="244"/>
      <c r="B156" s="245" t="e">
        <f aca="false">NextMonth(B155)</f>
        <v>#VALUE!</v>
      </c>
      <c r="C156" s="246" t="n">
        <v>0.0612948768220485</v>
      </c>
      <c r="D156" s="246" t="n">
        <v>0.9</v>
      </c>
      <c r="E156" s="246" t="n">
        <v>0.9</v>
      </c>
      <c r="F156" s="246" t="n">
        <v>0.1625</v>
      </c>
      <c r="G156" s="246" t="n">
        <v>0.17</v>
      </c>
      <c r="H156" s="246" t="n">
        <v>0.1775</v>
      </c>
      <c r="I156" s="247" t="n">
        <v>4.286</v>
      </c>
      <c r="J156" s="248" t="n">
        <v>4.291</v>
      </c>
      <c r="K156" s="248" t="n">
        <v>4.296</v>
      </c>
      <c r="L156" s="248" t="n">
        <v>0.16</v>
      </c>
      <c r="M156" s="248" t="n">
        <v>0.16</v>
      </c>
      <c r="N156" s="249" t="n">
        <v>0</v>
      </c>
      <c r="O156" s="249" t="n">
        <v>0</v>
      </c>
      <c r="P156" s="250"/>
      <c r="Q156" s="250"/>
      <c r="R156" s="251" t="e">
        <f aca="false">B156</f>
        <v>#VALUE!</v>
      </c>
      <c r="S156" s="252" t="n">
        <f aca="false">T156-$S$16</f>
        <v>0.83</v>
      </c>
      <c r="T156" s="243" t="n">
        <f aca="false">D156</f>
        <v>0.9</v>
      </c>
      <c r="U156" s="253" t="n">
        <f aca="false">$U$16+T156</f>
        <v>0.97</v>
      </c>
      <c r="BP156" s="226" t="n">
        <f aca="false">BP155+BV156</f>
        <v>155</v>
      </c>
      <c r="BQ156" s="227" t="s">
        <v>960</v>
      </c>
      <c r="BR156" s="224" t="s">
        <v>285</v>
      </c>
      <c r="BS156" s="161" t="s">
        <v>421</v>
      </c>
      <c r="BT156" s="230" t="s">
        <v>287</v>
      </c>
      <c r="BU156" s="230"/>
      <c r="BV156" s="161" t="n">
        <v>1</v>
      </c>
      <c r="BW156" s="224" t="s">
        <v>961</v>
      </c>
      <c r="BX156" s="0"/>
      <c r="BZ156" s="226" t="n">
        <f aca="false">BZ155+CF156</f>
        <v>155</v>
      </c>
      <c r="CA156" s="227" t="s">
        <v>962</v>
      </c>
      <c r="CB156" s="224" t="s">
        <v>289</v>
      </c>
      <c r="CC156" s="161" t="s">
        <v>286</v>
      </c>
      <c r="CD156" s="230" t="s">
        <v>287</v>
      </c>
      <c r="CE156" s="230"/>
      <c r="CF156" s="161" t="n">
        <v>1</v>
      </c>
      <c r="CG156" s="231" t="s">
        <v>963</v>
      </c>
      <c r="CH156" s="0"/>
    </row>
    <row r="157" customFormat="false" ht="12.75" hidden="false" customHeight="false" outlineLevel="0" collapsed="false">
      <c r="A157" s="244"/>
      <c r="B157" s="245" t="e">
        <f aca="false">NextMonth(B156)</f>
        <v>#VALUE!</v>
      </c>
      <c r="C157" s="246" t="n">
        <v>0.0613315052408119</v>
      </c>
      <c r="D157" s="246" t="n">
        <v>0.55</v>
      </c>
      <c r="E157" s="246" t="n">
        <v>0.55</v>
      </c>
      <c r="F157" s="246" t="n">
        <v>0.1625</v>
      </c>
      <c r="G157" s="246" t="n">
        <v>0.17</v>
      </c>
      <c r="H157" s="246" t="n">
        <v>0.1775</v>
      </c>
      <c r="I157" s="247" t="n">
        <v>4.066</v>
      </c>
      <c r="J157" s="248" t="n">
        <v>4.071</v>
      </c>
      <c r="K157" s="248" t="n">
        <v>4.076</v>
      </c>
      <c r="L157" s="248" t="n">
        <v>0.11</v>
      </c>
      <c r="M157" s="248" t="n">
        <v>0.11</v>
      </c>
      <c r="N157" s="249" t="n">
        <v>0</v>
      </c>
      <c r="O157" s="249" t="n">
        <v>0</v>
      </c>
      <c r="P157" s="250"/>
      <c r="Q157" s="250"/>
      <c r="R157" s="251" t="e">
        <f aca="false">B157</f>
        <v>#VALUE!</v>
      </c>
      <c r="S157" s="252" t="n">
        <f aca="false">T157-$S$16</f>
        <v>0.48</v>
      </c>
      <c r="T157" s="243" t="n">
        <f aca="false">D157</f>
        <v>0.55</v>
      </c>
      <c r="U157" s="253" t="n">
        <f aca="false">$U$16+T157</f>
        <v>0.62</v>
      </c>
      <c r="BP157" s="226" t="n">
        <f aca="false">BP156+BV157</f>
        <v>156</v>
      </c>
      <c r="BQ157" s="227" t="s">
        <v>964</v>
      </c>
      <c r="BR157" s="224" t="s">
        <v>285</v>
      </c>
      <c r="BS157" s="161" t="s">
        <v>421</v>
      </c>
      <c r="BT157" s="230" t="s">
        <v>287</v>
      </c>
      <c r="BU157" s="230"/>
      <c r="BV157" s="161" t="n">
        <v>1</v>
      </c>
      <c r="BW157" s="224" t="s">
        <v>965</v>
      </c>
      <c r="BX157" s="0"/>
      <c r="BZ157" s="226" t="n">
        <f aca="false">BZ156+CF157</f>
        <v>156</v>
      </c>
      <c r="CA157" s="227" t="s">
        <v>966</v>
      </c>
      <c r="CB157" s="224" t="s">
        <v>289</v>
      </c>
      <c r="CC157" s="161" t="s">
        <v>286</v>
      </c>
      <c r="CD157" s="230" t="s">
        <v>287</v>
      </c>
      <c r="CE157" s="230"/>
      <c r="CF157" s="161" t="n">
        <v>1</v>
      </c>
      <c r="CG157" s="231" t="s">
        <v>967</v>
      </c>
      <c r="CH157" s="0"/>
    </row>
    <row r="158" customFormat="false" ht="12.75" hidden="false" customHeight="false" outlineLevel="0" collapsed="false">
      <c r="A158" s="244"/>
      <c r="B158" s="245" t="e">
        <f aca="false">NextMonth(B157)</f>
        <v>#VALUE!</v>
      </c>
      <c r="C158" s="246" t="n">
        <v>0.0613669520981039</v>
      </c>
      <c r="D158" s="246" t="n">
        <v>0.6</v>
      </c>
      <c r="E158" s="246" t="n">
        <v>0.6</v>
      </c>
      <c r="F158" s="246" t="n">
        <v>0.1625</v>
      </c>
      <c r="G158" s="246" t="n">
        <v>0.17</v>
      </c>
      <c r="H158" s="246" t="n">
        <v>0.1775</v>
      </c>
      <c r="I158" s="247" t="n">
        <v>4.056</v>
      </c>
      <c r="J158" s="248" t="n">
        <v>4.061</v>
      </c>
      <c r="K158" s="248" t="n">
        <v>4.066</v>
      </c>
      <c r="L158" s="248" t="n">
        <v>0.11</v>
      </c>
      <c r="M158" s="248" t="n">
        <v>0.11</v>
      </c>
      <c r="N158" s="249" t="n">
        <v>0</v>
      </c>
      <c r="O158" s="249" t="n">
        <v>0</v>
      </c>
      <c r="P158" s="250"/>
      <c r="Q158" s="250"/>
      <c r="R158" s="251" t="e">
        <f aca="false">B158</f>
        <v>#VALUE!</v>
      </c>
      <c r="S158" s="252" t="n">
        <f aca="false">T158-$S$16</f>
        <v>0.53</v>
      </c>
      <c r="T158" s="243" t="n">
        <f aca="false">D158</f>
        <v>0.6</v>
      </c>
      <c r="U158" s="253" t="n">
        <f aca="false">$U$16+T158</f>
        <v>0.67</v>
      </c>
      <c r="BP158" s="226" t="n">
        <f aca="false">BP157+BV158</f>
        <v>157</v>
      </c>
      <c r="BQ158" s="227" t="s">
        <v>968</v>
      </c>
      <c r="BR158" s="224" t="s">
        <v>285</v>
      </c>
      <c r="BS158" s="161" t="s">
        <v>421</v>
      </c>
      <c r="BT158" s="230" t="s">
        <v>287</v>
      </c>
      <c r="BU158" s="230"/>
      <c r="BV158" s="161" t="n">
        <v>1</v>
      </c>
      <c r="BW158" s="224" t="s">
        <v>969</v>
      </c>
      <c r="BX158" s="0"/>
      <c r="BZ158" s="226" t="n">
        <f aca="false">BZ157+CF158</f>
        <v>157</v>
      </c>
      <c r="CA158" s="227" t="s">
        <v>970</v>
      </c>
      <c r="CB158" s="224" t="s">
        <v>289</v>
      </c>
      <c r="CC158" s="161" t="s">
        <v>286</v>
      </c>
      <c r="CD158" s="230" t="s">
        <v>287</v>
      </c>
      <c r="CE158" s="230"/>
      <c r="CF158" s="161" t="n">
        <v>1</v>
      </c>
      <c r="CG158" s="231" t="s">
        <v>971</v>
      </c>
      <c r="CH158" s="0"/>
    </row>
    <row r="159" customFormat="false" ht="12.75" hidden="false" customHeight="false" outlineLevel="0" collapsed="false">
      <c r="A159" s="244"/>
      <c r="B159" s="245" t="e">
        <f aca="false">NextMonth(B158)</f>
        <v>#VALUE!</v>
      </c>
      <c r="C159" s="246" t="n">
        <v>0.0614035805177449</v>
      </c>
      <c r="D159" s="246" t="n">
        <v>0.6</v>
      </c>
      <c r="E159" s="246" t="n">
        <v>0.6</v>
      </c>
      <c r="F159" s="246" t="n">
        <v>0.1625</v>
      </c>
      <c r="G159" s="246" t="n">
        <v>0.17</v>
      </c>
      <c r="H159" s="246" t="n">
        <v>0.1775</v>
      </c>
      <c r="I159" s="247" t="n">
        <v>4.092</v>
      </c>
      <c r="J159" s="248" t="n">
        <v>4.097</v>
      </c>
      <c r="K159" s="248" t="n">
        <v>4.102</v>
      </c>
      <c r="L159" s="248" t="n">
        <v>0.11</v>
      </c>
      <c r="M159" s="248" t="n">
        <v>0.11</v>
      </c>
      <c r="N159" s="249" t="n">
        <v>0</v>
      </c>
      <c r="O159" s="249" t="n">
        <v>0</v>
      </c>
      <c r="P159" s="250"/>
      <c r="Q159" s="250"/>
      <c r="R159" s="251" t="e">
        <f aca="false">B159</f>
        <v>#VALUE!</v>
      </c>
      <c r="S159" s="252" t="n">
        <f aca="false">T159-$S$16</f>
        <v>0.53</v>
      </c>
      <c r="T159" s="243" t="n">
        <f aca="false">D159</f>
        <v>0.6</v>
      </c>
      <c r="U159" s="253" t="n">
        <f aca="false">$U$16+T159</f>
        <v>0.67</v>
      </c>
      <c r="BP159" s="226" t="n">
        <f aca="false">BP158+BV159</f>
        <v>158</v>
      </c>
      <c r="BQ159" s="227" t="s">
        <v>972</v>
      </c>
      <c r="BR159" s="224" t="s">
        <v>285</v>
      </c>
      <c r="BS159" s="161" t="s">
        <v>421</v>
      </c>
      <c r="BT159" s="230" t="s">
        <v>287</v>
      </c>
      <c r="BU159" s="230"/>
      <c r="BV159" s="161" t="n">
        <v>1</v>
      </c>
      <c r="BW159" s="224" t="s">
        <v>973</v>
      </c>
      <c r="BX159" s="0"/>
      <c r="BZ159" s="226" t="n">
        <f aca="false">BZ158+CF159</f>
        <v>158</v>
      </c>
      <c r="CA159" s="227" t="s">
        <v>974</v>
      </c>
      <c r="CB159" s="224" t="s">
        <v>289</v>
      </c>
      <c r="CC159" s="161" t="s">
        <v>286</v>
      </c>
      <c r="CD159" s="230" t="s">
        <v>287</v>
      </c>
      <c r="CE159" s="230"/>
      <c r="CF159" s="161" t="n">
        <v>1</v>
      </c>
      <c r="CG159" s="231" t="s">
        <v>975</v>
      </c>
      <c r="CH159" s="0"/>
    </row>
    <row r="160" customFormat="false" ht="12.75" hidden="false" customHeight="false" outlineLevel="0" collapsed="false">
      <c r="A160" s="244"/>
      <c r="B160" s="245" t="e">
        <f aca="false">NextMonth(B159)</f>
        <v>#VALUE!</v>
      </c>
      <c r="C160" s="246" t="n">
        <v>0.0614390273758851</v>
      </c>
      <c r="D160" s="246" t="n">
        <v>0.65</v>
      </c>
      <c r="E160" s="246" t="n">
        <v>0.65</v>
      </c>
      <c r="F160" s="246" t="n">
        <v>0.1625</v>
      </c>
      <c r="G160" s="246" t="n">
        <v>0.17</v>
      </c>
      <c r="H160" s="246" t="n">
        <v>0.1775</v>
      </c>
      <c r="I160" s="247" t="n">
        <v>4.142</v>
      </c>
      <c r="J160" s="248" t="n">
        <v>4.147</v>
      </c>
      <c r="K160" s="248" t="n">
        <v>4.152</v>
      </c>
      <c r="L160" s="248" t="n">
        <v>0.11</v>
      </c>
      <c r="M160" s="248" t="n">
        <v>0.11</v>
      </c>
      <c r="N160" s="249" t="n">
        <v>0</v>
      </c>
      <c r="O160" s="249" t="n">
        <v>0</v>
      </c>
      <c r="P160" s="250"/>
      <c r="Q160" s="250"/>
      <c r="R160" s="251" t="e">
        <f aca="false">B160</f>
        <v>#VALUE!</v>
      </c>
      <c r="S160" s="252" t="n">
        <f aca="false">T160-$S$16</f>
        <v>0.58</v>
      </c>
      <c r="T160" s="243" t="n">
        <f aca="false">D160</f>
        <v>0.65</v>
      </c>
      <c r="U160" s="253" t="n">
        <f aca="false">$U$16+T160</f>
        <v>0.72</v>
      </c>
      <c r="BP160" s="226" t="n">
        <f aca="false">BP159+BV160</f>
        <v>159</v>
      </c>
      <c r="BQ160" s="227" t="s">
        <v>976</v>
      </c>
      <c r="BR160" s="224" t="s">
        <v>285</v>
      </c>
      <c r="BS160" s="161" t="s">
        <v>421</v>
      </c>
      <c r="BT160" s="230" t="s">
        <v>287</v>
      </c>
      <c r="BU160" s="230"/>
      <c r="BV160" s="161" t="n">
        <v>1</v>
      </c>
      <c r="BW160" s="224" t="s">
        <v>977</v>
      </c>
      <c r="BX160" s="0"/>
      <c r="BZ160" s="226" t="n">
        <f aca="false">BZ159+CF160</f>
        <v>159</v>
      </c>
      <c r="CA160" s="227" t="s">
        <v>978</v>
      </c>
      <c r="CB160" s="224" t="s">
        <v>289</v>
      </c>
      <c r="CC160" s="161" t="s">
        <v>286</v>
      </c>
      <c r="CD160" s="230" t="s">
        <v>287</v>
      </c>
      <c r="CE160" s="230"/>
      <c r="CF160" s="161" t="n">
        <v>1</v>
      </c>
      <c r="CG160" s="231" t="s">
        <v>979</v>
      </c>
      <c r="CH160" s="0"/>
    </row>
    <row r="161" customFormat="false" ht="12.75" hidden="false" customHeight="false" outlineLevel="0" collapsed="false">
      <c r="A161" s="244"/>
      <c r="B161" s="245" t="e">
        <f aca="false">NextMonth(B160)</f>
        <v>#VALUE!</v>
      </c>
      <c r="C161" s="246" t="n">
        <v>0.0614756557964018</v>
      </c>
      <c r="D161" s="246" t="n">
        <v>0.7</v>
      </c>
      <c r="E161" s="246" t="n">
        <v>0.7</v>
      </c>
      <c r="F161" s="246" t="n">
        <v>0.1625</v>
      </c>
      <c r="G161" s="246" t="n">
        <v>0.17</v>
      </c>
      <c r="H161" s="246" t="n">
        <v>0.1775</v>
      </c>
      <c r="I161" s="247" t="n">
        <v>4.165</v>
      </c>
      <c r="J161" s="248" t="n">
        <v>4.17</v>
      </c>
      <c r="K161" s="248" t="n">
        <v>4.175</v>
      </c>
      <c r="L161" s="248" t="n">
        <v>0.11</v>
      </c>
      <c r="M161" s="248" t="n">
        <v>0.11</v>
      </c>
      <c r="N161" s="249" t="n">
        <v>0</v>
      </c>
      <c r="O161" s="249" t="n">
        <v>0</v>
      </c>
      <c r="P161" s="250"/>
      <c r="Q161" s="250"/>
      <c r="R161" s="251" t="e">
        <f aca="false">B161</f>
        <v>#VALUE!</v>
      </c>
      <c r="S161" s="252" t="n">
        <f aca="false">T161-$S$16</f>
        <v>0.63</v>
      </c>
      <c r="T161" s="243" t="n">
        <f aca="false">D161</f>
        <v>0.7</v>
      </c>
      <c r="U161" s="253" t="n">
        <f aca="false">$U$16+T161</f>
        <v>0.77</v>
      </c>
      <c r="BP161" s="226" t="n">
        <f aca="false">BP160+BV161</f>
        <v>160</v>
      </c>
      <c r="BQ161" s="227" t="s">
        <v>980</v>
      </c>
      <c r="BR161" s="224" t="s">
        <v>285</v>
      </c>
      <c r="BS161" s="161" t="s">
        <v>421</v>
      </c>
      <c r="BT161" s="230" t="s">
        <v>287</v>
      </c>
      <c r="BU161" s="230"/>
      <c r="BV161" s="161" t="n">
        <v>1</v>
      </c>
      <c r="BW161" s="224" t="s">
        <v>981</v>
      </c>
      <c r="BX161" s="0"/>
      <c r="BZ161" s="226" t="n">
        <f aca="false">BZ160+CF161</f>
        <v>160</v>
      </c>
      <c r="CA161" s="227" t="s">
        <v>982</v>
      </c>
      <c r="CB161" s="224" t="s">
        <v>289</v>
      </c>
      <c r="CC161" s="161" t="s">
        <v>286</v>
      </c>
      <c r="CD161" s="230" t="s">
        <v>287</v>
      </c>
      <c r="CE161" s="230"/>
      <c r="CF161" s="161" t="n">
        <v>1</v>
      </c>
      <c r="CG161" s="231" t="s">
        <v>983</v>
      </c>
      <c r="CH161" s="0"/>
    </row>
    <row r="162" customFormat="false" ht="12.75" hidden="false" customHeight="false" outlineLevel="0" collapsed="false">
      <c r="A162" s="244"/>
      <c r="B162" s="245" t="e">
        <f aca="false">NextMonth(B161)</f>
        <v>#VALUE!</v>
      </c>
      <c r="C162" s="246" t="n">
        <v>0.0615122842173639</v>
      </c>
      <c r="D162" s="246" t="n">
        <v>0.7</v>
      </c>
      <c r="E162" s="246" t="n">
        <v>0.7</v>
      </c>
      <c r="F162" s="246" t="n">
        <v>0.1625</v>
      </c>
      <c r="G162" s="246" t="n">
        <v>0.17</v>
      </c>
      <c r="H162" s="246" t="n">
        <v>0.1775</v>
      </c>
      <c r="I162" s="247" t="n">
        <v>4.18</v>
      </c>
      <c r="J162" s="248" t="n">
        <v>4.185</v>
      </c>
      <c r="K162" s="248" t="n">
        <v>4.19</v>
      </c>
      <c r="L162" s="248" t="n">
        <v>0.11</v>
      </c>
      <c r="M162" s="248" t="n">
        <v>0.11</v>
      </c>
      <c r="N162" s="249" t="n">
        <v>0</v>
      </c>
      <c r="O162" s="249" t="n">
        <v>0</v>
      </c>
      <c r="P162" s="250"/>
      <c r="Q162" s="250"/>
      <c r="R162" s="251" t="e">
        <f aca="false">B162</f>
        <v>#VALUE!</v>
      </c>
      <c r="S162" s="252" t="n">
        <f aca="false">T162-$S$16</f>
        <v>0.63</v>
      </c>
      <c r="T162" s="243" t="n">
        <f aca="false">D162</f>
        <v>0.7</v>
      </c>
      <c r="U162" s="253" t="n">
        <f aca="false">$U$16+T162</f>
        <v>0.77</v>
      </c>
      <c r="BP162" s="226" t="n">
        <f aca="false">BP161+BV162</f>
        <v>161</v>
      </c>
      <c r="BQ162" s="227" t="s">
        <v>984</v>
      </c>
      <c r="BR162" s="224" t="s">
        <v>285</v>
      </c>
      <c r="BS162" s="161" t="s">
        <v>421</v>
      </c>
      <c r="BT162" s="230" t="s">
        <v>287</v>
      </c>
      <c r="BU162" s="230"/>
      <c r="BV162" s="161" t="n">
        <v>1</v>
      </c>
      <c r="BW162" s="224" t="s">
        <v>985</v>
      </c>
      <c r="BX162" s="0"/>
      <c r="BZ162" s="226" t="n">
        <f aca="false">BZ161+CF162</f>
        <v>161</v>
      </c>
      <c r="CA162" s="227" t="s">
        <v>986</v>
      </c>
      <c r="CB162" s="224" t="s">
        <v>289</v>
      </c>
      <c r="CC162" s="161" t="s">
        <v>286</v>
      </c>
      <c r="CD162" s="230" t="s">
        <v>287</v>
      </c>
      <c r="CE162" s="230"/>
      <c r="CF162" s="161" t="n">
        <v>1</v>
      </c>
      <c r="CG162" s="231" t="s">
        <v>987</v>
      </c>
      <c r="CH162" s="0"/>
    </row>
    <row r="163" customFormat="false" ht="12.75" hidden="false" customHeight="false" outlineLevel="0" collapsed="false">
      <c r="A163" s="244"/>
      <c r="B163" s="245" t="e">
        <f aca="false">NextMonth(B162)</f>
        <v>#VALUE!</v>
      </c>
      <c r="C163" s="246" t="n">
        <v>0.061547731076784</v>
      </c>
      <c r="D163" s="246" t="n">
        <v>0.75</v>
      </c>
      <c r="E163" s="246" t="n">
        <v>0.75</v>
      </c>
      <c r="F163" s="246" t="n">
        <v>0.1625</v>
      </c>
      <c r="G163" s="246" t="n">
        <v>0.17</v>
      </c>
      <c r="H163" s="246" t="n">
        <v>0.1775</v>
      </c>
      <c r="I163" s="247" t="n">
        <v>4.209</v>
      </c>
      <c r="J163" s="248" t="n">
        <v>4.214</v>
      </c>
      <c r="K163" s="248" t="n">
        <v>4.219</v>
      </c>
      <c r="L163" s="248" t="n">
        <v>0.11</v>
      </c>
      <c r="M163" s="248" t="n">
        <v>0.11</v>
      </c>
      <c r="N163" s="249" t="n">
        <v>0</v>
      </c>
      <c r="O163" s="249" t="n">
        <v>0</v>
      </c>
      <c r="P163" s="250"/>
      <c r="Q163" s="250"/>
      <c r="R163" s="251" t="e">
        <f aca="false">B163</f>
        <v>#VALUE!</v>
      </c>
      <c r="S163" s="252" t="n">
        <f aca="false">T163-$S$16</f>
        <v>0.68</v>
      </c>
      <c r="T163" s="243" t="n">
        <f aca="false">D163</f>
        <v>0.75</v>
      </c>
      <c r="U163" s="253" t="n">
        <f aca="false">$U$16+T163</f>
        <v>0.82</v>
      </c>
      <c r="BP163" s="226" t="n">
        <f aca="false">BP162+BV163</f>
        <v>162</v>
      </c>
      <c r="BQ163" s="227" t="s">
        <v>988</v>
      </c>
      <c r="BR163" s="224" t="s">
        <v>285</v>
      </c>
      <c r="BS163" s="161" t="s">
        <v>421</v>
      </c>
      <c r="BT163" s="230" t="s">
        <v>287</v>
      </c>
      <c r="BU163" s="230"/>
      <c r="BV163" s="161" t="n">
        <v>1</v>
      </c>
      <c r="BW163" s="224" t="s">
        <v>989</v>
      </c>
      <c r="BX163" s="0"/>
      <c r="BZ163" s="226" t="n">
        <f aca="false">BZ162+CF163</f>
        <v>162</v>
      </c>
      <c r="CA163" s="227" t="s">
        <v>990</v>
      </c>
      <c r="CB163" s="224" t="s">
        <v>289</v>
      </c>
      <c r="CC163" s="161" t="s">
        <v>286</v>
      </c>
      <c r="CD163" s="230" t="s">
        <v>287</v>
      </c>
      <c r="CE163" s="230"/>
      <c r="CF163" s="161" t="n">
        <v>1</v>
      </c>
      <c r="CG163" s="231" t="s">
        <v>991</v>
      </c>
      <c r="CH163" s="0"/>
    </row>
    <row r="164" customFormat="false" ht="12.75" hidden="false" customHeight="false" outlineLevel="0" collapsed="false">
      <c r="A164" s="244"/>
      <c r="B164" s="245" t="e">
        <f aca="false">NextMonth(B163)</f>
        <v>#VALUE!</v>
      </c>
      <c r="C164" s="246" t="n">
        <v>0.0615843594986227</v>
      </c>
      <c r="D164" s="246" t="n">
        <v>0.95</v>
      </c>
      <c r="E164" s="246" t="n">
        <v>0.95</v>
      </c>
      <c r="F164" s="246" t="n">
        <v>0.1625</v>
      </c>
      <c r="G164" s="246" t="n">
        <v>0.17</v>
      </c>
      <c r="H164" s="246" t="n">
        <v>0.1775</v>
      </c>
      <c r="I164" s="247" t="n">
        <v>4.349</v>
      </c>
      <c r="J164" s="248" t="n">
        <v>4.354</v>
      </c>
      <c r="K164" s="248" t="n">
        <v>4.359</v>
      </c>
      <c r="L164" s="248" t="n">
        <v>0.16</v>
      </c>
      <c r="M164" s="248" t="n">
        <v>0.16</v>
      </c>
      <c r="N164" s="249" t="n">
        <v>0</v>
      </c>
      <c r="O164" s="249" t="n">
        <v>0</v>
      </c>
      <c r="P164" s="250"/>
      <c r="Q164" s="250"/>
      <c r="R164" s="251" t="e">
        <f aca="false">B164</f>
        <v>#VALUE!</v>
      </c>
      <c r="S164" s="252" t="n">
        <f aca="false">T164-$S$16</f>
        <v>0.88</v>
      </c>
      <c r="T164" s="243" t="n">
        <f aca="false">D164</f>
        <v>0.95</v>
      </c>
      <c r="U164" s="253" t="n">
        <f aca="false">$U$16+T164</f>
        <v>1.02</v>
      </c>
      <c r="BP164" s="226" t="n">
        <f aca="false">BP163+BV164</f>
        <v>163</v>
      </c>
      <c r="BQ164" s="227" t="s">
        <v>992</v>
      </c>
      <c r="BR164" s="224" t="s">
        <v>285</v>
      </c>
      <c r="BS164" s="161" t="s">
        <v>421</v>
      </c>
      <c r="BT164" s="230" t="s">
        <v>287</v>
      </c>
      <c r="BU164" s="230"/>
      <c r="BV164" s="161" t="n">
        <v>1</v>
      </c>
      <c r="BW164" s="224" t="s">
        <v>993</v>
      </c>
      <c r="BX164" s="0"/>
      <c r="BZ164" s="226" t="n">
        <f aca="false">BZ163+CF164</f>
        <v>163</v>
      </c>
      <c r="CA164" s="227" t="s">
        <v>994</v>
      </c>
      <c r="CB164" s="224" t="s">
        <v>289</v>
      </c>
      <c r="CC164" s="161" t="s">
        <v>286</v>
      </c>
      <c r="CD164" s="230" t="s">
        <v>287</v>
      </c>
      <c r="CE164" s="230"/>
      <c r="CF164" s="161" t="n">
        <v>1</v>
      </c>
      <c r="CG164" s="231" t="s">
        <v>995</v>
      </c>
      <c r="CH164" s="0"/>
    </row>
    <row r="165" customFormat="false" ht="12.75" hidden="false" customHeight="false" outlineLevel="0" collapsed="false">
      <c r="A165" s="244"/>
      <c r="B165" s="245" t="e">
        <f aca="false">NextMonth(B164)</f>
        <v>#VALUE!</v>
      </c>
      <c r="C165" s="246" t="n">
        <v>0.0616198063588906</v>
      </c>
      <c r="D165" s="246" t="n">
        <v>1.15</v>
      </c>
      <c r="E165" s="246" t="n">
        <v>1.15</v>
      </c>
      <c r="F165" s="246" t="n">
        <v>0.1625</v>
      </c>
      <c r="G165" s="246" t="n">
        <v>0.17</v>
      </c>
      <c r="H165" s="246" t="n">
        <v>0.1775</v>
      </c>
      <c r="I165" s="247" t="n">
        <v>4.498</v>
      </c>
      <c r="J165" s="248" t="n">
        <v>4.503</v>
      </c>
      <c r="K165" s="248" t="n">
        <v>4.508</v>
      </c>
      <c r="L165" s="248" t="n">
        <v>0.16</v>
      </c>
      <c r="M165" s="248" t="n">
        <v>0.16</v>
      </c>
      <c r="N165" s="249" t="n">
        <v>0</v>
      </c>
      <c r="O165" s="249" t="n">
        <v>0</v>
      </c>
      <c r="P165" s="250"/>
      <c r="Q165" s="250"/>
      <c r="R165" s="251" t="e">
        <f aca="false">B165</f>
        <v>#VALUE!</v>
      </c>
      <c r="S165" s="252" t="n">
        <f aca="false">T165-$S$16</f>
        <v>1.08</v>
      </c>
      <c r="T165" s="243" t="n">
        <f aca="false">D165</f>
        <v>1.15</v>
      </c>
      <c r="U165" s="253" t="n">
        <f aca="false">$U$16+T165</f>
        <v>1.22</v>
      </c>
      <c r="BP165" s="226" t="n">
        <f aca="false">BP164+BV165</f>
        <v>164</v>
      </c>
      <c r="BQ165" s="227" t="s">
        <v>996</v>
      </c>
      <c r="BR165" s="224" t="s">
        <v>285</v>
      </c>
      <c r="BS165" s="161" t="s">
        <v>421</v>
      </c>
      <c r="BT165" s="230" t="s">
        <v>287</v>
      </c>
      <c r="BU165" s="230"/>
      <c r="BV165" s="161" t="n">
        <v>1</v>
      </c>
      <c r="BW165" s="224" t="s">
        <v>997</v>
      </c>
      <c r="BX165" s="0"/>
      <c r="BZ165" s="226" t="n">
        <f aca="false">BZ164+CF165</f>
        <v>164</v>
      </c>
      <c r="CA165" s="227" t="s">
        <v>998</v>
      </c>
      <c r="CB165" s="224" t="s">
        <v>289</v>
      </c>
      <c r="CC165" s="161" t="s">
        <v>286</v>
      </c>
      <c r="CD165" s="230" t="s">
        <v>287</v>
      </c>
      <c r="CE165" s="230"/>
      <c r="CF165" s="161" t="n">
        <v>1</v>
      </c>
      <c r="CG165" s="231" t="s">
        <v>999</v>
      </c>
      <c r="CH165" s="0"/>
    </row>
    <row r="166" customFormat="false" ht="12.75" hidden="false" customHeight="false" outlineLevel="0" collapsed="false">
      <c r="A166" s="244"/>
      <c r="B166" s="245" t="e">
        <f aca="false">NextMonth(B165)</f>
        <v>#VALUE!</v>
      </c>
      <c r="C166" s="246" t="n">
        <v>0.0616564347816055</v>
      </c>
      <c r="D166" s="246" t="n">
        <v>1.15</v>
      </c>
      <c r="E166" s="246" t="n">
        <v>1.15</v>
      </c>
      <c r="F166" s="246" t="n">
        <v>0.1625</v>
      </c>
      <c r="G166" s="246" t="n">
        <v>0.17</v>
      </c>
      <c r="H166" s="246" t="n">
        <v>0.1775</v>
      </c>
      <c r="I166" s="247" t="n">
        <v>4.617</v>
      </c>
      <c r="J166" s="248" t="n">
        <v>4.622</v>
      </c>
      <c r="K166" s="248" t="n">
        <v>4.627</v>
      </c>
      <c r="L166" s="248" t="n">
        <v>0.16</v>
      </c>
      <c r="M166" s="248" t="n">
        <v>0.16</v>
      </c>
      <c r="N166" s="249" t="n">
        <v>0</v>
      </c>
      <c r="O166" s="249" t="n">
        <v>0</v>
      </c>
      <c r="P166" s="250"/>
      <c r="Q166" s="250"/>
      <c r="R166" s="251" t="e">
        <f aca="false">B166</f>
        <v>#VALUE!</v>
      </c>
      <c r="S166" s="252" t="n">
        <f aca="false">T166-$S$16</f>
        <v>1.08</v>
      </c>
      <c r="T166" s="243" t="n">
        <f aca="false">D166</f>
        <v>1.15</v>
      </c>
      <c r="U166" s="253" t="n">
        <f aca="false">$U$16+T166</f>
        <v>1.22</v>
      </c>
      <c r="BP166" s="226" t="n">
        <f aca="false">BP165+BV166</f>
        <v>165</v>
      </c>
      <c r="BQ166" s="227" t="s">
        <v>1000</v>
      </c>
      <c r="BR166" s="224" t="s">
        <v>285</v>
      </c>
      <c r="BS166" s="161" t="s">
        <v>421</v>
      </c>
      <c r="BT166" s="230" t="s">
        <v>287</v>
      </c>
      <c r="BU166" s="230"/>
      <c r="BV166" s="161" t="n">
        <v>1</v>
      </c>
      <c r="BW166" s="224" t="s">
        <v>1001</v>
      </c>
      <c r="BX166" s="0"/>
      <c r="BZ166" s="226" t="n">
        <f aca="false">BZ165+CF166</f>
        <v>165</v>
      </c>
      <c r="CA166" s="227" t="s">
        <v>1002</v>
      </c>
      <c r="CB166" s="224" t="s">
        <v>289</v>
      </c>
      <c r="CC166" s="161" t="s">
        <v>286</v>
      </c>
      <c r="CD166" s="230" t="s">
        <v>287</v>
      </c>
      <c r="CE166" s="230"/>
      <c r="CF166" s="161" t="n">
        <v>1</v>
      </c>
      <c r="CG166" s="231" t="s">
        <v>1003</v>
      </c>
      <c r="CH166" s="0"/>
    </row>
    <row r="167" customFormat="false" ht="12.75" hidden="false" customHeight="false" outlineLevel="0" collapsed="false">
      <c r="A167" s="244"/>
      <c r="B167" s="245" t="e">
        <f aca="false">NextMonth(B166)</f>
        <v>#VALUE!</v>
      </c>
      <c r="C167" s="246" t="n">
        <v>0.0616930632047663</v>
      </c>
      <c r="D167" s="246" t="n">
        <v>1.15</v>
      </c>
      <c r="E167" s="246" t="n">
        <v>1.15</v>
      </c>
      <c r="F167" s="246" t="n">
        <v>0.1625</v>
      </c>
      <c r="G167" s="246" t="n">
        <v>0.17</v>
      </c>
      <c r="H167" s="246" t="n">
        <v>0.1775</v>
      </c>
      <c r="I167" s="247" t="n">
        <v>4.504</v>
      </c>
      <c r="J167" s="248" t="n">
        <v>4.509</v>
      </c>
      <c r="K167" s="248" t="n">
        <v>4.514</v>
      </c>
      <c r="L167" s="248" t="n">
        <v>0.16</v>
      </c>
      <c r="M167" s="248" t="n">
        <v>0.16</v>
      </c>
      <c r="N167" s="249" t="n">
        <v>0</v>
      </c>
      <c r="O167" s="249" t="n">
        <v>0</v>
      </c>
      <c r="P167" s="250"/>
      <c r="Q167" s="250"/>
      <c r="R167" s="251" t="e">
        <f aca="false">B167</f>
        <v>#VALUE!</v>
      </c>
      <c r="S167" s="252" t="n">
        <f aca="false">T167-$S$16</f>
        <v>1.08</v>
      </c>
      <c r="T167" s="243" t="n">
        <f aca="false">D167</f>
        <v>1.15</v>
      </c>
      <c r="U167" s="253" t="n">
        <f aca="false">$U$16+T167</f>
        <v>1.22</v>
      </c>
      <c r="BP167" s="226" t="n">
        <f aca="false">BP166+BV167</f>
        <v>166</v>
      </c>
      <c r="BQ167" s="227" t="s">
        <v>1004</v>
      </c>
      <c r="BR167" s="224" t="s">
        <v>285</v>
      </c>
      <c r="BS167" s="161" t="s">
        <v>421</v>
      </c>
      <c r="BT167" s="230" t="s">
        <v>287</v>
      </c>
      <c r="BU167" s="230"/>
      <c r="BV167" s="161" t="n">
        <v>1</v>
      </c>
      <c r="BW167" s="224" t="s">
        <v>1005</v>
      </c>
      <c r="BX167" s="0"/>
      <c r="BZ167" s="226" t="n">
        <f aca="false">BZ166+CF167</f>
        <v>166</v>
      </c>
      <c r="CA167" s="227" t="s">
        <v>1006</v>
      </c>
      <c r="CB167" s="224" t="s">
        <v>289</v>
      </c>
      <c r="CC167" s="161" t="s">
        <v>286</v>
      </c>
      <c r="CD167" s="230" t="s">
        <v>287</v>
      </c>
      <c r="CE167" s="230"/>
      <c r="CF167" s="161" t="n">
        <v>1</v>
      </c>
      <c r="CG167" s="231" t="s">
        <v>1007</v>
      </c>
      <c r="CH167" s="0"/>
    </row>
    <row r="168" customFormat="false" ht="12.75" hidden="false" customHeight="false" outlineLevel="0" collapsed="false">
      <c r="A168" s="244"/>
      <c r="B168" s="245" t="e">
        <f aca="false">NextMonth(B167)</f>
        <v>#VALUE!</v>
      </c>
      <c r="C168" s="246" t="n">
        <v>0.0617261469421977</v>
      </c>
      <c r="D168" s="246" t="n">
        <v>0.9</v>
      </c>
      <c r="E168" s="246" t="n">
        <v>0.9</v>
      </c>
      <c r="F168" s="246" t="n">
        <v>0.1625</v>
      </c>
      <c r="G168" s="246" t="n">
        <v>0.17</v>
      </c>
      <c r="H168" s="246" t="n">
        <v>0.1775</v>
      </c>
      <c r="I168" s="247" t="n">
        <v>4.371</v>
      </c>
      <c r="J168" s="248" t="n">
        <v>4.376</v>
      </c>
      <c r="K168" s="248" t="n">
        <v>4.381</v>
      </c>
      <c r="L168" s="248" t="n">
        <v>0.16</v>
      </c>
      <c r="M168" s="248" t="n">
        <v>0.16</v>
      </c>
      <c r="N168" s="249" t="n">
        <v>0</v>
      </c>
      <c r="O168" s="249" t="n">
        <v>0</v>
      </c>
      <c r="P168" s="250"/>
      <c r="Q168" s="250"/>
      <c r="R168" s="251" t="e">
        <f aca="false">B168</f>
        <v>#VALUE!</v>
      </c>
      <c r="S168" s="252" t="n">
        <f aca="false">T168-$S$16</f>
        <v>0.83</v>
      </c>
      <c r="T168" s="243" t="n">
        <f aca="false">D168</f>
        <v>0.9</v>
      </c>
      <c r="U168" s="253" t="n">
        <f aca="false">$U$16+T168</f>
        <v>0.97</v>
      </c>
      <c r="BP168" s="226" t="n">
        <f aca="false">BP167+BV168</f>
        <v>167</v>
      </c>
      <c r="BQ168" s="227" t="s">
        <v>1008</v>
      </c>
      <c r="BR168" s="224" t="s">
        <v>285</v>
      </c>
      <c r="BS168" s="161" t="s">
        <v>421</v>
      </c>
      <c r="BT168" s="230" t="s">
        <v>287</v>
      </c>
      <c r="BU168" s="230"/>
      <c r="BV168" s="161" t="n">
        <v>1</v>
      </c>
      <c r="BW168" s="224" t="s">
        <v>1009</v>
      </c>
      <c r="BX168" s="0"/>
      <c r="BZ168" s="226" t="n">
        <f aca="false">BZ167+CF168</f>
        <v>167</v>
      </c>
      <c r="CA168" s="227" t="s">
        <v>1010</v>
      </c>
      <c r="CB168" s="224" t="s">
        <v>289</v>
      </c>
      <c r="CC168" s="161" t="s">
        <v>286</v>
      </c>
      <c r="CD168" s="230" t="s">
        <v>287</v>
      </c>
      <c r="CE168" s="230"/>
      <c r="CF168" s="161" t="n">
        <v>1</v>
      </c>
      <c r="CG168" s="231" t="s">
        <v>1011</v>
      </c>
      <c r="CH168" s="0"/>
    </row>
    <row r="169" customFormat="false" ht="12.75" hidden="false" customHeight="false" outlineLevel="0" collapsed="false">
      <c r="A169" s="244"/>
      <c r="B169" s="245" t="e">
        <f aca="false">NextMonth(B168)</f>
        <v>#VALUE!</v>
      </c>
      <c r="C169" s="246" t="n">
        <v>0.0617627753662058</v>
      </c>
      <c r="D169" s="246" t="n">
        <v>0.55</v>
      </c>
      <c r="E169" s="246" t="n">
        <v>0.55</v>
      </c>
      <c r="F169" s="246" t="n">
        <v>0.1625</v>
      </c>
      <c r="G169" s="246" t="n">
        <v>0.17</v>
      </c>
      <c r="H169" s="246" t="n">
        <v>0.1775</v>
      </c>
      <c r="I169" s="247" t="n">
        <v>4.151</v>
      </c>
      <c r="J169" s="248" t="n">
        <v>4.156</v>
      </c>
      <c r="K169" s="248" t="n">
        <v>4.161</v>
      </c>
      <c r="L169" s="248" t="n">
        <v>0.11</v>
      </c>
      <c r="M169" s="248" t="n">
        <v>0.11</v>
      </c>
      <c r="N169" s="249" t="n">
        <v>0</v>
      </c>
      <c r="O169" s="249" t="n">
        <v>0</v>
      </c>
      <c r="P169" s="250"/>
      <c r="Q169" s="250"/>
      <c r="R169" s="251" t="e">
        <f aca="false">B169</f>
        <v>#VALUE!</v>
      </c>
      <c r="S169" s="252" t="n">
        <f aca="false">T169-$S$16</f>
        <v>0.48</v>
      </c>
      <c r="T169" s="243" t="n">
        <f aca="false">D169</f>
        <v>0.55</v>
      </c>
      <c r="U169" s="253" t="n">
        <f aca="false">$U$16+T169</f>
        <v>0.62</v>
      </c>
      <c r="BP169" s="226" t="n">
        <f aca="false">BP168+BV169</f>
        <v>168</v>
      </c>
      <c r="BQ169" s="227" t="s">
        <v>1012</v>
      </c>
      <c r="BR169" s="224" t="s">
        <v>285</v>
      </c>
      <c r="BS169" s="161" t="s">
        <v>421</v>
      </c>
      <c r="BT169" s="230" t="s">
        <v>287</v>
      </c>
      <c r="BU169" s="230"/>
      <c r="BV169" s="161" t="n">
        <v>1</v>
      </c>
      <c r="BW169" s="224" t="s">
        <v>1013</v>
      </c>
      <c r="BX169" s="0"/>
      <c r="BZ169" s="226" t="n">
        <f aca="false">BZ168+CF169</f>
        <v>168</v>
      </c>
      <c r="CA169" s="227" t="s">
        <v>1014</v>
      </c>
      <c r="CB169" s="224" t="s">
        <v>289</v>
      </c>
      <c r="CC169" s="161" t="s">
        <v>286</v>
      </c>
      <c r="CD169" s="230" t="s">
        <v>287</v>
      </c>
      <c r="CE169" s="230"/>
      <c r="CF169" s="161" t="n">
        <v>1</v>
      </c>
      <c r="CG169" s="231" t="s">
        <v>1015</v>
      </c>
      <c r="CH169" s="0"/>
    </row>
    <row r="170" customFormat="false" ht="12.75" hidden="false" customHeight="false" outlineLevel="0" collapsed="false">
      <c r="A170" s="244"/>
      <c r="B170" s="245" t="e">
        <f aca="false">NextMonth(B169)</f>
        <v>#VALUE!</v>
      </c>
      <c r="C170" s="246" t="n">
        <v>0.0617982222285738</v>
      </c>
      <c r="D170" s="246" t="n">
        <v>0.6</v>
      </c>
      <c r="E170" s="246" t="n">
        <v>0.6</v>
      </c>
      <c r="F170" s="246" t="n">
        <v>0.1625</v>
      </c>
      <c r="G170" s="246" t="n">
        <v>0.17</v>
      </c>
      <c r="H170" s="246" t="n">
        <v>0.1775</v>
      </c>
      <c r="I170" s="247" t="n">
        <v>4.141</v>
      </c>
      <c r="J170" s="248" t="n">
        <v>4.146</v>
      </c>
      <c r="K170" s="248" t="n">
        <v>4.151</v>
      </c>
      <c r="L170" s="248" t="n">
        <v>0.11</v>
      </c>
      <c r="M170" s="248" t="n">
        <v>0.11</v>
      </c>
      <c r="N170" s="249" t="n">
        <v>0</v>
      </c>
      <c r="O170" s="249" t="n">
        <v>0</v>
      </c>
      <c r="P170" s="250"/>
      <c r="Q170" s="250"/>
      <c r="R170" s="251" t="e">
        <f aca="false">B170</f>
        <v>#VALUE!</v>
      </c>
      <c r="S170" s="252" t="n">
        <f aca="false">T170-$S$16</f>
        <v>0.53</v>
      </c>
      <c r="T170" s="243" t="n">
        <f aca="false">D170</f>
        <v>0.6</v>
      </c>
      <c r="U170" s="253" t="n">
        <f aca="false">$U$16+T170</f>
        <v>0.67</v>
      </c>
      <c r="BP170" s="226" t="n">
        <f aca="false">BP169+BV170</f>
        <v>169</v>
      </c>
      <c r="BQ170" s="227" t="s">
        <v>1016</v>
      </c>
      <c r="BR170" s="224" t="s">
        <v>285</v>
      </c>
      <c r="BS170" s="161" t="s">
        <v>421</v>
      </c>
      <c r="BT170" s="230" t="s">
        <v>287</v>
      </c>
      <c r="BU170" s="230"/>
      <c r="BV170" s="161" t="n">
        <v>1</v>
      </c>
      <c r="BW170" s="224" t="s">
        <v>1017</v>
      </c>
      <c r="BX170" s="0"/>
      <c r="BZ170" s="226" t="n">
        <f aca="false">BZ169+CF170</f>
        <v>169</v>
      </c>
      <c r="CA170" s="227" t="s">
        <v>1018</v>
      </c>
      <c r="CB170" s="224" t="s">
        <v>289</v>
      </c>
      <c r="CC170" s="161" t="s">
        <v>286</v>
      </c>
      <c r="CD170" s="230" t="s">
        <v>287</v>
      </c>
      <c r="CE170" s="230"/>
      <c r="CF170" s="161" t="n">
        <v>1</v>
      </c>
      <c r="CG170" s="231" t="s">
        <v>1019</v>
      </c>
      <c r="CH170" s="0"/>
    </row>
    <row r="171" customFormat="false" ht="12.75" hidden="false" customHeight="false" outlineLevel="0" collapsed="false">
      <c r="A171" s="244"/>
      <c r="B171" s="245" t="e">
        <f aca="false">NextMonth(B170)</f>
        <v>#VALUE!</v>
      </c>
      <c r="C171" s="246" t="n">
        <v>0.0618348506534585</v>
      </c>
      <c r="D171" s="246" t="n">
        <v>0.6</v>
      </c>
      <c r="E171" s="246" t="n">
        <v>0.6</v>
      </c>
      <c r="F171" s="246" t="n">
        <v>0.1625</v>
      </c>
      <c r="G171" s="246" t="n">
        <v>0.17</v>
      </c>
      <c r="H171" s="246" t="n">
        <v>0.1775</v>
      </c>
      <c r="I171" s="247" t="n">
        <v>4.177</v>
      </c>
      <c r="J171" s="248" t="n">
        <v>4.182</v>
      </c>
      <c r="K171" s="248" t="n">
        <v>4.187</v>
      </c>
      <c r="L171" s="248" t="n">
        <v>0.11</v>
      </c>
      <c r="M171" s="248" t="n">
        <v>0.11</v>
      </c>
      <c r="N171" s="249" t="n">
        <v>0</v>
      </c>
      <c r="O171" s="249" t="n">
        <v>0</v>
      </c>
      <c r="P171" s="250"/>
      <c r="Q171" s="250"/>
      <c r="R171" s="251" t="e">
        <f aca="false">B171</f>
        <v>#VALUE!</v>
      </c>
      <c r="S171" s="252" t="n">
        <f aca="false">T171-$S$16</f>
        <v>0.53</v>
      </c>
      <c r="T171" s="243" t="n">
        <f aca="false">D171</f>
        <v>0.6</v>
      </c>
      <c r="U171" s="253" t="n">
        <f aca="false">$U$16+T171</f>
        <v>0.67</v>
      </c>
      <c r="BP171" s="226" t="n">
        <f aca="false">BP170+BV171</f>
        <v>170</v>
      </c>
      <c r="BQ171" s="227" t="s">
        <v>1020</v>
      </c>
      <c r="BR171" s="224" t="s">
        <v>285</v>
      </c>
      <c r="BS171" s="161" t="s">
        <v>421</v>
      </c>
      <c r="BT171" s="230" t="s">
        <v>287</v>
      </c>
      <c r="BU171" s="230"/>
      <c r="BV171" s="161" t="n">
        <v>1</v>
      </c>
      <c r="BW171" s="224" t="s">
        <v>1021</v>
      </c>
      <c r="BX171" s="0"/>
      <c r="BZ171" s="226" t="n">
        <f aca="false">BZ170+CF171</f>
        <v>170</v>
      </c>
      <c r="CA171" s="227" t="s">
        <v>1022</v>
      </c>
      <c r="CB171" s="224" t="s">
        <v>289</v>
      </c>
      <c r="CC171" s="161" t="s">
        <v>286</v>
      </c>
      <c r="CD171" s="230" t="s">
        <v>287</v>
      </c>
      <c r="CE171" s="230"/>
      <c r="CF171" s="161" t="n">
        <v>1</v>
      </c>
      <c r="CG171" s="231" t="s">
        <v>1023</v>
      </c>
      <c r="CH171" s="0"/>
    </row>
    <row r="172" customFormat="false" ht="12.75" hidden="false" customHeight="false" outlineLevel="0" collapsed="false">
      <c r="A172" s="244"/>
      <c r="B172" s="245" t="e">
        <f aca="false">NextMonth(B171)</f>
        <v>#VALUE!</v>
      </c>
      <c r="C172" s="246" t="n">
        <v>0.0618702975166743</v>
      </c>
      <c r="D172" s="246" t="n">
        <v>0.65</v>
      </c>
      <c r="E172" s="246" t="n">
        <v>0.65</v>
      </c>
      <c r="F172" s="246" t="n">
        <v>0.1625</v>
      </c>
      <c r="G172" s="246" t="n">
        <v>0.17</v>
      </c>
      <c r="H172" s="246" t="n">
        <v>0.1775</v>
      </c>
      <c r="I172" s="247" t="n">
        <v>4.227</v>
      </c>
      <c r="J172" s="248" t="n">
        <v>4.232</v>
      </c>
      <c r="K172" s="248" t="n">
        <v>4.237</v>
      </c>
      <c r="L172" s="248" t="n">
        <v>0.11</v>
      </c>
      <c r="M172" s="248" t="n">
        <v>0.11</v>
      </c>
      <c r="N172" s="249" t="n">
        <v>0</v>
      </c>
      <c r="O172" s="249" t="n">
        <v>0</v>
      </c>
      <c r="P172" s="250"/>
      <c r="Q172" s="250"/>
      <c r="R172" s="251" t="e">
        <f aca="false">B172</f>
        <v>#VALUE!</v>
      </c>
      <c r="S172" s="252" t="n">
        <f aca="false">T172-$S$16</f>
        <v>0.58</v>
      </c>
      <c r="T172" s="243" t="n">
        <f aca="false">D172</f>
        <v>0.65</v>
      </c>
      <c r="U172" s="253" t="n">
        <f aca="false">$U$16+T172</f>
        <v>0.72</v>
      </c>
      <c r="BP172" s="226" t="n">
        <f aca="false">BP171+BV172</f>
        <v>171</v>
      </c>
      <c r="BQ172" s="227" t="s">
        <v>1024</v>
      </c>
      <c r="BR172" s="224" t="s">
        <v>285</v>
      </c>
      <c r="BS172" s="161" t="s">
        <v>421</v>
      </c>
      <c r="BT172" s="230" t="s">
        <v>287</v>
      </c>
      <c r="BU172" s="230"/>
      <c r="BV172" s="161" t="n">
        <v>1</v>
      </c>
      <c r="BW172" s="224" t="s">
        <v>1025</v>
      </c>
      <c r="BX172" s="0"/>
      <c r="BZ172" s="226" t="n">
        <f aca="false">BZ171+CF172</f>
        <v>171</v>
      </c>
      <c r="CA172" s="227" t="s">
        <v>1026</v>
      </c>
      <c r="CB172" s="224" t="s">
        <v>289</v>
      </c>
      <c r="CC172" s="161" t="s">
        <v>286</v>
      </c>
      <c r="CD172" s="230" t="s">
        <v>287</v>
      </c>
      <c r="CE172" s="230"/>
      <c r="CF172" s="161" t="n">
        <v>1</v>
      </c>
      <c r="CG172" s="231" t="s">
        <v>1027</v>
      </c>
      <c r="CH172" s="0"/>
    </row>
    <row r="173" customFormat="false" ht="12.75" hidden="false" customHeight="false" outlineLevel="0" collapsed="false">
      <c r="A173" s="244"/>
      <c r="B173" s="245" t="e">
        <f aca="false">NextMonth(B172)</f>
        <v>#VALUE!</v>
      </c>
      <c r="C173" s="246" t="n">
        <v>0.0619069259424352</v>
      </c>
      <c r="D173" s="246" t="n">
        <v>0.7</v>
      </c>
      <c r="E173" s="246" t="n">
        <v>0.7</v>
      </c>
      <c r="F173" s="246" t="n">
        <v>0.1625</v>
      </c>
      <c r="G173" s="246" t="n">
        <v>0.17</v>
      </c>
      <c r="H173" s="246" t="n">
        <v>0.1775</v>
      </c>
      <c r="I173" s="247" t="n">
        <v>4.25</v>
      </c>
      <c r="J173" s="248" t="n">
        <v>4.255</v>
      </c>
      <c r="K173" s="248" t="n">
        <v>4.26</v>
      </c>
      <c r="L173" s="248" t="n">
        <v>0.11</v>
      </c>
      <c r="M173" s="248" t="n">
        <v>0.11</v>
      </c>
      <c r="N173" s="249" t="n">
        <v>0</v>
      </c>
      <c r="O173" s="249" t="n">
        <v>0</v>
      </c>
      <c r="P173" s="250"/>
      <c r="Q173" s="250"/>
      <c r="R173" s="251" t="e">
        <f aca="false">B173</f>
        <v>#VALUE!</v>
      </c>
      <c r="S173" s="252" t="n">
        <f aca="false">T173-$S$16</f>
        <v>0.63</v>
      </c>
      <c r="T173" s="243" t="n">
        <f aca="false">D173</f>
        <v>0.7</v>
      </c>
      <c r="U173" s="253" t="n">
        <f aca="false">$U$16+T173</f>
        <v>0.77</v>
      </c>
      <c r="BP173" s="226" t="n">
        <f aca="false">BP172+BV173</f>
        <v>172</v>
      </c>
      <c r="BQ173" s="227" t="s">
        <v>1028</v>
      </c>
      <c r="BR173" s="224" t="s">
        <v>285</v>
      </c>
      <c r="BS173" s="161" t="s">
        <v>421</v>
      </c>
      <c r="BT173" s="230" t="s">
        <v>287</v>
      </c>
      <c r="BU173" s="230"/>
      <c r="BV173" s="161" t="n">
        <v>1</v>
      </c>
      <c r="BW173" s="224" t="s">
        <v>1029</v>
      </c>
      <c r="BX173" s="0"/>
      <c r="BZ173" s="226" t="n">
        <f aca="false">BZ172+CF173</f>
        <v>172</v>
      </c>
      <c r="CA173" s="227" t="s">
        <v>1030</v>
      </c>
      <c r="CB173" s="224" t="s">
        <v>289</v>
      </c>
      <c r="CC173" s="161" t="s">
        <v>286</v>
      </c>
      <c r="CD173" s="230" t="s">
        <v>287</v>
      </c>
      <c r="CE173" s="230"/>
      <c r="CF173" s="161" t="n">
        <v>1</v>
      </c>
      <c r="CG173" s="231" t="s">
        <v>1031</v>
      </c>
      <c r="CH173" s="0"/>
    </row>
    <row r="174" customFormat="false" ht="12.75" hidden="false" customHeight="false" outlineLevel="0" collapsed="false">
      <c r="A174" s="244"/>
      <c r="B174" s="245" t="e">
        <f aca="false">NextMonth(B173)</f>
        <v>#VALUE!</v>
      </c>
      <c r="C174" s="246" t="n">
        <v>0.061943554368642</v>
      </c>
      <c r="D174" s="246" t="n">
        <v>0.7</v>
      </c>
      <c r="E174" s="246" t="n">
        <v>0.7</v>
      </c>
      <c r="F174" s="246" t="n">
        <v>0.1625</v>
      </c>
      <c r="G174" s="246" t="n">
        <v>0.17</v>
      </c>
      <c r="H174" s="246" t="n">
        <v>0.1775</v>
      </c>
      <c r="I174" s="247" t="n">
        <v>4.265</v>
      </c>
      <c r="J174" s="248" t="n">
        <v>4.27</v>
      </c>
      <c r="K174" s="248" t="n">
        <v>4.275</v>
      </c>
      <c r="L174" s="248" t="n">
        <v>0.11</v>
      </c>
      <c r="M174" s="248" t="n">
        <v>0.11</v>
      </c>
      <c r="N174" s="249" t="n">
        <v>0</v>
      </c>
      <c r="O174" s="249" t="n">
        <v>0</v>
      </c>
      <c r="P174" s="250"/>
      <c r="Q174" s="250"/>
      <c r="R174" s="251" t="e">
        <f aca="false">B174</f>
        <v>#VALUE!</v>
      </c>
      <c r="S174" s="252" t="n">
        <f aca="false">T174-$S$16</f>
        <v>0.63</v>
      </c>
      <c r="T174" s="243" t="n">
        <f aca="false">D174</f>
        <v>0.7</v>
      </c>
      <c r="U174" s="253" t="n">
        <f aca="false">$U$16+T174</f>
        <v>0.77</v>
      </c>
      <c r="BP174" s="226" t="n">
        <f aca="false">BP173+BV174</f>
        <v>173</v>
      </c>
      <c r="BQ174" s="227" t="s">
        <v>1032</v>
      </c>
      <c r="BR174" s="224" t="s">
        <v>285</v>
      </c>
      <c r="BS174" s="161" t="s">
        <v>421</v>
      </c>
      <c r="BT174" s="230" t="s">
        <v>287</v>
      </c>
      <c r="BU174" s="230"/>
      <c r="BV174" s="161" t="n">
        <v>1</v>
      </c>
      <c r="BW174" s="224" t="s">
        <v>1033</v>
      </c>
      <c r="BX174" s="0"/>
      <c r="BZ174" s="226" t="n">
        <f aca="false">BZ173+CF174</f>
        <v>173</v>
      </c>
      <c r="CA174" s="227" t="s">
        <v>1034</v>
      </c>
      <c r="CB174" s="224" t="s">
        <v>289</v>
      </c>
      <c r="CC174" s="161" t="s">
        <v>286</v>
      </c>
      <c r="CD174" s="230" t="s">
        <v>287</v>
      </c>
      <c r="CE174" s="230"/>
      <c r="CF174" s="161" t="n">
        <v>1</v>
      </c>
      <c r="CG174" s="231" t="s">
        <v>1035</v>
      </c>
      <c r="CH174" s="0"/>
    </row>
    <row r="175" customFormat="false" ht="12.75" hidden="false" customHeight="false" outlineLevel="0" collapsed="false">
      <c r="A175" s="244"/>
      <c r="B175" s="245" t="e">
        <f aca="false">NextMonth(B174)</f>
        <v>#VALUE!</v>
      </c>
      <c r="C175" s="246" t="n">
        <v>0.0619790012331372</v>
      </c>
      <c r="D175" s="246" t="n">
        <v>0.75</v>
      </c>
      <c r="E175" s="246" t="n">
        <v>0.75</v>
      </c>
      <c r="F175" s="246" t="n">
        <v>0.1625</v>
      </c>
      <c r="G175" s="246" t="n">
        <v>0.17</v>
      </c>
      <c r="H175" s="246" t="n">
        <v>0.1775</v>
      </c>
      <c r="I175" s="247" t="n">
        <v>4.294</v>
      </c>
      <c r="J175" s="248" t="n">
        <v>4.299</v>
      </c>
      <c r="K175" s="248" t="n">
        <v>4.304</v>
      </c>
      <c r="L175" s="248" t="n">
        <v>0.11</v>
      </c>
      <c r="M175" s="248" t="n">
        <v>0.11</v>
      </c>
      <c r="N175" s="249" t="n">
        <v>0</v>
      </c>
      <c r="O175" s="249" t="n">
        <v>0</v>
      </c>
      <c r="P175" s="250"/>
      <c r="Q175" s="250"/>
      <c r="R175" s="251" t="e">
        <f aca="false">B175</f>
        <v>#VALUE!</v>
      </c>
      <c r="S175" s="252" t="n">
        <f aca="false">T175-$S$16</f>
        <v>0.68</v>
      </c>
      <c r="T175" s="243" t="n">
        <f aca="false">D175</f>
        <v>0.75</v>
      </c>
      <c r="U175" s="253" t="n">
        <f aca="false">$U$16+T175</f>
        <v>0.82</v>
      </c>
      <c r="BP175" s="226" t="n">
        <f aca="false">BP174+BV175</f>
        <v>174</v>
      </c>
      <c r="BQ175" s="227" t="s">
        <v>1036</v>
      </c>
      <c r="BR175" s="224" t="s">
        <v>285</v>
      </c>
      <c r="BS175" s="161" t="s">
        <v>421</v>
      </c>
      <c r="BT175" s="230" t="s">
        <v>287</v>
      </c>
      <c r="BU175" s="230"/>
      <c r="BV175" s="161" t="n">
        <v>1</v>
      </c>
      <c r="BW175" s="224" t="s">
        <v>1037</v>
      </c>
      <c r="BX175" s="0"/>
      <c r="BZ175" s="226" t="n">
        <f aca="false">BZ174+CF175</f>
        <v>174</v>
      </c>
      <c r="CA175" s="227" t="s">
        <v>1038</v>
      </c>
      <c r="CB175" s="224" t="s">
        <v>289</v>
      </c>
      <c r="CC175" s="161" t="s">
        <v>286</v>
      </c>
      <c r="CD175" s="230" t="s">
        <v>287</v>
      </c>
      <c r="CE175" s="230"/>
      <c r="CF175" s="161" t="n">
        <v>1</v>
      </c>
      <c r="CG175" s="231" t="s">
        <v>1039</v>
      </c>
      <c r="CH175" s="0"/>
    </row>
    <row r="176" customFormat="false" ht="12.75" hidden="false" customHeight="false" outlineLevel="0" collapsed="false">
      <c r="A176" s="244"/>
      <c r="B176" s="245" t="e">
        <f aca="false">NextMonth(B175)</f>
        <v>#VALUE!</v>
      </c>
      <c r="C176" s="246" t="n">
        <v>0.0620156296602197</v>
      </c>
      <c r="D176" s="246" t="n">
        <v>0.95</v>
      </c>
      <c r="E176" s="246" t="n">
        <v>0.95</v>
      </c>
      <c r="F176" s="246" t="n">
        <v>0.1625</v>
      </c>
      <c r="G176" s="246" t="n">
        <v>0.17</v>
      </c>
      <c r="H176" s="246" t="n">
        <v>0.1775</v>
      </c>
      <c r="I176" s="247" t="n">
        <v>4.434</v>
      </c>
      <c r="J176" s="248" t="n">
        <v>4.439</v>
      </c>
      <c r="K176" s="248" t="n">
        <v>4.444</v>
      </c>
      <c r="L176" s="248" t="n">
        <v>0</v>
      </c>
      <c r="M176" s="248" t="n">
        <v>0</v>
      </c>
      <c r="N176" s="249" t="n">
        <v>0</v>
      </c>
      <c r="O176" s="249" t="n">
        <v>0</v>
      </c>
      <c r="P176" s="250"/>
      <c r="Q176" s="250"/>
      <c r="R176" s="251" t="e">
        <f aca="false">B176</f>
        <v>#VALUE!</v>
      </c>
      <c r="S176" s="252" t="n">
        <f aca="false">T176-$S$16</f>
        <v>0.88</v>
      </c>
      <c r="T176" s="243" t="n">
        <f aca="false">D176</f>
        <v>0.95</v>
      </c>
      <c r="U176" s="253" t="n">
        <f aca="false">$U$16+T176</f>
        <v>1.02</v>
      </c>
      <c r="BP176" s="226" t="n">
        <f aca="false">BP175+BV176</f>
        <v>175</v>
      </c>
      <c r="BQ176" s="227" t="s">
        <v>1040</v>
      </c>
      <c r="BR176" s="224" t="s">
        <v>285</v>
      </c>
      <c r="BS176" s="161" t="s">
        <v>421</v>
      </c>
      <c r="BT176" s="230" t="s">
        <v>287</v>
      </c>
      <c r="BU176" s="230"/>
      <c r="BV176" s="161" t="n">
        <v>1</v>
      </c>
      <c r="BW176" s="224" t="s">
        <v>1041</v>
      </c>
      <c r="BX176" s="0"/>
      <c r="BZ176" s="226" t="n">
        <f aca="false">BZ175+CF176</f>
        <v>175</v>
      </c>
      <c r="CA176" s="227" t="s">
        <v>1042</v>
      </c>
      <c r="CB176" s="224" t="s">
        <v>289</v>
      </c>
      <c r="CC176" s="161" t="s">
        <v>286</v>
      </c>
      <c r="CD176" s="230" t="s">
        <v>287</v>
      </c>
      <c r="CE176" s="230"/>
      <c r="CF176" s="161" t="n">
        <v>1</v>
      </c>
      <c r="CG176" s="231" t="s">
        <v>1043</v>
      </c>
      <c r="CH176" s="0"/>
    </row>
    <row r="177" customFormat="false" ht="12.75" hidden="false" customHeight="false" outlineLevel="0" collapsed="false">
      <c r="A177" s="244"/>
      <c r="B177" s="245" t="e">
        <f aca="false">NextMonth(B176)</f>
        <v>#VALUE!</v>
      </c>
      <c r="C177" s="246" t="n">
        <v>0.0620510765255626</v>
      </c>
      <c r="D177" s="246" t="n">
        <v>1.15</v>
      </c>
      <c r="E177" s="246" t="n">
        <v>1.15</v>
      </c>
      <c r="F177" s="246" t="n">
        <v>0.1625</v>
      </c>
      <c r="G177" s="246" t="n">
        <v>0.17</v>
      </c>
      <c r="H177" s="246" t="n">
        <v>0.1775</v>
      </c>
      <c r="I177" s="247" t="n">
        <v>4.583</v>
      </c>
      <c r="J177" s="248" t="n">
        <v>4.588</v>
      </c>
      <c r="K177" s="248" t="n">
        <v>4.593</v>
      </c>
      <c r="L177" s="248" t="n">
        <v>0</v>
      </c>
      <c r="M177" s="248" t="n">
        <v>0</v>
      </c>
      <c r="N177" s="249" t="n">
        <v>0</v>
      </c>
      <c r="O177" s="249" t="n">
        <v>0</v>
      </c>
      <c r="P177" s="250"/>
      <c r="Q177" s="250"/>
      <c r="R177" s="251" t="e">
        <f aca="false">B177</f>
        <v>#VALUE!</v>
      </c>
      <c r="S177" s="252" t="n">
        <f aca="false">T177-$S$16</f>
        <v>1.08</v>
      </c>
      <c r="T177" s="243" t="n">
        <f aca="false">D177</f>
        <v>1.15</v>
      </c>
      <c r="U177" s="253" t="n">
        <f aca="false">$U$16+T177</f>
        <v>1.22</v>
      </c>
      <c r="BP177" s="226" t="n">
        <f aca="false">BP176+BV177</f>
        <v>176</v>
      </c>
      <c r="BQ177" s="227" t="s">
        <v>1044</v>
      </c>
      <c r="BR177" s="224" t="s">
        <v>285</v>
      </c>
      <c r="BS177" s="161" t="s">
        <v>421</v>
      </c>
      <c r="BT177" s="230" t="s">
        <v>287</v>
      </c>
      <c r="BU177" s="230"/>
      <c r="BV177" s="161" t="n">
        <v>1</v>
      </c>
      <c r="BW177" s="224" t="s">
        <v>1045</v>
      </c>
      <c r="BX177" s="0"/>
      <c r="BZ177" s="226" t="n">
        <f aca="false">BZ176+CF177</f>
        <v>176</v>
      </c>
      <c r="CA177" s="227" t="s">
        <v>1046</v>
      </c>
      <c r="CB177" s="224" t="s">
        <v>289</v>
      </c>
      <c r="CC177" s="161" t="s">
        <v>286</v>
      </c>
      <c r="CD177" s="230" t="s">
        <v>287</v>
      </c>
      <c r="CE177" s="230"/>
      <c r="CF177" s="161" t="n">
        <v>1</v>
      </c>
      <c r="CG177" s="231" t="s">
        <v>1047</v>
      </c>
      <c r="CH177" s="0"/>
    </row>
    <row r="178" customFormat="false" ht="12.75" hidden="false" customHeight="false" outlineLevel="0" collapsed="false">
      <c r="A178" s="244"/>
      <c r="B178" s="245" t="e">
        <f aca="false">NextMonth(B177)</f>
        <v>#VALUE!</v>
      </c>
      <c r="C178" s="246" t="n">
        <v>0.0620877049535222</v>
      </c>
      <c r="D178" s="246" t="n">
        <v>1.15</v>
      </c>
      <c r="E178" s="246" t="n">
        <v>1.15</v>
      </c>
      <c r="F178" s="246" t="n">
        <v>0.1625</v>
      </c>
      <c r="G178" s="246" t="n">
        <v>0.17</v>
      </c>
      <c r="H178" s="246" t="n">
        <v>0.1775</v>
      </c>
      <c r="I178" s="247" t="n">
        <v>4.702</v>
      </c>
      <c r="J178" s="248" t="n">
        <v>4.707</v>
      </c>
      <c r="K178" s="248" t="n">
        <v>4.712</v>
      </c>
      <c r="L178" s="248" t="n">
        <v>0</v>
      </c>
      <c r="M178" s="248" t="n">
        <v>0</v>
      </c>
      <c r="N178" s="249" t="n">
        <v>0</v>
      </c>
      <c r="O178" s="249" t="n">
        <v>0</v>
      </c>
      <c r="P178" s="250"/>
      <c r="Q178" s="250"/>
      <c r="R178" s="251" t="e">
        <f aca="false">B178</f>
        <v>#VALUE!</v>
      </c>
      <c r="S178" s="252" t="n">
        <f aca="false">T178-$S$16</f>
        <v>1.08</v>
      </c>
      <c r="T178" s="243" t="n">
        <f aca="false">D178</f>
        <v>1.15</v>
      </c>
      <c r="U178" s="253" t="n">
        <f aca="false">$U$16+T178</f>
        <v>1.22</v>
      </c>
      <c r="BP178" s="226" t="n">
        <f aca="false">BP177+BV178</f>
        <v>177</v>
      </c>
      <c r="BQ178" s="227" t="s">
        <v>1048</v>
      </c>
      <c r="BR178" s="224" t="s">
        <v>285</v>
      </c>
      <c r="BS178" s="161" t="s">
        <v>421</v>
      </c>
      <c r="BT178" s="230" t="s">
        <v>287</v>
      </c>
      <c r="BU178" s="230"/>
      <c r="BV178" s="161" t="n">
        <v>1</v>
      </c>
      <c r="BW178" s="224" t="s">
        <v>1049</v>
      </c>
      <c r="BX178" s="0"/>
      <c r="BZ178" s="226" t="n">
        <f aca="false">BZ177+CF178</f>
        <v>177</v>
      </c>
      <c r="CA178" s="227" t="s">
        <v>1050</v>
      </c>
      <c r="CB178" s="224" t="s">
        <v>289</v>
      </c>
      <c r="CC178" s="161" t="s">
        <v>286</v>
      </c>
      <c r="CD178" s="230" t="s">
        <v>287</v>
      </c>
      <c r="CE178" s="230"/>
      <c r="CF178" s="161" t="n">
        <v>1</v>
      </c>
      <c r="CG178" s="231" t="s">
        <v>1051</v>
      </c>
      <c r="CH178" s="0"/>
    </row>
    <row r="179" customFormat="false" ht="12.75" hidden="false" customHeight="false" outlineLevel="0" collapsed="false">
      <c r="A179" s="244"/>
      <c r="B179" s="245" t="e">
        <f aca="false">NextMonth(B178)</f>
        <v>#VALUE!</v>
      </c>
      <c r="C179" s="246" t="n">
        <v>0.0621243333819268</v>
      </c>
      <c r="D179" s="246" t="n">
        <v>1.15</v>
      </c>
      <c r="E179" s="246" t="n">
        <v>1.15</v>
      </c>
      <c r="F179" s="246" t="n">
        <v>0.1625</v>
      </c>
      <c r="G179" s="246" t="n">
        <v>0.17</v>
      </c>
      <c r="H179" s="246" t="n">
        <v>0.1775</v>
      </c>
      <c r="I179" s="247" t="n">
        <v>4.589</v>
      </c>
      <c r="J179" s="248" t="n">
        <v>4.594</v>
      </c>
      <c r="K179" s="248" t="n">
        <v>4.599</v>
      </c>
      <c r="L179" s="248" t="n">
        <v>0</v>
      </c>
      <c r="M179" s="248" t="n">
        <v>0</v>
      </c>
      <c r="N179" s="249" t="n">
        <v>0</v>
      </c>
      <c r="O179" s="249" t="n">
        <v>0</v>
      </c>
      <c r="P179" s="250"/>
      <c r="Q179" s="250"/>
      <c r="R179" s="251" t="e">
        <f aca="false">B179</f>
        <v>#VALUE!</v>
      </c>
      <c r="S179" s="252" t="n">
        <f aca="false">T179-$S$16</f>
        <v>1.08</v>
      </c>
      <c r="T179" s="243" t="n">
        <f aca="false">D179</f>
        <v>1.15</v>
      </c>
      <c r="U179" s="253" t="n">
        <f aca="false">$U$16+T179</f>
        <v>1.22</v>
      </c>
      <c r="BP179" s="226" t="n">
        <f aca="false">BP178+BV179</f>
        <v>178</v>
      </c>
      <c r="BQ179" s="227" t="s">
        <v>1052</v>
      </c>
      <c r="BR179" s="224" t="s">
        <v>285</v>
      </c>
      <c r="BS179" s="161" t="s">
        <v>421</v>
      </c>
      <c r="BT179" s="230" t="s">
        <v>287</v>
      </c>
      <c r="BU179" s="230"/>
      <c r="BV179" s="161" t="n">
        <v>1</v>
      </c>
      <c r="BW179" s="224" t="s">
        <v>1053</v>
      </c>
      <c r="BX179" s="0"/>
      <c r="BZ179" s="226" t="n">
        <f aca="false">BZ178+CF179</f>
        <v>178</v>
      </c>
      <c r="CA179" s="227" t="s">
        <v>1054</v>
      </c>
      <c r="CB179" s="224" t="s">
        <v>289</v>
      </c>
      <c r="CC179" s="161" t="s">
        <v>286</v>
      </c>
      <c r="CD179" s="230" t="s">
        <v>287</v>
      </c>
      <c r="CE179" s="230"/>
      <c r="CF179" s="161" t="n">
        <v>1</v>
      </c>
      <c r="CG179" s="231" t="s">
        <v>1055</v>
      </c>
      <c r="CH179" s="0"/>
    </row>
    <row r="180" customFormat="false" ht="12.75" hidden="false" customHeight="false" outlineLevel="0" collapsed="false">
      <c r="A180" s="244"/>
      <c r="B180" s="245" t="e">
        <f aca="false">NextMonth(B179)</f>
        <v>#VALUE!</v>
      </c>
      <c r="C180" s="246" t="n">
        <v>0.062157417124094</v>
      </c>
      <c r="D180" s="246" t="n">
        <v>0.9</v>
      </c>
      <c r="E180" s="246" t="n">
        <v>0.9</v>
      </c>
      <c r="F180" s="246" t="n">
        <v>0.1625</v>
      </c>
      <c r="G180" s="246" t="n">
        <v>0.17</v>
      </c>
      <c r="H180" s="246" t="n">
        <v>0.1775</v>
      </c>
      <c r="I180" s="247" t="n">
        <v>4.456</v>
      </c>
      <c r="J180" s="248" t="n">
        <v>4.461</v>
      </c>
      <c r="K180" s="248" t="n">
        <v>4.466</v>
      </c>
      <c r="L180" s="248" t="n">
        <v>0</v>
      </c>
      <c r="M180" s="248" t="n">
        <v>0</v>
      </c>
      <c r="N180" s="249" t="n">
        <v>0</v>
      </c>
      <c r="O180" s="249" t="n">
        <v>0</v>
      </c>
      <c r="P180" s="250"/>
      <c r="Q180" s="250"/>
      <c r="R180" s="251" t="e">
        <f aca="false">B180</f>
        <v>#VALUE!</v>
      </c>
      <c r="S180" s="252" t="n">
        <f aca="false">T180-$S$16</f>
        <v>0.83</v>
      </c>
      <c r="T180" s="243" t="n">
        <f aca="false">D180</f>
        <v>0.9</v>
      </c>
      <c r="U180" s="253" t="n">
        <f aca="false">$U$16+T180</f>
        <v>0.97</v>
      </c>
      <c r="BP180" s="226" t="n">
        <f aca="false">BP179+BV180</f>
        <v>179</v>
      </c>
      <c r="BQ180" s="227" t="s">
        <v>1056</v>
      </c>
      <c r="BR180" s="224" t="s">
        <v>285</v>
      </c>
      <c r="BS180" s="161" t="s">
        <v>421</v>
      </c>
      <c r="BT180" s="230" t="s">
        <v>287</v>
      </c>
      <c r="BU180" s="230"/>
      <c r="BV180" s="161" t="n">
        <v>1</v>
      </c>
      <c r="BW180" s="224" t="s">
        <v>1057</v>
      </c>
      <c r="BX180" s="0"/>
      <c r="BZ180" s="226" t="n">
        <f aca="false">BZ179+CF180</f>
        <v>179</v>
      </c>
      <c r="CA180" s="227" t="s">
        <v>1058</v>
      </c>
      <c r="CB180" s="224" t="s">
        <v>289</v>
      </c>
      <c r="CC180" s="161" t="s">
        <v>286</v>
      </c>
      <c r="CD180" s="230" t="s">
        <v>287</v>
      </c>
      <c r="CE180" s="230"/>
      <c r="CF180" s="161" t="n">
        <v>1</v>
      </c>
      <c r="CG180" s="231" t="s">
        <v>1059</v>
      </c>
      <c r="CH180" s="0"/>
    </row>
    <row r="181" customFormat="false" ht="12.75" hidden="false" customHeight="false" outlineLevel="0" collapsed="false">
      <c r="A181" s="244"/>
      <c r="B181" s="245" t="e">
        <f aca="false">NextMonth(B180)</f>
        <v>#VALUE!</v>
      </c>
      <c r="C181" s="246" t="n">
        <v>0.0621940455533463</v>
      </c>
      <c r="D181" s="246" t="n">
        <v>0.55</v>
      </c>
      <c r="E181" s="246" t="n">
        <v>0.55</v>
      </c>
      <c r="F181" s="246" t="n">
        <v>0.1625</v>
      </c>
      <c r="G181" s="246" t="n">
        <v>0.17</v>
      </c>
      <c r="H181" s="246" t="n">
        <v>0.1775</v>
      </c>
      <c r="I181" s="247" t="n">
        <v>4.236</v>
      </c>
      <c r="J181" s="248" t="n">
        <v>4.241</v>
      </c>
      <c r="K181" s="248" t="n">
        <v>4.246</v>
      </c>
      <c r="L181" s="248" t="n">
        <v>0</v>
      </c>
      <c r="M181" s="248" t="n">
        <v>0</v>
      </c>
      <c r="N181" s="249" t="n">
        <v>0</v>
      </c>
      <c r="O181" s="249" t="n">
        <v>0</v>
      </c>
      <c r="P181" s="250"/>
      <c r="Q181" s="250"/>
      <c r="R181" s="251" t="e">
        <f aca="false">B181</f>
        <v>#VALUE!</v>
      </c>
      <c r="S181" s="252" t="n">
        <f aca="false">T181-$S$16</f>
        <v>0.48</v>
      </c>
      <c r="T181" s="243" t="n">
        <f aca="false">D181</f>
        <v>0.55</v>
      </c>
      <c r="U181" s="253" t="n">
        <f aca="false">$U$16+T181</f>
        <v>0.62</v>
      </c>
      <c r="BP181" s="226" t="n">
        <f aca="false">BP180+BV181</f>
        <v>180</v>
      </c>
      <c r="BQ181" s="227" t="s">
        <v>1060</v>
      </c>
      <c r="BR181" s="224" t="s">
        <v>285</v>
      </c>
      <c r="BS181" s="161" t="s">
        <v>421</v>
      </c>
      <c r="BT181" s="230" t="s">
        <v>287</v>
      </c>
      <c r="BU181" s="230"/>
      <c r="BV181" s="161" t="n">
        <v>1</v>
      </c>
      <c r="BW181" s="224" t="s">
        <v>1061</v>
      </c>
      <c r="BX181" s="0"/>
      <c r="BZ181" s="226" t="n">
        <f aca="false">BZ180+CF181</f>
        <v>180</v>
      </c>
      <c r="CA181" s="227" t="s">
        <v>1062</v>
      </c>
      <c r="CB181" s="224" t="s">
        <v>289</v>
      </c>
      <c r="CC181" s="161" t="s">
        <v>286</v>
      </c>
      <c r="CD181" s="230" t="s">
        <v>287</v>
      </c>
      <c r="CE181" s="230"/>
      <c r="CF181" s="161" t="n">
        <v>1</v>
      </c>
      <c r="CG181" s="231" t="s">
        <v>1063</v>
      </c>
      <c r="CH181" s="0"/>
    </row>
    <row r="182" customFormat="false" ht="12.75" hidden="false" customHeight="false" outlineLevel="0" collapsed="false">
      <c r="A182" s="244"/>
      <c r="B182" s="245" t="e">
        <f aca="false">NextMonth(B181)</f>
        <v>#VALUE!</v>
      </c>
      <c r="C182" s="246" t="n">
        <v>0.0622294924207885</v>
      </c>
      <c r="D182" s="246" t="n">
        <v>0.6</v>
      </c>
      <c r="E182" s="246" t="n">
        <v>0.6</v>
      </c>
      <c r="F182" s="246" t="n">
        <v>0.1625</v>
      </c>
      <c r="G182" s="246" t="n">
        <v>0.17</v>
      </c>
      <c r="H182" s="246" t="n">
        <v>0.1775</v>
      </c>
      <c r="I182" s="247" t="n">
        <v>4.226</v>
      </c>
      <c r="J182" s="248" t="n">
        <v>4.231</v>
      </c>
      <c r="K182" s="248" t="n">
        <v>4.236</v>
      </c>
      <c r="L182" s="248" t="n">
        <v>0</v>
      </c>
      <c r="M182" s="248" t="n">
        <v>0</v>
      </c>
      <c r="N182" s="249" t="n">
        <v>0</v>
      </c>
      <c r="O182" s="249" t="n">
        <v>0</v>
      </c>
      <c r="P182" s="250"/>
      <c r="Q182" s="250"/>
      <c r="R182" s="251" t="e">
        <f aca="false">B182</f>
        <v>#VALUE!</v>
      </c>
      <c r="S182" s="252" t="n">
        <f aca="false">T182-$S$16</f>
        <v>0.53</v>
      </c>
      <c r="T182" s="243" t="n">
        <f aca="false">D182</f>
        <v>0.6</v>
      </c>
      <c r="U182" s="253" t="n">
        <f aca="false">$U$16+T182</f>
        <v>0.67</v>
      </c>
      <c r="BP182" s="226" t="n">
        <f aca="false">BP181+BV182</f>
        <v>181</v>
      </c>
      <c r="BQ182" s="227" t="s">
        <v>1064</v>
      </c>
      <c r="BR182" s="224" t="s">
        <v>285</v>
      </c>
      <c r="BS182" s="161" t="s">
        <v>421</v>
      </c>
      <c r="BT182" s="230" t="s">
        <v>287</v>
      </c>
      <c r="BU182" s="230"/>
      <c r="BV182" s="161" t="n">
        <v>1</v>
      </c>
      <c r="BW182" s="224" t="s">
        <v>1065</v>
      </c>
      <c r="BX182" s="0"/>
      <c r="BZ182" s="226" t="n">
        <f aca="false">BZ181+CF182</f>
        <v>181</v>
      </c>
      <c r="CA182" s="227" t="s">
        <v>1066</v>
      </c>
      <c r="CB182" s="224" t="s">
        <v>289</v>
      </c>
      <c r="CC182" s="161" t="s">
        <v>286</v>
      </c>
      <c r="CD182" s="230" t="s">
        <v>287</v>
      </c>
      <c r="CE182" s="230"/>
      <c r="CF182" s="161" t="n">
        <v>1</v>
      </c>
      <c r="CG182" s="231" t="s">
        <v>1067</v>
      </c>
      <c r="CH182" s="0"/>
    </row>
    <row r="183" customFormat="false" ht="12.75" hidden="false" customHeight="false" outlineLevel="0" collapsed="false">
      <c r="A183" s="244"/>
      <c r="B183" s="245" t="e">
        <f aca="false">NextMonth(B182)</f>
        <v>#VALUE!</v>
      </c>
      <c r="C183" s="246" t="n">
        <v>0.0622661208509165</v>
      </c>
      <c r="D183" s="246" t="n">
        <v>0.6</v>
      </c>
      <c r="E183" s="246" t="n">
        <v>0.6</v>
      </c>
      <c r="F183" s="246" t="n">
        <v>0.1625</v>
      </c>
      <c r="G183" s="246" t="n">
        <v>0.17</v>
      </c>
      <c r="H183" s="246" t="n">
        <v>0.1775</v>
      </c>
      <c r="I183" s="247" t="n">
        <v>4.262</v>
      </c>
      <c r="J183" s="248" t="n">
        <v>4.267</v>
      </c>
      <c r="K183" s="248" t="n">
        <v>4.272</v>
      </c>
      <c r="L183" s="248" t="n">
        <v>0</v>
      </c>
      <c r="M183" s="248" t="n">
        <v>0</v>
      </c>
      <c r="N183" s="249" t="n">
        <v>0</v>
      </c>
      <c r="O183" s="249" t="n">
        <v>0</v>
      </c>
      <c r="P183" s="250"/>
      <c r="Q183" s="250"/>
      <c r="R183" s="251" t="e">
        <f aca="false">B183</f>
        <v>#VALUE!</v>
      </c>
      <c r="S183" s="252" t="n">
        <f aca="false">T183-$S$16</f>
        <v>0.53</v>
      </c>
      <c r="T183" s="243" t="n">
        <f aca="false">D183</f>
        <v>0.6</v>
      </c>
      <c r="U183" s="253" t="n">
        <f aca="false">$U$16+T183</f>
        <v>0.67</v>
      </c>
      <c r="BP183" s="226" t="n">
        <f aca="false">BP182+BV183</f>
        <v>182</v>
      </c>
      <c r="BQ183" s="227" t="s">
        <v>1068</v>
      </c>
      <c r="BR183" s="224" t="s">
        <v>285</v>
      </c>
      <c r="BS183" s="161" t="s">
        <v>421</v>
      </c>
      <c r="BT183" s="230" t="s">
        <v>287</v>
      </c>
      <c r="BU183" s="230"/>
      <c r="BV183" s="161" t="n">
        <v>1</v>
      </c>
      <c r="BW183" s="224" t="s">
        <v>1069</v>
      </c>
      <c r="BX183" s="0"/>
      <c r="BZ183" s="226" t="n">
        <f aca="false">BZ182+CF183</f>
        <v>182</v>
      </c>
      <c r="CA183" s="227" t="s">
        <v>1070</v>
      </c>
      <c r="CB183" s="224" t="s">
        <v>289</v>
      </c>
      <c r="CC183" s="161" t="s">
        <v>286</v>
      </c>
      <c r="CD183" s="230" t="s">
        <v>287</v>
      </c>
      <c r="CE183" s="230"/>
      <c r="CF183" s="161" t="n">
        <v>1</v>
      </c>
      <c r="CG183" s="231" t="s">
        <v>1071</v>
      </c>
      <c r="CH183" s="0"/>
    </row>
    <row r="184" customFormat="false" ht="12.75" hidden="false" customHeight="false" outlineLevel="0" collapsed="false">
      <c r="A184" s="244"/>
      <c r="B184" s="245" t="e">
        <f aca="false">NextMonth(B183)</f>
        <v>#VALUE!</v>
      </c>
      <c r="C184" s="246" t="n">
        <v>0.0623015677192065</v>
      </c>
      <c r="D184" s="246" t="n">
        <v>0.65</v>
      </c>
      <c r="E184" s="246" t="n">
        <v>0.65</v>
      </c>
      <c r="F184" s="246" t="n">
        <v>0.1625</v>
      </c>
      <c r="G184" s="246" t="n">
        <v>0.17</v>
      </c>
      <c r="H184" s="246" t="n">
        <v>0.1775</v>
      </c>
      <c r="I184" s="247" t="n">
        <v>4.312</v>
      </c>
      <c r="J184" s="248" t="n">
        <v>4.317</v>
      </c>
      <c r="K184" s="248" t="n">
        <v>4.322</v>
      </c>
      <c r="L184" s="248" t="n">
        <v>0</v>
      </c>
      <c r="M184" s="248" t="n">
        <v>0</v>
      </c>
      <c r="N184" s="249" t="n">
        <v>0</v>
      </c>
      <c r="O184" s="249" t="n">
        <v>0</v>
      </c>
      <c r="P184" s="250"/>
      <c r="Q184" s="250"/>
      <c r="R184" s="251" t="e">
        <f aca="false">B184</f>
        <v>#VALUE!</v>
      </c>
      <c r="S184" s="252" t="n">
        <f aca="false">T184-$S$16</f>
        <v>0.58</v>
      </c>
      <c r="T184" s="243" t="n">
        <f aca="false">D184</f>
        <v>0.65</v>
      </c>
      <c r="U184" s="253" t="n">
        <f aca="false">$U$16+T184</f>
        <v>0.72</v>
      </c>
      <c r="BP184" s="226" t="n">
        <f aca="false">BP183+BV184</f>
        <v>183</v>
      </c>
      <c r="BQ184" s="227" t="s">
        <v>1072</v>
      </c>
      <c r="BR184" s="224" t="s">
        <v>285</v>
      </c>
      <c r="BS184" s="161" t="s">
        <v>421</v>
      </c>
      <c r="BT184" s="230" t="s">
        <v>287</v>
      </c>
      <c r="BU184" s="230"/>
      <c r="BV184" s="161" t="n">
        <v>1</v>
      </c>
      <c r="BW184" s="224" t="s">
        <v>1073</v>
      </c>
      <c r="BX184" s="0"/>
      <c r="BZ184" s="226" t="n">
        <f aca="false">BZ183+CF184</f>
        <v>183</v>
      </c>
      <c r="CA184" s="227" t="s">
        <v>1074</v>
      </c>
      <c r="CB184" s="224" t="s">
        <v>289</v>
      </c>
      <c r="CC184" s="161" t="s">
        <v>286</v>
      </c>
      <c r="CD184" s="230" t="s">
        <v>287</v>
      </c>
      <c r="CE184" s="230"/>
      <c r="CF184" s="161" t="n">
        <v>1</v>
      </c>
      <c r="CG184" s="254" t="s">
        <v>1075</v>
      </c>
      <c r="CH184" s="0"/>
    </row>
    <row r="185" customFormat="false" ht="12.75" hidden="false" customHeight="false" outlineLevel="0" collapsed="false">
      <c r="A185" s="244"/>
      <c r="B185" s="245" t="e">
        <f aca="false">NextMonth(B184)</f>
        <v>#VALUE!</v>
      </c>
      <c r="C185" s="246" t="n">
        <v>0.0623381961502112</v>
      </c>
      <c r="D185" s="246" t="n">
        <v>0.7</v>
      </c>
      <c r="E185" s="246" t="n">
        <v>0.7</v>
      </c>
      <c r="F185" s="246" t="n">
        <v>0.1625</v>
      </c>
      <c r="G185" s="246" t="n">
        <v>0.17</v>
      </c>
      <c r="H185" s="246" t="n">
        <v>0.1775</v>
      </c>
      <c r="I185" s="247" t="n">
        <v>4.335</v>
      </c>
      <c r="J185" s="248" t="n">
        <v>4.34</v>
      </c>
      <c r="K185" s="248" t="n">
        <v>4.345</v>
      </c>
      <c r="L185" s="248" t="n">
        <v>0</v>
      </c>
      <c r="M185" s="248" t="n">
        <v>0</v>
      </c>
      <c r="N185" s="249" t="n">
        <v>0</v>
      </c>
      <c r="O185" s="249" t="n">
        <v>0</v>
      </c>
      <c r="P185" s="250"/>
      <c r="Q185" s="250"/>
      <c r="R185" s="251" t="e">
        <f aca="false">B185</f>
        <v>#VALUE!</v>
      </c>
      <c r="S185" s="252" t="n">
        <f aca="false">T185-$S$16</f>
        <v>0.63</v>
      </c>
      <c r="T185" s="243" t="n">
        <f aca="false">D185</f>
        <v>0.7</v>
      </c>
      <c r="U185" s="253" t="n">
        <f aca="false">$U$16+T185</f>
        <v>0.77</v>
      </c>
      <c r="BP185" s="226" t="n">
        <f aca="false">BP184+BV185</f>
        <v>184</v>
      </c>
      <c r="BQ185" s="227" t="s">
        <v>1076</v>
      </c>
      <c r="BR185" s="224" t="s">
        <v>285</v>
      </c>
      <c r="BS185" s="161" t="s">
        <v>421</v>
      </c>
      <c r="BT185" s="230" t="s">
        <v>287</v>
      </c>
      <c r="BU185" s="230"/>
      <c r="BV185" s="161" t="n">
        <v>1</v>
      </c>
      <c r="BW185" s="224" t="s">
        <v>1077</v>
      </c>
      <c r="BX185" s="0"/>
      <c r="BZ185" s="226" t="n">
        <f aca="false">BZ184+CF185</f>
        <v>184</v>
      </c>
      <c r="CA185" s="227" t="s">
        <v>1078</v>
      </c>
      <c r="CB185" s="224" t="s">
        <v>289</v>
      </c>
      <c r="CC185" s="161" t="s">
        <v>286</v>
      </c>
      <c r="CD185" s="230" t="s">
        <v>287</v>
      </c>
      <c r="CE185" s="230"/>
      <c r="CF185" s="161" t="n">
        <v>1</v>
      </c>
      <c r="CG185" s="231" t="s">
        <v>1079</v>
      </c>
      <c r="CH185" s="0"/>
    </row>
    <row r="186" customFormat="false" ht="12.75" hidden="false" customHeight="false" outlineLevel="0" collapsed="false">
      <c r="A186" s="244"/>
      <c r="B186" s="245" t="e">
        <f aca="false">NextMonth(B185)</f>
        <v>#VALUE!</v>
      </c>
      <c r="C186" s="246" t="n">
        <v>0.0623748245816609</v>
      </c>
      <c r="D186" s="246" t="n">
        <v>0.7</v>
      </c>
      <c r="E186" s="246" t="n">
        <v>0.7</v>
      </c>
      <c r="F186" s="246" t="n">
        <v>0.1625</v>
      </c>
      <c r="G186" s="246" t="n">
        <v>0.17</v>
      </c>
      <c r="H186" s="246" t="n">
        <v>0.1775</v>
      </c>
      <c r="I186" s="247" t="n">
        <v>4.35</v>
      </c>
      <c r="J186" s="248" t="n">
        <v>4.355</v>
      </c>
      <c r="K186" s="248" t="n">
        <v>4.36</v>
      </c>
      <c r="L186" s="248" t="n">
        <v>0</v>
      </c>
      <c r="M186" s="248" t="n">
        <v>0</v>
      </c>
      <c r="N186" s="249" t="n">
        <v>0</v>
      </c>
      <c r="O186" s="249" t="n">
        <v>0</v>
      </c>
      <c r="P186" s="250"/>
      <c r="Q186" s="250"/>
      <c r="R186" s="251" t="e">
        <f aca="false">B186</f>
        <v>#VALUE!</v>
      </c>
      <c r="S186" s="252" t="n">
        <f aca="false">T186-$S$16</f>
        <v>0.63</v>
      </c>
      <c r="T186" s="243" t="n">
        <f aca="false">D186</f>
        <v>0.7</v>
      </c>
      <c r="U186" s="253" t="n">
        <f aca="false">$U$16+T186</f>
        <v>0.77</v>
      </c>
      <c r="BP186" s="226" t="n">
        <f aca="false">BP185+BV186</f>
        <v>185</v>
      </c>
      <c r="BQ186" s="227" t="s">
        <v>1080</v>
      </c>
      <c r="BR186" s="224" t="s">
        <v>285</v>
      </c>
      <c r="BS186" s="161" t="s">
        <v>421</v>
      </c>
      <c r="BT186" s="230" t="s">
        <v>287</v>
      </c>
      <c r="BU186" s="230"/>
      <c r="BV186" s="161" t="n">
        <v>1</v>
      </c>
      <c r="BW186" s="224" t="s">
        <v>1081</v>
      </c>
      <c r="BX186" s="0"/>
      <c r="BZ186" s="226" t="n">
        <f aca="false">BZ185+CF186</f>
        <v>185</v>
      </c>
      <c r="CA186" s="227" t="s">
        <v>1082</v>
      </c>
      <c r="CB186" s="224" t="s">
        <v>289</v>
      </c>
      <c r="CC186" s="161" t="s">
        <v>286</v>
      </c>
      <c r="CD186" s="230" t="s">
        <v>287</v>
      </c>
      <c r="CE186" s="230"/>
      <c r="CF186" s="161" t="n">
        <v>1</v>
      </c>
      <c r="CG186" s="231" t="s">
        <v>1083</v>
      </c>
      <c r="CH186" s="0"/>
    </row>
    <row r="187" customFormat="false" ht="12.75" hidden="false" customHeight="false" outlineLevel="0" collapsed="false">
      <c r="A187" s="244"/>
      <c r="B187" s="245" t="e">
        <f aca="false">NextMonth(B186)</f>
        <v>#VALUE!</v>
      </c>
      <c r="C187" s="246" t="n">
        <v>0.0624102714512298</v>
      </c>
      <c r="D187" s="246" t="n">
        <v>0.75</v>
      </c>
      <c r="E187" s="246" t="n">
        <v>0.75</v>
      </c>
      <c r="F187" s="246" t="n">
        <v>0.1625</v>
      </c>
      <c r="G187" s="246" t="n">
        <v>0.17</v>
      </c>
      <c r="H187" s="246" t="n">
        <v>0.1775</v>
      </c>
      <c r="I187" s="247" t="n">
        <v>4.379</v>
      </c>
      <c r="J187" s="248" t="n">
        <v>4.384</v>
      </c>
      <c r="K187" s="248" t="n">
        <v>4.389</v>
      </c>
      <c r="L187" s="248" t="n">
        <v>0</v>
      </c>
      <c r="M187" s="248" t="n">
        <v>0</v>
      </c>
      <c r="N187" s="249" t="n">
        <v>0</v>
      </c>
      <c r="O187" s="249" t="n">
        <v>0</v>
      </c>
      <c r="P187" s="250"/>
      <c r="Q187" s="250"/>
      <c r="R187" s="251" t="e">
        <f aca="false">B187</f>
        <v>#VALUE!</v>
      </c>
      <c r="S187" s="252" t="n">
        <f aca="false">T187-$S$16</f>
        <v>0.68</v>
      </c>
      <c r="T187" s="243" t="n">
        <f aca="false">D187</f>
        <v>0.75</v>
      </c>
      <c r="U187" s="253" t="n">
        <f aca="false">$U$16+T187</f>
        <v>0.82</v>
      </c>
      <c r="BP187" s="226" t="n">
        <f aca="false">BP186+BV187</f>
        <v>186</v>
      </c>
      <c r="BQ187" s="227" t="s">
        <v>1084</v>
      </c>
      <c r="BR187" s="224" t="s">
        <v>285</v>
      </c>
      <c r="BS187" s="161" t="s">
        <v>421</v>
      </c>
      <c r="BT187" s="230" t="s">
        <v>287</v>
      </c>
      <c r="BU187" s="230"/>
      <c r="BV187" s="161" t="n">
        <v>1</v>
      </c>
      <c r="BW187" s="224" t="s">
        <v>1085</v>
      </c>
      <c r="BX187" s="0"/>
      <c r="BZ187" s="226" t="n">
        <f aca="false">BZ186+CF187</f>
        <v>186</v>
      </c>
      <c r="CA187" s="227" t="s">
        <v>1074</v>
      </c>
      <c r="CB187" s="224" t="s">
        <v>289</v>
      </c>
      <c r="CC187" s="161" t="s">
        <v>286</v>
      </c>
      <c r="CD187" s="230" t="s">
        <v>287</v>
      </c>
      <c r="CE187" s="230"/>
      <c r="CF187" s="161" t="n">
        <v>1</v>
      </c>
      <c r="CG187" s="231" t="s">
        <v>1086</v>
      </c>
    </row>
    <row r="188" customFormat="false" ht="12.75" hidden="false" customHeight="false" outlineLevel="0" collapsed="false">
      <c r="A188" s="244"/>
      <c r="B188" s="245" t="e">
        <f aca="false">NextMonth(B187)</f>
        <v>#VALUE!</v>
      </c>
      <c r="C188" s="246" t="n">
        <v>0.0624468998835557</v>
      </c>
      <c r="D188" s="246" t="n">
        <v>0.95</v>
      </c>
      <c r="E188" s="246" t="n">
        <v>0.95</v>
      </c>
      <c r="F188" s="246" t="n">
        <v>0.1625</v>
      </c>
      <c r="G188" s="246" t="n">
        <v>0.17</v>
      </c>
      <c r="H188" s="246" t="n">
        <v>0.1775</v>
      </c>
      <c r="I188" s="247" t="n">
        <v>4.519</v>
      </c>
      <c r="J188" s="248" t="n">
        <v>4.524</v>
      </c>
      <c r="K188" s="248" t="n">
        <v>4.529</v>
      </c>
      <c r="L188" s="248" t="n">
        <v>0</v>
      </c>
      <c r="M188" s="248" t="n">
        <v>0</v>
      </c>
      <c r="N188" s="249" t="n">
        <v>0</v>
      </c>
      <c r="O188" s="249" t="n">
        <v>0</v>
      </c>
      <c r="P188" s="250"/>
      <c r="Q188" s="250"/>
      <c r="R188" s="251" t="e">
        <f aca="false">B188</f>
        <v>#VALUE!</v>
      </c>
      <c r="S188" s="252" t="n">
        <f aca="false">T188-$S$16</f>
        <v>0.88</v>
      </c>
      <c r="T188" s="243" t="n">
        <f aca="false">D188</f>
        <v>0.95</v>
      </c>
      <c r="U188" s="253" t="n">
        <f aca="false">$U$16+T188</f>
        <v>1.02</v>
      </c>
      <c r="BP188" s="226" t="n">
        <f aca="false">BP187+BV188</f>
        <v>187</v>
      </c>
      <c r="BQ188" s="227" t="s">
        <v>1087</v>
      </c>
      <c r="BR188" s="224" t="s">
        <v>285</v>
      </c>
      <c r="BS188" s="161" t="s">
        <v>421</v>
      </c>
      <c r="BT188" s="230" t="s">
        <v>287</v>
      </c>
      <c r="BU188" s="230"/>
      <c r="BV188" s="161" t="n">
        <v>1</v>
      </c>
      <c r="BW188" s="224" t="s">
        <v>1088</v>
      </c>
      <c r="BX188" s="0"/>
    </row>
    <row r="189" customFormat="false" ht="12.75" hidden="false" customHeight="false" outlineLevel="0" collapsed="false">
      <c r="A189" s="244"/>
      <c r="B189" s="245" t="e">
        <f aca="false">NextMonth(B188)</f>
        <v>#VALUE!</v>
      </c>
      <c r="C189" s="246" t="n">
        <v>0.0624823467539728</v>
      </c>
      <c r="D189" s="246" t="n">
        <v>1.15</v>
      </c>
      <c r="E189" s="246" t="n">
        <v>1.15</v>
      </c>
      <c r="F189" s="246" t="n">
        <v>0.1625</v>
      </c>
      <c r="G189" s="246" t="n">
        <v>0.17</v>
      </c>
      <c r="H189" s="246" t="n">
        <v>0.1775</v>
      </c>
      <c r="I189" s="247" t="n">
        <v>4.668</v>
      </c>
      <c r="J189" s="248" t="n">
        <v>4.673</v>
      </c>
      <c r="K189" s="248" t="n">
        <v>4.678</v>
      </c>
      <c r="L189" s="248" t="n">
        <v>0</v>
      </c>
      <c r="M189" s="248" t="n">
        <v>0</v>
      </c>
      <c r="N189" s="249" t="n">
        <v>0</v>
      </c>
      <c r="O189" s="249" t="n">
        <v>0</v>
      </c>
      <c r="P189" s="250"/>
      <c r="Q189" s="250"/>
      <c r="R189" s="251" t="e">
        <f aca="false">B189</f>
        <v>#VALUE!</v>
      </c>
      <c r="S189" s="252" t="n">
        <f aca="false">T189-$S$16</f>
        <v>1.08</v>
      </c>
      <c r="T189" s="243" t="n">
        <f aca="false">D189</f>
        <v>1.15</v>
      </c>
      <c r="U189" s="253" t="n">
        <f aca="false">$U$16+T189</f>
        <v>1.22</v>
      </c>
      <c r="BP189" s="226" t="n">
        <f aca="false">BP188+BV189</f>
        <v>188</v>
      </c>
      <c r="BQ189" s="227" t="s">
        <v>1089</v>
      </c>
      <c r="BR189" s="224" t="s">
        <v>285</v>
      </c>
      <c r="BS189" s="161" t="s">
        <v>421</v>
      </c>
      <c r="BT189" s="230" t="s">
        <v>287</v>
      </c>
      <c r="BU189" s="230"/>
      <c r="BV189" s="161" t="n">
        <v>1</v>
      </c>
      <c r="BW189" s="224" t="s">
        <v>1090</v>
      </c>
      <c r="BX189" s="0"/>
    </row>
    <row r="190" customFormat="false" ht="12.75" hidden="false" customHeight="false" outlineLevel="0" collapsed="false">
      <c r="A190" s="244"/>
      <c r="B190" s="245" t="e">
        <f aca="false">NextMonth(B189)</f>
        <v>#VALUE!</v>
      </c>
      <c r="C190" s="246" t="n">
        <v>0.0625189751871749</v>
      </c>
      <c r="D190" s="246" t="n">
        <v>1.15</v>
      </c>
      <c r="E190" s="246" t="n">
        <v>1.15</v>
      </c>
      <c r="F190" s="246" t="n">
        <v>0.1625</v>
      </c>
      <c r="G190" s="246" t="n">
        <v>0.17</v>
      </c>
      <c r="H190" s="246" t="n">
        <v>0.1775</v>
      </c>
      <c r="I190" s="247" t="n">
        <v>4.787</v>
      </c>
      <c r="J190" s="248" t="n">
        <v>4.792</v>
      </c>
      <c r="K190" s="248" t="n">
        <v>4.797</v>
      </c>
      <c r="L190" s="248" t="n">
        <v>0</v>
      </c>
      <c r="M190" s="248" t="n">
        <v>0</v>
      </c>
      <c r="N190" s="249" t="n">
        <v>0</v>
      </c>
      <c r="O190" s="249" t="n">
        <v>0</v>
      </c>
      <c r="P190" s="250"/>
      <c r="Q190" s="250"/>
      <c r="R190" s="251" t="e">
        <f aca="false">B190</f>
        <v>#VALUE!</v>
      </c>
      <c r="S190" s="252" t="n">
        <f aca="false">T190-$S$16</f>
        <v>1.08</v>
      </c>
      <c r="T190" s="243" t="n">
        <f aca="false">D190</f>
        <v>1.15</v>
      </c>
      <c r="U190" s="253" t="n">
        <f aca="false">$U$16+T190</f>
        <v>1.22</v>
      </c>
      <c r="BP190" s="226" t="n">
        <f aca="false">BP189+BV190</f>
        <v>189</v>
      </c>
      <c r="BQ190" s="227" t="s">
        <v>1091</v>
      </c>
      <c r="BR190" s="224" t="s">
        <v>285</v>
      </c>
      <c r="BS190" s="161" t="s">
        <v>421</v>
      </c>
      <c r="BT190" s="230" t="s">
        <v>287</v>
      </c>
      <c r="BU190" s="230"/>
      <c r="BV190" s="161" t="n">
        <v>1</v>
      </c>
      <c r="BW190" s="224" t="s">
        <v>1092</v>
      </c>
      <c r="BX190" s="0"/>
    </row>
    <row r="191" customFormat="false" ht="12.75" hidden="false" customHeight="false" outlineLevel="0" collapsed="false">
      <c r="A191" s="244"/>
      <c r="B191" s="245" t="e">
        <f aca="false">NextMonth(B190)</f>
        <v>#VALUE!</v>
      </c>
      <c r="C191" s="246" t="n">
        <v>0.0625556036208219</v>
      </c>
      <c r="D191" s="246" t="n">
        <v>1.15</v>
      </c>
      <c r="E191" s="246" t="n">
        <v>1.15</v>
      </c>
      <c r="F191" s="246" t="n">
        <v>0.1625</v>
      </c>
      <c r="G191" s="246" t="n">
        <v>0.17</v>
      </c>
      <c r="H191" s="246" t="n">
        <v>0.1775</v>
      </c>
      <c r="I191" s="247" t="n">
        <v>4.674</v>
      </c>
      <c r="J191" s="248" t="n">
        <v>4.679</v>
      </c>
      <c r="K191" s="248" t="n">
        <v>4.684</v>
      </c>
      <c r="L191" s="248" t="n">
        <v>0</v>
      </c>
      <c r="M191" s="248" t="n">
        <v>0</v>
      </c>
      <c r="N191" s="249" t="n">
        <v>0</v>
      </c>
      <c r="O191" s="249" t="n">
        <v>0</v>
      </c>
      <c r="P191" s="250"/>
      <c r="Q191" s="250"/>
      <c r="R191" s="251" t="e">
        <f aca="false">B191</f>
        <v>#VALUE!</v>
      </c>
      <c r="S191" s="252" t="n">
        <f aca="false">T191-$S$16</f>
        <v>1.08</v>
      </c>
      <c r="T191" s="243" t="n">
        <f aca="false">D191</f>
        <v>1.15</v>
      </c>
      <c r="U191" s="253" t="n">
        <f aca="false">$U$16+T191</f>
        <v>1.22</v>
      </c>
      <c r="BP191" s="226" t="n">
        <f aca="false">BP190+BV191</f>
        <v>190</v>
      </c>
      <c r="BQ191" s="227" t="s">
        <v>1093</v>
      </c>
      <c r="BR191" s="224" t="s">
        <v>285</v>
      </c>
      <c r="BS191" s="161" t="s">
        <v>421</v>
      </c>
      <c r="BT191" s="230" t="s">
        <v>287</v>
      </c>
      <c r="BU191" s="230"/>
      <c r="BV191" s="161" t="n">
        <v>1</v>
      </c>
      <c r="BW191" s="224" t="s">
        <v>1094</v>
      </c>
      <c r="BX191" s="0"/>
    </row>
    <row r="192" customFormat="false" ht="12.75" hidden="false" customHeight="false" outlineLevel="0" collapsed="false">
      <c r="A192" s="244"/>
      <c r="B192" s="245" t="e">
        <f aca="false">NextMonth(B191)</f>
        <v>#VALUE!</v>
      </c>
      <c r="C192" s="246" t="n">
        <v>0.0625898689301212</v>
      </c>
      <c r="D192" s="246" t="n">
        <v>0.9</v>
      </c>
      <c r="E192" s="246" t="n">
        <v>0.9</v>
      </c>
      <c r="F192" s="246" t="n">
        <v>0.1625</v>
      </c>
      <c r="G192" s="246" t="n">
        <v>0.17</v>
      </c>
      <c r="H192" s="246" t="n">
        <v>0.1775</v>
      </c>
      <c r="I192" s="247" t="n">
        <v>4.541</v>
      </c>
      <c r="J192" s="248" t="n">
        <v>4.546</v>
      </c>
      <c r="K192" s="248" t="n">
        <v>4.551</v>
      </c>
      <c r="L192" s="248" t="n">
        <v>0</v>
      </c>
      <c r="M192" s="248" t="n">
        <v>0</v>
      </c>
      <c r="N192" s="249" t="n">
        <v>0</v>
      </c>
      <c r="O192" s="249" t="n">
        <v>0</v>
      </c>
      <c r="P192" s="250"/>
      <c r="Q192" s="250"/>
      <c r="R192" s="251" t="e">
        <f aca="false">B192</f>
        <v>#VALUE!</v>
      </c>
      <c r="S192" s="252" t="n">
        <f aca="false">T192-$S$16</f>
        <v>0.83</v>
      </c>
      <c r="T192" s="243" t="n">
        <f aca="false">D192</f>
        <v>0.9</v>
      </c>
      <c r="U192" s="253" t="n">
        <f aca="false">$U$16+T192</f>
        <v>0.97</v>
      </c>
      <c r="BP192" s="226" t="n">
        <f aca="false">BP191+BV192</f>
        <v>191</v>
      </c>
      <c r="BQ192" s="227" t="s">
        <v>1095</v>
      </c>
      <c r="BR192" s="224" t="s">
        <v>285</v>
      </c>
      <c r="BS192" s="161" t="s">
        <v>421</v>
      </c>
      <c r="BT192" s="230" t="s">
        <v>287</v>
      </c>
      <c r="BU192" s="230"/>
      <c r="BV192" s="161" t="n">
        <v>1</v>
      </c>
      <c r="BW192" s="224" t="s">
        <v>1096</v>
      </c>
      <c r="BX192" s="0"/>
    </row>
    <row r="193" customFormat="false" ht="12.75" hidden="false" customHeight="false" outlineLevel="0" collapsed="false">
      <c r="A193" s="244"/>
      <c r="B193" s="245" t="e">
        <f aca="false">NextMonth(B192)</f>
        <v>#VALUE!</v>
      </c>
      <c r="C193" s="246" t="n">
        <v>0.0626264973646302</v>
      </c>
      <c r="D193" s="246" t="n">
        <v>0.55</v>
      </c>
      <c r="E193" s="246" t="n">
        <v>0.55</v>
      </c>
      <c r="F193" s="246" t="n">
        <v>0.1625</v>
      </c>
      <c r="G193" s="246" t="n">
        <v>0.17</v>
      </c>
      <c r="H193" s="246" t="n">
        <v>0.1775</v>
      </c>
      <c r="I193" s="247" t="n">
        <v>4.321</v>
      </c>
      <c r="J193" s="248" t="n">
        <v>4.326</v>
      </c>
      <c r="K193" s="248" t="n">
        <v>4.331</v>
      </c>
      <c r="L193" s="248" t="n">
        <v>0</v>
      </c>
      <c r="M193" s="248" t="n">
        <v>0</v>
      </c>
      <c r="N193" s="249" t="n">
        <v>0</v>
      </c>
      <c r="O193" s="249" t="n">
        <v>0</v>
      </c>
      <c r="P193" s="250"/>
      <c r="Q193" s="250"/>
      <c r="R193" s="251" t="e">
        <f aca="false">B193</f>
        <v>#VALUE!</v>
      </c>
      <c r="S193" s="252" t="n">
        <f aca="false">T193-$S$16</f>
        <v>0.48</v>
      </c>
      <c r="T193" s="243" t="n">
        <f aca="false">D193</f>
        <v>0.55</v>
      </c>
      <c r="U193" s="253" t="n">
        <f aca="false">$U$16+T193</f>
        <v>0.62</v>
      </c>
      <c r="BP193" s="226" t="n">
        <f aca="false">BP192+BV193</f>
        <v>192</v>
      </c>
      <c r="BQ193" s="227" t="s">
        <v>1097</v>
      </c>
      <c r="BR193" s="224" t="s">
        <v>285</v>
      </c>
      <c r="BS193" s="161" t="s">
        <v>421</v>
      </c>
      <c r="BT193" s="230" t="s">
        <v>287</v>
      </c>
      <c r="BU193" s="230"/>
      <c r="BV193" s="161" t="n">
        <v>1</v>
      </c>
      <c r="BW193" s="224" t="s">
        <v>1098</v>
      </c>
      <c r="BX193" s="0"/>
    </row>
    <row r="194" customFormat="false" ht="12.75" hidden="false" customHeight="false" outlineLevel="0" collapsed="false">
      <c r="A194" s="244"/>
      <c r="B194" s="245" t="e">
        <f aca="false">NextMonth(B193)</f>
        <v>#VALUE!</v>
      </c>
      <c r="C194" s="246" t="n">
        <v>0.0626619442371594</v>
      </c>
      <c r="D194" s="246" t="n">
        <v>0.6</v>
      </c>
      <c r="E194" s="246" t="n">
        <v>0.6</v>
      </c>
      <c r="F194" s="246" t="n">
        <v>0.1625</v>
      </c>
      <c r="G194" s="246" t="n">
        <v>0.17</v>
      </c>
      <c r="H194" s="246" t="n">
        <v>0.1775</v>
      </c>
      <c r="I194" s="247" t="n">
        <v>4.311</v>
      </c>
      <c r="J194" s="248" t="n">
        <v>4.316</v>
      </c>
      <c r="K194" s="248" t="n">
        <v>4.321</v>
      </c>
      <c r="L194" s="248" t="n">
        <v>0</v>
      </c>
      <c r="M194" s="248" t="n">
        <v>0</v>
      </c>
      <c r="N194" s="249" t="n">
        <v>0</v>
      </c>
      <c r="O194" s="249" t="n">
        <v>0</v>
      </c>
      <c r="P194" s="250"/>
      <c r="Q194" s="250"/>
      <c r="R194" s="251" t="e">
        <f aca="false">B194</f>
        <v>#VALUE!</v>
      </c>
      <c r="S194" s="252" t="n">
        <f aca="false">T194-$S$16</f>
        <v>0.53</v>
      </c>
      <c r="T194" s="243" t="n">
        <f aca="false">D194</f>
        <v>0.6</v>
      </c>
      <c r="U194" s="253" t="n">
        <f aca="false">$U$16+T194</f>
        <v>0.67</v>
      </c>
      <c r="BP194" s="226" t="n">
        <f aca="false">BP193+BV194</f>
        <v>193</v>
      </c>
      <c r="BQ194" s="227" t="s">
        <v>1099</v>
      </c>
      <c r="BR194" s="224" t="s">
        <v>285</v>
      </c>
      <c r="BS194" s="161" t="s">
        <v>421</v>
      </c>
      <c r="BT194" s="230" t="s">
        <v>287</v>
      </c>
      <c r="BU194" s="230"/>
      <c r="BV194" s="161" t="n">
        <v>1</v>
      </c>
      <c r="BW194" s="224" t="s">
        <v>1100</v>
      </c>
      <c r="BX194" s="0"/>
    </row>
    <row r="195" customFormat="false" ht="12.75" hidden="false" customHeight="false" outlineLevel="0" collapsed="false">
      <c r="A195" s="244"/>
      <c r="B195" s="245" t="e">
        <f aca="false">NextMonth(B194)</f>
        <v>#VALUE!</v>
      </c>
      <c r="C195" s="246" t="n">
        <v>0.0626985726725442</v>
      </c>
      <c r="D195" s="246" t="n">
        <v>0.6</v>
      </c>
      <c r="E195" s="246" t="n">
        <v>0.6</v>
      </c>
      <c r="F195" s="246" t="n">
        <v>0.1625</v>
      </c>
      <c r="G195" s="246" t="n">
        <v>0.17</v>
      </c>
      <c r="H195" s="246" t="n">
        <v>0.1775</v>
      </c>
      <c r="I195" s="247" t="n">
        <v>4.347</v>
      </c>
      <c r="J195" s="248" t="n">
        <v>4.352</v>
      </c>
      <c r="K195" s="248" t="n">
        <v>4.357</v>
      </c>
      <c r="L195" s="248" t="n">
        <v>0</v>
      </c>
      <c r="M195" s="248" t="n">
        <v>0</v>
      </c>
      <c r="N195" s="249" t="n">
        <v>0</v>
      </c>
      <c r="O195" s="249" t="n">
        <v>0</v>
      </c>
      <c r="P195" s="250"/>
      <c r="Q195" s="250"/>
      <c r="R195" s="251" t="e">
        <f aca="false">B195</f>
        <v>#VALUE!</v>
      </c>
      <c r="S195" s="252" t="n">
        <f aca="false">T195-$S$16</f>
        <v>0.53</v>
      </c>
      <c r="T195" s="243" t="n">
        <f aca="false">D195</f>
        <v>0.6</v>
      </c>
      <c r="U195" s="253" t="n">
        <f aca="false">$U$16+T195</f>
        <v>0.67</v>
      </c>
      <c r="BP195" s="226" t="n">
        <f aca="false">BP194+BV195</f>
        <v>194</v>
      </c>
      <c r="BQ195" s="227" t="s">
        <v>1101</v>
      </c>
      <c r="BR195" s="224" t="s">
        <v>285</v>
      </c>
      <c r="BS195" s="161" t="s">
        <v>421</v>
      </c>
      <c r="BT195" s="230" t="s">
        <v>287</v>
      </c>
      <c r="BU195" s="230"/>
      <c r="BV195" s="161" t="n">
        <v>1</v>
      </c>
      <c r="BW195" s="224" t="s">
        <v>1102</v>
      </c>
      <c r="BX195" s="0"/>
    </row>
    <row r="196" customFormat="false" ht="12.75" hidden="false" customHeight="false" outlineLevel="0" collapsed="false">
      <c r="A196" s="244"/>
      <c r="B196" s="245" t="e">
        <f aca="false">NextMonth(B195)</f>
        <v>#VALUE!</v>
      </c>
      <c r="C196" s="246" t="n">
        <v>0.0627340195459216</v>
      </c>
      <c r="D196" s="246" t="n">
        <v>0.65</v>
      </c>
      <c r="E196" s="246" t="n">
        <v>0.65</v>
      </c>
      <c r="F196" s="246" t="n">
        <v>0.1625</v>
      </c>
      <c r="G196" s="246" t="n">
        <v>0.17</v>
      </c>
      <c r="H196" s="246" t="n">
        <v>0.1775</v>
      </c>
      <c r="I196" s="247" t="n">
        <v>4.397</v>
      </c>
      <c r="J196" s="248" t="n">
        <v>4.402</v>
      </c>
      <c r="K196" s="248" t="n">
        <v>4.407</v>
      </c>
      <c r="L196" s="248" t="n">
        <v>0</v>
      </c>
      <c r="M196" s="248" t="n">
        <v>0</v>
      </c>
      <c r="N196" s="249" t="n">
        <v>0</v>
      </c>
      <c r="O196" s="249" t="n">
        <v>0</v>
      </c>
      <c r="P196" s="250"/>
      <c r="Q196" s="250"/>
      <c r="R196" s="251" t="e">
        <f aca="false">B196</f>
        <v>#VALUE!</v>
      </c>
      <c r="S196" s="252" t="n">
        <f aca="false">T196-$S$16</f>
        <v>0.58</v>
      </c>
      <c r="T196" s="243" t="n">
        <f aca="false">D196</f>
        <v>0.65</v>
      </c>
      <c r="U196" s="253" t="n">
        <f aca="false">$U$16+T196</f>
        <v>0.72</v>
      </c>
      <c r="BP196" s="226" t="n">
        <f aca="false">BP195+BV196</f>
        <v>195</v>
      </c>
      <c r="BQ196" s="227" t="s">
        <v>1103</v>
      </c>
      <c r="BR196" s="224" t="s">
        <v>285</v>
      </c>
      <c r="BS196" s="161" t="s">
        <v>421</v>
      </c>
      <c r="BT196" s="230" t="s">
        <v>287</v>
      </c>
      <c r="BU196" s="230"/>
      <c r="BV196" s="161" t="n">
        <v>1</v>
      </c>
      <c r="BW196" s="224" t="s">
        <v>1104</v>
      </c>
      <c r="BX196" s="0"/>
    </row>
    <row r="197" customFormat="false" ht="12.75" hidden="false" customHeight="false" outlineLevel="0" collapsed="false">
      <c r="A197" s="244"/>
      <c r="B197" s="245" t="e">
        <f aca="false">NextMonth(B196)</f>
        <v>#VALUE!</v>
      </c>
      <c r="C197" s="246" t="n">
        <v>0.062770647982183</v>
      </c>
      <c r="D197" s="246" t="n">
        <v>0.7</v>
      </c>
      <c r="E197" s="246" t="n">
        <v>0.7</v>
      </c>
      <c r="F197" s="246" t="n">
        <v>0.1625</v>
      </c>
      <c r="G197" s="246" t="n">
        <v>0.17</v>
      </c>
      <c r="H197" s="246" t="n">
        <v>0.1775</v>
      </c>
      <c r="I197" s="247" t="n">
        <v>4.42</v>
      </c>
      <c r="J197" s="248" t="n">
        <v>4.425</v>
      </c>
      <c r="K197" s="248" t="n">
        <v>4.43</v>
      </c>
      <c r="L197" s="248" t="n">
        <v>0</v>
      </c>
      <c r="M197" s="248" t="n">
        <v>0</v>
      </c>
      <c r="N197" s="249" t="n">
        <v>0</v>
      </c>
      <c r="O197" s="249" t="n">
        <v>0</v>
      </c>
      <c r="P197" s="250"/>
      <c r="Q197" s="250"/>
      <c r="R197" s="251" t="e">
        <f aca="false">B197</f>
        <v>#VALUE!</v>
      </c>
      <c r="S197" s="252" t="n">
        <f aca="false">T197-$S$16</f>
        <v>0.63</v>
      </c>
      <c r="T197" s="243" t="n">
        <f aca="false">D197</f>
        <v>0.7</v>
      </c>
      <c r="U197" s="253" t="n">
        <f aca="false">$U$16+T197</f>
        <v>0.77</v>
      </c>
      <c r="BP197" s="226" t="n">
        <f aca="false">BP196+BV197</f>
        <v>196</v>
      </c>
      <c r="BQ197" s="227" t="s">
        <v>1105</v>
      </c>
      <c r="BR197" s="224" t="s">
        <v>285</v>
      </c>
      <c r="BS197" s="161" t="s">
        <v>421</v>
      </c>
      <c r="BT197" s="230" t="s">
        <v>287</v>
      </c>
      <c r="BU197" s="230"/>
      <c r="BV197" s="161" t="n">
        <v>1</v>
      </c>
      <c r="BW197" s="224" t="s">
        <v>1106</v>
      </c>
      <c r="BX197" s="0"/>
    </row>
    <row r="198" customFormat="false" ht="12.75" hidden="false" customHeight="false" outlineLevel="0" collapsed="false">
      <c r="A198" s="244"/>
      <c r="B198" s="245" t="e">
        <f aca="false">NextMonth(B197)</f>
        <v>#VALUE!</v>
      </c>
      <c r="C198" s="246" t="n">
        <v>0.062807276418889</v>
      </c>
      <c r="D198" s="246" t="n">
        <v>0.7</v>
      </c>
      <c r="E198" s="246" t="n">
        <v>0.7</v>
      </c>
      <c r="F198" s="246" t="n">
        <v>0.1625</v>
      </c>
      <c r="G198" s="246" t="n">
        <v>0.17</v>
      </c>
      <c r="H198" s="246" t="n">
        <v>0.1775</v>
      </c>
      <c r="I198" s="247" t="n">
        <v>4.435</v>
      </c>
      <c r="J198" s="248" t="n">
        <v>4.44</v>
      </c>
      <c r="K198" s="248" t="n">
        <v>4.445</v>
      </c>
      <c r="L198" s="248" t="n">
        <v>0</v>
      </c>
      <c r="M198" s="248" t="n">
        <v>0</v>
      </c>
      <c r="N198" s="249" t="n">
        <v>0</v>
      </c>
      <c r="O198" s="249" t="n">
        <v>0</v>
      </c>
      <c r="P198" s="250"/>
      <c r="Q198" s="250"/>
      <c r="R198" s="251" t="e">
        <f aca="false">B198</f>
        <v>#VALUE!</v>
      </c>
      <c r="S198" s="252" t="n">
        <f aca="false">T198-$S$16</f>
        <v>0.63</v>
      </c>
      <c r="T198" s="243" t="n">
        <f aca="false">D198</f>
        <v>0.7</v>
      </c>
      <c r="U198" s="253" t="n">
        <f aca="false">$U$16+T198</f>
        <v>0.77</v>
      </c>
      <c r="BP198" s="226" t="n">
        <f aca="false">BP197+BV198</f>
        <v>197</v>
      </c>
      <c r="BQ198" s="227" t="s">
        <v>1107</v>
      </c>
      <c r="BR198" s="224" t="s">
        <v>285</v>
      </c>
      <c r="BS198" s="161" t="s">
        <v>421</v>
      </c>
      <c r="BT198" s="230" t="s">
        <v>287</v>
      </c>
      <c r="BU198" s="230"/>
      <c r="BV198" s="161" t="n">
        <v>1</v>
      </c>
      <c r="BW198" s="224" t="s">
        <v>1108</v>
      </c>
      <c r="BX198" s="0"/>
    </row>
    <row r="199" customFormat="false" ht="12.75" hidden="false" customHeight="false" outlineLevel="0" collapsed="false">
      <c r="A199" s="244"/>
      <c r="B199" s="245" t="e">
        <f aca="false">NextMonth(B198)</f>
        <v>#VALUE!</v>
      </c>
      <c r="C199" s="246" t="n">
        <v>0.0628427232935445</v>
      </c>
      <c r="D199" s="246" t="n">
        <v>0.75</v>
      </c>
      <c r="E199" s="246" t="n">
        <v>0.75</v>
      </c>
      <c r="F199" s="246" t="n">
        <v>0.1625</v>
      </c>
      <c r="G199" s="246" t="n">
        <v>0.17</v>
      </c>
      <c r="H199" s="246" t="n">
        <v>0.1775</v>
      </c>
      <c r="I199" s="247" t="n">
        <v>4.464</v>
      </c>
      <c r="J199" s="248" t="n">
        <v>4.469</v>
      </c>
      <c r="K199" s="248" t="n">
        <v>4.474</v>
      </c>
      <c r="L199" s="248" t="n">
        <v>0</v>
      </c>
      <c r="M199" s="248" t="n">
        <v>0</v>
      </c>
      <c r="N199" s="249" t="n">
        <v>0</v>
      </c>
      <c r="O199" s="249" t="n">
        <v>0</v>
      </c>
      <c r="P199" s="250"/>
      <c r="Q199" s="250"/>
      <c r="R199" s="251" t="e">
        <f aca="false">B199</f>
        <v>#VALUE!</v>
      </c>
      <c r="S199" s="252" t="n">
        <f aca="false">T199-$S$16</f>
        <v>0.68</v>
      </c>
      <c r="T199" s="243" t="n">
        <f aca="false">D199</f>
        <v>0.75</v>
      </c>
      <c r="U199" s="253" t="n">
        <f aca="false">$U$16+T199</f>
        <v>0.82</v>
      </c>
      <c r="BP199" s="226" t="n">
        <f aca="false">BP198+BV199</f>
        <v>198</v>
      </c>
      <c r="BQ199" s="227" t="s">
        <v>1109</v>
      </c>
      <c r="BR199" s="224" t="s">
        <v>285</v>
      </c>
      <c r="BS199" s="161" t="s">
        <v>421</v>
      </c>
      <c r="BT199" s="230" t="s">
        <v>287</v>
      </c>
      <c r="BU199" s="230"/>
      <c r="BV199" s="161" t="n">
        <v>1</v>
      </c>
      <c r="BW199" s="224" t="s">
        <v>1110</v>
      </c>
      <c r="BX199" s="0"/>
    </row>
    <row r="200" customFormat="false" ht="12.75" hidden="false" customHeight="false" outlineLevel="0" collapsed="false">
      <c r="A200" s="244"/>
      <c r="B200" s="245" t="e">
        <f aca="false">NextMonth(B199)</f>
        <v>#VALUE!</v>
      </c>
      <c r="C200" s="246" t="n">
        <v>0.062879351731127</v>
      </c>
      <c r="D200" s="246" t="n">
        <v>0.95</v>
      </c>
      <c r="E200" s="246" t="n">
        <v>0.95</v>
      </c>
      <c r="F200" s="246" t="n">
        <v>0.1625</v>
      </c>
      <c r="G200" s="246" t="n">
        <v>0.17</v>
      </c>
      <c r="H200" s="246" t="n">
        <v>0.1775</v>
      </c>
      <c r="I200" s="247" t="n">
        <v>4.604</v>
      </c>
      <c r="J200" s="248" t="n">
        <v>4.609</v>
      </c>
      <c r="K200" s="248" t="n">
        <v>4.614</v>
      </c>
      <c r="L200" s="248" t="n">
        <v>0</v>
      </c>
      <c r="M200" s="248" t="n">
        <v>0</v>
      </c>
      <c r="N200" s="249" t="n">
        <v>0</v>
      </c>
      <c r="O200" s="249" t="n">
        <v>0</v>
      </c>
      <c r="P200" s="250"/>
      <c r="Q200" s="250"/>
      <c r="R200" s="251" t="e">
        <f aca="false">B200</f>
        <v>#VALUE!</v>
      </c>
      <c r="S200" s="252" t="n">
        <f aca="false">T200-$S$16</f>
        <v>0.88</v>
      </c>
      <c r="T200" s="243" t="n">
        <f aca="false">D200</f>
        <v>0.95</v>
      </c>
      <c r="U200" s="253" t="n">
        <f aca="false">$U$16+T200</f>
        <v>1.02</v>
      </c>
      <c r="BP200" s="226" t="n">
        <f aca="false">BP199+BV200</f>
        <v>199</v>
      </c>
      <c r="BQ200" s="227" t="s">
        <v>1111</v>
      </c>
      <c r="BR200" s="224" t="s">
        <v>285</v>
      </c>
      <c r="BS200" s="161" t="s">
        <v>421</v>
      </c>
      <c r="BT200" s="230" t="s">
        <v>287</v>
      </c>
      <c r="BU200" s="230"/>
      <c r="BV200" s="161" t="n">
        <v>1</v>
      </c>
      <c r="BW200" s="224" t="s">
        <v>1112</v>
      </c>
      <c r="BX200" s="0"/>
    </row>
    <row r="201" customFormat="false" ht="12.75" hidden="false" customHeight="false" outlineLevel="0" collapsed="false">
      <c r="A201" s="244"/>
      <c r="B201" s="245" t="e">
        <f aca="false">NextMonth(B200)</f>
        <v>#VALUE!</v>
      </c>
      <c r="C201" s="246" t="n">
        <v>0.0629147986066307</v>
      </c>
      <c r="D201" s="246" t="n">
        <v>1.15</v>
      </c>
      <c r="E201" s="246" t="n">
        <v>1.15</v>
      </c>
      <c r="F201" s="246" t="n">
        <v>0.1625</v>
      </c>
      <c r="G201" s="246" t="n">
        <v>0.17</v>
      </c>
      <c r="H201" s="246" t="n">
        <v>0.1775</v>
      </c>
      <c r="I201" s="247" t="n">
        <v>4.753</v>
      </c>
      <c r="J201" s="248" t="n">
        <v>4.758</v>
      </c>
      <c r="K201" s="248" t="n">
        <v>4.763</v>
      </c>
      <c r="L201" s="248" t="n">
        <v>0</v>
      </c>
      <c r="M201" s="248" t="n">
        <v>0</v>
      </c>
      <c r="N201" s="249" t="n">
        <v>0</v>
      </c>
      <c r="O201" s="249" t="n">
        <v>0</v>
      </c>
      <c r="P201" s="250"/>
      <c r="Q201" s="250"/>
      <c r="R201" s="251" t="e">
        <f aca="false">B201</f>
        <v>#VALUE!</v>
      </c>
      <c r="S201" s="252" t="n">
        <f aca="false">T201-$S$16</f>
        <v>1.08</v>
      </c>
      <c r="T201" s="243" t="n">
        <f aca="false">D201</f>
        <v>1.15</v>
      </c>
      <c r="U201" s="253" t="n">
        <f aca="false">$U$16+T201</f>
        <v>1.22</v>
      </c>
      <c r="BP201" s="226" t="n">
        <f aca="false">BP200+BV201</f>
        <v>200</v>
      </c>
      <c r="BQ201" s="227" t="s">
        <v>1113</v>
      </c>
      <c r="BR201" s="224" t="s">
        <v>285</v>
      </c>
      <c r="BS201" s="161" t="s">
        <v>421</v>
      </c>
      <c r="BT201" s="230" t="s">
        <v>287</v>
      </c>
      <c r="BU201" s="230"/>
      <c r="BV201" s="161" t="n">
        <v>1</v>
      </c>
      <c r="BW201" s="224" t="s">
        <v>1114</v>
      </c>
      <c r="BX201" s="0"/>
    </row>
    <row r="202" customFormat="false" ht="12.75" hidden="false" customHeight="false" outlineLevel="0" collapsed="false">
      <c r="A202" s="244"/>
      <c r="B202" s="245" t="e">
        <f aca="false">NextMonth(B201)</f>
        <v>#VALUE!</v>
      </c>
      <c r="C202" s="246" t="n">
        <v>0.0629514270450886</v>
      </c>
      <c r="D202" s="246" t="n">
        <v>1.15</v>
      </c>
      <c r="E202" s="246" t="n">
        <v>1.15</v>
      </c>
      <c r="F202" s="246" t="n">
        <v>0.1625</v>
      </c>
      <c r="G202" s="246" t="n">
        <v>0.17</v>
      </c>
      <c r="H202" s="246" t="n">
        <v>0.1775</v>
      </c>
      <c r="I202" s="247" t="n">
        <v>4.872</v>
      </c>
      <c r="J202" s="248" t="n">
        <v>4.877</v>
      </c>
      <c r="K202" s="248" t="n">
        <v>4.882</v>
      </c>
      <c r="L202" s="248" t="n">
        <v>0</v>
      </c>
      <c r="M202" s="248" t="n">
        <v>0</v>
      </c>
      <c r="N202" s="249" t="n">
        <v>0</v>
      </c>
      <c r="O202" s="249" t="n">
        <v>0</v>
      </c>
      <c r="P202" s="250"/>
      <c r="Q202" s="250"/>
      <c r="R202" s="251" t="e">
        <f aca="false">B202</f>
        <v>#VALUE!</v>
      </c>
      <c r="S202" s="252" t="n">
        <f aca="false">T202-$S$16</f>
        <v>1.08</v>
      </c>
      <c r="T202" s="243" t="n">
        <f aca="false">D202</f>
        <v>1.15</v>
      </c>
      <c r="U202" s="253" t="n">
        <f aca="false">$U$16+T202</f>
        <v>1.22</v>
      </c>
      <c r="BP202" s="226" t="n">
        <f aca="false">BP201+BV202</f>
        <v>201</v>
      </c>
      <c r="BQ202" s="227" t="s">
        <v>1115</v>
      </c>
      <c r="BR202" s="224" t="s">
        <v>285</v>
      </c>
      <c r="BS202" s="161" t="s">
        <v>421</v>
      </c>
      <c r="BT202" s="230" t="s">
        <v>287</v>
      </c>
      <c r="BU202" s="230"/>
      <c r="BV202" s="161" t="n">
        <v>1</v>
      </c>
      <c r="BW202" s="224" t="s">
        <v>1116</v>
      </c>
      <c r="BX202" s="0"/>
    </row>
    <row r="203" customFormat="false" ht="12.75" hidden="false" customHeight="false" outlineLevel="0" collapsed="false">
      <c r="A203" s="244"/>
      <c r="B203" s="245" t="e">
        <f aca="false">NextMonth(B202)</f>
        <v>#VALUE!</v>
      </c>
      <c r="C203" s="246" t="n">
        <v>0.0629880554839919</v>
      </c>
      <c r="D203" s="246" t="n">
        <v>1.15</v>
      </c>
      <c r="E203" s="246" t="n">
        <v>1.15</v>
      </c>
      <c r="F203" s="246" t="n">
        <v>0.1625</v>
      </c>
      <c r="G203" s="246" t="n">
        <v>0.17</v>
      </c>
      <c r="H203" s="246" t="n">
        <v>0.1775</v>
      </c>
      <c r="I203" s="247" t="n">
        <v>4.759</v>
      </c>
      <c r="J203" s="248" t="n">
        <v>4.764</v>
      </c>
      <c r="K203" s="248" t="n">
        <v>4.769</v>
      </c>
      <c r="L203" s="248" t="n">
        <v>0</v>
      </c>
      <c r="M203" s="248" t="n">
        <v>0</v>
      </c>
      <c r="N203" s="249" t="n">
        <v>0</v>
      </c>
      <c r="O203" s="249" t="n">
        <v>0</v>
      </c>
      <c r="P203" s="250"/>
      <c r="Q203" s="250"/>
      <c r="R203" s="251" t="e">
        <f aca="false">B203</f>
        <v>#VALUE!</v>
      </c>
      <c r="S203" s="252" t="n">
        <f aca="false">T203-$S$16</f>
        <v>1.08</v>
      </c>
      <c r="T203" s="243" t="n">
        <f aca="false">D203</f>
        <v>1.15</v>
      </c>
      <c r="U203" s="253" t="n">
        <f aca="false">$U$16+T203</f>
        <v>1.22</v>
      </c>
      <c r="BP203" s="226" t="n">
        <f aca="false">BP202+BV203</f>
        <v>202</v>
      </c>
      <c r="BQ203" s="227" t="s">
        <v>1117</v>
      </c>
      <c r="BR203" s="224" t="s">
        <v>285</v>
      </c>
      <c r="BS203" s="161" t="s">
        <v>421</v>
      </c>
      <c r="BT203" s="230" t="s">
        <v>287</v>
      </c>
      <c r="BU203" s="230"/>
      <c r="BV203" s="161" t="n">
        <v>1</v>
      </c>
      <c r="BW203" s="224" t="s">
        <v>1118</v>
      </c>
      <c r="BX203" s="0"/>
    </row>
    <row r="204" customFormat="false" ht="12.75" hidden="false" customHeight="false" outlineLevel="0" collapsed="false">
      <c r="A204" s="244"/>
      <c r="B204" s="245" t="e">
        <f aca="false">NextMonth(B203)</f>
        <v>#VALUE!</v>
      </c>
      <c r="C204" s="246" t="n">
        <v>0.0630211392356421</v>
      </c>
      <c r="D204" s="246" t="n">
        <v>0.9</v>
      </c>
      <c r="E204" s="246" t="n">
        <v>0.9</v>
      </c>
      <c r="F204" s="246" t="n">
        <v>0.1625</v>
      </c>
      <c r="G204" s="246" t="n">
        <v>0.17</v>
      </c>
      <c r="H204" s="246" t="n">
        <v>0.1775</v>
      </c>
      <c r="I204" s="247" t="n">
        <v>4.626</v>
      </c>
      <c r="J204" s="248" t="n">
        <v>4.631</v>
      </c>
      <c r="K204" s="248" t="n">
        <v>4.636</v>
      </c>
      <c r="L204" s="248" t="n">
        <v>0</v>
      </c>
      <c r="M204" s="248" t="n">
        <v>0</v>
      </c>
      <c r="N204" s="249" t="n">
        <v>0</v>
      </c>
      <c r="O204" s="249" t="n">
        <v>0</v>
      </c>
      <c r="P204" s="250"/>
      <c r="Q204" s="250"/>
      <c r="R204" s="251" t="e">
        <f aca="false">B204</f>
        <v>#VALUE!</v>
      </c>
      <c r="S204" s="252" t="n">
        <f aca="false">T204-$S$16</f>
        <v>0.83</v>
      </c>
      <c r="T204" s="243" t="n">
        <f aca="false">D204</f>
        <v>0.9</v>
      </c>
      <c r="U204" s="253" t="n">
        <f aca="false">$U$16+T204</f>
        <v>0.97</v>
      </c>
      <c r="BP204" s="226" t="n">
        <f aca="false">BP203+BV204</f>
        <v>203</v>
      </c>
      <c r="BQ204" s="227" t="s">
        <v>1119</v>
      </c>
      <c r="BR204" s="224" t="s">
        <v>285</v>
      </c>
      <c r="BS204" s="161" t="s">
        <v>421</v>
      </c>
      <c r="BT204" s="230" t="s">
        <v>287</v>
      </c>
      <c r="BU204" s="230"/>
      <c r="BV204" s="161" t="n">
        <v>1</v>
      </c>
      <c r="BW204" s="224" t="s">
        <v>1120</v>
      </c>
      <c r="BX204" s="0"/>
    </row>
    <row r="205" customFormat="false" ht="12.75" hidden="false" customHeight="false" outlineLevel="0" collapsed="false">
      <c r="A205" s="244"/>
      <c r="B205" s="245" t="e">
        <f aca="false">NextMonth(B204)</f>
        <v>#VALUE!</v>
      </c>
      <c r="C205" s="246" t="n">
        <v>0.0630577676753927</v>
      </c>
      <c r="D205" s="246" t="n">
        <v>0.55</v>
      </c>
      <c r="E205" s="246" t="n">
        <v>0.55</v>
      </c>
      <c r="F205" s="246" t="n">
        <v>0.1625</v>
      </c>
      <c r="G205" s="246" t="n">
        <v>0.17</v>
      </c>
      <c r="H205" s="246" t="n">
        <v>0.1775</v>
      </c>
      <c r="I205" s="247" t="n">
        <v>4.406</v>
      </c>
      <c r="J205" s="248" t="n">
        <v>4.411</v>
      </c>
      <c r="K205" s="248" t="n">
        <v>4.416</v>
      </c>
      <c r="L205" s="248" t="n">
        <v>0</v>
      </c>
      <c r="M205" s="248" t="n">
        <v>0</v>
      </c>
      <c r="N205" s="249" t="n">
        <v>0</v>
      </c>
      <c r="O205" s="249" t="n">
        <v>0</v>
      </c>
      <c r="P205" s="250"/>
      <c r="Q205" s="250"/>
      <c r="R205" s="251" t="e">
        <f aca="false">B205</f>
        <v>#VALUE!</v>
      </c>
      <c r="S205" s="252" t="n">
        <f aca="false">T205-$S$16</f>
        <v>0.48</v>
      </c>
      <c r="T205" s="243" t="n">
        <f aca="false">D205</f>
        <v>0.55</v>
      </c>
      <c r="U205" s="253" t="n">
        <f aca="false">$U$16+T205</f>
        <v>0.62</v>
      </c>
      <c r="BP205" s="226" t="n">
        <f aca="false">BP204+BV205</f>
        <v>204</v>
      </c>
      <c r="BQ205" s="227" t="s">
        <v>1121</v>
      </c>
      <c r="BR205" s="224" t="s">
        <v>285</v>
      </c>
      <c r="BS205" s="161" t="s">
        <v>421</v>
      </c>
      <c r="BT205" s="230" t="s">
        <v>287</v>
      </c>
      <c r="BU205" s="230"/>
      <c r="BV205" s="161" t="n">
        <v>1</v>
      </c>
      <c r="BW205" s="224" t="s">
        <v>1122</v>
      </c>
      <c r="BX205" s="0"/>
    </row>
    <row r="206" customFormat="false" ht="12.75" hidden="false" customHeight="false" outlineLevel="0" collapsed="false">
      <c r="A206" s="244"/>
      <c r="B206" s="245" t="e">
        <f aca="false">NextMonth(B205)</f>
        <v>#VALUE!</v>
      </c>
      <c r="C206" s="246" t="n">
        <v>0.0630932145529943</v>
      </c>
      <c r="D206" s="246" t="n">
        <v>0.6</v>
      </c>
      <c r="E206" s="246" t="n">
        <v>0.6</v>
      </c>
      <c r="F206" s="246" t="n">
        <v>0.1625</v>
      </c>
      <c r="G206" s="246" t="n">
        <v>0.17</v>
      </c>
      <c r="H206" s="246" t="n">
        <v>0.1775</v>
      </c>
      <c r="I206" s="247" t="n">
        <v>4.396</v>
      </c>
      <c r="J206" s="248" t="n">
        <v>4.401</v>
      </c>
      <c r="K206" s="248" t="n">
        <v>4.406</v>
      </c>
      <c r="L206" s="248" t="n">
        <v>0</v>
      </c>
      <c r="M206" s="248" t="n">
        <v>0</v>
      </c>
      <c r="N206" s="249" t="n">
        <v>0</v>
      </c>
      <c r="O206" s="249" t="n">
        <v>0</v>
      </c>
      <c r="P206" s="250"/>
      <c r="Q206" s="250"/>
      <c r="R206" s="251" t="e">
        <f aca="false">B206</f>
        <v>#VALUE!</v>
      </c>
      <c r="S206" s="252" t="n">
        <f aca="false">T206-$S$16</f>
        <v>0.53</v>
      </c>
      <c r="T206" s="243" t="n">
        <f aca="false">D206</f>
        <v>0.6</v>
      </c>
      <c r="U206" s="253" t="n">
        <f aca="false">$U$16+T206</f>
        <v>0.67</v>
      </c>
      <c r="BP206" s="226" t="n">
        <f aca="false">BP205+BV206</f>
        <v>205</v>
      </c>
      <c r="BQ206" s="227" t="s">
        <v>1123</v>
      </c>
      <c r="BR206" s="224" t="s">
        <v>285</v>
      </c>
      <c r="BS206" s="161" t="s">
        <v>421</v>
      </c>
      <c r="BT206" s="230" t="s">
        <v>287</v>
      </c>
      <c r="BU206" s="230"/>
      <c r="BV206" s="161" t="n">
        <v>1</v>
      </c>
      <c r="BW206" s="224" t="s">
        <v>1124</v>
      </c>
      <c r="BX206" s="0"/>
    </row>
    <row r="207" customFormat="false" ht="12.75" hidden="false" customHeight="false" outlineLevel="0" collapsed="false">
      <c r="A207" s="244"/>
      <c r="B207" s="245" t="e">
        <f aca="false">NextMonth(B206)</f>
        <v>#VALUE!</v>
      </c>
      <c r="C207" s="246" t="n">
        <v>0.0631298429936207</v>
      </c>
      <c r="D207" s="246" t="n">
        <v>0.6</v>
      </c>
      <c r="E207" s="246" t="n">
        <v>0.6</v>
      </c>
      <c r="F207" s="246" t="n">
        <v>0.1625</v>
      </c>
      <c r="G207" s="246" t="n">
        <v>0.17</v>
      </c>
      <c r="H207" s="246" t="n">
        <v>0.1775</v>
      </c>
      <c r="I207" s="247" t="n">
        <v>4.432</v>
      </c>
      <c r="J207" s="248" t="n">
        <v>4.437</v>
      </c>
      <c r="K207" s="248" t="n">
        <v>4.442</v>
      </c>
      <c r="L207" s="248" t="n">
        <v>0</v>
      </c>
      <c r="M207" s="248" t="n">
        <v>0</v>
      </c>
      <c r="N207" s="249" t="n">
        <v>0</v>
      </c>
      <c r="O207" s="249" t="n">
        <v>0</v>
      </c>
      <c r="P207" s="250"/>
      <c r="Q207" s="250"/>
      <c r="R207" s="251" t="e">
        <f aca="false">B207</f>
        <v>#VALUE!</v>
      </c>
      <c r="S207" s="252" t="n">
        <f aca="false">T207-$S$16</f>
        <v>0.53</v>
      </c>
      <c r="T207" s="243" t="n">
        <f aca="false">D207</f>
        <v>0.6</v>
      </c>
      <c r="U207" s="253" t="n">
        <f aca="false">$U$16+T207</f>
        <v>0.67</v>
      </c>
      <c r="BP207" s="226" t="n">
        <f aca="false">BP206+BV207</f>
        <v>206</v>
      </c>
      <c r="BQ207" s="227" t="s">
        <v>1125</v>
      </c>
      <c r="BR207" s="224" t="s">
        <v>285</v>
      </c>
      <c r="BS207" s="161" t="s">
        <v>421</v>
      </c>
      <c r="BT207" s="230" t="s">
        <v>287</v>
      </c>
      <c r="BU207" s="230"/>
      <c r="BV207" s="161" t="n">
        <v>1</v>
      </c>
      <c r="BW207" s="224" t="s">
        <v>1126</v>
      </c>
      <c r="BX207" s="0"/>
    </row>
    <row r="208" customFormat="false" ht="12.75" hidden="false" customHeight="false" outlineLevel="0" collapsed="false">
      <c r="A208" s="244"/>
      <c r="B208" s="245" t="e">
        <f aca="false">NextMonth(B207)</f>
        <v>#VALUE!</v>
      </c>
      <c r="C208" s="246" t="n">
        <v>0.0631652898720705</v>
      </c>
      <c r="D208" s="246" t="n">
        <v>0.65</v>
      </c>
      <c r="E208" s="246" t="n">
        <v>0.65</v>
      </c>
      <c r="F208" s="246" t="n">
        <v>0.1625</v>
      </c>
      <c r="G208" s="246" t="n">
        <v>0.17</v>
      </c>
      <c r="H208" s="246" t="n">
        <v>0.1775</v>
      </c>
      <c r="I208" s="247" t="n">
        <v>4.482</v>
      </c>
      <c r="J208" s="248" t="n">
        <v>4.487</v>
      </c>
      <c r="K208" s="248" t="n">
        <v>4.492</v>
      </c>
      <c r="L208" s="248" t="n">
        <v>0</v>
      </c>
      <c r="M208" s="248" t="n">
        <v>0</v>
      </c>
      <c r="N208" s="249" t="n">
        <v>0</v>
      </c>
      <c r="O208" s="249" t="n">
        <v>0</v>
      </c>
      <c r="P208" s="250"/>
      <c r="Q208" s="250"/>
      <c r="R208" s="251" t="e">
        <f aca="false">B208</f>
        <v>#VALUE!</v>
      </c>
      <c r="S208" s="252" t="n">
        <f aca="false">T208-$S$16</f>
        <v>0.58</v>
      </c>
      <c r="T208" s="243" t="n">
        <f aca="false">D208</f>
        <v>0.65</v>
      </c>
      <c r="U208" s="253" t="n">
        <f aca="false">$U$16+T208</f>
        <v>0.72</v>
      </c>
      <c r="BP208" s="226" t="n">
        <f aca="false">BP207+BV208</f>
        <v>207</v>
      </c>
      <c r="BQ208" s="227" t="s">
        <v>1127</v>
      </c>
      <c r="BR208" s="224" t="s">
        <v>285</v>
      </c>
      <c r="BS208" s="161" t="s">
        <v>421</v>
      </c>
      <c r="BT208" s="230" t="s">
        <v>287</v>
      </c>
      <c r="BU208" s="230"/>
      <c r="BV208" s="161" t="n">
        <v>1</v>
      </c>
      <c r="BW208" s="224" t="s">
        <v>1128</v>
      </c>
      <c r="BX208" s="0"/>
    </row>
    <row r="209" customFormat="false" ht="12.75" hidden="false" customHeight="false" outlineLevel="0" collapsed="false">
      <c r="A209" s="244"/>
      <c r="B209" s="245" t="e">
        <f aca="false">NextMonth(B208)</f>
        <v>#VALUE!</v>
      </c>
      <c r="C209" s="246" t="n">
        <v>0.0632019183135726</v>
      </c>
      <c r="D209" s="246" t="n">
        <v>0.7</v>
      </c>
      <c r="E209" s="246" t="n">
        <v>0.7</v>
      </c>
      <c r="F209" s="246" t="n">
        <v>0.1625</v>
      </c>
      <c r="G209" s="246" t="n">
        <v>0.17</v>
      </c>
      <c r="H209" s="246" t="n">
        <v>0.1775</v>
      </c>
      <c r="I209" s="247" t="n">
        <v>4.505</v>
      </c>
      <c r="J209" s="248" t="n">
        <v>4.51</v>
      </c>
      <c r="K209" s="248" t="n">
        <v>4.515</v>
      </c>
      <c r="L209" s="248" t="n">
        <v>0</v>
      </c>
      <c r="M209" s="248" t="n">
        <v>0</v>
      </c>
      <c r="N209" s="249" t="n">
        <v>0</v>
      </c>
      <c r="O209" s="249" t="n">
        <v>0</v>
      </c>
      <c r="P209" s="250"/>
      <c r="Q209" s="250"/>
      <c r="R209" s="251" t="e">
        <f aca="false">B209</f>
        <v>#VALUE!</v>
      </c>
      <c r="S209" s="252" t="n">
        <f aca="false">T209-$S$16</f>
        <v>0.63</v>
      </c>
      <c r="T209" s="243" t="n">
        <f aca="false">D209</f>
        <v>0.7</v>
      </c>
      <c r="U209" s="253" t="n">
        <f aca="false">$U$16+T209</f>
        <v>0.77</v>
      </c>
      <c r="BP209" s="226" t="n">
        <f aca="false">BP208+BV209</f>
        <v>208</v>
      </c>
      <c r="BQ209" s="227" t="s">
        <v>1129</v>
      </c>
      <c r="BR209" s="224" t="s">
        <v>285</v>
      </c>
      <c r="BS209" s="161" t="s">
        <v>421</v>
      </c>
      <c r="BT209" s="230" t="s">
        <v>287</v>
      </c>
      <c r="BU209" s="230"/>
      <c r="BV209" s="161" t="n">
        <v>1</v>
      </c>
      <c r="BW209" s="224" t="s">
        <v>1130</v>
      </c>
      <c r="BX209" s="0"/>
    </row>
    <row r="210" customFormat="false" ht="12.75" hidden="false" customHeight="false" outlineLevel="0" collapsed="false">
      <c r="A210" s="244"/>
      <c r="B210" s="245" t="e">
        <f aca="false">NextMonth(B209)</f>
        <v>#VALUE!</v>
      </c>
      <c r="C210" s="246" t="n">
        <v>0.0632385467555196</v>
      </c>
      <c r="D210" s="246" t="n">
        <v>0.7</v>
      </c>
      <c r="E210" s="246" t="n">
        <v>0.7</v>
      </c>
      <c r="F210" s="246" t="n">
        <v>0.1625</v>
      </c>
      <c r="G210" s="246" t="n">
        <v>0.17</v>
      </c>
      <c r="H210" s="246" t="n">
        <v>0.1775</v>
      </c>
      <c r="I210" s="247" t="n">
        <v>4.52</v>
      </c>
      <c r="J210" s="248" t="n">
        <v>4.525</v>
      </c>
      <c r="K210" s="248" t="n">
        <v>4.53</v>
      </c>
      <c r="L210" s="248" t="n">
        <v>0</v>
      </c>
      <c r="M210" s="248" t="n">
        <v>0</v>
      </c>
      <c r="N210" s="249" t="n">
        <v>0</v>
      </c>
      <c r="O210" s="249" t="n">
        <v>0</v>
      </c>
      <c r="P210" s="250"/>
      <c r="Q210" s="250"/>
      <c r="R210" s="251" t="e">
        <f aca="false">B210</f>
        <v>#VALUE!</v>
      </c>
      <c r="S210" s="252" t="n">
        <f aca="false">T210-$S$16</f>
        <v>0.63</v>
      </c>
      <c r="T210" s="243" t="n">
        <f aca="false">D210</f>
        <v>0.7</v>
      </c>
      <c r="U210" s="253" t="n">
        <f aca="false">$U$16+T210</f>
        <v>0.77</v>
      </c>
      <c r="BP210" s="226" t="n">
        <f aca="false">BP209+BV210</f>
        <v>209</v>
      </c>
      <c r="BQ210" s="227" t="s">
        <v>1131</v>
      </c>
      <c r="BR210" s="224" t="s">
        <v>285</v>
      </c>
      <c r="BS210" s="161" t="s">
        <v>421</v>
      </c>
      <c r="BT210" s="230" t="s">
        <v>287</v>
      </c>
      <c r="BU210" s="230"/>
      <c r="BV210" s="161" t="n">
        <v>1</v>
      </c>
      <c r="BW210" s="224" t="s">
        <v>1132</v>
      </c>
      <c r="BX210" s="0"/>
    </row>
    <row r="211" customFormat="false" ht="12.75" hidden="false" customHeight="false" outlineLevel="0" collapsed="false">
      <c r="A211" s="244"/>
      <c r="B211" s="245" t="e">
        <f aca="false">NextMonth(B210)</f>
        <v>#VALUE!</v>
      </c>
      <c r="C211" s="246" t="n">
        <v>0.0632739936352471</v>
      </c>
      <c r="D211" s="246" t="n">
        <v>0.75</v>
      </c>
      <c r="E211" s="246" t="n">
        <v>0.75</v>
      </c>
      <c r="F211" s="246" t="n">
        <v>0.1625</v>
      </c>
      <c r="G211" s="246" t="n">
        <v>0.17</v>
      </c>
      <c r="H211" s="246" t="n">
        <v>0.1775</v>
      </c>
      <c r="I211" s="247" t="n">
        <v>4.549</v>
      </c>
      <c r="J211" s="248" t="n">
        <v>4.554</v>
      </c>
      <c r="K211" s="248" t="n">
        <v>4.559</v>
      </c>
      <c r="L211" s="248" t="n">
        <v>0</v>
      </c>
      <c r="M211" s="248" t="n">
        <v>0</v>
      </c>
      <c r="N211" s="249" t="n">
        <v>0</v>
      </c>
      <c r="O211" s="249" t="n">
        <v>0</v>
      </c>
      <c r="P211" s="250"/>
      <c r="Q211" s="250"/>
      <c r="R211" s="251" t="e">
        <f aca="false">B211</f>
        <v>#VALUE!</v>
      </c>
      <c r="S211" s="252" t="n">
        <f aca="false">T211-$S$16</f>
        <v>0.68</v>
      </c>
      <c r="T211" s="243" t="n">
        <f aca="false">D211</f>
        <v>0.75</v>
      </c>
      <c r="U211" s="253" t="n">
        <f aca="false">$U$16+T211</f>
        <v>0.82</v>
      </c>
      <c r="BP211" s="226" t="n">
        <f aca="false">BP210+BV211</f>
        <v>210</v>
      </c>
      <c r="BQ211" s="227" t="s">
        <v>1133</v>
      </c>
      <c r="BR211" s="224" t="s">
        <v>285</v>
      </c>
      <c r="BS211" s="161" t="s">
        <v>421</v>
      </c>
      <c r="BT211" s="230" t="s">
        <v>287</v>
      </c>
      <c r="BU211" s="230"/>
      <c r="BV211" s="161" t="n">
        <v>1</v>
      </c>
      <c r="BW211" s="224" t="s">
        <v>1134</v>
      </c>
      <c r="BX211" s="0"/>
    </row>
    <row r="212" customFormat="false" ht="12.75" hidden="false" customHeight="false" outlineLevel="0" collapsed="false">
      <c r="A212" s="244"/>
      <c r="B212" s="245" t="e">
        <f aca="false">NextMonth(B211)</f>
        <v>#VALUE!</v>
      </c>
      <c r="C212" s="246" t="n">
        <v>0.0633106220780708</v>
      </c>
      <c r="D212" s="246" t="n">
        <v>0.95</v>
      </c>
      <c r="E212" s="246" t="n">
        <v>0.95</v>
      </c>
      <c r="F212" s="246" t="n">
        <v>0.1625</v>
      </c>
      <c r="G212" s="246" t="n">
        <v>0.17</v>
      </c>
      <c r="H212" s="246" t="n">
        <v>0.1775</v>
      </c>
      <c r="I212" s="247" t="n">
        <v>4.689</v>
      </c>
      <c r="J212" s="248" t="n">
        <v>4.694</v>
      </c>
      <c r="K212" s="248" t="n">
        <v>4.699</v>
      </c>
      <c r="L212" s="248" t="n">
        <v>0.4</v>
      </c>
      <c r="M212" s="248" t="n">
        <v>0.4</v>
      </c>
      <c r="N212" s="249" t="n">
        <v>0.02</v>
      </c>
      <c r="O212" s="249" t="n">
        <v>0.02</v>
      </c>
      <c r="P212" s="250"/>
      <c r="Q212" s="250"/>
      <c r="R212" s="251" t="e">
        <f aca="false">B212</f>
        <v>#VALUE!</v>
      </c>
      <c r="S212" s="252" t="n">
        <f aca="false">T212-$S$16</f>
        <v>0.88</v>
      </c>
      <c r="T212" s="243" t="n">
        <f aca="false">D212</f>
        <v>0.95</v>
      </c>
      <c r="U212" s="253" t="n">
        <f aca="false">$U$16+T212</f>
        <v>1.02</v>
      </c>
      <c r="BP212" s="226" t="n">
        <f aca="false">BP211+BV212</f>
        <v>211</v>
      </c>
      <c r="BQ212" s="227" t="s">
        <v>1135</v>
      </c>
      <c r="BR212" s="224" t="s">
        <v>285</v>
      </c>
      <c r="BS212" s="161" t="s">
        <v>421</v>
      </c>
      <c r="BT212" s="230" t="s">
        <v>287</v>
      </c>
      <c r="BU212" s="230"/>
      <c r="BV212" s="161" t="n">
        <v>1</v>
      </c>
      <c r="BW212" s="224" t="s">
        <v>1136</v>
      </c>
      <c r="BX212" s="0"/>
    </row>
    <row r="213" customFormat="false" ht="12.75" hidden="false" customHeight="false" outlineLevel="0" collapsed="false">
      <c r="A213" s="244"/>
      <c r="B213" s="245" t="e">
        <f aca="false">NextMonth(B212)</f>
        <v>#VALUE!</v>
      </c>
      <c r="C213" s="246" t="n">
        <v>0.0633460689586456</v>
      </c>
      <c r="D213" s="246" t="n">
        <v>1.15</v>
      </c>
      <c r="E213" s="246" t="n">
        <v>1.15</v>
      </c>
      <c r="F213" s="246" t="n">
        <v>0.1625</v>
      </c>
      <c r="G213" s="246" t="n">
        <v>0.17</v>
      </c>
      <c r="H213" s="246" t="n">
        <v>0.1775</v>
      </c>
      <c r="I213" s="247" t="n">
        <v>4.838</v>
      </c>
      <c r="J213" s="248" t="n">
        <v>4.843</v>
      </c>
      <c r="K213" s="248" t="n">
        <v>4.848</v>
      </c>
      <c r="L213" s="248" t="n">
        <v>0.3975</v>
      </c>
      <c r="M213" s="248" t="n">
        <v>0.3975</v>
      </c>
      <c r="N213" s="249" t="n">
        <v>0.02</v>
      </c>
      <c r="O213" s="249" t="n">
        <v>0.02</v>
      </c>
      <c r="P213" s="250"/>
      <c r="Q213" s="250"/>
      <c r="R213" s="251" t="e">
        <f aca="false">B213</f>
        <v>#VALUE!</v>
      </c>
      <c r="S213" s="252" t="n">
        <f aca="false">T213-$S$16</f>
        <v>1.08</v>
      </c>
      <c r="T213" s="243" t="n">
        <f aca="false">D213</f>
        <v>1.15</v>
      </c>
      <c r="U213" s="253" t="n">
        <f aca="false">$U$16+T213</f>
        <v>1.22</v>
      </c>
      <c r="BP213" s="226" t="n">
        <f aca="false">BP212+BV213</f>
        <v>212</v>
      </c>
      <c r="BQ213" s="227" t="s">
        <v>1137</v>
      </c>
      <c r="BR213" s="224" t="s">
        <v>285</v>
      </c>
      <c r="BS213" s="161" t="s">
        <v>421</v>
      </c>
      <c r="BT213" s="230" t="s">
        <v>287</v>
      </c>
      <c r="BU213" s="230"/>
      <c r="BV213" s="161" t="n">
        <v>1</v>
      </c>
      <c r="BW213" s="224" t="s">
        <v>1138</v>
      </c>
      <c r="BX213" s="0"/>
    </row>
    <row r="214" customFormat="false" ht="12.75" hidden="false" customHeight="false" outlineLevel="0" collapsed="false">
      <c r="A214" s="244"/>
      <c r="B214" s="245" t="e">
        <f aca="false">NextMonth(B213)</f>
        <v>#VALUE!</v>
      </c>
      <c r="C214" s="246" t="n">
        <v>0.0633826974023446</v>
      </c>
      <c r="D214" s="246" t="n">
        <v>1.15</v>
      </c>
      <c r="E214" s="246" t="n">
        <v>1.15</v>
      </c>
      <c r="F214" s="246" t="n">
        <v>0.1625</v>
      </c>
      <c r="G214" s="246" t="n">
        <v>0.17</v>
      </c>
      <c r="H214" s="246" t="n">
        <v>0.1775</v>
      </c>
      <c r="I214" s="247" t="n">
        <v>4.957</v>
      </c>
      <c r="J214" s="248" t="n">
        <v>4.962</v>
      </c>
      <c r="K214" s="248" t="n">
        <v>4.967</v>
      </c>
      <c r="L214" s="248" t="n">
        <v>0.4</v>
      </c>
      <c r="M214" s="248" t="n">
        <v>0.4</v>
      </c>
      <c r="N214" s="249" t="n">
        <v>0.02</v>
      </c>
      <c r="O214" s="249" t="n">
        <v>0.02</v>
      </c>
      <c r="P214" s="250"/>
      <c r="Q214" s="250"/>
      <c r="R214" s="251" t="e">
        <f aca="false">B214</f>
        <v>#VALUE!</v>
      </c>
      <c r="S214" s="252" t="n">
        <f aca="false">T214-$S$16</f>
        <v>1.08</v>
      </c>
      <c r="T214" s="243" t="n">
        <f aca="false">D214</f>
        <v>1.15</v>
      </c>
      <c r="U214" s="253" t="n">
        <f aca="false">$U$16+T214</f>
        <v>1.22</v>
      </c>
      <c r="BP214" s="226" t="n">
        <f aca="false">BP213+BV214</f>
        <v>213</v>
      </c>
      <c r="BQ214" s="227" t="s">
        <v>1139</v>
      </c>
      <c r="BR214" s="224" t="s">
        <v>285</v>
      </c>
      <c r="BS214" s="161" t="s">
        <v>421</v>
      </c>
      <c r="BT214" s="230" t="s">
        <v>287</v>
      </c>
      <c r="BU214" s="230"/>
      <c r="BV214" s="161" t="n">
        <v>1</v>
      </c>
      <c r="BW214" s="224" t="s">
        <v>1140</v>
      </c>
      <c r="BX214" s="0"/>
    </row>
    <row r="215" customFormat="false" ht="12.75" hidden="false" customHeight="false" outlineLevel="0" collapsed="false">
      <c r="A215" s="244"/>
      <c r="B215" s="245" t="e">
        <f aca="false">NextMonth(B214)</f>
        <v>#VALUE!</v>
      </c>
      <c r="C215" s="246" t="n">
        <v>0.0634193258464886</v>
      </c>
      <c r="D215" s="246" t="n">
        <v>1.15</v>
      </c>
      <c r="E215" s="246" t="n">
        <v>1.15</v>
      </c>
      <c r="F215" s="246" t="n">
        <v>0.1625</v>
      </c>
      <c r="G215" s="246" t="n">
        <v>0.17</v>
      </c>
      <c r="H215" s="246" t="n">
        <v>0.1775</v>
      </c>
      <c r="I215" s="247" t="n">
        <v>4.844</v>
      </c>
      <c r="J215" s="248" t="n">
        <v>4.849</v>
      </c>
      <c r="K215" s="248" t="n">
        <v>4.854</v>
      </c>
      <c r="L215" s="248" t="n">
        <v>0.645</v>
      </c>
      <c r="M215" s="248" t="n">
        <v>0.645</v>
      </c>
      <c r="N215" s="249" t="n">
        <v>0.05</v>
      </c>
      <c r="O215" s="249" t="n">
        <v>0.05</v>
      </c>
      <c r="P215" s="250"/>
      <c r="Q215" s="250"/>
      <c r="R215" s="251" t="e">
        <f aca="false">B215</f>
        <v>#VALUE!</v>
      </c>
      <c r="S215" s="252" t="n">
        <f aca="false">T215-$S$16</f>
        <v>1.08</v>
      </c>
      <c r="T215" s="243" t="n">
        <f aca="false">D215</f>
        <v>1.15</v>
      </c>
      <c r="U215" s="253" t="n">
        <f aca="false">$U$16+T215</f>
        <v>1.22</v>
      </c>
      <c r="BP215" s="226" t="n">
        <f aca="false">BP214+BV215</f>
        <v>214</v>
      </c>
      <c r="BQ215" s="227" t="s">
        <v>1141</v>
      </c>
      <c r="BR215" s="224" t="s">
        <v>285</v>
      </c>
      <c r="BS215" s="161" t="s">
        <v>421</v>
      </c>
      <c r="BT215" s="230" t="s">
        <v>287</v>
      </c>
      <c r="BU215" s="230"/>
      <c r="BV215" s="161" t="n">
        <v>1</v>
      </c>
      <c r="BW215" s="224" t="s">
        <v>1142</v>
      </c>
      <c r="BX215" s="0"/>
    </row>
    <row r="216" customFormat="false" ht="12.75" hidden="false" customHeight="false" outlineLevel="0" collapsed="false">
      <c r="A216" s="244"/>
      <c r="B216" s="245" t="e">
        <f aca="false">NextMonth(B215)</f>
        <v>#VALUE!</v>
      </c>
      <c r="C216" s="246" t="n">
        <v>0.0634524096028719</v>
      </c>
      <c r="D216" s="246" t="n">
        <v>0.9</v>
      </c>
      <c r="E216" s="246" t="n">
        <v>0.9</v>
      </c>
      <c r="F216" s="246" t="n">
        <v>0.1625</v>
      </c>
      <c r="G216" s="246" t="n">
        <v>0.17</v>
      </c>
      <c r="H216" s="246" t="n">
        <v>0.1775</v>
      </c>
      <c r="I216" s="247" t="n">
        <v>4.711</v>
      </c>
      <c r="J216" s="248" t="n">
        <v>4.716</v>
      </c>
      <c r="K216" s="248" t="n">
        <v>4.721</v>
      </c>
      <c r="L216" s="248" t="n">
        <v>0.98</v>
      </c>
      <c r="M216" s="248" t="n">
        <v>0.98</v>
      </c>
      <c r="N216" s="249" t="n">
        <v>0.05</v>
      </c>
      <c r="O216" s="249" t="n">
        <v>0.05</v>
      </c>
      <c r="P216" s="250"/>
      <c r="Q216" s="250"/>
      <c r="R216" s="251" t="e">
        <f aca="false">B216</f>
        <v>#VALUE!</v>
      </c>
      <c r="S216" s="252" t="n">
        <f aca="false">T216-$S$16</f>
        <v>0.83</v>
      </c>
      <c r="T216" s="243" t="n">
        <f aca="false">D216</f>
        <v>0.9</v>
      </c>
      <c r="U216" s="253" t="n">
        <f aca="false">$U$16+T216</f>
        <v>0.97</v>
      </c>
      <c r="BP216" s="226" t="n">
        <f aca="false">BP215+BV216</f>
        <v>215</v>
      </c>
      <c r="BQ216" s="227" t="s">
        <v>1143</v>
      </c>
      <c r="BR216" s="224" t="s">
        <v>285</v>
      </c>
      <c r="BS216" s="161" t="s">
        <v>421</v>
      </c>
      <c r="BT216" s="230" t="s">
        <v>287</v>
      </c>
      <c r="BU216" s="230"/>
      <c r="BV216" s="161" t="n">
        <v>1</v>
      </c>
      <c r="BW216" s="224" t="s">
        <v>1144</v>
      </c>
      <c r="BX216" s="0"/>
    </row>
    <row r="217" customFormat="false" ht="12.75" hidden="false" customHeight="false" outlineLevel="0" collapsed="false">
      <c r="A217" s="244"/>
      <c r="B217" s="245" t="e">
        <f aca="false">NextMonth(B216)</f>
        <v>#VALUE!</v>
      </c>
      <c r="C217" s="246" t="n">
        <v>0.0634890380478628</v>
      </c>
      <c r="D217" s="246" t="n">
        <v>0.55</v>
      </c>
      <c r="E217" s="246" t="n">
        <v>0.55</v>
      </c>
      <c r="F217" s="246" t="n">
        <v>0.1625</v>
      </c>
      <c r="G217" s="246" t="n">
        <v>0.17</v>
      </c>
      <c r="H217" s="246" t="n">
        <v>0.1775</v>
      </c>
      <c r="I217" s="247" t="n">
        <v>4.491</v>
      </c>
      <c r="J217" s="248" t="n">
        <v>4.496</v>
      </c>
      <c r="K217" s="248" t="n">
        <v>4.501</v>
      </c>
      <c r="L217" s="248" t="n">
        <v>1.205</v>
      </c>
      <c r="M217" s="248" t="n">
        <v>1.205</v>
      </c>
      <c r="N217" s="249" t="n">
        <v>0.05</v>
      </c>
      <c r="O217" s="249" t="n">
        <v>0.05</v>
      </c>
      <c r="P217" s="250"/>
      <c r="Q217" s="250"/>
      <c r="R217" s="251" t="e">
        <f aca="false">B217</f>
        <v>#VALUE!</v>
      </c>
      <c r="S217" s="252" t="n">
        <f aca="false">T217-$S$16</f>
        <v>0.48</v>
      </c>
      <c r="T217" s="243" t="n">
        <f aca="false">D217</f>
        <v>0.55</v>
      </c>
      <c r="U217" s="253" t="n">
        <f aca="false">$U$16+T217</f>
        <v>0.62</v>
      </c>
      <c r="BP217" s="226" t="n">
        <f aca="false">BP216+BV217</f>
        <v>216</v>
      </c>
      <c r="BQ217" s="227" t="s">
        <v>1145</v>
      </c>
      <c r="BR217" s="224" t="s">
        <v>285</v>
      </c>
      <c r="BS217" s="161" t="s">
        <v>421</v>
      </c>
      <c r="BT217" s="230" t="s">
        <v>287</v>
      </c>
      <c r="BU217" s="230"/>
      <c r="BV217" s="161" t="n">
        <v>1</v>
      </c>
      <c r="BW217" s="224" t="s">
        <v>1146</v>
      </c>
      <c r="BX217" s="0"/>
    </row>
    <row r="218" customFormat="false" ht="12.75" hidden="false" customHeight="false" outlineLevel="0" collapsed="false">
      <c r="A218" s="244"/>
      <c r="B218" s="245" t="e">
        <f aca="false">NextMonth(B217)</f>
        <v>#VALUE!</v>
      </c>
      <c r="C218" s="246" t="n">
        <v>0.0635244849305363</v>
      </c>
      <c r="D218" s="246" t="n">
        <v>0.6</v>
      </c>
      <c r="E218" s="246" t="n">
        <v>0.6</v>
      </c>
      <c r="F218" s="246" t="n">
        <v>0.1625</v>
      </c>
      <c r="G218" s="246" t="n">
        <v>0.17</v>
      </c>
      <c r="H218" s="246" t="n">
        <v>0.1775</v>
      </c>
      <c r="I218" s="247" t="n">
        <v>4.481</v>
      </c>
      <c r="J218" s="248" t="n">
        <v>4.486</v>
      </c>
      <c r="K218" s="248" t="n">
        <v>4.491</v>
      </c>
      <c r="L218" s="248" t="n">
        <v>1.205</v>
      </c>
      <c r="M218" s="248" t="n">
        <v>1.205</v>
      </c>
      <c r="N218" s="249" t="n">
        <v>0.05</v>
      </c>
      <c r="O218" s="249" t="n">
        <v>0.05</v>
      </c>
      <c r="P218" s="250"/>
      <c r="Q218" s="250"/>
      <c r="R218" s="251" t="e">
        <f aca="false">B218</f>
        <v>#VALUE!</v>
      </c>
      <c r="S218" s="252" t="n">
        <f aca="false">T218-$S$16</f>
        <v>0.53</v>
      </c>
      <c r="T218" s="243" t="n">
        <f aca="false">D218</f>
        <v>0.6</v>
      </c>
      <c r="U218" s="253" t="n">
        <f aca="false">$U$16+T218</f>
        <v>0.67</v>
      </c>
      <c r="BP218" s="226" t="n">
        <f aca="false">BP217+BV218</f>
        <v>217</v>
      </c>
      <c r="BQ218" s="227" t="s">
        <v>1147</v>
      </c>
      <c r="BR218" s="224" t="s">
        <v>285</v>
      </c>
      <c r="BS218" s="161" t="s">
        <v>421</v>
      </c>
      <c r="BT218" s="230" t="s">
        <v>287</v>
      </c>
      <c r="BU218" s="230"/>
      <c r="BV218" s="161" t="n">
        <v>1</v>
      </c>
      <c r="BW218" s="224" t="s">
        <v>1148</v>
      </c>
      <c r="BX218" s="0"/>
    </row>
    <row r="219" customFormat="false" ht="12.75" hidden="false" customHeight="false" outlineLevel="0" collapsed="false">
      <c r="A219" s="244"/>
      <c r="B219" s="245" t="e">
        <f aca="false">NextMonth(B218)</f>
        <v>#VALUE!</v>
      </c>
      <c r="C219" s="246" t="n">
        <v>0.0635611133764029</v>
      </c>
      <c r="D219" s="246" t="n">
        <v>0.6</v>
      </c>
      <c r="E219" s="246" t="n">
        <v>0.6</v>
      </c>
      <c r="F219" s="246" t="n">
        <v>0.1625</v>
      </c>
      <c r="G219" s="246" t="n">
        <v>0.17</v>
      </c>
      <c r="H219" s="246" t="n">
        <v>0.1775</v>
      </c>
      <c r="I219" s="247" t="n">
        <v>4.517</v>
      </c>
      <c r="J219" s="248" t="n">
        <v>4.522</v>
      </c>
      <c r="K219" s="248" t="n">
        <v>4.527</v>
      </c>
      <c r="L219" s="248" t="n">
        <v>0.815</v>
      </c>
      <c r="M219" s="248" t="n">
        <v>0.815</v>
      </c>
      <c r="N219" s="249" t="n">
        <v>0.05</v>
      </c>
      <c r="O219" s="249" t="n">
        <v>0.05</v>
      </c>
      <c r="P219" s="250"/>
      <c r="Q219" s="250"/>
      <c r="R219" s="251" t="e">
        <f aca="false">B219</f>
        <v>#VALUE!</v>
      </c>
      <c r="S219" s="252" t="n">
        <f aca="false">T219-$S$16</f>
        <v>0.53</v>
      </c>
      <c r="T219" s="243" t="n">
        <f aca="false">D219</f>
        <v>0.6</v>
      </c>
      <c r="U219" s="253" t="n">
        <f aca="false">$U$16+T219</f>
        <v>0.67</v>
      </c>
      <c r="BP219" s="226" t="n">
        <f aca="false">BP218+BV219</f>
        <v>218</v>
      </c>
      <c r="BQ219" s="227" t="s">
        <v>1149</v>
      </c>
      <c r="BR219" s="224" t="s">
        <v>285</v>
      </c>
      <c r="BS219" s="161" t="s">
        <v>421</v>
      </c>
      <c r="BT219" s="230" t="s">
        <v>287</v>
      </c>
      <c r="BU219" s="230"/>
      <c r="BV219" s="161" t="n">
        <v>1</v>
      </c>
      <c r="BW219" s="224" t="s">
        <v>1150</v>
      </c>
      <c r="BX219" s="0"/>
    </row>
    <row r="220" customFormat="false" ht="12.75" hidden="false" customHeight="false" outlineLevel="0" collapsed="false">
      <c r="A220" s="244"/>
      <c r="B220" s="245" t="e">
        <f aca="false">NextMonth(B219)</f>
        <v>#VALUE!</v>
      </c>
      <c r="C220" s="246" t="n">
        <v>0.0635965602599229</v>
      </c>
      <c r="D220" s="246" t="n">
        <v>0.65</v>
      </c>
      <c r="E220" s="246" t="n">
        <v>0.65</v>
      </c>
      <c r="F220" s="246" t="n">
        <v>0.1625</v>
      </c>
      <c r="G220" s="246" t="n">
        <v>0.17</v>
      </c>
      <c r="H220" s="246" t="n">
        <v>0.1775</v>
      </c>
      <c r="I220" s="247" t="n">
        <v>4.567</v>
      </c>
      <c r="J220" s="248" t="n">
        <v>4.572</v>
      </c>
      <c r="K220" s="248" t="n">
        <v>4.577</v>
      </c>
      <c r="L220" s="248" t="n">
        <v>0.435</v>
      </c>
      <c r="M220" s="248" t="n">
        <v>0.435</v>
      </c>
      <c r="N220" s="249" t="n">
        <v>0.02</v>
      </c>
      <c r="O220" s="249" t="n">
        <v>0.02</v>
      </c>
      <c r="P220" s="250"/>
      <c r="Q220" s="250"/>
      <c r="R220" s="251" t="e">
        <f aca="false">B220</f>
        <v>#VALUE!</v>
      </c>
      <c r="S220" s="252" t="n">
        <f aca="false">T220-$S$16</f>
        <v>0.58</v>
      </c>
      <c r="T220" s="243" t="n">
        <f aca="false">D220</f>
        <v>0.65</v>
      </c>
      <c r="U220" s="253" t="n">
        <f aca="false">$U$16+T220</f>
        <v>0.72</v>
      </c>
      <c r="BP220" s="226" t="n">
        <f aca="false">BP219+BV220</f>
        <v>219</v>
      </c>
      <c r="BQ220" s="227" t="s">
        <v>1151</v>
      </c>
      <c r="BR220" s="224" t="s">
        <v>285</v>
      </c>
      <c r="BS220" s="161" t="s">
        <v>421</v>
      </c>
      <c r="BT220" s="230" t="s">
        <v>287</v>
      </c>
      <c r="BU220" s="230"/>
      <c r="BV220" s="161" t="n">
        <v>1</v>
      </c>
      <c r="BW220" s="224" t="s">
        <v>1152</v>
      </c>
      <c r="BX220" s="0"/>
    </row>
    <row r="221" customFormat="false" ht="12.75" hidden="false" customHeight="false" outlineLevel="0" collapsed="false">
      <c r="A221" s="244"/>
      <c r="B221" s="245" t="e">
        <f aca="false">NextMonth(B220)</f>
        <v>#VALUE!</v>
      </c>
      <c r="C221" s="246" t="n">
        <v>0.0636331887066652</v>
      </c>
      <c r="D221" s="246" t="n">
        <v>0.7</v>
      </c>
      <c r="E221" s="246" t="n">
        <v>0.7</v>
      </c>
      <c r="F221" s="246" t="n">
        <v>0.1625</v>
      </c>
      <c r="G221" s="246" t="n">
        <v>0.17</v>
      </c>
      <c r="H221" s="246" t="n">
        <v>0.1775</v>
      </c>
      <c r="I221" s="247" t="n">
        <v>4.59</v>
      </c>
      <c r="J221" s="248" t="n">
        <v>4.595</v>
      </c>
      <c r="K221" s="248" t="n">
        <v>4.6</v>
      </c>
      <c r="L221" s="248" t="n">
        <v>0.385</v>
      </c>
      <c r="M221" s="248" t="n">
        <v>0.385</v>
      </c>
      <c r="N221" s="249" t="n">
        <v>0.02</v>
      </c>
      <c r="O221" s="249" t="n">
        <v>0.02</v>
      </c>
      <c r="P221" s="250"/>
      <c r="Q221" s="250"/>
      <c r="R221" s="251" t="e">
        <f aca="false">B221</f>
        <v>#VALUE!</v>
      </c>
      <c r="S221" s="252" t="n">
        <f aca="false">T221-$S$16</f>
        <v>0.63</v>
      </c>
      <c r="T221" s="243" t="n">
        <f aca="false">D221</f>
        <v>0.7</v>
      </c>
      <c r="U221" s="253" t="n">
        <f aca="false">$U$16+T221</f>
        <v>0.77</v>
      </c>
      <c r="BP221" s="226" t="n">
        <f aca="false">BP220+BV221</f>
        <v>220</v>
      </c>
      <c r="BQ221" s="227" t="s">
        <v>1153</v>
      </c>
      <c r="BR221" s="224" t="s">
        <v>285</v>
      </c>
      <c r="BS221" s="161" t="s">
        <v>421</v>
      </c>
      <c r="BT221" s="230" t="s">
        <v>287</v>
      </c>
      <c r="BU221" s="230"/>
      <c r="BV221" s="161" t="n">
        <v>1</v>
      </c>
      <c r="BW221" s="224" t="s">
        <v>1154</v>
      </c>
      <c r="BX221" s="0"/>
    </row>
    <row r="222" customFormat="false" ht="12.75" hidden="false" customHeight="false" outlineLevel="0" collapsed="false">
      <c r="A222" s="244"/>
      <c r="B222" s="245" t="e">
        <f aca="false">NextMonth(B221)</f>
        <v>#VALUE!</v>
      </c>
      <c r="C222" s="246" t="n">
        <v>0.0636698171538526</v>
      </c>
      <c r="D222" s="246" t="n">
        <v>0.7</v>
      </c>
      <c r="E222" s="246" t="n">
        <v>0.7</v>
      </c>
      <c r="F222" s="246" t="n">
        <v>0.1625</v>
      </c>
      <c r="G222" s="246" t="n">
        <v>0.17</v>
      </c>
      <c r="H222" s="246" t="n">
        <v>0.1775</v>
      </c>
      <c r="I222" s="247" t="n">
        <v>4.605</v>
      </c>
      <c r="J222" s="248" t="n">
        <v>4.61</v>
      </c>
      <c r="K222" s="248" t="n">
        <v>4.615</v>
      </c>
      <c r="L222" s="248" t="n">
        <v>0.385</v>
      </c>
      <c r="M222" s="248" t="n">
        <v>0.385</v>
      </c>
      <c r="N222" s="249" t="n">
        <v>0.02</v>
      </c>
      <c r="O222" s="249" t="n">
        <v>0.02</v>
      </c>
      <c r="P222" s="250"/>
      <c r="Q222" s="250"/>
      <c r="R222" s="251" t="e">
        <f aca="false">B222</f>
        <v>#VALUE!</v>
      </c>
      <c r="S222" s="252" t="n">
        <f aca="false">T222-$S$16</f>
        <v>0.63</v>
      </c>
      <c r="T222" s="243" t="n">
        <f aca="false">D222</f>
        <v>0.7</v>
      </c>
      <c r="U222" s="253" t="n">
        <f aca="false">$U$16+T222</f>
        <v>0.77</v>
      </c>
      <c r="BP222" s="226" t="n">
        <f aca="false">BP221+BV222</f>
        <v>221</v>
      </c>
      <c r="BQ222" s="227" t="s">
        <v>1155</v>
      </c>
      <c r="BR222" s="224" t="s">
        <v>285</v>
      </c>
      <c r="BS222" s="161" t="s">
        <v>421</v>
      </c>
      <c r="BT222" s="230" t="s">
        <v>287</v>
      </c>
      <c r="BU222" s="230"/>
      <c r="BV222" s="161" t="n">
        <v>1</v>
      </c>
      <c r="BW222" s="224" t="s">
        <v>1156</v>
      </c>
      <c r="BX222" s="0"/>
    </row>
    <row r="223" customFormat="false" ht="12.75" hidden="false" customHeight="false" outlineLevel="0" collapsed="false">
      <c r="A223" s="244"/>
      <c r="B223" s="245" t="e">
        <f aca="false">NextMonth(B222)</f>
        <v>#VALUE!</v>
      </c>
      <c r="C223" s="246" t="n">
        <v>0.0637052640386511</v>
      </c>
      <c r="D223" s="246" t="n">
        <v>0.75</v>
      </c>
      <c r="E223" s="246" t="n">
        <v>0.75</v>
      </c>
      <c r="F223" s="246" t="n">
        <v>0.1625</v>
      </c>
      <c r="G223" s="246" t="n">
        <v>0.17</v>
      </c>
      <c r="H223" s="246" t="n">
        <v>0.1775</v>
      </c>
      <c r="I223" s="247" t="n">
        <v>4.634</v>
      </c>
      <c r="J223" s="248" t="n">
        <v>4.639</v>
      </c>
      <c r="K223" s="248" t="n">
        <v>4.644</v>
      </c>
      <c r="L223" s="248" t="n">
        <v>0.3975</v>
      </c>
      <c r="M223" s="248" t="n">
        <v>0.3975</v>
      </c>
      <c r="N223" s="249" t="n">
        <v>0.02</v>
      </c>
      <c r="O223" s="249" t="n">
        <v>0.02</v>
      </c>
      <c r="P223" s="250"/>
      <c r="Q223" s="250"/>
      <c r="R223" s="251" t="e">
        <f aca="false">B223</f>
        <v>#VALUE!</v>
      </c>
      <c r="S223" s="252" t="n">
        <f aca="false">T223-$S$16</f>
        <v>0.68</v>
      </c>
      <c r="T223" s="243" t="n">
        <f aca="false">D223</f>
        <v>0.75</v>
      </c>
      <c r="U223" s="253" t="n">
        <f aca="false">$U$16+T223</f>
        <v>0.82</v>
      </c>
      <c r="BP223" s="226" t="n">
        <f aca="false">BP222+BV223</f>
        <v>222</v>
      </c>
      <c r="BQ223" s="227" t="s">
        <v>1157</v>
      </c>
      <c r="BR223" s="224" t="s">
        <v>285</v>
      </c>
      <c r="BS223" s="161" t="s">
        <v>421</v>
      </c>
      <c r="BT223" s="230" t="s">
        <v>287</v>
      </c>
      <c r="BU223" s="230"/>
      <c r="BV223" s="161" t="n">
        <v>1</v>
      </c>
      <c r="BW223" s="224" t="s">
        <v>1158</v>
      </c>
      <c r="BX223" s="0"/>
    </row>
    <row r="224" customFormat="false" ht="12.75" hidden="false" customHeight="false" outlineLevel="0" collapsed="false">
      <c r="A224" s="244"/>
      <c r="B224" s="245" t="e">
        <f aca="false">NextMonth(B223)</f>
        <v>#VALUE!</v>
      </c>
      <c r="C224" s="246" t="n">
        <v>0.0637418924867141</v>
      </c>
      <c r="D224" s="246" t="n">
        <v>0.95</v>
      </c>
      <c r="E224" s="246" t="n">
        <v>0.95</v>
      </c>
      <c r="F224" s="246" t="n">
        <v>0.1625</v>
      </c>
      <c r="G224" s="246" t="n">
        <v>0.17</v>
      </c>
      <c r="H224" s="246" t="n">
        <v>0.1775</v>
      </c>
      <c r="I224" s="247" t="n">
        <v>4.774</v>
      </c>
      <c r="J224" s="248" t="n">
        <v>4.779</v>
      </c>
      <c r="K224" s="248" t="n">
        <v>4.784</v>
      </c>
      <c r="L224" s="248" t="n">
        <v>0.4</v>
      </c>
      <c r="M224" s="248" t="n">
        <v>0.4</v>
      </c>
      <c r="N224" s="249" t="n">
        <v>0.02</v>
      </c>
      <c r="O224" s="249" t="n">
        <v>0.02</v>
      </c>
      <c r="P224" s="250"/>
      <c r="Q224" s="250"/>
      <c r="R224" s="251" t="e">
        <f aca="false">B224</f>
        <v>#VALUE!</v>
      </c>
      <c r="S224" s="252" t="n">
        <f aca="false">T224-$S$16</f>
        <v>0.88</v>
      </c>
      <c r="T224" s="243" t="n">
        <f aca="false">D224</f>
        <v>0.95</v>
      </c>
      <c r="U224" s="253" t="n">
        <f aca="false">$U$16+T224</f>
        <v>1.02</v>
      </c>
      <c r="BP224" s="226" t="n">
        <f aca="false">BP223+BV224</f>
        <v>223</v>
      </c>
      <c r="BQ224" s="227" t="s">
        <v>1159</v>
      </c>
      <c r="BR224" s="224" t="s">
        <v>285</v>
      </c>
      <c r="BS224" s="161" t="s">
        <v>421</v>
      </c>
      <c r="BT224" s="230" t="s">
        <v>287</v>
      </c>
      <c r="BU224" s="230"/>
      <c r="BV224" s="161" t="n">
        <v>1</v>
      </c>
      <c r="BW224" s="224" t="s">
        <v>1160</v>
      </c>
      <c r="BX224" s="0"/>
    </row>
    <row r="225" customFormat="false" ht="12.75" hidden="false" customHeight="false" outlineLevel="0" collapsed="false">
      <c r="A225" s="244"/>
      <c r="B225" s="245" t="e">
        <f aca="false">NextMonth(B224)</f>
        <v>#VALUE!</v>
      </c>
      <c r="C225" s="246" t="n">
        <v>0.0637773393723595</v>
      </c>
      <c r="D225" s="246" t="n">
        <v>1.15</v>
      </c>
      <c r="E225" s="246" t="n">
        <v>1.15</v>
      </c>
      <c r="F225" s="246" t="n">
        <v>0.1625</v>
      </c>
      <c r="G225" s="246" t="n">
        <v>0.17</v>
      </c>
      <c r="H225" s="246" t="n">
        <v>0.1775</v>
      </c>
      <c r="I225" s="247" t="n">
        <v>4.923</v>
      </c>
      <c r="J225" s="248" t="n">
        <v>4.928</v>
      </c>
      <c r="K225" s="248" t="n">
        <v>4.933</v>
      </c>
      <c r="L225" s="248" t="n">
        <v>0.3975</v>
      </c>
      <c r="M225" s="248" t="n">
        <v>0.3975</v>
      </c>
      <c r="N225" s="249" t="n">
        <v>0.02</v>
      </c>
      <c r="O225" s="249" t="n">
        <v>0.02</v>
      </c>
      <c r="P225" s="250"/>
      <c r="Q225" s="250"/>
      <c r="R225" s="251" t="e">
        <f aca="false">B225</f>
        <v>#VALUE!</v>
      </c>
      <c r="S225" s="252" t="n">
        <f aca="false">T225-$S$16</f>
        <v>1.08</v>
      </c>
      <c r="T225" s="243" t="n">
        <f aca="false">D225</f>
        <v>1.15</v>
      </c>
      <c r="U225" s="253" t="n">
        <f aca="false">$U$16+T225</f>
        <v>1.22</v>
      </c>
      <c r="BP225" s="226" t="n">
        <f aca="false">BP224+BV225</f>
        <v>224</v>
      </c>
      <c r="BQ225" s="227" t="s">
        <v>1161</v>
      </c>
      <c r="BR225" s="224" t="s">
        <v>285</v>
      </c>
      <c r="BS225" s="161" t="s">
        <v>421</v>
      </c>
      <c r="BT225" s="230" t="s">
        <v>287</v>
      </c>
      <c r="BU225" s="230"/>
      <c r="BV225" s="161" t="n">
        <v>1</v>
      </c>
      <c r="BW225" s="224" t="s">
        <v>1162</v>
      </c>
      <c r="BX225" s="0"/>
    </row>
    <row r="226" customFormat="false" ht="12.75" hidden="false" customHeight="false" outlineLevel="0" collapsed="false">
      <c r="A226" s="244"/>
      <c r="B226" s="245" t="e">
        <f aca="false">NextMonth(B225)</f>
        <v>#VALUE!</v>
      </c>
      <c r="C226" s="246" t="n">
        <v>0.0638139678212979</v>
      </c>
      <c r="D226" s="246" t="n">
        <v>1.15</v>
      </c>
      <c r="E226" s="246" t="n">
        <v>1.15</v>
      </c>
      <c r="F226" s="246" t="n">
        <v>0.1625</v>
      </c>
      <c r="G226" s="246" t="n">
        <v>0.17</v>
      </c>
      <c r="H226" s="246" t="n">
        <v>0.1775</v>
      </c>
      <c r="I226" s="247" t="n">
        <v>5.042</v>
      </c>
      <c r="J226" s="248" t="n">
        <v>5.047</v>
      </c>
      <c r="K226" s="248" t="n">
        <v>5.052</v>
      </c>
      <c r="L226" s="248" t="n">
        <v>0.4</v>
      </c>
      <c r="M226" s="248" t="n">
        <v>0.4</v>
      </c>
      <c r="N226" s="249" t="n">
        <v>0.02</v>
      </c>
      <c r="O226" s="249" t="n">
        <v>0.02</v>
      </c>
      <c r="P226" s="250"/>
      <c r="Q226" s="250"/>
      <c r="R226" s="251" t="e">
        <f aca="false">B226</f>
        <v>#VALUE!</v>
      </c>
      <c r="S226" s="252" t="n">
        <f aca="false">T226-$S$16</f>
        <v>1.08</v>
      </c>
      <c r="T226" s="243" t="n">
        <f aca="false">D226</f>
        <v>1.15</v>
      </c>
      <c r="U226" s="253" t="n">
        <f aca="false">$U$16+T226</f>
        <v>1.22</v>
      </c>
      <c r="BP226" s="226" t="n">
        <f aca="false">BP225+BV226</f>
        <v>225</v>
      </c>
      <c r="BQ226" s="227" t="s">
        <v>1163</v>
      </c>
      <c r="BR226" s="224" t="s">
        <v>285</v>
      </c>
      <c r="BS226" s="161" t="s">
        <v>421</v>
      </c>
      <c r="BT226" s="230" t="s">
        <v>287</v>
      </c>
      <c r="BU226" s="230"/>
      <c r="BV226" s="161" t="n">
        <v>1</v>
      </c>
      <c r="BW226" s="224" t="s">
        <v>1164</v>
      </c>
      <c r="BX226" s="0"/>
    </row>
    <row r="227" customFormat="false" ht="12.75" hidden="false" customHeight="false" outlineLevel="0" collapsed="false">
      <c r="A227" s="244"/>
      <c r="B227" s="245" t="e">
        <f aca="false">NextMonth(B226)</f>
        <v>#VALUE!</v>
      </c>
      <c r="C227" s="246" t="n">
        <v>0.0638505962706817</v>
      </c>
      <c r="D227" s="246" t="n">
        <v>1.15</v>
      </c>
      <c r="E227" s="246" t="n">
        <v>1.15</v>
      </c>
      <c r="F227" s="246" t="n">
        <v>0.1625</v>
      </c>
      <c r="G227" s="246" t="n">
        <v>0.17</v>
      </c>
      <c r="H227" s="246" t="n">
        <v>0.1775</v>
      </c>
      <c r="I227" s="247" t="n">
        <v>4.929</v>
      </c>
      <c r="J227" s="248" t="n">
        <v>4.934</v>
      </c>
      <c r="K227" s="248" t="n">
        <v>4.939</v>
      </c>
      <c r="L227" s="248" t="n">
        <v>0.645</v>
      </c>
      <c r="M227" s="248" t="n">
        <v>0.645</v>
      </c>
      <c r="N227" s="249" t="n">
        <v>0.05</v>
      </c>
      <c r="O227" s="249" t="n">
        <v>0.05</v>
      </c>
      <c r="P227" s="250"/>
      <c r="Q227" s="250"/>
      <c r="R227" s="251" t="e">
        <f aca="false">B227</f>
        <v>#VALUE!</v>
      </c>
      <c r="S227" s="252" t="n">
        <f aca="false">T227-$S$16</f>
        <v>1.08</v>
      </c>
      <c r="T227" s="243" t="n">
        <f aca="false">D227</f>
        <v>1.15</v>
      </c>
      <c r="U227" s="253" t="n">
        <f aca="false">$U$16+T227</f>
        <v>1.22</v>
      </c>
      <c r="BP227" s="226" t="n">
        <f aca="false">BP226+BV227</f>
        <v>226</v>
      </c>
      <c r="BQ227" s="227" t="s">
        <v>1165</v>
      </c>
      <c r="BR227" s="224" t="s">
        <v>285</v>
      </c>
      <c r="BS227" s="161" t="s">
        <v>421</v>
      </c>
      <c r="BT227" s="230" t="s">
        <v>287</v>
      </c>
      <c r="BU227" s="230"/>
      <c r="BV227" s="161" t="n">
        <v>1</v>
      </c>
      <c r="BW227" s="224" t="s">
        <v>1166</v>
      </c>
      <c r="BX227" s="0"/>
    </row>
    <row r="228" customFormat="false" ht="12.75" hidden="false" customHeight="false" outlineLevel="0" collapsed="false">
      <c r="A228" s="244"/>
      <c r="B228" s="245" t="e">
        <f aca="false">NextMonth(B227)</f>
        <v>#VALUE!</v>
      </c>
      <c r="C228" s="246" t="n">
        <v>0.0638836800317972</v>
      </c>
      <c r="D228" s="246" t="n">
        <v>0.9</v>
      </c>
      <c r="E228" s="246" t="n">
        <v>0.9</v>
      </c>
      <c r="F228" s="246" t="n">
        <v>0.1625</v>
      </c>
      <c r="G228" s="246" t="n">
        <v>0.17</v>
      </c>
      <c r="H228" s="246" t="n">
        <v>0.1775</v>
      </c>
      <c r="I228" s="247" t="n">
        <v>4.796</v>
      </c>
      <c r="J228" s="248" t="n">
        <v>4.801</v>
      </c>
      <c r="K228" s="248" t="n">
        <v>4.806</v>
      </c>
      <c r="L228" s="248" t="n">
        <v>0.98</v>
      </c>
      <c r="M228" s="248" t="n">
        <v>0.98</v>
      </c>
      <c r="N228" s="249" t="n">
        <v>0.05</v>
      </c>
      <c r="O228" s="249" t="n">
        <v>0.05</v>
      </c>
      <c r="P228" s="250"/>
      <c r="Q228" s="250"/>
      <c r="R228" s="251" t="e">
        <f aca="false">B228</f>
        <v>#VALUE!</v>
      </c>
      <c r="S228" s="252" t="n">
        <f aca="false">T228-$S$16</f>
        <v>0.83</v>
      </c>
      <c r="T228" s="243" t="n">
        <f aca="false">D228</f>
        <v>0.9</v>
      </c>
      <c r="U228" s="253" t="n">
        <f aca="false">$U$16+T228</f>
        <v>0.97</v>
      </c>
      <c r="BP228" s="226" t="n">
        <f aca="false">BP227+BV228</f>
        <v>227</v>
      </c>
      <c r="BQ228" s="227" t="s">
        <v>1167</v>
      </c>
      <c r="BR228" s="224" t="s">
        <v>285</v>
      </c>
      <c r="BS228" s="161" t="s">
        <v>421</v>
      </c>
      <c r="BT228" s="230" t="s">
        <v>287</v>
      </c>
      <c r="BU228" s="230"/>
      <c r="BV228" s="161" t="n">
        <v>1</v>
      </c>
      <c r="BW228" s="224" t="s">
        <v>1168</v>
      </c>
      <c r="BX228" s="0"/>
    </row>
    <row r="229" customFormat="false" ht="12.75" hidden="false" customHeight="false" outlineLevel="0" collapsed="false">
      <c r="A229" s="244"/>
      <c r="B229" s="245" t="e">
        <f aca="false">NextMonth(B228)</f>
        <v>#VALUE!</v>
      </c>
      <c r="C229" s="246" t="n">
        <v>0.0639203084820274</v>
      </c>
      <c r="D229" s="246" t="n">
        <v>0.55</v>
      </c>
      <c r="E229" s="246" t="n">
        <v>0.55</v>
      </c>
      <c r="F229" s="246" t="n">
        <v>0.1625</v>
      </c>
      <c r="G229" s="246" t="n">
        <v>0.17</v>
      </c>
      <c r="H229" s="246" t="n">
        <v>0.1775</v>
      </c>
      <c r="I229" s="247" t="n">
        <v>4.576</v>
      </c>
      <c r="J229" s="248" t="n">
        <v>4.581</v>
      </c>
      <c r="K229" s="248" t="n">
        <v>4.586</v>
      </c>
      <c r="L229" s="248" t="n">
        <v>1.205</v>
      </c>
      <c r="M229" s="248" t="n">
        <v>1.205</v>
      </c>
      <c r="N229" s="249" t="n">
        <v>0.05</v>
      </c>
      <c r="O229" s="249" t="n">
        <v>0.05</v>
      </c>
      <c r="P229" s="250"/>
      <c r="Q229" s="250"/>
      <c r="R229" s="251" t="e">
        <f aca="false">B229</f>
        <v>#VALUE!</v>
      </c>
      <c r="S229" s="252" t="n">
        <f aca="false">T229-$S$16</f>
        <v>0.48</v>
      </c>
      <c r="T229" s="243" t="n">
        <f aca="false">D229</f>
        <v>0.55</v>
      </c>
      <c r="U229" s="253" t="n">
        <f aca="false">$U$16+T229</f>
        <v>0.62</v>
      </c>
      <c r="BP229" s="226" t="n">
        <f aca="false">BP228+BV229</f>
        <v>228</v>
      </c>
      <c r="BQ229" s="227" t="s">
        <v>1169</v>
      </c>
      <c r="BR229" s="224" t="s">
        <v>285</v>
      </c>
      <c r="BS229" s="161" t="s">
        <v>421</v>
      </c>
      <c r="BT229" s="230" t="s">
        <v>287</v>
      </c>
      <c r="BU229" s="230"/>
      <c r="BV229" s="161" t="n">
        <v>1</v>
      </c>
      <c r="BW229" s="224" t="s">
        <v>1170</v>
      </c>
      <c r="BX229" s="0"/>
    </row>
    <row r="230" customFormat="false" ht="12.75" hidden="false" customHeight="false" outlineLevel="0" collapsed="false">
      <c r="A230" s="244"/>
      <c r="B230" s="245" t="e">
        <f aca="false">NextMonth(B229)</f>
        <v>#VALUE!</v>
      </c>
      <c r="C230" s="246" t="n">
        <v>0.0639557553697712</v>
      </c>
      <c r="D230" s="246" t="n">
        <v>0.6</v>
      </c>
      <c r="E230" s="246" t="n">
        <v>0.6</v>
      </c>
      <c r="F230" s="246" t="n">
        <v>0.1625</v>
      </c>
      <c r="G230" s="246" t="n">
        <v>0.17</v>
      </c>
      <c r="H230" s="246" t="n">
        <v>0.1775</v>
      </c>
      <c r="I230" s="247" t="n">
        <v>4.566</v>
      </c>
      <c r="J230" s="248" t="n">
        <v>4.571</v>
      </c>
      <c r="K230" s="248" t="n">
        <v>4.576</v>
      </c>
      <c r="L230" s="248" t="n">
        <v>1.205</v>
      </c>
      <c r="M230" s="248" t="n">
        <v>1.205</v>
      </c>
      <c r="N230" s="249" t="n">
        <v>0.05</v>
      </c>
      <c r="O230" s="249" t="n">
        <v>0.05</v>
      </c>
      <c r="P230" s="250"/>
      <c r="Q230" s="250"/>
      <c r="R230" s="251" t="e">
        <f aca="false">B230</f>
        <v>#VALUE!</v>
      </c>
      <c r="S230" s="252" t="n">
        <f aca="false">T230-$S$16</f>
        <v>0.53</v>
      </c>
      <c r="T230" s="243" t="n">
        <f aca="false">D230</f>
        <v>0.6</v>
      </c>
      <c r="U230" s="253" t="n">
        <f aca="false">$U$16+T230</f>
        <v>0.67</v>
      </c>
      <c r="BP230" s="226" t="n">
        <f aca="false">BP229+BV230</f>
        <v>229</v>
      </c>
      <c r="BQ230" s="227" t="s">
        <v>1171</v>
      </c>
      <c r="BR230" s="224" t="s">
        <v>285</v>
      </c>
      <c r="BS230" s="161" t="s">
        <v>421</v>
      </c>
      <c r="BT230" s="230" t="s">
        <v>287</v>
      </c>
      <c r="BU230" s="230"/>
      <c r="BV230" s="161" t="n">
        <v>1</v>
      </c>
      <c r="BW230" s="224" t="s">
        <v>1172</v>
      </c>
      <c r="BX230" s="0"/>
    </row>
    <row r="231" customFormat="false" ht="12.75" hidden="false" customHeight="false" outlineLevel="0" collapsed="false">
      <c r="A231" s="244"/>
      <c r="B231" s="245" t="e">
        <f aca="false">NextMonth(B230)</f>
        <v>#VALUE!</v>
      </c>
      <c r="C231" s="246" t="n">
        <v>0.0639923838208767</v>
      </c>
      <c r="D231" s="246" t="n">
        <v>0.6</v>
      </c>
      <c r="E231" s="246" t="n">
        <v>0.6</v>
      </c>
      <c r="F231" s="246" t="n">
        <v>0.1625</v>
      </c>
      <c r="G231" s="246" t="n">
        <v>0.17</v>
      </c>
      <c r="H231" s="246" t="n">
        <v>0.1775</v>
      </c>
      <c r="I231" s="247" t="n">
        <v>4.602</v>
      </c>
      <c r="J231" s="248" t="n">
        <v>4.607</v>
      </c>
      <c r="K231" s="248" t="n">
        <v>4.612</v>
      </c>
      <c r="L231" s="248" t="n">
        <v>0.815</v>
      </c>
      <c r="M231" s="248" t="n">
        <v>0.815</v>
      </c>
      <c r="N231" s="249" t="n">
        <v>0.05</v>
      </c>
      <c r="O231" s="249" t="n">
        <v>0.05</v>
      </c>
      <c r="P231" s="250"/>
      <c r="Q231" s="250"/>
      <c r="R231" s="251" t="e">
        <f aca="false">B231</f>
        <v>#VALUE!</v>
      </c>
      <c r="S231" s="252" t="n">
        <f aca="false">T231-$S$16</f>
        <v>0.53</v>
      </c>
      <c r="T231" s="243" t="n">
        <f aca="false">D231</f>
        <v>0.6</v>
      </c>
      <c r="U231" s="253" t="n">
        <f aca="false">$U$16+T231</f>
        <v>0.67</v>
      </c>
      <c r="BP231" s="226" t="n">
        <f aca="false">BP230+BV231</f>
        <v>230</v>
      </c>
      <c r="BQ231" s="227" t="s">
        <v>1173</v>
      </c>
      <c r="BR231" s="224" t="s">
        <v>285</v>
      </c>
      <c r="BS231" s="161" t="s">
        <v>421</v>
      </c>
      <c r="BT231" s="230" t="s">
        <v>287</v>
      </c>
      <c r="BU231" s="230"/>
      <c r="BV231" s="161" t="n">
        <v>1</v>
      </c>
      <c r="BW231" s="224" t="s">
        <v>1174</v>
      </c>
      <c r="BX231" s="0"/>
    </row>
    <row r="232" customFormat="false" ht="12.75" hidden="false" customHeight="false" outlineLevel="0" collapsed="false">
      <c r="A232" s="244"/>
      <c r="B232" s="245" t="e">
        <f aca="false">NextMonth(B231)</f>
        <v>#VALUE!</v>
      </c>
      <c r="C232" s="246" t="n">
        <v>0.0640278307094673</v>
      </c>
      <c r="D232" s="246" t="n">
        <v>0.65</v>
      </c>
      <c r="E232" s="246" t="n">
        <v>0.65</v>
      </c>
      <c r="F232" s="246" t="n">
        <v>0.1625</v>
      </c>
      <c r="G232" s="246" t="n">
        <v>0.17</v>
      </c>
      <c r="H232" s="246" t="n">
        <v>0.1775</v>
      </c>
      <c r="I232" s="247" t="n">
        <v>4.652</v>
      </c>
      <c r="J232" s="248" t="n">
        <v>4.657</v>
      </c>
      <c r="K232" s="248" t="n">
        <v>4.662</v>
      </c>
      <c r="L232" s="248" t="n">
        <v>0.435</v>
      </c>
      <c r="M232" s="248" t="n">
        <v>0.435</v>
      </c>
      <c r="N232" s="249" t="n">
        <v>0.02</v>
      </c>
      <c r="O232" s="249" t="n">
        <v>0.02</v>
      </c>
      <c r="P232" s="250"/>
      <c r="Q232" s="250"/>
      <c r="R232" s="251" t="e">
        <f aca="false">B232</f>
        <v>#VALUE!</v>
      </c>
      <c r="S232" s="252" t="n">
        <f aca="false">T232-$S$16</f>
        <v>0.58</v>
      </c>
      <c r="T232" s="243" t="n">
        <f aca="false">D232</f>
        <v>0.65</v>
      </c>
      <c r="U232" s="253" t="n">
        <f aca="false">$U$16+T232</f>
        <v>0.72</v>
      </c>
      <c r="BP232" s="226" t="n">
        <f aca="false">BP231+BV232</f>
        <v>231</v>
      </c>
      <c r="BQ232" s="227" t="s">
        <v>1175</v>
      </c>
      <c r="BR232" s="224" t="s">
        <v>285</v>
      </c>
      <c r="BS232" s="161" t="s">
        <v>421</v>
      </c>
      <c r="BT232" s="230" t="s">
        <v>287</v>
      </c>
      <c r="BU232" s="230"/>
      <c r="BV232" s="161" t="n">
        <v>1</v>
      </c>
      <c r="BW232" s="224" t="s">
        <v>1176</v>
      </c>
      <c r="BX232" s="0"/>
    </row>
    <row r="233" customFormat="false" ht="12.75" hidden="false" customHeight="false" outlineLevel="0" collapsed="false">
      <c r="A233" s="244"/>
      <c r="B233" s="245" t="e">
        <f aca="false">NextMonth(B232)</f>
        <v>#VALUE!</v>
      </c>
      <c r="C233" s="246" t="n">
        <v>0.0640644591614481</v>
      </c>
      <c r="D233" s="246" t="n">
        <v>0.7</v>
      </c>
      <c r="E233" s="246" t="n">
        <v>0.7</v>
      </c>
      <c r="F233" s="246" t="n">
        <v>0.1625</v>
      </c>
      <c r="G233" s="246" t="n">
        <v>0.17</v>
      </c>
      <c r="H233" s="246" t="n">
        <v>0.1775</v>
      </c>
      <c r="I233" s="247" t="n">
        <v>4.675</v>
      </c>
      <c r="J233" s="248" t="n">
        <v>4.68</v>
      </c>
      <c r="K233" s="248" t="n">
        <v>4.685</v>
      </c>
      <c r="L233" s="248" t="n">
        <v>0.385</v>
      </c>
      <c r="M233" s="248" t="n">
        <v>0.385</v>
      </c>
      <c r="N233" s="249" t="n">
        <v>0.02</v>
      </c>
      <c r="O233" s="249" t="n">
        <v>0.02</v>
      </c>
      <c r="P233" s="250"/>
      <c r="Q233" s="250"/>
      <c r="R233" s="251" t="e">
        <f aca="false">B233</f>
        <v>#VALUE!</v>
      </c>
      <c r="S233" s="252" t="n">
        <f aca="false">T233-$S$16</f>
        <v>0.63</v>
      </c>
      <c r="T233" s="243" t="n">
        <f aca="false">D233</f>
        <v>0.7</v>
      </c>
      <c r="U233" s="253" t="n">
        <f aca="false">$U$16+T233</f>
        <v>0.77</v>
      </c>
      <c r="BP233" s="226" t="n">
        <f aca="false">BP232+BV233</f>
        <v>232</v>
      </c>
      <c r="BQ233" s="227" t="s">
        <v>1177</v>
      </c>
      <c r="BR233" s="224" t="s">
        <v>285</v>
      </c>
      <c r="BS233" s="161" t="s">
        <v>421</v>
      </c>
      <c r="BT233" s="230" t="s">
        <v>287</v>
      </c>
      <c r="BU233" s="230"/>
      <c r="BV233" s="161" t="n">
        <v>1</v>
      </c>
      <c r="BW233" s="224" t="s">
        <v>1178</v>
      </c>
      <c r="BX233" s="0"/>
    </row>
    <row r="234" customFormat="false" ht="12.75" hidden="false" customHeight="false" outlineLevel="0" collapsed="false">
      <c r="A234" s="244"/>
      <c r="B234" s="245" t="e">
        <f aca="false">NextMonth(B233)</f>
        <v>#VALUE!</v>
      </c>
      <c r="C234" s="246" t="n">
        <v>0.0641010876138748</v>
      </c>
      <c r="D234" s="246" t="n">
        <v>0.7</v>
      </c>
      <c r="E234" s="246" t="n">
        <v>0.7</v>
      </c>
      <c r="F234" s="246" t="n">
        <v>0.1625</v>
      </c>
      <c r="G234" s="246" t="n">
        <v>0.17</v>
      </c>
      <c r="H234" s="246" t="n">
        <v>0.1775</v>
      </c>
      <c r="I234" s="247" t="n">
        <v>4.69</v>
      </c>
      <c r="J234" s="248" t="n">
        <v>4.695</v>
      </c>
      <c r="K234" s="248" t="n">
        <v>4.7</v>
      </c>
      <c r="L234" s="248" t="n">
        <v>0.385</v>
      </c>
      <c r="M234" s="248" t="n">
        <v>0.385</v>
      </c>
      <c r="N234" s="249" t="n">
        <v>0.02</v>
      </c>
      <c r="O234" s="249" t="n">
        <v>0.02</v>
      </c>
      <c r="P234" s="250"/>
      <c r="Q234" s="250"/>
      <c r="R234" s="251" t="e">
        <f aca="false">B234</f>
        <v>#VALUE!</v>
      </c>
      <c r="S234" s="252" t="n">
        <f aca="false">T234-$S$16</f>
        <v>0.63</v>
      </c>
      <c r="T234" s="243" t="n">
        <f aca="false">D234</f>
        <v>0.7</v>
      </c>
      <c r="U234" s="253" t="n">
        <f aca="false">$U$16+T234</f>
        <v>0.77</v>
      </c>
      <c r="BP234" s="226" t="n">
        <f aca="false">BP233+BV234</f>
        <v>233</v>
      </c>
      <c r="BQ234" s="227" t="s">
        <v>1179</v>
      </c>
      <c r="BR234" s="224" t="s">
        <v>285</v>
      </c>
      <c r="BS234" s="161" t="s">
        <v>421</v>
      </c>
      <c r="BT234" s="230" t="s">
        <v>287</v>
      </c>
      <c r="BU234" s="230"/>
      <c r="BV234" s="161" t="n">
        <v>1</v>
      </c>
      <c r="BW234" s="224" t="s">
        <v>1180</v>
      </c>
      <c r="BX234" s="0"/>
    </row>
    <row r="235" customFormat="false" ht="12.75" hidden="false" customHeight="false" outlineLevel="0" collapsed="false">
      <c r="A235" s="244"/>
      <c r="B235" s="245" t="e">
        <f aca="false">NextMonth(B234)</f>
        <v>#VALUE!</v>
      </c>
      <c r="C235" s="246" t="n">
        <v>0.064136534503743</v>
      </c>
      <c r="D235" s="246" t="n">
        <v>0.75</v>
      </c>
      <c r="E235" s="246" t="n">
        <v>0.75</v>
      </c>
      <c r="F235" s="246" t="n">
        <v>0.1625</v>
      </c>
      <c r="G235" s="246" t="n">
        <v>0.17</v>
      </c>
      <c r="H235" s="246" t="n">
        <v>0.1775</v>
      </c>
      <c r="I235" s="247" t="n">
        <v>4.719</v>
      </c>
      <c r="J235" s="248" t="n">
        <v>4.724</v>
      </c>
      <c r="K235" s="248" t="n">
        <v>4.729</v>
      </c>
      <c r="L235" s="248" t="n">
        <v>0.3975</v>
      </c>
      <c r="M235" s="248" t="n">
        <v>0.3975</v>
      </c>
      <c r="N235" s="249" t="n">
        <v>0.02</v>
      </c>
      <c r="O235" s="249" t="n">
        <v>0.02</v>
      </c>
      <c r="P235" s="250"/>
      <c r="Q235" s="250"/>
      <c r="R235" s="251" t="e">
        <f aca="false">B235</f>
        <v>#VALUE!</v>
      </c>
      <c r="S235" s="252" t="n">
        <f aca="false">T235-$S$16</f>
        <v>0.68</v>
      </c>
      <c r="T235" s="243" t="n">
        <f aca="false">D235</f>
        <v>0.75</v>
      </c>
      <c r="U235" s="253" t="n">
        <f aca="false">$U$16+T235</f>
        <v>0.82</v>
      </c>
      <c r="BP235" s="226" t="n">
        <f aca="false">BP234+BV235</f>
        <v>234</v>
      </c>
      <c r="BQ235" s="227" t="s">
        <v>1181</v>
      </c>
      <c r="BR235" s="224" t="s">
        <v>285</v>
      </c>
      <c r="BS235" s="161" t="s">
        <v>421</v>
      </c>
      <c r="BT235" s="230" t="s">
        <v>287</v>
      </c>
      <c r="BU235" s="230"/>
      <c r="BV235" s="161" t="n">
        <v>1</v>
      </c>
      <c r="BW235" s="224" t="s">
        <v>1182</v>
      </c>
      <c r="BX235" s="0"/>
    </row>
    <row r="236" customFormat="false" ht="12.75" hidden="false" customHeight="false" outlineLevel="0" collapsed="false">
      <c r="A236" s="244"/>
      <c r="B236" s="245" t="e">
        <f aca="false">NextMonth(B235)</f>
        <v>#VALUE!</v>
      </c>
      <c r="C236" s="246" t="n">
        <v>0.0641731629570441</v>
      </c>
      <c r="D236" s="246" t="n">
        <v>0.95</v>
      </c>
      <c r="E236" s="246" t="n">
        <v>0.95</v>
      </c>
      <c r="F236" s="246" t="n">
        <v>0.1625</v>
      </c>
      <c r="G236" s="246" t="n">
        <v>0.17</v>
      </c>
      <c r="H236" s="246" t="n">
        <v>0.1775</v>
      </c>
      <c r="I236" s="247" t="n">
        <v>4.859</v>
      </c>
      <c r="J236" s="248" t="n">
        <v>4.864</v>
      </c>
      <c r="K236" s="248" t="n">
        <v>4.869</v>
      </c>
      <c r="L236" s="248" t="n">
        <v>0.4</v>
      </c>
      <c r="M236" s="248" t="n">
        <v>0.4</v>
      </c>
      <c r="N236" s="249" t="n">
        <v>0.02</v>
      </c>
      <c r="O236" s="249" t="n">
        <v>0.02</v>
      </c>
      <c r="P236" s="250"/>
      <c r="Q236" s="250"/>
      <c r="R236" s="251" t="e">
        <f aca="false">B236</f>
        <v>#VALUE!</v>
      </c>
      <c r="S236" s="252" t="n">
        <f aca="false">T236-$S$16</f>
        <v>0.88</v>
      </c>
      <c r="T236" s="243" t="n">
        <f aca="false">D236</f>
        <v>0.95</v>
      </c>
      <c r="U236" s="253" t="n">
        <f aca="false">$U$16+T236</f>
        <v>1.02</v>
      </c>
      <c r="BP236" s="226" t="n">
        <f aca="false">BP235+BV236</f>
        <v>235</v>
      </c>
      <c r="BQ236" s="227" t="s">
        <v>1183</v>
      </c>
      <c r="BR236" s="224" t="s">
        <v>285</v>
      </c>
      <c r="BS236" s="161" t="s">
        <v>421</v>
      </c>
      <c r="BT236" s="230" t="s">
        <v>287</v>
      </c>
      <c r="BU236" s="230"/>
      <c r="BV236" s="161" t="n">
        <v>1</v>
      </c>
      <c r="BW236" s="224" t="s">
        <v>1184</v>
      </c>
      <c r="BX236" s="0"/>
    </row>
    <row r="237" customFormat="false" ht="12.75" hidden="false" customHeight="false" outlineLevel="0" collapsed="false">
      <c r="A237" s="244"/>
      <c r="B237" s="245" t="e">
        <f aca="false">NextMonth(B236)</f>
        <v>#VALUE!</v>
      </c>
      <c r="C237" s="246" t="n">
        <v>0.0642086098477601</v>
      </c>
      <c r="D237" s="246" t="n">
        <v>1.15</v>
      </c>
      <c r="E237" s="246" t="n">
        <v>1.15</v>
      </c>
      <c r="F237" s="246" t="n">
        <v>0.1625</v>
      </c>
      <c r="G237" s="246" t="n">
        <v>0.17</v>
      </c>
      <c r="H237" s="246" t="n">
        <v>0.1775</v>
      </c>
      <c r="I237" s="247" t="n">
        <v>5.008</v>
      </c>
      <c r="J237" s="248" t="n">
        <v>5.013</v>
      </c>
      <c r="K237" s="248" t="n">
        <v>5.018</v>
      </c>
      <c r="L237" s="248" t="n">
        <v>0.3975</v>
      </c>
      <c r="M237" s="248" t="n">
        <v>0.3975</v>
      </c>
      <c r="N237" s="249" t="n">
        <v>0.02</v>
      </c>
      <c r="O237" s="249" t="n">
        <v>0.02</v>
      </c>
      <c r="P237" s="250"/>
      <c r="Q237" s="250"/>
      <c r="R237" s="251" t="e">
        <f aca="false">B237</f>
        <v>#VALUE!</v>
      </c>
      <c r="S237" s="252" t="n">
        <f aca="false">T237-$S$16</f>
        <v>1.08</v>
      </c>
      <c r="T237" s="243" t="n">
        <f aca="false">D237</f>
        <v>1.15</v>
      </c>
      <c r="U237" s="253" t="n">
        <f aca="false">$U$16+T237</f>
        <v>1.22</v>
      </c>
      <c r="BP237" s="226" t="n">
        <f aca="false">BP236+BV237</f>
        <v>236</v>
      </c>
      <c r="BQ237" s="227" t="s">
        <v>1185</v>
      </c>
      <c r="BR237" s="224" t="s">
        <v>285</v>
      </c>
      <c r="BS237" s="161" t="s">
        <v>421</v>
      </c>
      <c r="BT237" s="230" t="s">
        <v>287</v>
      </c>
      <c r="BU237" s="230"/>
      <c r="BV237" s="161" t="n">
        <v>1</v>
      </c>
      <c r="BW237" s="224" t="s">
        <v>1186</v>
      </c>
      <c r="BX237" s="0"/>
    </row>
    <row r="238" customFormat="false" ht="12.75" hidden="false" customHeight="false" outlineLevel="0" collapsed="false">
      <c r="A238" s="244"/>
      <c r="B238" s="245" t="e">
        <f aca="false">NextMonth(B237)</f>
        <v>#VALUE!</v>
      </c>
      <c r="C238" s="246" t="n">
        <v>0.064245238301937</v>
      </c>
      <c r="D238" s="246" t="n">
        <v>1.15</v>
      </c>
      <c r="E238" s="246" t="n">
        <v>1.15</v>
      </c>
      <c r="F238" s="246" t="n">
        <v>0.1625</v>
      </c>
      <c r="G238" s="246" t="n">
        <v>0.17</v>
      </c>
      <c r="H238" s="246" t="n">
        <v>0.1775</v>
      </c>
      <c r="I238" s="247" t="n">
        <v>5.127</v>
      </c>
      <c r="J238" s="248" t="n">
        <v>5.132</v>
      </c>
      <c r="K238" s="248" t="n">
        <v>5.137</v>
      </c>
      <c r="L238" s="248" t="n">
        <v>0.4</v>
      </c>
      <c r="M238" s="248" t="n">
        <v>0.4</v>
      </c>
      <c r="N238" s="249" t="n">
        <v>0.02</v>
      </c>
      <c r="O238" s="249" t="n">
        <v>0.02</v>
      </c>
      <c r="P238" s="250"/>
      <c r="Q238" s="250"/>
      <c r="R238" s="251" t="e">
        <f aca="false">B238</f>
        <v>#VALUE!</v>
      </c>
      <c r="S238" s="252" t="n">
        <f aca="false">T238-$S$16</f>
        <v>1.08</v>
      </c>
      <c r="T238" s="243" t="n">
        <f aca="false">D238</f>
        <v>1.15</v>
      </c>
      <c r="U238" s="253" t="n">
        <f aca="false">$U$16+T238</f>
        <v>1.22</v>
      </c>
      <c r="BP238" s="226" t="n">
        <f aca="false">BP237+BV238</f>
        <v>237</v>
      </c>
      <c r="BQ238" s="227" t="s">
        <v>1187</v>
      </c>
      <c r="BR238" s="224" t="s">
        <v>285</v>
      </c>
      <c r="BS238" s="161" t="s">
        <v>421</v>
      </c>
      <c r="BT238" s="230" t="s">
        <v>287</v>
      </c>
      <c r="BU238" s="230"/>
      <c r="BV238" s="161" t="n">
        <v>1</v>
      </c>
      <c r="BW238" s="224" t="s">
        <v>1188</v>
      </c>
      <c r="BX238" s="0"/>
    </row>
    <row r="239" customFormat="false" ht="12.75" hidden="false" customHeight="false" outlineLevel="0" collapsed="false">
      <c r="A239" s="244"/>
      <c r="B239" s="245" t="e">
        <f aca="false">NextMonth(B238)</f>
        <v>#VALUE!</v>
      </c>
      <c r="C239" s="246" t="n">
        <v>0.0642818667565588</v>
      </c>
      <c r="D239" s="246" t="n">
        <v>1.15</v>
      </c>
      <c r="E239" s="246" t="n">
        <v>1.15</v>
      </c>
      <c r="F239" s="246" t="n">
        <v>0.1625</v>
      </c>
      <c r="G239" s="246" t="n">
        <v>0.17</v>
      </c>
      <c r="H239" s="246" t="n">
        <v>0.1775</v>
      </c>
      <c r="I239" s="247" t="n">
        <v>5.014</v>
      </c>
      <c r="J239" s="248" t="n">
        <v>5.019</v>
      </c>
      <c r="K239" s="248" t="n">
        <v>5.024</v>
      </c>
      <c r="L239" s="248" t="n">
        <v>0.645</v>
      </c>
      <c r="M239" s="248" t="n">
        <v>0.645</v>
      </c>
      <c r="N239" s="249" t="n">
        <v>0.05</v>
      </c>
      <c r="O239" s="249" t="n">
        <v>0.05</v>
      </c>
      <c r="P239" s="250"/>
      <c r="Q239" s="250"/>
      <c r="R239" s="251" t="e">
        <f aca="false">B239</f>
        <v>#VALUE!</v>
      </c>
      <c r="S239" s="252" t="n">
        <f aca="false">T239-$S$16</f>
        <v>1.08</v>
      </c>
      <c r="T239" s="243" t="n">
        <f aca="false">D239</f>
        <v>1.15</v>
      </c>
      <c r="U239" s="253" t="n">
        <f aca="false">$U$16+T239</f>
        <v>1.22</v>
      </c>
      <c r="BP239" s="226" t="n">
        <f aca="false">BP238+BV239</f>
        <v>238</v>
      </c>
      <c r="BQ239" s="227" t="s">
        <v>1189</v>
      </c>
      <c r="BR239" s="224" t="s">
        <v>285</v>
      </c>
      <c r="BS239" s="161" t="s">
        <v>421</v>
      </c>
      <c r="BT239" s="230" t="s">
        <v>287</v>
      </c>
      <c r="BU239" s="230"/>
      <c r="BV239" s="161" t="n">
        <v>1</v>
      </c>
      <c r="BW239" s="224" t="s">
        <v>1190</v>
      </c>
      <c r="BX239" s="0"/>
    </row>
    <row r="240" customFormat="false" ht="12.75" hidden="false" customHeight="false" outlineLevel="0" collapsed="false">
      <c r="A240" s="244"/>
      <c r="B240" s="245" t="e">
        <f aca="false">NextMonth(B239)</f>
        <v>#VALUE!</v>
      </c>
      <c r="C240" s="246" t="n">
        <v>0.0643161320854784</v>
      </c>
      <c r="D240" s="246" t="n">
        <v>0.9</v>
      </c>
      <c r="E240" s="246" t="n">
        <v>0.9</v>
      </c>
      <c r="F240" s="246" t="n">
        <v>0.1625</v>
      </c>
      <c r="G240" s="246" t="n">
        <v>0.17</v>
      </c>
      <c r="H240" s="246" t="n">
        <v>0.1775</v>
      </c>
      <c r="I240" s="247" t="n">
        <v>4.881</v>
      </c>
      <c r="J240" s="248" t="n">
        <v>4.886</v>
      </c>
      <c r="K240" s="248" t="n">
        <v>4.891</v>
      </c>
      <c r="L240" s="248" t="n">
        <v>0.98</v>
      </c>
      <c r="M240" s="248" t="n">
        <v>0.98</v>
      </c>
      <c r="N240" s="249" t="n">
        <v>0.05</v>
      </c>
      <c r="O240" s="249" t="n">
        <v>0.05</v>
      </c>
      <c r="P240" s="250"/>
      <c r="Q240" s="250"/>
      <c r="R240" s="251" t="e">
        <f aca="false">B240</f>
        <v>#VALUE!</v>
      </c>
      <c r="S240" s="252" t="n">
        <f aca="false">T240-$S$16</f>
        <v>0.83</v>
      </c>
      <c r="T240" s="243" t="n">
        <f aca="false">D240</f>
        <v>0.9</v>
      </c>
      <c r="U240" s="253" t="n">
        <f aca="false">$U$16+T240</f>
        <v>0.97</v>
      </c>
      <c r="BP240" s="226" t="n">
        <f aca="false">BP239+BV240</f>
        <v>239</v>
      </c>
      <c r="BQ240" s="227" t="s">
        <v>1191</v>
      </c>
      <c r="BR240" s="224" t="s">
        <v>285</v>
      </c>
      <c r="BS240" s="161" t="s">
        <v>421</v>
      </c>
      <c r="BT240" s="230" t="s">
        <v>287</v>
      </c>
      <c r="BU240" s="230"/>
      <c r="BV240" s="161" t="n">
        <v>1</v>
      </c>
      <c r="BW240" s="224" t="s">
        <v>1192</v>
      </c>
      <c r="BX240" s="0"/>
    </row>
    <row r="241" customFormat="false" ht="12.75" hidden="false" customHeight="false" outlineLevel="0" collapsed="false">
      <c r="A241" s="244"/>
      <c r="B241" s="245" t="e">
        <f aca="false">NextMonth(B240)</f>
        <v>#VALUE!</v>
      </c>
      <c r="C241" s="246" t="n">
        <v>0.0643527605409613</v>
      </c>
      <c r="D241" s="246" t="n">
        <v>0.55</v>
      </c>
      <c r="E241" s="246" t="n">
        <v>0.55</v>
      </c>
      <c r="F241" s="246" t="n">
        <v>0.1625</v>
      </c>
      <c r="G241" s="246" t="n">
        <v>0.17</v>
      </c>
      <c r="H241" s="246" t="n">
        <v>0.1775</v>
      </c>
      <c r="I241" s="247" t="n">
        <v>4.661</v>
      </c>
      <c r="J241" s="248" t="n">
        <v>4.666</v>
      </c>
      <c r="K241" s="248" t="n">
        <v>4.671</v>
      </c>
      <c r="L241" s="248" t="n">
        <v>1.205</v>
      </c>
      <c r="M241" s="248" t="n">
        <v>1.205</v>
      </c>
      <c r="N241" s="249" t="n">
        <v>0.05</v>
      </c>
      <c r="O241" s="249" t="n">
        <v>0.05</v>
      </c>
      <c r="P241" s="250"/>
      <c r="Q241" s="250"/>
      <c r="R241" s="251" t="e">
        <f aca="false">B241</f>
        <v>#VALUE!</v>
      </c>
      <c r="S241" s="252" t="n">
        <f aca="false">T241-$S$16</f>
        <v>0.48</v>
      </c>
      <c r="T241" s="243" t="n">
        <f aca="false">D241</f>
        <v>0.55</v>
      </c>
      <c r="U241" s="253" t="n">
        <f aca="false">$U$16+T241</f>
        <v>0.62</v>
      </c>
      <c r="BP241" s="226" t="n">
        <f aca="false">BP240+BV241</f>
        <v>240</v>
      </c>
      <c r="BQ241" s="227" t="s">
        <v>1193</v>
      </c>
      <c r="BR241" s="224" t="s">
        <v>285</v>
      </c>
      <c r="BS241" s="161" t="s">
        <v>421</v>
      </c>
      <c r="BT241" s="230" t="s">
        <v>287</v>
      </c>
      <c r="BU241" s="230"/>
      <c r="BV241" s="161" t="n">
        <v>1</v>
      </c>
      <c r="BW241" s="224" t="s">
        <v>1194</v>
      </c>
      <c r="BX241" s="0"/>
    </row>
    <row r="242" customFormat="false" ht="12.75" hidden="false" customHeight="false" outlineLevel="0" collapsed="false">
      <c r="A242" s="244"/>
      <c r="B242" s="245" t="e">
        <f aca="false">NextMonth(B241)</f>
        <v>#VALUE!</v>
      </c>
      <c r="C242" s="246" t="n">
        <v>0.0643882074337876</v>
      </c>
      <c r="D242" s="246" t="n">
        <v>0.6</v>
      </c>
      <c r="E242" s="246" t="n">
        <v>0.6</v>
      </c>
      <c r="F242" s="246" t="n">
        <v>0.1625</v>
      </c>
      <c r="G242" s="246" t="n">
        <v>0.17</v>
      </c>
      <c r="H242" s="246" t="n">
        <v>0.1775</v>
      </c>
      <c r="I242" s="247" t="n">
        <v>4.651</v>
      </c>
      <c r="J242" s="248" t="n">
        <v>4.656</v>
      </c>
      <c r="K242" s="248" t="n">
        <v>4.661</v>
      </c>
      <c r="L242" s="248" t="n">
        <v>1.205</v>
      </c>
      <c r="M242" s="248" t="n">
        <v>1.205</v>
      </c>
      <c r="N242" s="249" t="n">
        <v>0.05</v>
      </c>
      <c r="O242" s="249" t="n">
        <v>0.05</v>
      </c>
      <c r="P242" s="250"/>
      <c r="Q242" s="250"/>
      <c r="R242" s="251" t="e">
        <f aca="false">B242</f>
        <v>#VALUE!</v>
      </c>
      <c r="S242" s="252" t="n">
        <f aca="false">T242-$S$16</f>
        <v>0.53</v>
      </c>
      <c r="T242" s="243" t="n">
        <f aca="false">D242</f>
        <v>0.6</v>
      </c>
      <c r="U242" s="253" t="n">
        <f aca="false">$U$16+T242</f>
        <v>0.67</v>
      </c>
      <c r="BP242" s="226" t="n">
        <f aca="false">BP241+BV242</f>
        <v>241</v>
      </c>
      <c r="BQ242" s="227" t="s">
        <v>1195</v>
      </c>
      <c r="BR242" s="224" t="s">
        <v>285</v>
      </c>
      <c r="BS242" s="161" t="s">
        <v>421</v>
      </c>
      <c r="BT242" s="230" t="s">
        <v>287</v>
      </c>
      <c r="BU242" s="230"/>
      <c r="BV242" s="161" t="n">
        <v>1</v>
      </c>
      <c r="BW242" s="224" t="s">
        <v>1196</v>
      </c>
      <c r="BX242" s="0"/>
    </row>
    <row r="243" customFormat="false" ht="12.75" hidden="false" customHeight="false" outlineLevel="0" collapsed="false">
      <c r="A243" s="244"/>
      <c r="B243" s="245" t="e">
        <f aca="false">NextMonth(B242)</f>
        <v>#VALUE!</v>
      </c>
      <c r="C243" s="246" t="n">
        <v>0.0644248358901458</v>
      </c>
      <c r="D243" s="246" t="n">
        <v>0.6</v>
      </c>
      <c r="E243" s="246" t="n">
        <v>0.6</v>
      </c>
      <c r="F243" s="246" t="n">
        <v>0.1625</v>
      </c>
      <c r="G243" s="246" t="n">
        <v>0.17</v>
      </c>
      <c r="H243" s="246" t="n">
        <v>0.1775</v>
      </c>
      <c r="I243" s="247" t="n">
        <v>4.687</v>
      </c>
      <c r="J243" s="248" t="n">
        <v>4.692</v>
      </c>
      <c r="K243" s="248" t="n">
        <v>4.697</v>
      </c>
      <c r="L243" s="248" t="n">
        <v>0.815</v>
      </c>
      <c r="M243" s="248" t="n">
        <v>0.815</v>
      </c>
      <c r="N243" s="249" t="n">
        <v>0.05</v>
      </c>
      <c r="O243" s="249" t="n">
        <v>0.05</v>
      </c>
      <c r="P243" s="250"/>
      <c r="Q243" s="250"/>
      <c r="R243" s="251" t="e">
        <f aca="false">B243</f>
        <v>#VALUE!</v>
      </c>
      <c r="S243" s="252" t="n">
        <f aca="false">T243-$S$16</f>
        <v>0.53</v>
      </c>
      <c r="T243" s="243" t="n">
        <f aca="false">D243</f>
        <v>0.6</v>
      </c>
      <c r="U243" s="253" t="n">
        <f aca="false">$U$16+T243</f>
        <v>0.67</v>
      </c>
      <c r="BP243" s="226" t="n">
        <f aca="false">BP242+BV243</f>
        <v>242</v>
      </c>
      <c r="BQ243" s="227" t="s">
        <v>1197</v>
      </c>
      <c r="BR243" s="224" t="s">
        <v>285</v>
      </c>
      <c r="BS243" s="161" t="s">
        <v>421</v>
      </c>
      <c r="BT243" s="230" t="s">
        <v>287</v>
      </c>
      <c r="BU243" s="230"/>
      <c r="BV243" s="161" t="n">
        <v>1</v>
      </c>
      <c r="BW243" s="224" t="s">
        <v>1198</v>
      </c>
      <c r="BX243" s="0"/>
    </row>
    <row r="244" customFormat="false" ht="12.75" hidden="false" customHeight="false" outlineLevel="0" collapsed="false">
      <c r="A244" s="244"/>
      <c r="B244" s="245" t="e">
        <f aca="false">NextMonth(B243)</f>
        <v>#VALUE!</v>
      </c>
      <c r="C244" s="246" t="n">
        <v>0.064460282783819</v>
      </c>
      <c r="D244" s="246" t="n">
        <v>0.65</v>
      </c>
      <c r="E244" s="246" t="n">
        <v>0.65</v>
      </c>
      <c r="F244" s="246" t="n">
        <v>0.1625</v>
      </c>
      <c r="G244" s="246" t="n">
        <v>0.17</v>
      </c>
      <c r="H244" s="246" t="n">
        <v>0.1775</v>
      </c>
      <c r="I244" s="247" t="n">
        <v>4.737</v>
      </c>
      <c r="J244" s="248" t="n">
        <v>4.742</v>
      </c>
      <c r="K244" s="248" t="n">
        <v>4.747</v>
      </c>
      <c r="L244" s="248" t="n">
        <v>0.435</v>
      </c>
      <c r="M244" s="248" t="n">
        <v>0.435</v>
      </c>
      <c r="N244" s="249" t="n">
        <v>0.02</v>
      </c>
      <c r="O244" s="249" t="n">
        <v>0.02</v>
      </c>
      <c r="P244" s="250"/>
      <c r="Q244" s="250"/>
      <c r="R244" s="251" t="e">
        <f aca="false">B244</f>
        <v>#VALUE!</v>
      </c>
      <c r="S244" s="252" t="n">
        <f aca="false">T244-$S$16</f>
        <v>0.58</v>
      </c>
      <c r="T244" s="243" t="n">
        <f aca="false">D244</f>
        <v>0.65</v>
      </c>
      <c r="U244" s="253" t="n">
        <f aca="false">$U$16+T244</f>
        <v>0.72</v>
      </c>
      <c r="BP244" s="226" t="n">
        <f aca="false">BP243+BV244</f>
        <v>243</v>
      </c>
      <c r="BQ244" s="227" t="s">
        <v>1199</v>
      </c>
      <c r="BR244" s="224" t="s">
        <v>285</v>
      </c>
      <c r="BS244" s="161" t="s">
        <v>421</v>
      </c>
      <c r="BT244" s="230" t="s">
        <v>287</v>
      </c>
      <c r="BU244" s="230"/>
      <c r="BV244" s="161" t="n">
        <v>1</v>
      </c>
      <c r="BW244" s="224" t="s">
        <v>1200</v>
      </c>
      <c r="BX244" s="0"/>
    </row>
    <row r="245" customFormat="false" ht="12.75" hidden="false" customHeight="false" outlineLevel="0" collapsed="false">
      <c r="A245" s="244"/>
      <c r="B245" s="245" t="e">
        <f aca="false">NextMonth(B244)</f>
        <v>#VALUE!</v>
      </c>
      <c r="C245" s="246" t="n">
        <v>0.0644969112410525</v>
      </c>
      <c r="D245" s="246" t="n">
        <v>0.7</v>
      </c>
      <c r="E245" s="246" t="n">
        <v>0.7</v>
      </c>
      <c r="F245" s="246" t="n">
        <v>0.1625</v>
      </c>
      <c r="G245" s="246" t="n">
        <v>0.17</v>
      </c>
      <c r="H245" s="246" t="n">
        <v>0.1775</v>
      </c>
      <c r="I245" s="247" t="n">
        <v>4.76</v>
      </c>
      <c r="J245" s="248" t="n">
        <v>4.765</v>
      </c>
      <c r="K245" s="248" t="n">
        <v>4.77</v>
      </c>
      <c r="L245" s="248" t="n">
        <v>0.385</v>
      </c>
      <c r="M245" s="248" t="n">
        <v>0.385</v>
      </c>
      <c r="N245" s="249" t="n">
        <v>0.02</v>
      </c>
      <c r="O245" s="249" t="n">
        <v>0.02</v>
      </c>
      <c r="P245" s="250"/>
      <c r="Q245" s="250"/>
      <c r="R245" s="251" t="e">
        <f aca="false">B245</f>
        <v>#VALUE!</v>
      </c>
      <c r="S245" s="252" t="n">
        <f aca="false">T245-$S$16</f>
        <v>0.63</v>
      </c>
      <c r="T245" s="243" t="n">
        <f aca="false">D245</f>
        <v>0.7</v>
      </c>
      <c r="U245" s="253" t="n">
        <f aca="false">$U$16+T245</f>
        <v>0.77</v>
      </c>
      <c r="BP245" s="226" t="n">
        <f aca="false">BP244+BV245</f>
        <v>244</v>
      </c>
      <c r="BQ245" s="227" t="s">
        <v>1201</v>
      </c>
      <c r="BR245" s="224" t="s">
        <v>285</v>
      </c>
      <c r="BS245" s="161" t="s">
        <v>421</v>
      </c>
      <c r="BT245" s="230" t="s">
        <v>287</v>
      </c>
      <c r="BU245" s="230"/>
      <c r="BV245" s="161" t="n">
        <v>1</v>
      </c>
      <c r="BW245" s="224" t="s">
        <v>1202</v>
      </c>
      <c r="BX245" s="0"/>
    </row>
    <row r="246" customFormat="false" ht="12.75" hidden="false" customHeight="false" outlineLevel="0" collapsed="false">
      <c r="A246" s="244"/>
      <c r="B246" s="245" t="e">
        <f aca="false">NextMonth(B245)</f>
        <v>#VALUE!</v>
      </c>
      <c r="C246" s="246" t="n">
        <v>0.064533539698731</v>
      </c>
      <c r="D246" s="246" t="n">
        <v>0.7</v>
      </c>
      <c r="E246" s="246" t="n">
        <v>0.7</v>
      </c>
      <c r="F246" s="246" t="n">
        <v>0.1625</v>
      </c>
      <c r="G246" s="246" t="n">
        <v>0.17</v>
      </c>
      <c r="H246" s="246" t="n">
        <v>0.1775</v>
      </c>
      <c r="I246" s="247" t="n">
        <v>4.775</v>
      </c>
      <c r="J246" s="248" t="n">
        <v>4.78</v>
      </c>
      <c r="K246" s="248" t="n">
        <v>4.785</v>
      </c>
      <c r="L246" s="248" t="n">
        <v>0.385</v>
      </c>
      <c r="M246" s="248" t="n">
        <v>0.385</v>
      </c>
      <c r="N246" s="249" t="n">
        <v>0.02</v>
      </c>
      <c r="O246" s="249" t="n">
        <v>0.02</v>
      </c>
      <c r="P246" s="250"/>
      <c r="Q246" s="250"/>
      <c r="R246" s="251" t="e">
        <f aca="false">B246</f>
        <v>#VALUE!</v>
      </c>
      <c r="S246" s="252" t="n">
        <f aca="false">T246-$S$16</f>
        <v>0.63</v>
      </c>
      <c r="T246" s="243" t="n">
        <f aca="false">D246</f>
        <v>0.7</v>
      </c>
      <c r="U246" s="253" t="n">
        <f aca="false">$U$16+T246</f>
        <v>0.77</v>
      </c>
      <c r="BP246" s="226" t="n">
        <f aca="false">BP245+BV246</f>
        <v>245</v>
      </c>
      <c r="BQ246" s="227" t="s">
        <v>1203</v>
      </c>
      <c r="BR246" s="224" t="s">
        <v>285</v>
      </c>
      <c r="BS246" s="161" t="s">
        <v>421</v>
      </c>
      <c r="BT246" s="230" t="s">
        <v>287</v>
      </c>
      <c r="BU246" s="230"/>
      <c r="BV246" s="161" t="n">
        <v>1</v>
      </c>
      <c r="BW246" s="224" t="s">
        <v>1204</v>
      </c>
      <c r="BX246" s="0"/>
    </row>
    <row r="247" customFormat="false" ht="12.75" hidden="false" customHeight="false" outlineLevel="0" collapsed="false">
      <c r="A247" s="244"/>
      <c r="B247" s="245" t="e">
        <f aca="false">NextMonth(B246)</f>
        <v>#VALUE!</v>
      </c>
      <c r="C247" s="246" t="n">
        <v>0.0645689865936814</v>
      </c>
      <c r="D247" s="246" t="n">
        <v>0.75</v>
      </c>
      <c r="E247" s="246" t="n">
        <v>0.75</v>
      </c>
      <c r="F247" s="246" t="n">
        <v>0.1625</v>
      </c>
      <c r="G247" s="246" t="n">
        <v>0.17</v>
      </c>
      <c r="H247" s="246" t="n">
        <v>0.1775</v>
      </c>
      <c r="I247" s="247" t="n">
        <v>4.804</v>
      </c>
      <c r="J247" s="248" t="n">
        <v>4.809</v>
      </c>
      <c r="K247" s="248" t="n">
        <v>4.814</v>
      </c>
      <c r="L247" s="248" t="n">
        <v>0.3975</v>
      </c>
      <c r="M247" s="248" t="n">
        <v>0.3975</v>
      </c>
      <c r="N247" s="249" t="n">
        <v>0.02</v>
      </c>
      <c r="O247" s="249" t="n">
        <v>0.02</v>
      </c>
      <c r="P247" s="250"/>
      <c r="Q247" s="250"/>
      <c r="R247" s="251" t="e">
        <f aca="false">B247</f>
        <v>#VALUE!</v>
      </c>
      <c r="S247" s="252" t="n">
        <f aca="false">T247-$S$16</f>
        <v>0.68</v>
      </c>
      <c r="T247" s="243" t="n">
        <f aca="false">D247</f>
        <v>0.75</v>
      </c>
      <c r="U247" s="253" t="n">
        <f aca="false">$U$16+T247</f>
        <v>0.82</v>
      </c>
      <c r="BP247" s="226" t="n">
        <f aca="false">BP246+BV247</f>
        <v>246</v>
      </c>
      <c r="BQ247" s="227" t="s">
        <v>435</v>
      </c>
      <c r="BR247" s="224" t="s">
        <v>285</v>
      </c>
      <c r="BS247" s="161" t="s">
        <v>286</v>
      </c>
      <c r="BT247" s="230" t="s">
        <v>287</v>
      </c>
      <c r="BU247" s="230"/>
      <c r="BV247" s="161" t="n">
        <v>1</v>
      </c>
      <c r="BW247" s="224" t="s">
        <v>1205</v>
      </c>
      <c r="BX247" s="0"/>
    </row>
    <row r="248" customFormat="false" ht="12.75" hidden="false" customHeight="false" outlineLevel="0" collapsed="false">
      <c r="A248" s="244"/>
      <c r="B248" s="245" t="e">
        <f aca="false">NextMonth(B247)</f>
        <v>#VALUE!</v>
      </c>
      <c r="C248" s="246" t="n">
        <v>0.0646056150522347</v>
      </c>
      <c r="D248" s="246" t="n">
        <v>0.95</v>
      </c>
      <c r="E248" s="246" t="n">
        <v>0.95</v>
      </c>
      <c r="F248" s="246" t="n">
        <v>0.1625</v>
      </c>
      <c r="G248" s="246" t="n">
        <v>0.17</v>
      </c>
      <c r="H248" s="246" t="n">
        <v>0.1775</v>
      </c>
      <c r="I248" s="247" t="n">
        <v>4.944</v>
      </c>
      <c r="J248" s="248" t="n">
        <v>4.949</v>
      </c>
      <c r="K248" s="248" t="n">
        <v>4.954</v>
      </c>
      <c r="L248" s="248" t="n">
        <v>0.4</v>
      </c>
      <c r="M248" s="248" t="n">
        <v>0.4</v>
      </c>
      <c r="N248" s="249" t="n">
        <v>0.02</v>
      </c>
      <c r="O248" s="249" t="n">
        <v>0.02</v>
      </c>
      <c r="P248" s="250"/>
      <c r="Q248" s="250"/>
      <c r="R248" s="251" t="e">
        <f aca="false">B248</f>
        <v>#VALUE!</v>
      </c>
      <c r="S248" s="252" t="n">
        <f aca="false">T248-$S$16</f>
        <v>0.88</v>
      </c>
      <c r="T248" s="243" t="n">
        <f aca="false">D248</f>
        <v>0.95</v>
      </c>
      <c r="U248" s="253" t="n">
        <f aca="false">$U$16+T248</f>
        <v>1.02</v>
      </c>
      <c r="BP248" s="226" t="n">
        <f aca="false">BP247+BV248</f>
        <v>247</v>
      </c>
      <c r="BQ248" s="227" t="s">
        <v>439</v>
      </c>
      <c r="BR248" s="224" t="s">
        <v>285</v>
      </c>
      <c r="BS248" s="161" t="s">
        <v>286</v>
      </c>
      <c r="BT248" s="230" t="s">
        <v>287</v>
      </c>
      <c r="BU248" s="230"/>
      <c r="BV248" s="161" t="n">
        <v>1</v>
      </c>
      <c r="BW248" s="224" t="s">
        <v>1206</v>
      </c>
      <c r="BX248" s="0"/>
    </row>
    <row r="249" customFormat="false" ht="12.75" hidden="false" customHeight="false" outlineLevel="0" collapsed="false">
      <c r="A249" s="244"/>
      <c r="B249" s="245" t="e">
        <f aca="false">NextMonth(B248)</f>
        <v>#VALUE!</v>
      </c>
      <c r="C249" s="246" t="n">
        <v>0.0646410619480329</v>
      </c>
      <c r="D249" s="246" t="n">
        <v>1.15</v>
      </c>
      <c r="E249" s="246" t="n">
        <v>1.15</v>
      </c>
      <c r="F249" s="246" t="n">
        <v>0.1625</v>
      </c>
      <c r="G249" s="246" t="n">
        <v>0.17</v>
      </c>
      <c r="H249" s="246" t="n">
        <v>0.1775</v>
      </c>
      <c r="I249" s="247" t="n">
        <v>5.093</v>
      </c>
      <c r="J249" s="248" t="n">
        <v>5.098</v>
      </c>
      <c r="K249" s="248" t="n">
        <v>5.103</v>
      </c>
      <c r="L249" s="248" t="n">
        <v>0.3975</v>
      </c>
      <c r="M249" s="248" t="n">
        <v>0.3975</v>
      </c>
      <c r="N249" s="249" t="n">
        <v>0.02</v>
      </c>
      <c r="O249" s="249" t="n">
        <v>0.02</v>
      </c>
      <c r="P249" s="250"/>
      <c r="Q249" s="250"/>
      <c r="R249" s="251" t="e">
        <f aca="false">B249</f>
        <v>#VALUE!</v>
      </c>
      <c r="S249" s="252" t="n">
        <f aca="false">T249-$S$16</f>
        <v>1.08</v>
      </c>
      <c r="T249" s="243" t="n">
        <f aca="false">D249</f>
        <v>1.15</v>
      </c>
      <c r="U249" s="253" t="n">
        <f aca="false">$U$16+T249</f>
        <v>1.22</v>
      </c>
      <c r="BP249" s="226" t="n">
        <f aca="false">BP248+BV249</f>
        <v>248</v>
      </c>
      <c r="BQ249" s="227" t="s">
        <v>443</v>
      </c>
      <c r="BR249" s="224" t="s">
        <v>285</v>
      </c>
      <c r="BS249" s="161" t="s">
        <v>286</v>
      </c>
      <c r="BT249" s="230" t="s">
        <v>287</v>
      </c>
      <c r="BU249" s="230"/>
      <c r="BV249" s="161" t="n">
        <v>1</v>
      </c>
      <c r="BW249" s="224" t="s">
        <v>1207</v>
      </c>
      <c r="BX249" s="0"/>
    </row>
    <row r="250" customFormat="false" ht="12.75" hidden="false" customHeight="false" outlineLevel="0" collapsed="false">
      <c r="A250" s="244"/>
      <c r="B250" s="245" t="e">
        <f aca="false">NextMonth(B249)</f>
        <v>#VALUE!</v>
      </c>
      <c r="C250" s="246" t="n">
        <v>0.0646776904074615</v>
      </c>
      <c r="D250" s="246" t="n">
        <v>1.15</v>
      </c>
      <c r="E250" s="246" t="n">
        <v>1.15</v>
      </c>
      <c r="F250" s="246" t="n">
        <v>0.1625</v>
      </c>
      <c r="G250" s="246" t="n">
        <v>0.17</v>
      </c>
      <c r="H250" s="246" t="n">
        <v>0.1775</v>
      </c>
      <c r="I250" s="247" t="n">
        <v>5.212</v>
      </c>
      <c r="J250" s="248" t="n">
        <v>5.217</v>
      </c>
      <c r="K250" s="248" t="n">
        <v>5.222</v>
      </c>
      <c r="L250" s="248" t="n">
        <v>0.4</v>
      </c>
      <c r="M250" s="248" t="n">
        <v>0.4</v>
      </c>
      <c r="N250" s="249" t="n">
        <v>0.02</v>
      </c>
      <c r="O250" s="249" t="n">
        <v>0.02</v>
      </c>
      <c r="P250" s="250"/>
      <c r="Q250" s="250"/>
      <c r="R250" s="251" t="e">
        <f aca="false">B250</f>
        <v>#VALUE!</v>
      </c>
      <c r="S250" s="252" t="n">
        <f aca="false">T250-$S$16</f>
        <v>1.08</v>
      </c>
      <c r="T250" s="243" t="n">
        <f aca="false">D250</f>
        <v>1.15</v>
      </c>
      <c r="U250" s="253" t="n">
        <f aca="false">$U$16+T250</f>
        <v>1.22</v>
      </c>
      <c r="BP250" s="226" t="n">
        <f aca="false">BP249+BV250</f>
        <v>249</v>
      </c>
      <c r="BQ250" s="227" t="s">
        <v>447</v>
      </c>
      <c r="BR250" s="224" t="s">
        <v>285</v>
      </c>
      <c r="BS250" s="161" t="s">
        <v>286</v>
      </c>
      <c r="BT250" s="230" t="s">
        <v>287</v>
      </c>
      <c r="BU250" s="230"/>
      <c r="BV250" s="161" t="n">
        <v>1</v>
      </c>
      <c r="BW250" s="224" t="s">
        <v>1208</v>
      </c>
      <c r="BX250" s="0"/>
    </row>
    <row r="251" customFormat="false" ht="12.75" hidden="false" customHeight="false" outlineLevel="0" collapsed="false">
      <c r="A251" s="244"/>
      <c r="B251" s="245" t="e">
        <f aca="false">NextMonth(B250)</f>
        <v>#VALUE!</v>
      </c>
      <c r="C251" s="246" t="n">
        <v>0.0647143188673351</v>
      </c>
      <c r="D251" s="246" t="n">
        <v>1.15</v>
      </c>
      <c r="E251" s="246" t="n">
        <v>1.15</v>
      </c>
      <c r="F251" s="246" t="n">
        <v>0.1625</v>
      </c>
      <c r="G251" s="246" t="n">
        <v>0.17</v>
      </c>
      <c r="H251" s="246" t="n">
        <v>0.1775</v>
      </c>
      <c r="I251" s="247" t="n">
        <v>5.099</v>
      </c>
      <c r="J251" s="248" t="n">
        <v>5.104</v>
      </c>
      <c r="K251" s="248" t="n">
        <v>5.109</v>
      </c>
      <c r="L251" s="248" t="n">
        <v>0.645</v>
      </c>
      <c r="M251" s="248" t="n">
        <v>0.645</v>
      </c>
      <c r="N251" s="249" t="n">
        <v>0.05</v>
      </c>
      <c r="O251" s="249" t="n">
        <v>0.05</v>
      </c>
      <c r="P251" s="250"/>
      <c r="Q251" s="250"/>
      <c r="R251" s="251" t="e">
        <f aca="false">B251</f>
        <v>#VALUE!</v>
      </c>
      <c r="S251" s="252" t="n">
        <f aca="false">T251-$S$16</f>
        <v>1.08</v>
      </c>
      <c r="T251" s="243" t="n">
        <f aca="false">D251</f>
        <v>1.15</v>
      </c>
      <c r="U251" s="253" t="n">
        <f aca="false">$U$16+T251</f>
        <v>1.22</v>
      </c>
      <c r="BP251" s="226" t="n">
        <f aca="false">BP250+BV251</f>
        <v>250</v>
      </c>
      <c r="BQ251" s="227" t="s">
        <v>451</v>
      </c>
      <c r="BR251" s="224" t="s">
        <v>285</v>
      </c>
      <c r="BS251" s="161" t="s">
        <v>286</v>
      </c>
      <c r="BT251" s="230" t="s">
        <v>287</v>
      </c>
      <c r="BU251" s="230"/>
      <c r="BV251" s="161" t="n">
        <v>1</v>
      </c>
      <c r="BW251" s="224" t="s">
        <v>1209</v>
      </c>
      <c r="BX251" s="0"/>
    </row>
    <row r="252" customFormat="false" ht="12.75" hidden="false" customHeight="false" outlineLevel="0" collapsed="false">
      <c r="A252" s="244"/>
      <c r="B252" s="245" t="e">
        <f aca="false">NextMonth(B251)</f>
        <v>#VALUE!</v>
      </c>
      <c r="C252" s="246" t="n">
        <v>0.0647474026379258</v>
      </c>
      <c r="D252" s="246" t="n">
        <v>0.9</v>
      </c>
      <c r="E252" s="246" t="n">
        <v>0.9</v>
      </c>
      <c r="F252" s="246" t="n">
        <v>0.1625</v>
      </c>
      <c r="G252" s="246" t="n">
        <v>0.17</v>
      </c>
      <c r="H252" s="246" t="n">
        <v>0.1775</v>
      </c>
      <c r="I252" s="247" t="n">
        <v>4.966</v>
      </c>
      <c r="J252" s="248" t="n">
        <v>4.971</v>
      </c>
      <c r="K252" s="248" t="n">
        <v>4.976</v>
      </c>
      <c r="L252" s="248" t="n">
        <v>0.98</v>
      </c>
      <c r="M252" s="248" t="n">
        <v>0.98</v>
      </c>
      <c r="N252" s="249" t="n">
        <v>0.05</v>
      </c>
      <c r="O252" s="249" t="n">
        <v>0.05</v>
      </c>
      <c r="P252" s="250"/>
      <c r="Q252" s="250"/>
      <c r="R252" s="251" t="e">
        <f aca="false">B252</f>
        <v>#VALUE!</v>
      </c>
      <c r="S252" s="252" t="n">
        <f aca="false">T252-$S$16</f>
        <v>0.83</v>
      </c>
      <c r="T252" s="243" t="n">
        <f aca="false">D252</f>
        <v>0.9</v>
      </c>
      <c r="U252" s="253" t="n">
        <f aca="false">$U$16+T252</f>
        <v>0.97</v>
      </c>
      <c r="BP252" s="226" t="n">
        <f aca="false">BP251+BV252</f>
        <v>251</v>
      </c>
      <c r="BQ252" s="227" t="s">
        <v>455</v>
      </c>
      <c r="BR252" s="224" t="s">
        <v>285</v>
      </c>
      <c r="BS252" s="161" t="s">
        <v>286</v>
      </c>
      <c r="BT252" s="230" t="s">
        <v>287</v>
      </c>
      <c r="BU252" s="230"/>
      <c r="BV252" s="161" t="n">
        <v>1</v>
      </c>
      <c r="BW252" s="224" t="s">
        <v>1210</v>
      </c>
      <c r="BX252" s="0"/>
    </row>
    <row r="253" customFormat="false" ht="12.75" hidden="false" customHeight="false" outlineLevel="0" collapsed="false">
      <c r="A253" s="244"/>
      <c r="B253" s="245" t="e">
        <f aca="false">NextMonth(B252)</f>
        <v>#VALUE!</v>
      </c>
      <c r="C253" s="246" t="n">
        <v>0.0647840310986458</v>
      </c>
      <c r="D253" s="246" t="n">
        <v>0.55</v>
      </c>
      <c r="E253" s="246" t="n">
        <v>0.55</v>
      </c>
      <c r="F253" s="246" t="n">
        <v>0.1625</v>
      </c>
      <c r="G253" s="246" t="n">
        <v>0.17</v>
      </c>
      <c r="H253" s="246" t="n">
        <v>0.1775</v>
      </c>
      <c r="I253" s="247" t="n">
        <v>4.746</v>
      </c>
      <c r="J253" s="248" t="n">
        <v>4.751</v>
      </c>
      <c r="K253" s="248" t="n">
        <v>4.756</v>
      </c>
      <c r="L253" s="248" t="n">
        <v>1.205</v>
      </c>
      <c r="M253" s="248" t="n">
        <v>1.205</v>
      </c>
      <c r="N253" s="249" t="n">
        <v>0.05</v>
      </c>
      <c r="O253" s="249" t="n">
        <v>0.05</v>
      </c>
      <c r="P253" s="250"/>
      <c r="Q253" s="250"/>
      <c r="R253" s="251" t="e">
        <f aca="false">B253</f>
        <v>#VALUE!</v>
      </c>
      <c r="S253" s="252" t="n">
        <f aca="false">T253-$S$16</f>
        <v>0.48</v>
      </c>
      <c r="T253" s="243" t="n">
        <f aca="false">D253</f>
        <v>0.55</v>
      </c>
      <c r="U253" s="253" t="n">
        <f aca="false">$U$16+T253</f>
        <v>0.62</v>
      </c>
      <c r="BP253" s="226" t="n">
        <f aca="false">BP252+BV253</f>
        <v>252</v>
      </c>
      <c r="BQ253" s="227" t="s">
        <v>459</v>
      </c>
      <c r="BR253" s="224" t="s">
        <v>285</v>
      </c>
      <c r="BS253" s="161" t="s">
        <v>286</v>
      </c>
      <c r="BT253" s="230" t="s">
        <v>287</v>
      </c>
      <c r="BU253" s="230"/>
      <c r="BV253" s="161" t="n">
        <v>1</v>
      </c>
      <c r="BW253" s="224" t="s">
        <v>1211</v>
      </c>
      <c r="BX253" s="0"/>
    </row>
    <row r="254" customFormat="false" ht="12.75" hidden="false" customHeight="false" outlineLevel="0" collapsed="false">
      <c r="A254" s="244"/>
      <c r="B254" s="245" t="e">
        <f aca="false">NextMonth(B253)</f>
        <v>#VALUE!</v>
      </c>
      <c r="C254" s="246" t="n">
        <v>0.0648194779965396</v>
      </c>
      <c r="D254" s="246" t="n">
        <v>0.6</v>
      </c>
      <c r="E254" s="246" t="n">
        <v>0.6</v>
      </c>
      <c r="F254" s="246" t="n">
        <v>0.1625</v>
      </c>
      <c r="G254" s="246" t="n">
        <v>0.17</v>
      </c>
      <c r="H254" s="246" t="n">
        <v>0.1775</v>
      </c>
      <c r="I254" s="247" t="n">
        <v>4.736</v>
      </c>
      <c r="J254" s="248" t="n">
        <v>4.741</v>
      </c>
      <c r="K254" s="248" t="n">
        <v>4.746</v>
      </c>
      <c r="L254" s="248" t="n">
        <v>1.205</v>
      </c>
      <c r="M254" s="248" t="n">
        <v>1.205</v>
      </c>
      <c r="N254" s="249" t="n">
        <v>0.05</v>
      </c>
      <c r="O254" s="249" t="n">
        <v>0.05</v>
      </c>
      <c r="P254" s="250"/>
      <c r="Q254" s="250"/>
      <c r="R254" s="251" t="e">
        <f aca="false">B254</f>
        <v>#VALUE!</v>
      </c>
      <c r="S254" s="252" t="n">
        <f aca="false">T254-$S$16</f>
        <v>0.53</v>
      </c>
      <c r="T254" s="243" t="n">
        <f aca="false">D254</f>
        <v>0.6</v>
      </c>
      <c r="U254" s="253" t="n">
        <f aca="false">$U$16+T254</f>
        <v>0.67</v>
      </c>
      <c r="BP254" s="226" t="n">
        <f aca="false">BP253+BV254</f>
        <v>253</v>
      </c>
      <c r="BQ254" s="227" t="s">
        <v>463</v>
      </c>
      <c r="BR254" s="224" t="s">
        <v>285</v>
      </c>
      <c r="BS254" s="161" t="s">
        <v>286</v>
      </c>
      <c r="BT254" s="230" t="s">
        <v>287</v>
      </c>
      <c r="BU254" s="230"/>
      <c r="BV254" s="161" t="n">
        <v>1</v>
      </c>
      <c r="BW254" s="224" t="s">
        <v>1212</v>
      </c>
      <c r="BX254" s="0"/>
    </row>
    <row r="255" customFormat="false" ht="12.75" hidden="false" customHeight="false" outlineLevel="0" collapsed="false">
      <c r="A255" s="244"/>
      <c r="B255" s="245" t="e">
        <f aca="false">NextMonth(B254)</f>
        <v>#VALUE!</v>
      </c>
      <c r="C255" s="246" t="n">
        <v>0.064856106458135</v>
      </c>
      <c r="D255" s="246" t="n">
        <v>0.6</v>
      </c>
      <c r="E255" s="246" t="n">
        <v>0.6</v>
      </c>
      <c r="F255" s="246" t="n">
        <v>0.1625</v>
      </c>
      <c r="G255" s="246" t="n">
        <v>0.17</v>
      </c>
      <c r="H255" s="246" t="n">
        <v>0.1775</v>
      </c>
      <c r="I255" s="247" t="n">
        <v>4.772</v>
      </c>
      <c r="J255" s="248" t="n">
        <v>4.777</v>
      </c>
      <c r="K255" s="248" t="n">
        <v>4.782</v>
      </c>
      <c r="L255" s="248" t="n">
        <v>0.815</v>
      </c>
      <c r="M255" s="248" t="n">
        <v>0.815</v>
      </c>
      <c r="N255" s="249" t="n">
        <v>0.05</v>
      </c>
      <c r="O255" s="249" t="n">
        <v>0.05</v>
      </c>
      <c r="P255" s="250"/>
      <c r="Q255" s="250"/>
      <c r="R255" s="251" t="e">
        <f aca="false">B255</f>
        <v>#VALUE!</v>
      </c>
      <c r="S255" s="252" t="n">
        <f aca="false">T255-$S$16</f>
        <v>0.53</v>
      </c>
      <c r="T255" s="243" t="n">
        <f aca="false">D255</f>
        <v>0.6</v>
      </c>
      <c r="U255" s="253" t="n">
        <f aca="false">$U$16+T255</f>
        <v>0.67</v>
      </c>
      <c r="BP255" s="226" t="n">
        <f aca="false">BP254+BV255</f>
        <v>254</v>
      </c>
      <c r="BQ255" s="227" t="s">
        <v>467</v>
      </c>
      <c r="BR255" s="224" t="s">
        <v>285</v>
      </c>
      <c r="BS255" s="161" t="s">
        <v>286</v>
      </c>
      <c r="BT255" s="230" t="s">
        <v>287</v>
      </c>
      <c r="BU255" s="230"/>
      <c r="BV255" s="161" t="n">
        <v>1</v>
      </c>
      <c r="BW255" s="224" t="s">
        <v>1213</v>
      </c>
      <c r="BX255" s="0"/>
    </row>
    <row r="256" customFormat="false" ht="12.75" hidden="false" customHeight="false" outlineLevel="0" collapsed="false">
      <c r="A256" s="244"/>
      <c r="B256" s="245" t="e">
        <f aca="false">NextMonth(B255)</f>
        <v>#VALUE!</v>
      </c>
      <c r="C256" s="246" t="n">
        <v>0.0648915533568766</v>
      </c>
      <c r="D256" s="246" t="n">
        <v>0.65</v>
      </c>
      <c r="E256" s="246" t="n">
        <v>0.65</v>
      </c>
      <c r="F256" s="246" t="n">
        <v>0.1625</v>
      </c>
      <c r="G256" s="246" t="n">
        <v>0.17</v>
      </c>
      <c r="H256" s="246" t="n">
        <v>0.1775</v>
      </c>
      <c r="I256" s="247" t="n">
        <v>4.822</v>
      </c>
      <c r="J256" s="248" t="n">
        <v>4.827</v>
      </c>
      <c r="K256" s="248" t="n">
        <v>4.832</v>
      </c>
      <c r="L256" s="248" t="n">
        <v>0.435</v>
      </c>
      <c r="M256" s="248" t="n">
        <v>0.435</v>
      </c>
      <c r="N256" s="249" t="n">
        <v>0.02</v>
      </c>
      <c r="O256" s="249" t="n">
        <v>0.02</v>
      </c>
      <c r="P256" s="250"/>
      <c r="Q256" s="250"/>
      <c r="R256" s="251" t="e">
        <f aca="false">B256</f>
        <v>#VALUE!</v>
      </c>
      <c r="S256" s="252" t="n">
        <f aca="false">T256-$S$16</f>
        <v>0.58</v>
      </c>
      <c r="T256" s="243" t="n">
        <f aca="false">D256</f>
        <v>0.65</v>
      </c>
      <c r="U256" s="253" t="n">
        <f aca="false">$U$16+T256</f>
        <v>0.72</v>
      </c>
      <c r="BP256" s="226" t="n">
        <f aca="false">BP255+BV256</f>
        <v>255</v>
      </c>
      <c r="BQ256" s="227" t="s">
        <v>471</v>
      </c>
      <c r="BR256" s="224" t="s">
        <v>285</v>
      </c>
      <c r="BS256" s="161" t="s">
        <v>286</v>
      </c>
      <c r="BT256" s="230" t="s">
        <v>287</v>
      </c>
      <c r="BU256" s="230"/>
      <c r="BV256" s="161" t="n">
        <v>1</v>
      </c>
      <c r="BW256" s="224" t="s">
        <v>1214</v>
      </c>
      <c r="BX256" s="0"/>
    </row>
    <row r="257" customFormat="false" ht="12.75" hidden="false" customHeight="false" outlineLevel="0" collapsed="false">
      <c r="A257" s="244"/>
      <c r="B257" s="245" t="e">
        <f aca="false">NextMonth(B256)</f>
        <v>#VALUE!</v>
      </c>
      <c r="C257" s="246" t="n">
        <v>0.0649208203319707</v>
      </c>
      <c r="D257" s="246" t="n">
        <v>0.7</v>
      </c>
      <c r="E257" s="246" t="n">
        <v>0.7</v>
      </c>
      <c r="F257" s="246" t="n">
        <v>0.1625</v>
      </c>
      <c r="G257" s="246" t="n">
        <v>0.17</v>
      </c>
      <c r="H257" s="246" t="n">
        <v>0.1775</v>
      </c>
      <c r="I257" s="247" t="n">
        <v>4.845</v>
      </c>
      <c r="J257" s="248" t="n">
        <v>4.85</v>
      </c>
      <c r="K257" s="248" t="n">
        <v>4.855</v>
      </c>
      <c r="L257" s="248" t="n">
        <v>0.385</v>
      </c>
      <c r="M257" s="248" t="n">
        <v>0.385</v>
      </c>
      <c r="N257" s="249" t="n">
        <v>0.02</v>
      </c>
      <c r="O257" s="249" t="n">
        <v>0.02</v>
      </c>
      <c r="P257" s="250"/>
      <c r="Q257" s="250"/>
      <c r="R257" s="251" t="e">
        <f aca="false">B257</f>
        <v>#VALUE!</v>
      </c>
      <c r="S257" s="252" t="n">
        <f aca="false">T257-$S$16</f>
        <v>0.63</v>
      </c>
      <c r="T257" s="243" t="n">
        <f aca="false">D257</f>
        <v>0.7</v>
      </c>
      <c r="U257" s="253" t="n">
        <f aca="false">$U$16+T257</f>
        <v>0.77</v>
      </c>
      <c r="BP257" s="226" t="n">
        <f aca="false">BP256+BV257</f>
        <v>256</v>
      </c>
      <c r="BQ257" s="227" t="s">
        <v>475</v>
      </c>
      <c r="BR257" s="224" t="s">
        <v>285</v>
      </c>
      <c r="BS257" s="161" t="s">
        <v>286</v>
      </c>
      <c r="BT257" s="230" t="s">
        <v>287</v>
      </c>
      <c r="BU257" s="230"/>
      <c r="BV257" s="161" t="n">
        <v>1</v>
      </c>
      <c r="BW257" s="224" t="s">
        <v>1215</v>
      </c>
      <c r="BX257" s="0"/>
    </row>
    <row r="258" customFormat="false" ht="12.75" hidden="false" customHeight="false" outlineLevel="0" collapsed="false">
      <c r="A258" s="244"/>
      <c r="B258" s="245" t="e">
        <f aca="false">NextMonth(B257)</f>
        <v>#VALUE!</v>
      </c>
      <c r="C258" s="246" t="n">
        <v>0.0649194144431795</v>
      </c>
      <c r="D258" s="246" t="n">
        <v>0.7</v>
      </c>
      <c r="E258" s="246" t="n">
        <v>0.7</v>
      </c>
      <c r="F258" s="246" t="n">
        <v>0.1625</v>
      </c>
      <c r="G258" s="246" t="n">
        <v>0.17</v>
      </c>
      <c r="H258" s="246" t="n">
        <v>0.1775</v>
      </c>
      <c r="I258" s="247" t="n">
        <v>4.86</v>
      </c>
      <c r="J258" s="248" t="n">
        <v>4.865</v>
      </c>
      <c r="K258" s="248" t="n">
        <v>4.87</v>
      </c>
      <c r="L258" s="248" t="n">
        <v>0.385</v>
      </c>
      <c r="M258" s="248" t="n">
        <v>0.385</v>
      </c>
      <c r="N258" s="249" t="n">
        <v>0.02</v>
      </c>
      <c r="O258" s="249" t="n">
        <v>0.02</v>
      </c>
      <c r="P258" s="250"/>
      <c r="Q258" s="250"/>
      <c r="R258" s="251" t="e">
        <f aca="false">B258</f>
        <v>#VALUE!</v>
      </c>
      <c r="S258" s="252" t="n">
        <f aca="false">T258-$S$16</f>
        <v>0.63</v>
      </c>
      <c r="T258" s="243" t="n">
        <f aca="false">D258</f>
        <v>0.7</v>
      </c>
      <c r="U258" s="253" t="n">
        <f aca="false">$U$16+T258</f>
        <v>0.77</v>
      </c>
      <c r="BP258" s="226" t="n">
        <f aca="false">BP257+BV258</f>
        <v>257</v>
      </c>
      <c r="BQ258" s="227" t="s">
        <v>479</v>
      </c>
      <c r="BR258" s="224" t="s">
        <v>285</v>
      </c>
      <c r="BS258" s="161" t="s">
        <v>286</v>
      </c>
      <c r="BT258" s="230" t="s">
        <v>287</v>
      </c>
      <c r="BU258" s="230"/>
      <c r="BV258" s="161" t="n">
        <v>1</v>
      </c>
      <c r="BW258" s="224" t="s">
        <v>1216</v>
      </c>
      <c r="BX258" s="0"/>
    </row>
    <row r="259" customFormat="false" ht="12.75" hidden="false" customHeight="false" outlineLevel="0" collapsed="false">
      <c r="A259" s="244"/>
      <c r="B259" s="245" t="e">
        <f aca="false">NextMonth(B258)</f>
        <v>#VALUE!</v>
      </c>
      <c r="C259" s="246" t="n">
        <v>0.0649180539056404</v>
      </c>
      <c r="D259" s="246" t="n">
        <v>0.75</v>
      </c>
      <c r="E259" s="246" t="n">
        <v>0.75</v>
      </c>
      <c r="F259" s="246" t="n">
        <v>0.1625</v>
      </c>
      <c r="G259" s="246" t="n">
        <v>0.17</v>
      </c>
      <c r="H259" s="246" t="n">
        <v>0.1775</v>
      </c>
      <c r="I259" s="247" t="n">
        <v>4.889</v>
      </c>
      <c r="J259" s="248" t="n">
        <v>4.894</v>
      </c>
      <c r="K259" s="248" t="n">
        <v>4.899</v>
      </c>
      <c r="L259" s="248" t="n">
        <v>0.3975</v>
      </c>
      <c r="M259" s="248" t="n">
        <v>0.3975</v>
      </c>
      <c r="N259" s="249" t="n">
        <v>0.02</v>
      </c>
      <c r="O259" s="249" t="n">
        <v>0.02</v>
      </c>
      <c r="P259" s="250"/>
      <c r="Q259" s="250"/>
      <c r="R259" s="251" t="e">
        <f aca="false">B259</f>
        <v>#VALUE!</v>
      </c>
      <c r="S259" s="252" t="n">
        <f aca="false">T259-$S$16</f>
        <v>0.68</v>
      </c>
      <c r="T259" s="243" t="n">
        <f aca="false">D259</f>
        <v>0.75</v>
      </c>
      <c r="U259" s="253" t="n">
        <f aca="false">$U$16+T259</f>
        <v>0.82</v>
      </c>
      <c r="BP259" s="226" t="n">
        <f aca="false">BP258+BV259</f>
        <v>258</v>
      </c>
      <c r="BQ259" s="227" t="s">
        <v>483</v>
      </c>
      <c r="BR259" s="224" t="s">
        <v>285</v>
      </c>
      <c r="BS259" s="161" t="s">
        <v>286</v>
      </c>
      <c r="BT259" s="230" t="s">
        <v>287</v>
      </c>
      <c r="BU259" s="230"/>
      <c r="BV259" s="161" t="n">
        <v>1</v>
      </c>
      <c r="BW259" s="224" t="s">
        <v>1217</v>
      </c>
      <c r="BX259" s="0"/>
    </row>
    <row r="260" customFormat="false" ht="12.75" hidden="false" customHeight="false" outlineLevel="0" collapsed="false">
      <c r="A260" s="244"/>
      <c r="B260" s="245" t="e">
        <f aca="false">NextMonth(B259)</f>
        <v>#VALUE!</v>
      </c>
      <c r="C260" s="246" t="n">
        <v>0.0649166480168506</v>
      </c>
      <c r="D260" s="246" t="n">
        <v>0.95</v>
      </c>
      <c r="E260" s="246" t="n">
        <v>0.95</v>
      </c>
      <c r="F260" s="246" t="n">
        <v>0.1625</v>
      </c>
      <c r="G260" s="246" t="n">
        <v>0.17</v>
      </c>
      <c r="H260" s="246" t="n">
        <v>0.1775</v>
      </c>
      <c r="I260" s="247" t="n">
        <v>5.029</v>
      </c>
      <c r="J260" s="248" t="n">
        <v>5.034</v>
      </c>
      <c r="K260" s="248" t="n">
        <v>5.039</v>
      </c>
      <c r="L260" s="248" t="n">
        <v>0.4</v>
      </c>
      <c r="M260" s="248" t="n">
        <v>0.4</v>
      </c>
      <c r="N260" s="249" t="n">
        <v>0.02</v>
      </c>
      <c r="O260" s="249" t="n">
        <v>0.02</v>
      </c>
      <c r="P260" s="250"/>
      <c r="Q260" s="250"/>
      <c r="R260" s="251" t="e">
        <f aca="false">B260</f>
        <v>#VALUE!</v>
      </c>
      <c r="S260" s="252" t="n">
        <f aca="false">T260-$S$16</f>
        <v>0.88</v>
      </c>
      <c r="T260" s="243" t="n">
        <f aca="false">D260</f>
        <v>0.95</v>
      </c>
      <c r="U260" s="253" t="n">
        <f aca="false">$U$16+T260</f>
        <v>1.02</v>
      </c>
      <c r="BP260" s="226" t="n">
        <f aca="false">BP259+BV260</f>
        <v>259</v>
      </c>
      <c r="BQ260" s="227" t="s">
        <v>487</v>
      </c>
      <c r="BR260" s="224" t="s">
        <v>285</v>
      </c>
      <c r="BS260" s="161" t="s">
        <v>286</v>
      </c>
      <c r="BT260" s="230" t="s">
        <v>287</v>
      </c>
      <c r="BU260" s="230"/>
      <c r="BV260" s="161" t="n">
        <v>1</v>
      </c>
      <c r="BW260" s="224" t="s">
        <v>1218</v>
      </c>
      <c r="BX260" s="0"/>
    </row>
    <row r="261" customFormat="false" ht="12.75" hidden="false" customHeight="false" outlineLevel="0" collapsed="false">
      <c r="A261" s="244"/>
      <c r="B261" s="245" t="e">
        <f aca="false">NextMonth(B260)</f>
        <v>#VALUE!</v>
      </c>
      <c r="C261" s="246" t="n">
        <v>0.0649152874793124</v>
      </c>
      <c r="D261" s="246" t="n">
        <v>1.15</v>
      </c>
      <c r="E261" s="246" t="n">
        <v>1.15</v>
      </c>
      <c r="F261" s="246" t="n">
        <v>0.1625</v>
      </c>
      <c r="G261" s="246" t="n">
        <v>0.17</v>
      </c>
      <c r="H261" s="246" t="n">
        <v>0.1775</v>
      </c>
      <c r="I261" s="247" t="n">
        <v>5.178</v>
      </c>
      <c r="J261" s="248" t="n">
        <v>5.183</v>
      </c>
      <c r="K261" s="248" t="n">
        <v>5.188</v>
      </c>
      <c r="L261" s="248" t="n">
        <v>0.3975</v>
      </c>
      <c r="M261" s="248" t="n">
        <v>0.3975</v>
      </c>
      <c r="N261" s="249" t="n">
        <v>0.02</v>
      </c>
      <c r="O261" s="249" t="n">
        <v>0.02</v>
      </c>
      <c r="P261" s="250"/>
      <c r="Q261" s="250"/>
      <c r="R261" s="251" t="e">
        <f aca="false">B261</f>
        <v>#VALUE!</v>
      </c>
      <c r="S261" s="252" t="n">
        <f aca="false">T261-$S$16</f>
        <v>1.08</v>
      </c>
      <c r="T261" s="243" t="n">
        <f aca="false">D261</f>
        <v>1.15</v>
      </c>
      <c r="U261" s="253" t="n">
        <f aca="false">$U$16+T261</f>
        <v>1.22</v>
      </c>
      <c r="BP261" s="226" t="n">
        <f aca="false">BP260+BV261</f>
        <v>260</v>
      </c>
      <c r="BQ261" s="227" t="s">
        <v>491</v>
      </c>
      <c r="BR261" s="224" t="s">
        <v>285</v>
      </c>
      <c r="BS261" s="161" t="s">
        <v>286</v>
      </c>
      <c r="BT261" s="230" t="s">
        <v>287</v>
      </c>
      <c r="BU261" s="230"/>
      <c r="BV261" s="161" t="n">
        <v>1</v>
      </c>
      <c r="BW261" s="224" t="s">
        <v>1219</v>
      </c>
      <c r="BX261" s="0"/>
    </row>
    <row r="262" customFormat="false" ht="12.75" hidden="false" customHeight="false" outlineLevel="0" collapsed="false">
      <c r="A262" s="244"/>
      <c r="B262" s="245" t="e">
        <f aca="false">NextMonth(B261)</f>
        <v>#VALUE!</v>
      </c>
      <c r="C262" s="246" t="n">
        <v>0.0649138815905239</v>
      </c>
      <c r="D262" s="246" t="n">
        <v>0.15</v>
      </c>
      <c r="E262" s="246" t="n">
        <v>0.15</v>
      </c>
      <c r="F262" s="246" t="n">
        <v>0.1625</v>
      </c>
      <c r="G262" s="246" t="n">
        <v>0.17</v>
      </c>
      <c r="H262" s="246" t="n">
        <v>0.1775</v>
      </c>
      <c r="I262" s="247" t="n">
        <v>5.297</v>
      </c>
      <c r="J262" s="248" t="n">
        <v>5.302</v>
      </c>
      <c r="K262" s="248" t="n">
        <v>5.307</v>
      </c>
      <c r="L262" s="248" t="n">
        <v>0.4</v>
      </c>
      <c r="M262" s="248" t="n">
        <v>0.4</v>
      </c>
      <c r="N262" s="249" t="n">
        <v>0.02</v>
      </c>
      <c r="O262" s="249" t="n">
        <v>0.02</v>
      </c>
      <c r="P262" s="250"/>
      <c r="Q262" s="250"/>
      <c r="R262" s="251" t="e">
        <f aca="false">B262</f>
        <v>#VALUE!</v>
      </c>
      <c r="S262" s="252" t="n">
        <f aca="false">T262-$S$16</f>
        <v>0.08</v>
      </c>
      <c r="T262" s="243" t="n">
        <f aca="false">D262</f>
        <v>0.15</v>
      </c>
      <c r="U262" s="253" t="n">
        <f aca="false">$U$16+T262</f>
        <v>0.22</v>
      </c>
      <c r="BP262" s="226" t="n">
        <f aca="false">BP261+BV262</f>
        <v>261</v>
      </c>
      <c r="BQ262" s="227" t="s">
        <v>495</v>
      </c>
      <c r="BR262" s="224" t="s">
        <v>285</v>
      </c>
      <c r="BS262" s="161" t="s">
        <v>286</v>
      </c>
      <c r="BT262" s="230" t="s">
        <v>287</v>
      </c>
      <c r="BU262" s="230"/>
      <c r="BV262" s="161" t="n">
        <v>1</v>
      </c>
      <c r="BW262" s="224" t="s">
        <v>1220</v>
      </c>
      <c r="BX262" s="0"/>
    </row>
    <row r="263" customFormat="false" ht="12.75" hidden="false" customHeight="false" outlineLevel="0" collapsed="false">
      <c r="A263" s="244"/>
      <c r="B263" s="245" t="e">
        <f aca="false">NextMonth(B262)</f>
        <v>#VALUE!</v>
      </c>
      <c r="C263" s="246" t="n">
        <v>0.0649124757017359</v>
      </c>
      <c r="D263" s="246" t="n">
        <v>0.15</v>
      </c>
      <c r="E263" s="246" t="n">
        <v>0.15</v>
      </c>
      <c r="F263" s="246" t="n">
        <v>0.1625</v>
      </c>
      <c r="G263" s="246" t="n">
        <v>0.17</v>
      </c>
      <c r="H263" s="246" t="n">
        <v>0.1775</v>
      </c>
      <c r="I263" s="247" t="n">
        <v>5.184</v>
      </c>
      <c r="J263" s="248" t="n">
        <v>5.189</v>
      </c>
      <c r="K263" s="248" t="n">
        <v>5.194</v>
      </c>
      <c r="L263" s="248" t="n">
        <v>0.645</v>
      </c>
      <c r="M263" s="248" t="n">
        <v>0.645</v>
      </c>
      <c r="N263" s="249" t="n">
        <v>0.05</v>
      </c>
      <c r="O263" s="249" t="n">
        <v>0.05</v>
      </c>
      <c r="P263" s="250"/>
      <c r="Q263" s="250"/>
      <c r="R263" s="251" t="e">
        <f aca="false">B263</f>
        <v>#VALUE!</v>
      </c>
      <c r="S263" s="252" t="n">
        <f aca="false">T263-$S$16</f>
        <v>0.08</v>
      </c>
      <c r="T263" s="243" t="n">
        <f aca="false">D263</f>
        <v>0.15</v>
      </c>
      <c r="U263" s="253" t="n">
        <f aca="false">$U$16+T263</f>
        <v>0.22</v>
      </c>
      <c r="BP263" s="226" t="n">
        <f aca="false">BP262+BV263</f>
        <v>262</v>
      </c>
      <c r="BQ263" s="227" t="s">
        <v>499</v>
      </c>
      <c r="BR263" s="224" t="s">
        <v>285</v>
      </c>
      <c r="BS263" s="161" t="s">
        <v>286</v>
      </c>
      <c r="BT263" s="230" t="s">
        <v>287</v>
      </c>
      <c r="BU263" s="230"/>
      <c r="BV263" s="161" t="n">
        <v>1</v>
      </c>
      <c r="BW263" s="224" t="s">
        <v>1221</v>
      </c>
      <c r="BX263" s="0"/>
    </row>
    <row r="264" customFormat="false" ht="12.75" hidden="false" customHeight="false" outlineLevel="0" collapsed="false">
      <c r="A264" s="244"/>
      <c r="B264" s="245" t="e">
        <f aca="false">NextMonth(B263)</f>
        <v>#VALUE!</v>
      </c>
      <c r="C264" s="246" t="n">
        <v>0.0649112058667018</v>
      </c>
      <c r="D264" s="246" t="n">
        <v>0.15</v>
      </c>
      <c r="E264" s="246" t="n">
        <v>0.15</v>
      </c>
      <c r="F264" s="246" t="n">
        <v>0.1625</v>
      </c>
      <c r="G264" s="246" t="n">
        <v>0.17</v>
      </c>
      <c r="H264" s="246" t="n">
        <v>0.1775</v>
      </c>
      <c r="I264" s="247" t="n">
        <v>5.051</v>
      </c>
      <c r="J264" s="248" t="n">
        <v>5.056</v>
      </c>
      <c r="K264" s="248" t="n">
        <v>5.061</v>
      </c>
      <c r="L264" s="248" t="n">
        <v>0.98</v>
      </c>
      <c r="M264" s="248" t="n">
        <v>0.98</v>
      </c>
      <c r="N264" s="249" t="n">
        <v>0.05</v>
      </c>
      <c r="O264" s="249" t="n">
        <v>0.05</v>
      </c>
      <c r="P264" s="250"/>
      <c r="Q264" s="250"/>
      <c r="R264" s="251" t="e">
        <f aca="false">B264</f>
        <v>#VALUE!</v>
      </c>
      <c r="S264" s="252" t="n">
        <f aca="false">T264-$S$16</f>
        <v>0.08</v>
      </c>
      <c r="T264" s="243" t="n">
        <f aca="false">D264</f>
        <v>0.15</v>
      </c>
      <c r="U264" s="253" t="n">
        <f aca="false">$U$16+T264</f>
        <v>0.22</v>
      </c>
      <c r="BP264" s="226" t="n">
        <f aca="false">BP263+BV264</f>
        <v>263</v>
      </c>
      <c r="BQ264" s="227" t="s">
        <v>503</v>
      </c>
      <c r="BR264" s="224" t="s">
        <v>285</v>
      </c>
      <c r="BS264" s="161" t="s">
        <v>286</v>
      </c>
      <c r="BT264" s="230" t="s">
        <v>287</v>
      </c>
      <c r="BU264" s="230"/>
      <c r="BV264" s="161" t="n">
        <v>1</v>
      </c>
      <c r="BW264" s="224" t="s">
        <v>1222</v>
      </c>
      <c r="BX264" s="0"/>
    </row>
    <row r="265" customFormat="false" ht="12.75" hidden="false" customHeight="false" outlineLevel="0" collapsed="false">
      <c r="A265" s="244"/>
      <c r="B265" s="245" t="e">
        <f aca="false">NextMonth(B264)</f>
        <v>#VALUE!</v>
      </c>
      <c r="C265" s="246" t="n">
        <v>0.0649097999779151</v>
      </c>
      <c r="D265" s="246" t="n">
        <v>0.15</v>
      </c>
      <c r="E265" s="246" t="n">
        <v>0.15</v>
      </c>
      <c r="F265" s="246" t="n">
        <v>0.1625</v>
      </c>
      <c r="G265" s="246" t="n">
        <v>0.17</v>
      </c>
      <c r="H265" s="246" t="n">
        <v>0.1775</v>
      </c>
      <c r="I265" s="247" t="n">
        <v>4.831</v>
      </c>
      <c r="J265" s="248" t="n">
        <v>4.836</v>
      </c>
      <c r="K265" s="248" t="n">
        <v>4.841</v>
      </c>
      <c r="L265" s="248" t="n">
        <v>1.205</v>
      </c>
      <c r="M265" s="248" t="n">
        <v>1.205</v>
      </c>
      <c r="N265" s="249" t="n">
        <v>0.05</v>
      </c>
      <c r="O265" s="249" t="n">
        <v>0.05</v>
      </c>
      <c r="P265" s="250"/>
      <c r="Q265" s="250"/>
      <c r="R265" s="251" t="e">
        <f aca="false">B265</f>
        <v>#VALUE!</v>
      </c>
      <c r="S265" s="252" t="n">
        <f aca="false">T265-$S$16</f>
        <v>0.08</v>
      </c>
      <c r="T265" s="243" t="n">
        <f aca="false">D265</f>
        <v>0.15</v>
      </c>
      <c r="U265" s="253" t="n">
        <f aca="false">$U$16+T265</f>
        <v>0.22</v>
      </c>
      <c r="BP265" s="226" t="n">
        <f aca="false">BP264+BV265</f>
        <v>264</v>
      </c>
      <c r="BQ265" s="227" t="s">
        <v>507</v>
      </c>
      <c r="BR265" s="224" t="s">
        <v>285</v>
      </c>
      <c r="BS265" s="161" t="s">
        <v>286</v>
      </c>
      <c r="BT265" s="230" t="s">
        <v>287</v>
      </c>
      <c r="BU265" s="230"/>
      <c r="BV265" s="161" t="n">
        <v>1</v>
      </c>
      <c r="BW265" s="224" t="s">
        <v>1223</v>
      </c>
      <c r="BX265" s="0"/>
    </row>
    <row r="266" customFormat="false" ht="12.75" hidden="false" customHeight="false" outlineLevel="0" collapsed="false">
      <c r="A266" s="244"/>
      <c r="B266" s="245" t="e">
        <f aca="false">NextMonth(B265)</f>
        <v>#VALUE!</v>
      </c>
      <c r="C266" s="246" t="n">
        <v>0.0649084394403805</v>
      </c>
      <c r="D266" s="246" t="n">
        <v>0.15</v>
      </c>
      <c r="E266" s="246" t="n">
        <v>0.15</v>
      </c>
      <c r="F266" s="246" t="n">
        <v>0.1625</v>
      </c>
      <c r="G266" s="246" t="n">
        <v>0.17</v>
      </c>
      <c r="H266" s="246" t="n">
        <v>0.1775</v>
      </c>
      <c r="I266" s="247" t="n">
        <v>4.821</v>
      </c>
      <c r="J266" s="248" t="n">
        <v>4.826</v>
      </c>
      <c r="K266" s="248" t="n">
        <v>4.831</v>
      </c>
      <c r="L266" s="248" t="n">
        <v>1.205</v>
      </c>
      <c r="M266" s="248" t="n">
        <v>1.205</v>
      </c>
      <c r="N266" s="249" t="n">
        <v>0.05</v>
      </c>
      <c r="O266" s="249" t="n">
        <v>0.05</v>
      </c>
      <c r="P266" s="250"/>
      <c r="Q266" s="250"/>
      <c r="R266" s="251" t="e">
        <f aca="false">B266</f>
        <v>#VALUE!</v>
      </c>
      <c r="S266" s="252" t="n">
        <f aca="false">T266-$S$16</f>
        <v>0.08</v>
      </c>
      <c r="T266" s="243" t="n">
        <f aca="false">D266</f>
        <v>0.15</v>
      </c>
      <c r="U266" s="253" t="n">
        <f aca="false">$U$16+T266</f>
        <v>0.22</v>
      </c>
      <c r="BP266" s="226" t="n">
        <f aca="false">BP265+BV266</f>
        <v>265</v>
      </c>
      <c r="BQ266" s="227" t="s">
        <v>511</v>
      </c>
      <c r="BR266" s="224" t="s">
        <v>285</v>
      </c>
      <c r="BS266" s="161" t="s">
        <v>286</v>
      </c>
      <c r="BT266" s="230" t="s">
        <v>287</v>
      </c>
      <c r="BU266" s="230"/>
      <c r="BV266" s="161" t="n">
        <v>1</v>
      </c>
      <c r="BW266" s="224" t="s">
        <v>1224</v>
      </c>
      <c r="BX266" s="0"/>
    </row>
    <row r="267" customFormat="false" ht="12.75" hidden="false" customHeight="false" outlineLevel="0" collapsed="false">
      <c r="A267" s="244"/>
      <c r="B267" s="245" t="e">
        <f aca="false">NextMonth(B266)</f>
        <v>#VALUE!</v>
      </c>
      <c r="C267" s="246" t="n">
        <v>0.0649070335515951</v>
      </c>
      <c r="D267" s="246" t="n">
        <v>0.15</v>
      </c>
      <c r="E267" s="246" t="n">
        <v>0.15</v>
      </c>
      <c r="F267" s="246" t="n">
        <v>0.1625</v>
      </c>
      <c r="G267" s="246" t="n">
        <v>0.17</v>
      </c>
      <c r="H267" s="246" t="n">
        <v>0.1775</v>
      </c>
      <c r="I267" s="247" t="n">
        <v>4.857</v>
      </c>
      <c r="J267" s="248" t="n">
        <v>4.862</v>
      </c>
      <c r="K267" s="248" t="n">
        <v>4.867</v>
      </c>
      <c r="L267" s="248" t="n">
        <v>0.815</v>
      </c>
      <c r="M267" s="248" t="n">
        <v>0.815</v>
      </c>
      <c r="N267" s="249" t="n">
        <v>0.05</v>
      </c>
      <c r="O267" s="249" t="n">
        <v>0.05</v>
      </c>
      <c r="P267" s="250"/>
      <c r="Q267" s="250"/>
      <c r="R267" s="251" t="e">
        <f aca="false">B267</f>
        <v>#VALUE!</v>
      </c>
      <c r="S267" s="252" t="n">
        <f aca="false">T267-$S$16</f>
        <v>0.08</v>
      </c>
      <c r="T267" s="243" t="n">
        <f aca="false">D267</f>
        <v>0.15</v>
      </c>
      <c r="U267" s="253" t="n">
        <f aca="false">$U$16+T267</f>
        <v>0.22</v>
      </c>
      <c r="BP267" s="226" t="n">
        <f aca="false">BP266+BV267</f>
        <v>266</v>
      </c>
      <c r="BQ267" s="227" t="s">
        <v>515</v>
      </c>
      <c r="BR267" s="224" t="s">
        <v>285</v>
      </c>
      <c r="BS267" s="161" t="s">
        <v>286</v>
      </c>
      <c r="BT267" s="230" t="s">
        <v>287</v>
      </c>
      <c r="BU267" s="230"/>
      <c r="BV267" s="161" t="n">
        <v>1</v>
      </c>
      <c r="BW267" s="224" t="s">
        <v>1225</v>
      </c>
      <c r="BX267" s="0"/>
    </row>
    <row r="268" customFormat="false" ht="12.75" hidden="false" customHeight="false" outlineLevel="0" collapsed="false">
      <c r="A268" s="244"/>
      <c r="B268" s="245" t="e">
        <f aca="false">NextMonth(B267)</f>
        <v>#VALUE!</v>
      </c>
      <c r="C268" s="246" t="n">
        <v>0.0649056730140614</v>
      </c>
      <c r="D268" s="246" t="n">
        <v>0.15</v>
      </c>
      <c r="E268" s="246" t="n">
        <v>0.15</v>
      </c>
      <c r="F268" s="246" t="n">
        <v>0.1625</v>
      </c>
      <c r="G268" s="246" t="n">
        <v>0.17</v>
      </c>
      <c r="H268" s="246" t="n">
        <v>0.1775</v>
      </c>
      <c r="I268" s="247" t="n">
        <v>4.907</v>
      </c>
      <c r="J268" s="248" t="n">
        <v>4.912</v>
      </c>
      <c r="K268" s="248" t="n">
        <v>4.917</v>
      </c>
      <c r="L268" s="248" t="n">
        <v>0.435</v>
      </c>
      <c r="M268" s="248" t="n">
        <v>0.435</v>
      </c>
      <c r="N268" s="249" t="n">
        <v>0.02</v>
      </c>
      <c r="O268" s="249" t="n">
        <v>0.02</v>
      </c>
      <c r="P268" s="250"/>
      <c r="Q268" s="250"/>
      <c r="R268" s="251" t="e">
        <f aca="false">B268</f>
        <v>#VALUE!</v>
      </c>
      <c r="S268" s="252" t="n">
        <f aca="false">T268-$S$16</f>
        <v>0.08</v>
      </c>
      <c r="T268" s="243" t="n">
        <f aca="false">D268</f>
        <v>0.15</v>
      </c>
      <c r="U268" s="253" t="n">
        <f aca="false">$U$16+T268</f>
        <v>0.22</v>
      </c>
      <c r="BP268" s="226" t="n">
        <f aca="false">BP267+BV268</f>
        <v>267</v>
      </c>
      <c r="BQ268" s="227" t="s">
        <v>519</v>
      </c>
      <c r="BR268" s="224" t="s">
        <v>285</v>
      </c>
      <c r="BS268" s="161" t="s">
        <v>286</v>
      </c>
      <c r="BT268" s="230" t="s">
        <v>287</v>
      </c>
      <c r="BU268" s="230"/>
      <c r="BV268" s="161" t="n">
        <v>1</v>
      </c>
      <c r="BW268" s="224" t="s">
        <v>1226</v>
      </c>
      <c r="BX268" s="0"/>
    </row>
    <row r="269" customFormat="false" ht="12.75" hidden="false" customHeight="false" outlineLevel="0" collapsed="false">
      <c r="A269" s="244"/>
      <c r="B269" s="245" t="e">
        <f aca="false">NextMonth(B268)</f>
        <v>#VALUE!</v>
      </c>
      <c r="C269" s="246" t="n">
        <v>0.0649042671252769</v>
      </c>
      <c r="D269" s="246" t="n">
        <v>0.15</v>
      </c>
      <c r="E269" s="246" t="n">
        <v>0.15</v>
      </c>
      <c r="F269" s="246" t="n">
        <v>0.1625</v>
      </c>
      <c r="G269" s="246" t="n">
        <v>0.17</v>
      </c>
      <c r="H269" s="246" t="n">
        <v>0.1775</v>
      </c>
      <c r="I269" s="247" t="n">
        <v>4.93</v>
      </c>
      <c r="J269" s="248" t="n">
        <v>4.935</v>
      </c>
      <c r="K269" s="248" t="n">
        <v>4.94</v>
      </c>
      <c r="L269" s="248" t="n">
        <v>0.385</v>
      </c>
      <c r="M269" s="248" t="n">
        <v>0.385</v>
      </c>
      <c r="N269" s="249" t="n">
        <v>0.02</v>
      </c>
      <c r="O269" s="249" t="n">
        <v>0.02</v>
      </c>
      <c r="P269" s="250"/>
      <c r="Q269" s="250"/>
      <c r="R269" s="251" t="e">
        <f aca="false">B269</f>
        <v>#VALUE!</v>
      </c>
      <c r="S269" s="252" t="n">
        <f aca="false">T269-$S$16</f>
        <v>0.08</v>
      </c>
      <c r="T269" s="243" t="n">
        <f aca="false">D269</f>
        <v>0.15</v>
      </c>
      <c r="U269" s="253" t="n">
        <f aca="false">$U$16+T269</f>
        <v>0.22</v>
      </c>
      <c r="BP269" s="226" t="n">
        <f aca="false">BP268+BV269</f>
        <v>268</v>
      </c>
      <c r="BQ269" s="227" t="s">
        <v>522</v>
      </c>
      <c r="BR269" s="224" t="s">
        <v>285</v>
      </c>
      <c r="BS269" s="161" t="s">
        <v>286</v>
      </c>
      <c r="BT269" s="230" t="s">
        <v>287</v>
      </c>
      <c r="BU269" s="230"/>
      <c r="BV269" s="161" t="n">
        <v>1</v>
      </c>
      <c r="BW269" s="224" t="s">
        <v>1227</v>
      </c>
      <c r="BX269" s="0"/>
    </row>
    <row r="270" customFormat="false" ht="12.75" hidden="false" customHeight="false" outlineLevel="0" collapsed="false">
      <c r="A270" s="244"/>
      <c r="B270" s="245" t="e">
        <f aca="false">NextMonth(B269)</f>
        <v>#VALUE!</v>
      </c>
      <c r="C270" s="246" t="n">
        <v>0.0649028612364937</v>
      </c>
      <c r="D270" s="246" t="n">
        <v>0.15</v>
      </c>
      <c r="E270" s="246" t="n">
        <v>0.15</v>
      </c>
      <c r="F270" s="246" t="n">
        <v>0.1625</v>
      </c>
      <c r="G270" s="246" t="n">
        <v>0.17</v>
      </c>
      <c r="H270" s="246" t="n">
        <v>0.1775</v>
      </c>
      <c r="I270" s="247" t="n">
        <v>4.945</v>
      </c>
      <c r="J270" s="248" t="n">
        <v>4.95</v>
      </c>
      <c r="K270" s="248" t="n">
        <v>4.955</v>
      </c>
      <c r="L270" s="248" t="n">
        <v>0.385</v>
      </c>
      <c r="M270" s="248" t="n">
        <v>0.385</v>
      </c>
      <c r="N270" s="249" t="n">
        <v>0.02</v>
      </c>
      <c r="O270" s="249" t="n">
        <v>0.02</v>
      </c>
      <c r="P270" s="250"/>
      <c r="Q270" s="250"/>
      <c r="R270" s="251" t="e">
        <f aca="false">B270</f>
        <v>#VALUE!</v>
      </c>
      <c r="S270" s="252" t="n">
        <f aca="false">T270-$S$16</f>
        <v>0.08</v>
      </c>
      <c r="T270" s="243" t="n">
        <f aca="false">D270</f>
        <v>0.15</v>
      </c>
      <c r="U270" s="253" t="n">
        <f aca="false">$U$16+T270</f>
        <v>0.22</v>
      </c>
      <c r="BP270" s="226" t="n">
        <f aca="false">BP269+BV270</f>
        <v>269</v>
      </c>
      <c r="BQ270" s="227" t="s">
        <v>525</v>
      </c>
      <c r="BR270" s="224" t="s">
        <v>285</v>
      </c>
      <c r="BS270" s="161" t="s">
        <v>286</v>
      </c>
      <c r="BT270" s="230" t="s">
        <v>287</v>
      </c>
      <c r="BU270" s="230"/>
      <c r="BV270" s="161" t="n">
        <v>1</v>
      </c>
      <c r="BW270" s="224" t="s">
        <v>1228</v>
      </c>
      <c r="BX270" s="0"/>
    </row>
    <row r="271" customFormat="false" ht="12.75" hidden="false" customHeight="false" outlineLevel="0" collapsed="false">
      <c r="A271" s="244"/>
      <c r="B271" s="245" t="e">
        <f aca="false">NextMonth(B270)</f>
        <v>#VALUE!</v>
      </c>
      <c r="C271" s="246" t="n">
        <v>0.0649015006989622</v>
      </c>
      <c r="D271" s="246" t="n">
        <v>0.15</v>
      </c>
      <c r="E271" s="246" t="n">
        <v>0.15</v>
      </c>
      <c r="F271" s="246" t="n">
        <v>0.1625</v>
      </c>
      <c r="G271" s="246" t="n">
        <v>0.17</v>
      </c>
      <c r="H271" s="246" t="n">
        <v>0.1775</v>
      </c>
      <c r="I271" s="247" t="n">
        <v>4.974</v>
      </c>
      <c r="J271" s="248" t="n">
        <v>4.979</v>
      </c>
      <c r="K271" s="248" t="n">
        <v>4.984</v>
      </c>
      <c r="L271" s="248" t="n">
        <v>0.3975</v>
      </c>
      <c r="M271" s="248" t="n">
        <v>0.3975</v>
      </c>
      <c r="N271" s="249" t="n">
        <v>0.02</v>
      </c>
      <c r="O271" s="249" t="n">
        <v>0.02</v>
      </c>
      <c r="P271" s="250"/>
      <c r="Q271" s="250"/>
      <c r="R271" s="251" t="e">
        <f aca="false">B271</f>
        <v>#VALUE!</v>
      </c>
      <c r="S271" s="252" t="n">
        <f aca="false">T271-$S$16</f>
        <v>0.08</v>
      </c>
      <c r="T271" s="243" t="n">
        <f aca="false">D271</f>
        <v>0.15</v>
      </c>
      <c r="U271" s="253" t="n">
        <f aca="false">$U$16+T271</f>
        <v>0.22</v>
      </c>
      <c r="BP271" s="226" t="n">
        <f aca="false">BP270+BV271</f>
        <v>270</v>
      </c>
      <c r="BQ271" s="227" t="s">
        <v>529</v>
      </c>
      <c r="BR271" s="224" t="s">
        <v>285</v>
      </c>
      <c r="BS271" s="161" t="s">
        <v>286</v>
      </c>
      <c r="BT271" s="230" t="s">
        <v>287</v>
      </c>
      <c r="BU271" s="230"/>
      <c r="BV271" s="161" t="n">
        <v>1</v>
      </c>
      <c r="BW271" s="224" t="s">
        <v>1229</v>
      </c>
      <c r="BX271" s="0"/>
    </row>
    <row r="272" customFormat="false" ht="12.75" hidden="false" customHeight="false" outlineLevel="0" collapsed="false">
      <c r="A272" s="244"/>
      <c r="B272" s="245" t="e">
        <f aca="false">NextMonth(B271)</f>
        <v>#VALUE!</v>
      </c>
      <c r="C272" s="246" t="n">
        <v>0.0649000948101799</v>
      </c>
      <c r="D272" s="246" t="n">
        <v>0.15</v>
      </c>
      <c r="E272" s="246" t="n">
        <v>0.15</v>
      </c>
      <c r="F272" s="246" t="n">
        <v>0.1625</v>
      </c>
      <c r="G272" s="246" t="n">
        <v>0.17</v>
      </c>
      <c r="H272" s="246" t="n">
        <v>0.1775</v>
      </c>
      <c r="I272" s="247" t="n">
        <v>5.114</v>
      </c>
      <c r="J272" s="248" t="n">
        <v>5.119</v>
      </c>
      <c r="K272" s="248" t="n">
        <v>5.124</v>
      </c>
      <c r="L272" s="248" t="n">
        <v>0.4</v>
      </c>
      <c r="M272" s="248" t="n">
        <v>0.4</v>
      </c>
      <c r="N272" s="249" t="n">
        <v>0.02</v>
      </c>
      <c r="O272" s="249" t="n">
        <v>0.02</v>
      </c>
      <c r="P272" s="250"/>
      <c r="Q272" s="250"/>
      <c r="R272" s="251" t="e">
        <f aca="false">B272</f>
        <v>#VALUE!</v>
      </c>
      <c r="S272" s="252" t="n">
        <f aca="false">T272-$S$16</f>
        <v>0.08</v>
      </c>
      <c r="T272" s="243" t="n">
        <f aca="false">D272</f>
        <v>0.15</v>
      </c>
      <c r="U272" s="253" t="n">
        <f aca="false">$U$16+T272</f>
        <v>0.22</v>
      </c>
      <c r="BP272" s="226" t="n">
        <f aca="false">BP271+BV272</f>
        <v>271</v>
      </c>
      <c r="BQ272" s="227" t="s">
        <v>533</v>
      </c>
      <c r="BR272" s="224" t="s">
        <v>285</v>
      </c>
      <c r="BS272" s="161" t="s">
        <v>286</v>
      </c>
      <c r="BT272" s="230" t="s">
        <v>287</v>
      </c>
      <c r="BU272" s="230"/>
      <c r="BV272" s="161" t="n">
        <v>1</v>
      </c>
      <c r="BW272" s="224" t="s">
        <v>1230</v>
      </c>
      <c r="BX272" s="0"/>
    </row>
    <row r="273" customFormat="false" ht="12.75" hidden="false" customHeight="false" outlineLevel="0" collapsed="false">
      <c r="A273" s="244"/>
      <c r="B273" s="245" t="e">
        <f aca="false">NextMonth(B272)</f>
        <v>#VALUE!</v>
      </c>
      <c r="C273" s="246" t="n">
        <v>0.06345812227808</v>
      </c>
      <c r="D273" s="246" t="n">
        <v>0.5</v>
      </c>
      <c r="E273" s="246" t="n">
        <v>0.5</v>
      </c>
      <c r="F273" s="246" t="n">
        <v>0.1625</v>
      </c>
      <c r="G273" s="246" t="n">
        <v>0.17</v>
      </c>
      <c r="H273" s="246" t="n">
        <v>0.1775</v>
      </c>
      <c r="I273" s="247" t="n">
        <v>5.19</v>
      </c>
      <c r="J273" s="248" t="n">
        <v>5.195</v>
      </c>
      <c r="K273" s="248" t="n">
        <v>5.2</v>
      </c>
      <c r="L273" s="248" t="n">
        <v>0.0699681</v>
      </c>
      <c r="M273" s="248" t="n">
        <v>0.0699681</v>
      </c>
      <c r="N273" s="249" t="n">
        <v>0</v>
      </c>
      <c r="O273" s="249" t="n">
        <v>0</v>
      </c>
      <c r="P273" s="250"/>
      <c r="Q273" s="250"/>
      <c r="R273" s="251" t="e">
        <f aca="false">B273</f>
        <v>#VALUE!</v>
      </c>
      <c r="S273" s="252" t="n">
        <f aca="false">T273-$S$16</f>
        <v>0.43</v>
      </c>
      <c r="T273" s="243" t="n">
        <f aca="false">D273</f>
        <v>0.5</v>
      </c>
      <c r="U273" s="253" t="n">
        <f aca="false">$U$16+T273</f>
        <v>0.57</v>
      </c>
      <c r="BP273" s="226" t="n">
        <f aca="false">BP272+BV273</f>
        <v>272</v>
      </c>
      <c r="BQ273" s="227" t="s">
        <v>537</v>
      </c>
      <c r="BR273" s="224" t="s">
        <v>285</v>
      </c>
      <c r="BS273" s="161" t="s">
        <v>286</v>
      </c>
      <c r="BT273" s="230" t="s">
        <v>287</v>
      </c>
      <c r="BU273" s="230"/>
      <c r="BV273" s="161" t="n">
        <v>1</v>
      </c>
      <c r="BW273" s="224" t="s">
        <v>1231</v>
      </c>
      <c r="BX273" s="0"/>
    </row>
    <row r="274" customFormat="false" ht="12.75" hidden="false" customHeight="false" outlineLevel="0" collapsed="false">
      <c r="A274" s="244"/>
      <c r="B274" s="245" t="e">
        <f aca="false">NextMonth(B273)</f>
        <v>#VALUE!</v>
      </c>
      <c r="C274" s="246" t="n">
        <v>0.063478870048426</v>
      </c>
      <c r="D274" s="246" t="n">
        <v>0.5</v>
      </c>
      <c r="E274" s="246" t="n">
        <v>0.5</v>
      </c>
      <c r="F274" s="246" t="n">
        <v>0.1625</v>
      </c>
      <c r="G274" s="246" t="n">
        <v>0.17</v>
      </c>
      <c r="H274" s="246" t="n">
        <v>0.1775</v>
      </c>
      <c r="I274" s="247" t="n">
        <v>5.21</v>
      </c>
      <c r="J274" s="248" t="n">
        <v>5.215</v>
      </c>
      <c r="K274" s="248" t="n">
        <v>5.22</v>
      </c>
      <c r="L274" s="248" t="n">
        <v>0.0699681</v>
      </c>
      <c r="M274" s="248" t="n">
        <v>0.0699681</v>
      </c>
      <c r="N274" s="249" t="n">
        <v>0</v>
      </c>
      <c r="O274" s="249" t="n">
        <v>0</v>
      </c>
      <c r="P274" s="250"/>
      <c r="Q274" s="250"/>
      <c r="R274" s="251" t="e">
        <f aca="false">B274</f>
        <v>#VALUE!</v>
      </c>
      <c r="S274" s="252" t="n">
        <f aca="false">T274-$S$16</f>
        <v>0.43</v>
      </c>
      <c r="T274" s="243" t="n">
        <f aca="false">D274</f>
        <v>0.5</v>
      </c>
      <c r="U274" s="253" t="n">
        <f aca="false">$U$16+T274</f>
        <v>0.57</v>
      </c>
      <c r="BP274" s="226" t="n">
        <f aca="false">BP273+BV274</f>
        <v>273</v>
      </c>
      <c r="BQ274" s="227" t="s">
        <v>540</v>
      </c>
      <c r="BR274" s="224" t="s">
        <v>285</v>
      </c>
      <c r="BS274" s="161" t="s">
        <v>286</v>
      </c>
      <c r="BT274" s="230" t="s">
        <v>287</v>
      </c>
      <c r="BU274" s="230"/>
      <c r="BV274" s="161" t="n">
        <v>1</v>
      </c>
      <c r="BW274" s="224" t="s">
        <v>1232</v>
      </c>
      <c r="BX274" s="0"/>
    </row>
    <row r="275" customFormat="false" ht="12.75" hidden="false" customHeight="false" outlineLevel="0" collapsed="false">
      <c r="A275" s="244"/>
      <c r="B275" s="245" t="e">
        <f aca="false">NextMonth(B274)</f>
        <v>#VALUE!</v>
      </c>
      <c r="C275" s="246" t="n">
        <v>0.063498948536</v>
      </c>
      <c r="D275" s="246" t="n">
        <v>0.55</v>
      </c>
      <c r="E275" s="246" t="n">
        <v>0.55</v>
      </c>
      <c r="F275" s="246" t="n">
        <v>0.1625</v>
      </c>
      <c r="G275" s="246" t="n">
        <v>0.17</v>
      </c>
      <c r="H275" s="246" t="n">
        <v>0.1775</v>
      </c>
      <c r="I275" s="247" t="n">
        <v>5.225</v>
      </c>
      <c r="J275" s="248" t="n">
        <v>5.23</v>
      </c>
      <c r="K275" s="248" t="n">
        <v>5.235</v>
      </c>
      <c r="L275" s="248" t="n">
        <v>0.0699681</v>
      </c>
      <c r="M275" s="248" t="n">
        <v>0.0699681</v>
      </c>
      <c r="N275" s="249" t="n">
        <v>0</v>
      </c>
      <c r="O275" s="249" t="n">
        <v>0</v>
      </c>
      <c r="P275" s="250"/>
      <c r="Q275" s="250"/>
      <c r="R275" s="251" t="e">
        <f aca="false">B275</f>
        <v>#VALUE!</v>
      </c>
      <c r="S275" s="252" t="n">
        <f aca="false">T275-$S$16</f>
        <v>0.48</v>
      </c>
      <c r="T275" s="243" t="n">
        <f aca="false">D275</f>
        <v>0.55</v>
      </c>
      <c r="U275" s="253" t="n">
        <f aca="false">$U$16+T275</f>
        <v>0.62</v>
      </c>
      <c r="BP275" s="226" t="n">
        <f aca="false">BP274+BV275</f>
        <v>274</v>
      </c>
      <c r="BQ275" s="227" t="s">
        <v>544</v>
      </c>
      <c r="BR275" s="224" t="s">
        <v>285</v>
      </c>
      <c r="BS275" s="161" t="s">
        <v>286</v>
      </c>
      <c r="BT275" s="230" t="s">
        <v>287</v>
      </c>
      <c r="BU275" s="230"/>
      <c r="BV275" s="161" t="n">
        <v>1</v>
      </c>
      <c r="BW275" s="224" t="s">
        <v>1233</v>
      </c>
      <c r="BX275" s="0"/>
    </row>
    <row r="276" customFormat="false" ht="12.75" hidden="false" customHeight="false" outlineLevel="0" collapsed="false">
      <c r="A276" s="244"/>
      <c r="B276" s="245" t="e">
        <f aca="false">NextMonth(B275)</f>
        <v>#VALUE!</v>
      </c>
      <c r="C276" s="246" t="n">
        <v>0.06351969630662</v>
      </c>
      <c r="D276" s="246" t="n">
        <v>0.6</v>
      </c>
      <c r="E276" s="246" t="n">
        <v>0.6</v>
      </c>
      <c r="F276" s="246" t="n">
        <v>0.1625</v>
      </c>
      <c r="G276" s="246" t="n">
        <v>0.17</v>
      </c>
      <c r="H276" s="246" t="n">
        <v>0.1775</v>
      </c>
      <c r="I276" s="247" t="n">
        <v>5.235</v>
      </c>
      <c r="J276" s="248" t="n">
        <v>5.24</v>
      </c>
      <c r="K276" s="248" t="n">
        <v>5.245</v>
      </c>
      <c r="L276" s="248" t="n">
        <v>0.0699681</v>
      </c>
      <c r="M276" s="248" t="n">
        <v>0.0699681</v>
      </c>
      <c r="N276" s="249" t="n">
        <v>0</v>
      </c>
      <c r="O276" s="249" t="n">
        <v>0</v>
      </c>
      <c r="P276" s="250"/>
      <c r="Q276" s="250"/>
      <c r="R276" s="251" t="e">
        <f aca="false">B276</f>
        <v>#VALUE!</v>
      </c>
      <c r="S276" s="252" t="n">
        <f aca="false">T276-$S$16</f>
        <v>0.53</v>
      </c>
      <c r="T276" s="243" t="n">
        <f aca="false">D276</f>
        <v>0.6</v>
      </c>
      <c r="U276" s="253" t="n">
        <f aca="false">$U$16+T276</f>
        <v>0.67</v>
      </c>
      <c r="BP276" s="226" t="n">
        <f aca="false">BP275+BV276</f>
        <v>275</v>
      </c>
      <c r="BQ276" s="227" t="s">
        <v>548</v>
      </c>
      <c r="BR276" s="224" t="s">
        <v>285</v>
      </c>
      <c r="BS276" s="161" t="s">
        <v>286</v>
      </c>
      <c r="BT276" s="230" t="s">
        <v>287</v>
      </c>
      <c r="BU276" s="230"/>
      <c r="BV276" s="161" t="n">
        <v>1</v>
      </c>
      <c r="BW276" s="224" t="s">
        <v>1234</v>
      </c>
      <c r="BX276" s="0"/>
    </row>
    <row r="277" customFormat="false" ht="12.75" hidden="false" customHeight="false" outlineLevel="0" collapsed="false">
      <c r="A277" s="244"/>
      <c r="B277" s="245" t="e">
        <f aca="false">NextMonth(B276)</f>
        <v>#VALUE!</v>
      </c>
      <c r="C277" s="246" t="n">
        <v>0.063540444077389</v>
      </c>
      <c r="D277" s="246" t="n">
        <v>0.6</v>
      </c>
      <c r="E277" s="246" t="n">
        <v>0.6</v>
      </c>
      <c r="F277" s="246" t="n">
        <v>0.1625</v>
      </c>
      <c r="G277" s="246" t="n">
        <v>0.17</v>
      </c>
      <c r="H277" s="246" t="n">
        <v>0.1775</v>
      </c>
      <c r="I277" s="247" t="n">
        <v>5.252</v>
      </c>
      <c r="J277" s="248" t="n">
        <v>5.257</v>
      </c>
      <c r="K277" s="248" t="n">
        <v>5.262</v>
      </c>
      <c r="L277" s="248" t="n">
        <v>0.0699681</v>
      </c>
      <c r="M277" s="248" t="n">
        <v>0.0699681</v>
      </c>
      <c r="N277" s="249" t="n">
        <v>0</v>
      </c>
      <c r="O277" s="249" t="n">
        <v>0</v>
      </c>
      <c r="P277" s="250"/>
      <c r="Q277" s="250"/>
      <c r="R277" s="251" t="e">
        <f aca="false">B277</f>
        <v>#VALUE!</v>
      </c>
      <c r="S277" s="252" t="n">
        <f aca="false">T277-$S$16</f>
        <v>0.53</v>
      </c>
      <c r="T277" s="243" t="n">
        <f aca="false">D277</f>
        <v>0.6</v>
      </c>
      <c r="U277" s="253" t="n">
        <f aca="false">$U$16+T277</f>
        <v>0.67</v>
      </c>
      <c r="BP277" s="226" t="n">
        <f aca="false">BP276+BV277</f>
        <v>276</v>
      </c>
      <c r="BQ277" s="227" t="s">
        <v>552</v>
      </c>
      <c r="BR277" s="224" t="s">
        <v>285</v>
      </c>
      <c r="BS277" s="161" t="s">
        <v>286</v>
      </c>
      <c r="BT277" s="230" t="s">
        <v>287</v>
      </c>
      <c r="BU277" s="230"/>
      <c r="BV277" s="161" t="n">
        <v>1</v>
      </c>
      <c r="BW277" s="224" t="s">
        <v>1235</v>
      </c>
      <c r="BX277" s="0"/>
    </row>
    <row r="278" customFormat="false" ht="12.75" hidden="false" customHeight="false" outlineLevel="0" collapsed="false">
      <c r="A278" s="244"/>
      <c r="B278" s="245" t="e">
        <f aca="false">NextMonth(B277)</f>
        <v>#VALUE!</v>
      </c>
      <c r="C278" s="246" t="n">
        <v>0.063560522565366</v>
      </c>
      <c r="D278" s="246" t="n">
        <v>0.65</v>
      </c>
      <c r="E278" s="246" t="n">
        <v>0.65</v>
      </c>
      <c r="F278" s="246" t="n">
        <v>0.1625</v>
      </c>
      <c r="G278" s="246" t="n">
        <v>0.17</v>
      </c>
      <c r="H278" s="246" t="n">
        <v>0.1775</v>
      </c>
      <c r="I278" s="247" t="n">
        <v>5.262</v>
      </c>
      <c r="J278" s="248" t="n">
        <v>5.267</v>
      </c>
      <c r="K278" s="248" t="n">
        <v>5.272</v>
      </c>
      <c r="L278" s="248" t="n">
        <v>0.0699681</v>
      </c>
      <c r="M278" s="248" t="n">
        <v>0.0699681</v>
      </c>
      <c r="N278" s="249" t="n">
        <v>0</v>
      </c>
      <c r="O278" s="249" t="n">
        <v>0</v>
      </c>
      <c r="P278" s="250"/>
      <c r="Q278" s="250"/>
      <c r="R278" s="251" t="e">
        <f aca="false">B278</f>
        <v>#VALUE!</v>
      </c>
      <c r="S278" s="252" t="n">
        <f aca="false">T278-$S$16</f>
        <v>0.58</v>
      </c>
      <c r="T278" s="243" t="n">
        <f aca="false">D278</f>
        <v>0.65</v>
      </c>
      <c r="U278" s="253" t="n">
        <f aca="false">$U$16+T278</f>
        <v>0.72</v>
      </c>
      <c r="BP278" s="226" t="n">
        <f aca="false">BP277+BV278</f>
        <v>277</v>
      </c>
      <c r="BQ278" s="227" t="s">
        <v>556</v>
      </c>
      <c r="BR278" s="224" t="s">
        <v>285</v>
      </c>
      <c r="BS278" s="161" t="s">
        <v>286</v>
      </c>
      <c r="BT278" s="230" t="s">
        <v>287</v>
      </c>
      <c r="BU278" s="230"/>
      <c r="BV278" s="161" t="n">
        <v>1</v>
      </c>
      <c r="BW278" s="224" t="s">
        <v>1236</v>
      </c>
      <c r="BX278" s="0"/>
    </row>
    <row r="279" customFormat="false" ht="12.75" hidden="false" customHeight="false" outlineLevel="0" collapsed="false">
      <c r="A279" s="244"/>
      <c r="B279" s="245" t="e">
        <f aca="false">NextMonth(B278)</f>
        <v>#VALUE!</v>
      </c>
      <c r="C279" s="246" t="n">
        <v>0.063581270336416</v>
      </c>
      <c r="D279" s="246" t="n">
        <v>0.8</v>
      </c>
      <c r="E279" s="246" t="n">
        <v>0.8</v>
      </c>
      <c r="F279" s="246" t="n">
        <v>0.1625</v>
      </c>
      <c r="G279" s="246" t="n">
        <v>0.17</v>
      </c>
      <c r="H279" s="246" t="n">
        <v>0.1775</v>
      </c>
      <c r="I279" s="247" t="n">
        <v>5.407</v>
      </c>
      <c r="J279" s="248" t="n">
        <v>5.412</v>
      </c>
      <c r="K279" s="248" t="n">
        <v>5.417</v>
      </c>
      <c r="L279" s="248" t="n">
        <v>-0.0099887</v>
      </c>
      <c r="M279" s="248" t="n">
        <v>-0.0099887</v>
      </c>
      <c r="N279" s="249" t="n">
        <v>0</v>
      </c>
      <c r="O279" s="249" t="n">
        <v>0</v>
      </c>
      <c r="P279" s="250"/>
      <c r="Q279" s="250"/>
      <c r="R279" s="251" t="e">
        <f aca="false">B279</f>
        <v>#VALUE!</v>
      </c>
      <c r="S279" s="252" t="n">
        <f aca="false">T279-$S$16</f>
        <v>0.73</v>
      </c>
      <c r="T279" s="243" t="n">
        <f aca="false">D279</f>
        <v>0.8</v>
      </c>
      <c r="U279" s="253" t="n">
        <f aca="false">$U$16+T279</f>
        <v>0.87</v>
      </c>
      <c r="BP279" s="226" t="n">
        <f aca="false">BP278+BV279</f>
        <v>278</v>
      </c>
      <c r="BQ279" s="227" t="s">
        <v>560</v>
      </c>
      <c r="BR279" s="224" t="s">
        <v>285</v>
      </c>
      <c r="BS279" s="161" t="s">
        <v>286</v>
      </c>
      <c r="BT279" s="230" t="s">
        <v>287</v>
      </c>
      <c r="BU279" s="230"/>
      <c r="BV279" s="161" t="n">
        <v>1</v>
      </c>
      <c r="BW279" s="224" t="s">
        <v>1237</v>
      </c>
      <c r="BX279" s="0"/>
    </row>
    <row r="280" customFormat="false" ht="12.75" hidden="false" customHeight="false" outlineLevel="0" collapsed="false">
      <c r="A280" s="244"/>
      <c r="B280" s="245" t="e">
        <f aca="false">NextMonth(B279)</f>
        <v>#VALUE!</v>
      </c>
      <c r="C280" s="246" t="n">
        <v>0.063601348824665</v>
      </c>
      <c r="D280" s="246" t="n">
        <v>1.1</v>
      </c>
      <c r="E280" s="246" t="n">
        <v>1.1</v>
      </c>
      <c r="F280" s="246" t="n">
        <v>0.1625</v>
      </c>
      <c r="G280" s="246" t="n">
        <v>0.17</v>
      </c>
      <c r="H280" s="246" t="n">
        <v>0.1775</v>
      </c>
      <c r="I280" s="247" t="n">
        <v>5.542</v>
      </c>
      <c r="J280" s="248" t="n">
        <v>5.547</v>
      </c>
      <c r="K280" s="248" t="n">
        <v>5.552</v>
      </c>
      <c r="L280" s="248" t="n">
        <v>-0.0249519</v>
      </c>
      <c r="M280" s="248" t="n">
        <v>-0.0249519</v>
      </c>
      <c r="N280" s="249" t="n">
        <v>0</v>
      </c>
      <c r="O280" s="249" t="n">
        <v>0</v>
      </c>
      <c r="P280" s="250"/>
      <c r="Q280" s="250"/>
      <c r="R280" s="251" t="e">
        <f aca="false">B280</f>
        <v>#VALUE!</v>
      </c>
      <c r="S280" s="252" t="n">
        <f aca="false">T280-$S$16</f>
        <v>1.03</v>
      </c>
      <c r="T280" s="243" t="n">
        <f aca="false">D280</f>
        <v>1.1</v>
      </c>
      <c r="U280" s="253" t="n">
        <f aca="false">$U$16+T280</f>
        <v>1.17</v>
      </c>
      <c r="BP280" s="226" t="n">
        <f aca="false">BP279+BV280</f>
        <v>279</v>
      </c>
      <c r="BQ280" s="227" t="s">
        <v>564</v>
      </c>
      <c r="BR280" s="224" t="s">
        <v>285</v>
      </c>
      <c r="BS280" s="161" t="s">
        <v>286</v>
      </c>
      <c r="BT280" s="230" t="s">
        <v>287</v>
      </c>
      <c r="BU280" s="230"/>
      <c r="BV280" s="161" t="n">
        <v>1</v>
      </c>
      <c r="BW280" s="224" t="s">
        <v>1238</v>
      </c>
      <c r="BX280" s="0"/>
    </row>
    <row r="281" customFormat="false" ht="12.75" hidden="false" customHeight="false" outlineLevel="0" collapsed="false">
      <c r="A281" s="244"/>
      <c r="B281" s="245" t="e">
        <f aca="false">NextMonth(B280)</f>
        <v>#VALUE!</v>
      </c>
      <c r="C281" s="246" t="n">
        <v>0.063622096596</v>
      </c>
      <c r="D281" s="246" t="n">
        <v>1.1</v>
      </c>
      <c r="E281" s="246" t="n">
        <v>1.1</v>
      </c>
      <c r="F281" s="246" t="n">
        <v>0.1625</v>
      </c>
      <c r="G281" s="246" t="n">
        <v>0.17</v>
      </c>
      <c r="H281" s="246" t="n">
        <v>0.1775</v>
      </c>
      <c r="I281" s="247" t="n">
        <v>5.805</v>
      </c>
      <c r="J281" s="248" t="n">
        <v>5.81</v>
      </c>
      <c r="K281" s="248" t="n">
        <v>5.815</v>
      </c>
      <c r="L281" s="248" t="n">
        <v>-0.0199551</v>
      </c>
      <c r="M281" s="248" t="n">
        <v>-0.0199551</v>
      </c>
      <c r="N281" s="249" t="n">
        <v>0</v>
      </c>
      <c r="O281" s="249" t="n">
        <v>0</v>
      </c>
      <c r="P281" s="250"/>
      <c r="Q281" s="250"/>
      <c r="R281" s="251" t="e">
        <f aca="false">B281</f>
        <v>#VALUE!</v>
      </c>
      <c r="S281" s="252" t="n">
        <f aca="false">T281-$S$16</f>
        <v>1.03</v>
      </c>
      <c r="T281" s="243" t="n">
        <f aca="false">D281</f>
        <v>1.1</v>
      </c>
      <c r="U281" s="253" t="n">
        <f aca="false">$U$16+T281</f>
        <v>1.17</v>
      </c>
      <c r="BP281" s="226" t="n">
        <f aca="false">BP280+BV281</f>
        <v>280</v>
      </c>
      <c r="BQ281" s="227" t="s">
        <v>567</v>
      </c>
      <c r="BR281" s="224" t="s">
        <v>285</v>
      </c>
      <c r="BS281" s="161" t="s">
        <v>286</v>
      </c>
      <c r="BT281" s="230" t="s">
        <v>287</v>
      </c>
      <c r="BU281" s="230"/>
      <c r="BV281" s="161" t="n">
        <v>1</v>
      </c>
      <c r="BW281" s="224" t="s">
        <v>1239</v>
      </c>
      <c r="BX281" s="0"/>
    </row>
    <row r="282" customFormat="false" ht="12.75" hidden="false" customHeight="false" outlineLevel="0" collapsed="false">
      <c r="A282" s="244"/>
      <c r="B282" s="245" t="e">
        <f aca="false">NextMonth(B281)</f>
        <v>#VALUE!</v>
      </c>
      <c r="C282" s="246" t="n">
        <v>0.063642844367471</v>
      </c>
      <c r="D282" s="246" t="n">
        <v>1.1</v>
      </c>
      <c r="E282" s="246" t="n">
        <v>1.1</v>
      </c>
      <c r="F282" s="246" t="n">
        <v>0.1625</v>
      </c>
      <c r="G282" s="246" t="n">
        <v>0.17</v>
      </c>
      <c r="H282" s="246" t="n">
        <v>0.1775</v>
      </c>
      <c r="I282" s="247" t="n">
        <v>5.69</v>
      </c>
      <c r="J282" s="248" t="n">
        <v>5.695</v>
      </c>
      <c r="K282" s="248" t="n">
        <v>5.7</v>
      </c>
      <c r="L282" s="248" t="n">
        <v>0.0050425</v>
      </c>
      <c r="M282" s="248" t="n">
        <v>0.0050425</v>
      </c>
      <c r="N282" s="249" t="n">
        <v>0</v>
      </c>
      <c r="O282" s="249" t="n">
        <v>0</v>
      </c>
      <c r="P282" s="250"/>
      <c r="Q282" s="250"/>
      <c r="R282" s="251" t="e">
        <f aca="false">B282</f>
        <v>#VALUE!</v>
      </c>
      <c r="S282" s="252" t="n">
        <f aca="false">T282-$S$16</f>
        <v>1.03</v>
      </c>
      <c r="T282" s="243" t="n">
        <f aca="false">D282</f>
        <v>1.1</v>
      </c>
      <c r="U282" s="253" t="n">
        <f aca="false">$U$16+T282</f>
        <v>1.17</v>
      </c>
      <c r="BP282" s="226" t="n">
        <f aca="false">BP281+BV282</f>
        <v>281</v>
      </c>
      <c r="BQ282" s="227" t="s">
        <v>571</v>
      </c>
      <c r="BR282" s="224" t="s">
        <v>285</v>
      </c>
      <c r="BS282" s="161" t="s">
        <v>286</v>
      </c>
      <c r="BT282" s="230" t="s">
        <v>287</v>
      </c>
      <c r="BU282" s="230"/>
      <c r="BV282" s="161" t="n">
        <v>1</v>
      </c>
      <c r="BW282" s="224" t="s">
        <v>1240</v>
      </c>
      <c r="BX282" s="0"/>
    </row>
    <row r="283" customFormat="false" ht="12.75" hidden="false" customHeight="false" outlineLevel="0" collapsed="false">
      <c r="A283" s="244"/>
      <c r="B283" s="245" t="e">
        <f aca="false">NextMonth(B282)</f>
        <v>#VALUE!</v>
      </c>
      <c r="C283" s="246" t="n">
        <v>0.063661584290215</v>
      </c>
      <c r="D283" s="246" t="n">
        <v>0.75</v>
      </c>
      <c r="E283" s="246" t="n">
        <v>0.75</v>
      </c>
      <c r="F283" s="246" t="n">
        <v>0.1625</v>
      </c>
      <c r="G283" s="246" t="n">
        <v>0.17</v>
      </c>
      <c r="H283" s="246" t="n">
        <v>0.1775</v>
      </c>
      <c r="I283" s="247" t="n">
        <v>5.55</v>
      </c>
      <c r="J283" s="248" t="n">
        <v>5.555</v>
      </c>
      <c r="K283" s="248" t="n">
        <v>5.56</v>
      </c>
      <c r="L283" s="248" t="n">
        <v>0.0150425</v>
      </c>
      <c r="M283" s="248" t="n">
        <v>0.0150425</v>
      </c>
      <c r="N283" s="249" t="n">
        <v>0</v>
      </c>
      <c r="O283" s="249" t="n">
        <v>0</v>
      </c>
      <c r="P283" s="250"/>
      <c r="Q283" s="250"/>
      <c r="R283" s="251" t="e">
        <f aca="false">B283</f>
        <v>#VALUE!</v>
      </c>
      <c r="S283" s="252" t="n">
        <f aca="false">T283-$S$16</f>
        <v>0.68</v>
      </c>
      <c r="T283" s="243" t="n">
        <f aca="false">D283</f>
        <v>0.75</v>
      </c>
      <c r="U283" s="253" t="n">
        <f aca="false">$U$16+T283</f>
        <v>0.82</v>
      </c>
      <c r="BP283" s="226" t="n">
        <f aca="false">BP282+BV283</f>
        <v>282</v>
      </c>
      <c r="BQ283" s="227" t="s">
        <v>575</v>
      </c>
      <c r="BR283" s="224" t="s">
        <v>285</v>
      </c>
      <c r="BS283" s="161" t="s">
        <v>286</v>
      </c>
      <c r="BT283" s="230" t="s">
        <v>287</v>
      </c>
      <c r="BU283" s="230"/>
      <c r="BV283" s="161" t="n">
        <v>1</v>
      </c>
      <c r="BW283" s="224" t="s">
        <v>1241</v>
      </c>
      <c r="BX283" s="0"/>
    </row>
    <row r="284" customFormat="false" ht="12.75" hidden="false" customHeight="false" outlineLevel="0" collapsed="false">
      <c r="A284" s="244"/>
      <c r="B284" s="245" t="e">
        <f aca="false">NextMonth(B283)</f>
        <v>#VALUE!</v>
      </c>
      <c r="C284" s="246" t="n">
        <v>0.063682332061961</v>
      </c>
      <c r="D284" s="246" t="n">
        <v>0.45</v>
      </c>
      <c r="E284" s="246" t="n">
        <v>0.45</v>
      </c>
      <c r="F284" s="246" t="n">
        <v>0.1625</v>
      </c>
      <c r="G284" s="246" t="n">
        <v>0.17</v>
      </c>
      <c r="H284" s="246" t="n">
        <v>0.1775</v>
      </c>
      <c r="I284" s="247" t="n">
        <v>5.365</v>
      </c>
      <c r="J284" s="248" t="n">
        <v>5.37</v>
      </c>
      <c r="K284" s="248" t="n">
        <v>5.375</v>
      </c>
      <c r="L284" s="248" t="n">
        <v>0.0749766</v>
      </c>
      <c r="M284" s="248" t="n">
        <v>0.0749766</v>
      </c>
      <c r="N284" s="249" t="n">
        <v>0</v>
      </c>
      <c r="O284" s="249" t="n">
        <v>0</v>
      </c>
      <c r="P284" s="250"/>
      <c r="Q284" s="250"/>
      <c r="R284" s="251" t="e">
        <f aca="false">B284</f>
        <v>#VALUE!</v>
      </c>
      <c r="S284" s="252" t="n">
        <f aca="false">T284-$S$16</f>
        <v>0.38</v>
      </c>
      <c r="T284" s="243" t="n">
        <f aca="false">D284</f>
        <v>0.45</v>
      </c>
      <c r="U284" s="253" t="n">
        <f aca="false">$U$16+T284</f>
        <v>0.52</v>
      </c>
      <c r="BP284" s="226" t="n">
        <f aca="false">BP283+BV284</f>
        <v>283</v>
      </c>
      <c r="BQ284" s="227" t="s">
        <v>579</v>
      </c>
      <c r="BR284" s="224" t="s">
        <v>285</v>
      </c>
      <c r="BS284" s="161" t="s">
        <v>286</v>
      </c>
      <c r="BT284" s="230" t="s">
        <v>287</v>
      </c>
      <c r="BU284" s="230"/>
      <c r="BV284" s="161" t="n">
        <v>1</v>
      </c>
      <c r="BW284" s="224" t="s">
        <v>1242</v>
      </c>
      <c r="BX284" s="0"/>
    </row>
    <row r="285" customFormat="false" ht="12.75" hidden="false" customHeight="false" outlineLevel="0" collapsed="false">
      <c r="A285" s="244"/>
      <c r="B285" s="245" t="e">
        <f aca="false">NextMonth(B284)</f>
        <v>#VALUE!</v>
      </c>
      <c r="C285" s="246" t="n">
        <v>0.063702410550883</v>
      </c>
      <c r="D285" s="246" t="n">
        <v>0.5</v>
      </c>
      <c r="E285" s="246" t="n">
        <v>0.5</v>
      </c>
      <c r="F285" s="246" t="n">
        <v>0.1625</v>
      </c>
      <c r="G285" s="246" t="n">
        <v>0.17</v>
      </c>
      <c r="H285" s="246" t="n">
        <v>0.1775</v>
      </c>
      <c r="I285" s="247" t="n">
        <v>5.32</v>
      </c>
      <c r="J285" s="248" t="n">
        <v>5.325</v>
      </c>
      <c r="K285" s="248" t="n">
        <v>5.33</v>
      </c>
      <c r="L285" s="248" t="n">
        <v>0.0749681</v>
      </c>
      <c r="M285" s="248" t="n">
        <v>0.0749681</v>
      </c>
      <c r="N285" s="249" t="n">
        <v>0</v>
      </c>
      <c r="O285" s="249" t="n">
        <v>0</v>
      </c>
      <c r="P285" s="250"/>
      <c r="Q285" s="250"/>
      <c r="R285" s="251" t="e">
        <f aca="false">B285</f>
        <v>#VALUE!</v>
      </c>
      <c r="S285" s="252" t="n">
        <f aca="false">T285-$S$16</f>
        <v>0.43</v>
      </c>
      <c r="T285" s="243" t="n">
        <f aca="false">D285</f>
        <v>0.5</v>
      </c>
      <c r="U285" s="253" t="n">
        <f aca="false">$U$16+T285</f>
        <v>0.57</v>
      </c>
      <c r="BP285" s="226" t="n">
        <f aca="false">BP284+BV285</f>
        <v>284</v>
      </c>
      <c r="BQ285" s="227" t="s">
        <v>583</v>
      </c>
      <c r="BR285" s="224" t="s">
        <v>285</v>
      </c>
      <c r="BS285" s="161" t="s">
        <v>286</v>
      </c>
      <c r="BT285" s="230" t="s">
        <v>287</v>
      </c>
      <c r="BU285" s="230"/>
      <c r="BV285" s="161" t="n">
        <v>1</v>
      </c>
      <c r="BW285" s="224" t="s">
        <v>1243</v>
      </c>
      <c r="BX285" s="0"/>
    </row>
    <row r="286" customFormat="false" ht="12.75" hidden="false" customHeight="false" outlineLevel="0" collapsed="false">
      <c r="A286" s="244"/>
      <c r="B286" s="245" t="e">
        <f aca="false">NextMonth(B285)</f>
        <v>#VALUE!</v>
      </c>
      <c r="C286" s="246" t="n">
        <v>0.063723158322909</v>
      </c>
      <c r="D286" s="246" t="n">
        <v>0.5</v>
      </c>
      <c r="E286" s="246" t="n">
        <v>0.5</v>
      </c>
      <c r="F286" s="246" t="n">
        <v>0.1625</v>
      </c>
      <c r="G286" s="246" t="n">
        <v>0.17</v>
      </c>
      <c r="H286" s="246" t="n">
        <v>0.1775</v>
      </c>
      <c r="I286" s="247" t="n">
        <v>5.34</v>
      </c>
      <c r="J286" s="248" t="n">
        <v>5.345</v>
      </c>
      <c r="K286" s="248" t="n">
        <v>5.35</v>
      </c>
      <c r="L286" s="248" t="n">
        <v>0.0749681</v>
      </c>
      <c r="M286" s="248" t="n">
        <v>0.0749681</v>
      </c>
      <c r="N286" s="249" t="n">
        <v>0</v>
      </c>
      <c r="O286" s="249" t="n">
        <v>0</v>
      </c>
      <c r="P286" s="250"/>
      <c r="Q286" s="250"/>
      <c r="R286" s="251" t="e">
        <f aca="false">B286</f>
        <v>#VALUE!</v>
      </c>
      <c r="S286" s="252" t="n">
        <f aca="false">T286-$S$16</f>
        <v>0.43</v>
      </c>
      <c r="T286" s="243" t="n">
        <f aca="false">D286</f>
        <v>0.5</v>
      </c>
      <c r="U286" s="253" t="n">
        <f aca="false">$U$16+T286</f>
        <v>0.57</v>
      </c>
      <c r="BP286" s="226" t="n">
        <f aca="false">BP285+BV286</f>
        <v>285</v>
      </c>
      <c r="BQ286" s="227" t="s">
        <v>587</v>
      </c>
      <c r="BR286" s="224" t="s">
        <v>285</v>
      </c>
      <c r="BS286" s="161" t="s">
        <v>286</v>
      </c>
      <c r="BT286" s="230" t="s">
        <v>287</v>
      </c>
      <c r="BU286" s="230"/>
      <c r="BV286" s="161" t="n">
        <v>1</v>
      </c>
      <c r="BW286" s="224" t="s">
        <v>1244</v>
      </c>
      <c r="BX286" s="0"/>
    </row>
    <row r="287" customFormat="false" ht="12.75" hidden="false" customHeight="false" outlineLevel="0" collapsed="false">
      <c r="A287" s="244"/>
      <c r="B287" s="245" t="e">
        <f aca="false">NextMonth(B286)</f>
        <v>#VALUE!</v>
      </c>
      <c r="C287" s="246" t="n">
        <v>0.063743236812104</v>
      </c>
      <c r="D287" s="246" t="n">
        <v>0.55</v>
      </c>
      <c r="E287" s="246" t="n">
        <v>0.55</v>
      </c>
      <c r="F287" s="246" t="n">
        <v>0.1625</v>
      </c>
      <c r="G287" s="246" t="n">
        <v>0.17</v>
      </c>
      <c r="H287" s="246" t="n">
        <v>0.1775</v>
      </c>
      <c r="I287" s="247" t="n">
        <v>5.355</v>
      </c>
      <c r="J287" s="248" t="n">
        <v>5.36</v>
      </c>
      <c r="K287" s="248" t="n">
        <v>5.365</v>
      </c>
      <c r="L287" s="248" t="n">
        <v>0.0749681</v>
      </c>
      <c r="M287" s="248" t="n">
        <v>0.0749681</v>
      </c>
      <c r="N287" s="249" t="n">
        <v>0</v>
      </c>
      <c r="O287" s="249" t="n">
        <v>0</v>
      </c>
      <c r="P287" s="250"/>
      <c r="Q287" s="250"/>
      <c r="R287" s="251" t="e">
        <f aca="false">B287</f>
        <v>#VALUE!</v>
      </c>
      <c r="S287" s="252" t="n">
        <f aca="false">T287-$S$16</f>
        <v>0.48</v>
      </c>
      <c r="T287" s="243" t="n">
        <f aca="false">D287</f>
        <v>0.55</v>
      </c>
      <c r="U287" s="253" t="n">
        <f aca="false">$U$16+T287</f>
        <v>0.62</v>
      </c>
      <c r="BP287" s="226" t="n">
        <f aca="false">BP286+BV287</f>
        <v>286</v>
      </c>
      <c r="BQ287" s="227" t="s">
        <v>591</v>
      </c>
      <c r="BR287" s="224" t="s">
        <v>285</v>
      </c>
      <c r="BS287" s="161" t="s">
        <v>286</v>
      </c>
      <c r="BT287" s="230" t="s">
        <v>287</v>
      </c>
      <c r="BU287" s="230"/>
      <c r="BV287" s="161" t="n">
        <v>1</v>
      </c>
      <c r="BW287" s="224" t="s">
        <v>1245</v>
      </c>
      <c r="BX287" s="0"/>
    </row>
    <row r="288" customFormat="false" ht="12.75" hidden="false" customHeight="false" outlineLevel="0" collapsed="false">
      <c r="A288" s="244"/>
      <c r="B288" s="245" t="e">
        <f aca="false">NextMonth(B287)</f>
        <v>#VALUE!</v>
      </c>
      <c r="C288" s="246" t="n">
        <v>0.063763984584411</v>
      </c>
      <c r="D288" s="246" t="n">
        <v>0.6</v>
      </c>
      <c r="E288" s="246" t="n">
        <v>0.6</v>
      </c>
      <c r="F288" s="246" t="n">
        <v>0.1625</v>
      </c>
      <c r="G288" s="246" t="n">
        <v>0.17</v>
      </c>
      <c r="H288" s="246" t="n">
        <v>0.1775</v>
      </c>
      <c r="I288" s="247" t="n">
        <v>5.365</v>
      </c>
      <c r="J288" s="248" t="n">
        <v>5.37</v>
      </c>
      <c r="K288" s="248" t="n">
        <v>5.375</v>
      </c>
      <c r="L288" s="248" t="n">
        <v>0.0749681</v>
      </c>
      <c r="M288" s="248" t="n">
        <v>0.0749681</v>
      </c>
      <c r="N288" s="249" t="n">
        <v>0</v>
      </c>
      <c r="O288" s="249" t="n">
        <v>0</v>
      </c>
      <c r="P288" s="250"/>
      <c r="Q288" s="250"/>
      <c r="R288" s="251" t="e">
        <f aca="false">B288</f>
        <v>#VALUE!</v>
      </c>
      <c r="S288" s="252" t="n">
        <f aca="false">T288-$S$16</f>
        <v>0.53</v>
      </c>
      <c r="T288" s="243" t="n">
        <f aca="false">D288</f>
        <v>0.6</v>
      </c>
      <c r="U288" s="253" t="n">
        <f aca="false">$U$16+T288</f>
        <v>0.67</v>
      </c>
      <c r="BP288" s="226" t="n">
        <f aca="false">BP287+BV288</f>
        <v>287</v>
      </c>
      <c r="BQ288" s="227" t="s">
        <v>595</v>
      </c>
      <c r="BR288" s="224" t="s">
        <v>285</v>
      </c>
      <c r="BS288" s="161" t="s">
        <v>286</v>
      </c>
      <c r="BT288" s="230" t="s">
        <v>287</v>
      </c>
      <c r="BU288" s="230"/>
      <c r="BV288" s="161" t="n">
        <v>1</v>
      </c>
      <c r="BW288" s="224" t="s">
        <v>1246</v>
      </c>
      <c r="BX288" s="0"/>
    </row>
    <row r="289" customFormat="false" ht="12.75" hidden="false" customHeight="false" outlineLevel="0" collapsed="false">
      <c r="A289" s="244"/>
      <c r="B289" s="245" t="e">
        <f aca="false">NextMonth(B288)</f>
        <v>#VALUE!</v>
      </c>
      <c r="C289" s="246" t="n">
        <v>0.063784732356862</v>
      </c>
      <c r="D289" s="246" t="n">
        <v>0.6</v>
      </c>
      <c r="E289" s="246" t="n">
        <v>0.6</v>
      </c>
      <c r="F289" s="246" t="n">
        <v>0.1625</v>
      </c>
      <c r="G289" s="246" t="n">
        <v>0.17</v>
      </c>
      <c r="H289" s="246" t="n">
        <v>0.1775</v>
      </c>
      <c r="I289" s="247" t="n">
        <v>5.382</v>
      </c>
      <c r="J289" s="248" t="n">
        <v>5.387</v>
      </c>
      <c r="K289" s="248" t="n">
        <v>5.392</v>
      </c>
      <c r="L289" s="248" t="n">
        <v>0.0749681</v>
      </c>
      <c r="M289" s="248" t="n">
        <v>0.0749681</v>
      </c>
      <c r="N289" s="249" t="n">
        <v>0</v>
      </c>
      <c r="O289" s="249" t="n">
        <v>0</v>
      </c>
      <c r="P289" s="250"/>
      <c r="Q289" s="250"/>
      <c r="R289" s="251" t="e">
        <f aca="false">B289</f>
        <v>#VALUE!</v>
      </c>
      <c r="S289" s="252" t="n">
        <f aca="false">T289-$S$16</f>
        <v>0.53</v>
      </c>
      <c r="T289" s="243" t="n">
        <f aca="false">D289</f>
        <v>0.6</v>
      </c>
      <c r="U289" s="253" t="n">
        <f aca="false">$U$16+T289</f>
        <v>0.67</v>
      </c>
      <c r="BP289" s="226" t="n">
        <f aca="false">BP288+BV289</f>
        <v>288</v>
      </c>
      <c r="BQ289" s="227" t="s">
        <v>599</v>
      </c>
      <c r="BR289" s="224" t="s">
        <v>285</v>
      </c>
      <c r="BS289" s="161" t="s">
        <v>286</v>
      </c>
      <c r="BT289" s="230" t="s">
        <v>287</v>
      </c>
      <c r="BU289" s="230"/>
      <c r="BV289" s="161" t="n">
        <v>1</v>
      </c>
      <c r="BW289" s="224" t="s">
        <v>1247</v>
      </c>
      <c r="BX289" s="0"/>
    </row>
    <row r="290" customFormat="false" ht="12.75" hidden="false" customHeight="false" outlineLevel="0" collapsed="false">
      <c r="A290" s="244"/>
      <c r="B290" s="245" t="e">
        <f aca="false">NextMonth(B289)</f>
        <v>#VALUE!</v>
      </c>
      <c r="C290" s="246" t="n">
        <v>0.063804810846466</v>
      </c>
      <c r="D290" s="246" t="n">
        <v>0.65</v>
      </c>
      <c r="E290" s="246" t="n">
        <v>0.65</v>
      </c>
      <c r="F290" s="246" t="n">
        <v>0.1625</v>
      </c>
      <c r="G290" s="246" t="n">
        <v>0.17</v>
      </c>
      <c r="H290" s="246" t="n">
        <v>0.1775</v>
      </c>
      <c r="I290" s="247" t="n">
        <v>5.392</v>
      </c>
      <c r="J290" s="248" t="n">
        <v>5.397</v>
      </c>
      <c r="K290" s="248" t="n">
        <v>5.402</v>
      </c>
      <c r="L290" s="248" t="n">
        <v>0.0749681</v>
      </c>
      <c r="M290" s="248" t="n">
        <v>0.0749681</v>
      </c>
      <c r="N290" s="249" t="n">
        <v>0</v>
      </c>
      <c r="O290" s="249" t="n">
        <v>0</v>
      </c>
      <c r="P290" s="250"/>
      <c r="Q290" s="250"/>
      <c r="R290" s="251" t="e">
        <f aca="false">B290</f>
        <v>#VALUE!</v>
      </c>
      <c r="S290" s="252" t="n">
        <f aca="false">T290-$S$16</f>
        <v>0.58</v>
      </c>
      <c r="T290" s="243" t="n">
        <f aca="false">D290</f>
        <v>0.65</v>
      </c>
      <c r="U290" s="253" t="n">
        <f aca="false">$U$16+T290</f>
        <v>0.72</v>
      </c>
      <c r="BP290" s="226" t="n">
        <f aca="false">BP289+BV290</f>
        <v>289</v>
      </c>
      <c r="BQ290" s="227" t="s">
        <v>603</v>
      </c>
      <c r="BR290" s="224" t="s">
        <v>285</v>
      </c>
      <c r="BS290" s="161" t="s">
        <v>286</v>
      </c>
      <c r="BT290" s="230" t="s">
        <v>287</v>
      </c>
      <c r="BU290" s="230"/>
      <c r="BV290" s="161" t="n">
        <v>1</v>
      </c>
      <c r="BW290" s="224" t="s">
        <v>1248</v>
      </c>
      <c r="BX290" s="0"/>
    </row>
    <row r="291" customFormat="false" ht="12.75" hidden="false" customHeight="false" outlineLevel="0" collapsed="false">
      <c r="A291" s="244"/>
      <c r="B291" s="245" t="e">
        <f aca="false">NextMonth(B290)</f>
        <v>#VALUE!</v>
      </c>
      <c r="C291" s="246" t="n">
        <v>0.063825558619197</v>
      </c>
      <c r="D291" s="246" t="n">
        <v>0.8</v>
      </c>
      <c r="E291" s="246" t="n">
        <v>0.8</v>
      </c>
      <c r="F291" s="246" t="n">
        <v>0.1625</v>
      </c>
      <c r="G291" s="246" t="n">
        <v>0.17</v>
      </c>
      <c r="H291" s="246" t="n">
        <v>0.1775</v>
      </c>
      <c r="I291" s="247" t="n">
        <v>5.537</v>
      </c>
      <c r="J291" s="248" t="n">
        <v>5.542</v>
      </c>
      <c r="K291" s="248" t="n">
        <v>5.547</v>
      </c>
      <c r="L291" s="248" t="n">
        <v>-0.0049887</v>
      </c>
      <c r="M291" s="248" t="n">
        <v>-0.0049887</v>
      </c>
      <c r="N291" s="249" t="n">
        <v>0</v>
      </c>
      <c r="O291" s="249" t="n">
        <v>0</v>
      </c>
      <c r="P291" s="250"/>
      <c r="Q291" s="250"/>
      <c r="R291" s="251" t="e">
        <f aca="false">B291</f>
        <v>#VALUE!</v>
      </c>
      <c r="S291" s="252" t="n">
        <f aca="false">T291-$S$16</f>
        <v>0.73</v>
      </c>
      <c r="T291" s="243" t="n">
        <f aca="false">D291</f>
        <v>0.8</v>
      </c>
      <c r="U291" s="253" t="n">
        <f aca="false">$U$16+T291</f>
        <v>0.87</v>
      </c>
      <c r="BP291" s="226" t="n">
        <f aca="false">BP290+BV291</f>
        <v>290</v>
      </c>
      <c r="BQ291" s="227" t="s">
        <v>607</v>
      </c>
      <c r="BR291" s="224" t="s">
        <v>285</v>
      </c>
      <c r="BS291" s="161" t="s">
        <v>286</v>
      </c>
      <c r="BT291" s="230" t="s">
        <v>287</v>
      </c>
      <c r="BU291" s="230"/>
      <c r="BV291" s="161" t="n">
        <v>1</v>
      </c>
      <c r="BW291" s="224" t="s">
        <v>1249</v>
      </c>
      <c r="BX291" s="0"/>
    </row>
    <row r="292" customFormat="false" ht="12.75" hidden="false" customHeight="false" outlineLevel="0" collapsed="false">
      <c r="A292" s="244"/>
      <c r="B292" s="245" t="e">
        <f aca="false">NextMonth(B291)</f>
        <v>#VALUE!</v>
      </c>
      <c r="C292" s="246" t="n">
        <v>0.063845637109073</v>
      </c>
      <c r="D292" s="246" t="n">
        <v>1.1</v>
      </c>
      <c r="E292" s="246" t="n">
        <v>1.1</v>
      </c>
      <c r="F292" s="246" t="n">
        <v>0.1625</v>
      </c>
      <c r="G292" s="246" t="n">
        <v>0.17</v>
      </c>
      <c r="H292" s="246" t="n">
        <v>0.1775</v>
      </c>
      <c r="I292" s="247" t="n">
        <v>5.672</v>
      </c>
      <c r="J292" s="248" t="n">
        <v>5.677</v>
      </c>
      <c r="K292" s="248" t="n">
        <v>5.682</v>
      </c>
      <c r="L292" s="248" t="n">
        <v>-0.0199519</v>
      </c>
      <c r="M292" s="248" t="n">
        <v>-0.0199519</v>
      </c>
      <c r="N292" s="249" t="n">
        <v>0</v>
      </c>
      <c r="O292" s="249" t="n">
        <v>0</v>
      </c>
      <c r="P292" s="250"/>
      <c r="Q292" s="250"/>
      <c r="R292" s="251" t="e">
        <f aca="false">B292</f>
        <v>#VALUE!</v>
      </c>
      <c r="S292" s="252" t="n">
        <f aca="false">T292-$S$16</f>
        <v>1.03</v>
      </c>
      <c r="T292" s="243" t="n">
        <f aca="false">D292</f>
        <v>1.1</v>
      </c>
      <c r="U292" s="253" t="n">
        <f aca="false">$U$16+T292</f>
        <v>1.17</v>
      </c>
      <c r="BP292" s="226" t="n">
        <f aca="false">BP291+BV292</f>
        <v>291</v>
      </c>
      <c r="BQ292" s="227" t="s">
        <v>611</v>
      </c>
      <c r="BR292" s="224" t="s">
        <v>285</v>
      </c>
      <c r="BS292" s="161" t="s">
        <v>286</v>
      </c>
      <c r="BT292" s="230" t="s">
        <v>287</v>
      </c>
      <c r="BU292" s="230"/>
      <c r="BV292" s="161" t="n">
        <v>1</v>
      </c>
      <c r="BW292" s="224" t="s">
        <v>1250</v>
      </c>
      <c r="BX292" s="0"/>
    </row>
    <row r="293" customFormat="false" ht="12.75" hidden="false" customHeight="false" outlineLevel="0" collapsed="false">
      <c r="A293" s="244"/>
      <c r="B293" s="245" t="e">
        <f aca="false">NextMonth(B292)</f>
        <v>#VALUE!</v>
      </c>
      <c r="C293" s="246" t="n">
        <v>0.063866384882085</v>
      </c>
      <c r="D293" s="246" t="n">
        <v>1.1</v>
      </c>
      <c r="E293" s="246" t="n">
        <v>1.1</v>
      </c>
      <c r="F293" s="246" t="n">
        <v>0.1425</v>
      </c>
      <c r="G293" s="246" t="n">
        <v>0.15</v>
      </c>
      <c r="H293" s="246" t="n">
        <v>0.1575</v>
      </c>
      <c r="I293" s="247" t="n">
        <v>6.3</v>
      </c>
      <c r="J293" s="248" t="n">
        <v>6.305</v>
      </c>
      <c r="K293" s="248" t="n">
        <v>6.31</v>
      </c>
      <c r="L293" s="248" t="n">
        <v>-0.0149551</v>
      </c>
      <c r="M293" s="248" t="n">
        <v>-0.0149551</v>
      </c>
      <c r="N293" s="249" t="n">
        <v>0</v>
      </c>
      <c r="O293" s="249" t="n">
        <v>0</v>
      </c>
      <c r="P293" s="250"/>
      <c r="Q293" s="250"/>
      <c r="R293" s="251" t="e">
        <f aca="false">B293</f>
        <v>#VALUE!</v>
      </c>
      <c r="S293" s="252" t="n">
        <f aca="false">T293-$S$16</f>
        <v>1.03</v>
      </c>
      <c r="T293" s="243" t="n">
        <f aca="false">D293</f>
        <v>1.1</v>
      </c>
      <c r="U293" s="253" t="n">
        <f aca="false">$U$16+T293</f>
        <v>1.17</v>
      </c>
      <c r="BP293" s="226" t="n">
        <f aca="false">BP292+BV293</f>
        <v>292</v>
      </c>
      <c r="BQ293" s="227" t="s">
        <v>615</v>
      </c>
      <c r="BR293" s="224" t="s">
        <v>285</v>
      </c>
      <c r="BS293" s="161" t="s">
        <v>286</v>
      </c>
      <c r="BT293" s="230" t="s">
        <v>287</v>
      </c>
      <c r="BU293" s="230"/>
      <c r="BV293" s="161" t="n">
        <v>1</v>
      </c>
      <c r="BW293" s="224" t="s">
        <v>1251</v>
      </c>
      <c r="BX293" s="0"/>
    </row>
    <row r="294" customFormat="false" ht="12.75" hidden="false" customHeight="false" outlineLevel="0" collapsed="false">
      <c r="A294" s="244"/>
      <c r="B294" s="245" t="e">
        <f aca="false">NextMonth(B293)</f>
        <v>#VALUE!</v>
      </c>
      <c r="C294" s="246" t="n">
        <v>0.06388713265524</v>
      </c>
      <c r="D294" s="246" t="n">
        <v>1.1</v>
      </c>
      <c r="E294" s="246" t="n">
        <v>1.1</v>
      </c>
      <c r="F294" s="246" t="n">
        <v>0.2925</v>
      </c>
      <c r="G294" s="246" t="n">
        <v>0.3</v>
      </c>
      <c r="H294" s="246" t="n">
        <v>0.3075</v>
      </c>
      <c r="I294" s="247" t="n">
        <v>5.348</v>
      </c>
      <c r="J294" s="248" t="n">
        <v>5.353</v>
      </c>
      <c r="K294" s="248" t="n">
        <v>5.358</v>
      </c>
      <c r="L294" s="248" t="n">
        <v>0.0100425</v>
      </c>
      <c r="M294" s="248" t="n">
        <v>0.0100425</v>
      </c>
      <c r="N294" s="249" t="n">
        <v>0</v>
      </c>
      <c r="O294" s="249" t="n">
        <v>0</v>
      </c>
      <c r="P294" s="250"/>
      <c r="Q294" s="250"/>
      <c r="R294" s="251" t="e">
        <f aca="false">B294</f>
        <v>#VALUE!</v>
      </c>
      <c r="S294" s="252" t="n">
        <f aca="false">T294-$S$16</f>
        <v>1.03</v>
      </c>
      <c r="T294" s="243" t="n">
        <f aca="false">D294</f>
        <v>1.1</v>
      </c>
      <c r="U294" s="253" t="n">
        <f aca="false">$U$16+T294</f>
        <v>1.17</v>
      </c>
      <c r="BP294" s="226" t="n">
        <f aca="false">BP293+BV294</f>
        <v>293</v>
      </c>
      <c r="BQ294" s="227" t="s">
        <v>619</v>
      </c>
      <c r="BR294" s="224" t="s">
        <v>285</v>
      </c>
      <c r="BS294" s="161" t="s">
        <v>286</v>
      </c>
      <c r="BT294" s="230" t="s">
        <v>287</v>
      </c>
      <c r="BU294" s="230"/>
      <c r="BV294" s="161" t="n">
        <v>1</v>
      </c>
      <c r="BW294" s="224" t="s">
        <v>1252</v>
      </c>
      <c r="BX294" s="0"/>
    </row>
    <row r="295" customFormat="false" ht="12.75" hidden="false" customHeight="false" outlineLevel="0" collapsed="false">
      <c r="A295" s="244"/>
      <c r="B295" s="245" t="e">
        <f aca="false">NextMonth(B294)</f>
        <v>#VALUE!</v>
      </c>
      <c r="C295" s="246" t="n">
        <v>0.063906541862514</v>
      </c>
      <c r="D295" s="246" t="n">
        <v>0.75</v>
      </c>
      <c r="E295" s="246" t="n">
        <v>0.75</v>
      </c>
      <c r="F295" s="246" t="n">
        <v>0.1425</v>
      </c>
      <c r="G295" s="246" t="n">
        <v>0.15</v>
      </c>
      <c r="H295" s="246" t="n">
        <v>0.1575</v>
      </c>
      <c r="I295" s="247" t="n">
        <v>4.579</v>
      </c>
      <c r="J295" s="248" t="n">
        <v>4.584</v>
      </c>
      <c r="K295" s="248" t="n">
        <v>4.589</v>
      </c>
      <c r="L295" s="248" t="n">
        <v>0.0200425</v>
      </c>
      <c r="M295" s="248" t="n">
        <v>0.0200425</v>
      </c>
      <c r="N295" s="249" t="n">
        <v>0</v>
      </c>
      <c r="O295" s="249" t="n">
        <v>0</v>
      </c>
      <c r="P295" s="250"/>
      <c r="Q295" s="250"/>
      <c r="R295" s="251" t="e">
        <f aca="false">B295</f>
        <v>#VALUE!</v>
      </c>
      <c r="S295" s="252" t="n">
        <f aca="false">T295-$S$16</f>
        <v>0.68</v>
      </c>
      <c r="T295" s="243" t="n">
        <f aca="false">D295</f>
        <v>0.75</v>
      </c>
      <c r="U295" s="253" t="n">
        <f aca="false">$U$16+T295</f>
        <v>0.82</v>
      </c>
      <c r="BP295" s="226" t="n">
        <f aca="false">BP294+BV295</f>
        <v>294</v>
      </c>
      <c r="BQ295" s="227" t="s">
        <v>623</v>
      </c>
      <c r="BR295" s="224" t="s">
        <v>285</v>
      </c>
      <c r="BS295" s="161" t="s">
        <v>286</v>
      </c>
      <c r="BT295" s="230" t="s">
        <v>287</v>
      </c>
      <c r="BU295" s="230"/>
      <c r="BV295" s="161" t="n">
        <v>1</v>
      </c>
      <c r="BW295" s="224" t="s">
        <v>1253</v>
      </c>
      <c r="BX295" s="0"/>
    </row>
    <row r="296" customFormat="false" ht="12.75" hidden="false" customHeight="false" outlineLevel="0" collapsed="false">
      <c r="A296" s="244"/>
      <c r="B296" s="245" t="e">
        <f aca="false">NextMonth(B295)</f>
        <v>#VALUE!</v>
      </c>
      <c r="C296" s="246" t="n">
        <v>0.063927289635946</v>
      </c>
      <c r="D296" s="246" t="n">
        <v>0.45</v>
      </c>
      <c r="E296" s="246" t="n">
        <v>0.45</v>
      </c>
      <c r="F296" s="246" t="n">
        <v>0.1435</v>
      </c>
      <c r="G296" s="246" t="n">
        <v>0.151</v>
      </c>
      <c r="H296" s="246" t="n">
        <v>0.1585</v>
      </c>
      <c r="I296" s="247" t="n">
        <v>4.0125</v>
      </c>
      <c r="J296" s="248" t="n">
        <v>4.0175</v>
      </c>
      <c r="K296" s="248" t="n">
        <v>-0.181</v>
      </c>
      <c r="L296" s="248" t="n">
        <v>0.0799766</v>
      </c>
      <c r="M296" s="248" t="n">
        <v>0.0799766</v>
      </c>
      <c r="N296" s="249" t="n">
        <v>0</v>
      </c>
      <c r="O296" s="249" t="n">
        <v>0</v>
      </c>
      <c r="P296" s="250"/>
      <c r="Q296" s="250"/>
      <c r="R296" s="251" t="e">
        <f aca="false">B296</f>
        <v>#VALUE!</v>
      </c>
      <c r="S296" s="252" t="n">
        <f aca="false">T296-$S$16</f>
        <v>0.38</v>
      </c>
      <c r="T296" s="243" t="n">
        <f aca="false">D296</f>
        <v>0.45</v>
      </c>
      <c r="U296" s="253" t="n">
        <f aca="false">$U$16+T296</f>
        <v>0.52</v>
      </c>
      <c r="BP296" s="226" t="n">
        <f aca="false">BP295+BV296</f>
        <v>295</v>
      </c>
      <c r="BQ296" s="227" t="s">
        <v>627</v>
      </c>
      <c r="BR296" s="224" t="s">
        <v>285</v>
      </c>
      <c r="BS296" s="161" t="s">
        <v>286</v>
      </c>
      <c r="BT296" s="230" t="s">
        <v>287</v>
      </c>
      <c r="BU296" s="230"/>
      <c r="BV296" s="161" t="n">
        <v>1</v>
      </c>
      <c r="BW296" s="224" t="s">
        <v>1254</v>
      </c>
      <c r="BX296" s="0"/>
    </row>
    <row r="297" customFormat="false" ht="12.75" hidden="false" customHeight="false" outlineLevel="0" collapsed="false">
      <c r="A297" s="244"/>
      <c r="B297" s="245" t="e">
        <f aca="false">NextMonth(B296)</f>
        <v>#VALUE!</v>
      </c>
      <c r="C297" s="246" t="n">
        <v>0.063947368126499</v>
      </c>
      <c r="D297" s="246" t="n">
        <v>0.5</v>
      </c>
      <c r="E297" s="246" t="n">
        <v>0.5</v>
      </c>
      <c r="F297" s="246" t="n">
        <v>0.1435</v>
      </c>
      <c r="G297" s="246" t="n">
        <v>0.151</v>
      </c>
      <c r="H297" s="246" t="n">
        <v>0.1585</v>
      </c>
      <c r="I297" s="247" t="n">
        <v>3.9905</v>
      </c>
      <c r="J297" s="248" t="n">
        <v>3.9955</v>
      </c>
      <c r="K297" s="248" t="n">
        <v>-0.19</v>
      </c>
      <c r="L297" s="248" t="n">
        <v>0.0799681</v>
      </c>
      <c r="M297" s="248" t="n">
        <v>0.0799681</v>
      </c>
      <c r="N297" s="249" t="n">
        <v>0</v>
      </c>
      <c r="O297" s="249" t="n">
        <v>0</v>
      </c>
      <c r="P297" s="250"/>
      <c r="Q297" s="250"/>
      <c r="R297" s="251" t="e">
        <f aca="false">B297</f>
        <v>#VALUE!</v>
      </c>
      <c r="S297" s="252" t="n">
        <f aca="false">T297-$S$16</f>
        <v>0.43</v>
      </c>
      <c r="T297" s="243" t="n">
        <f aca="false">D297</f>
        <v>0.5</v>
      </c>
      <c r="U297" s="253" t="n">
        <f aca="false">$U$16+T297</f>
        <v>0.57</v>
      </c>
      <c r="BP297" s="226" t="n">
        <f aca="false">BP296+BV297</f>
        <v>296</v>
      </c>
      <c r="BQ297" s="227" t="s">
        <v>631</v>
      </c>
      <c r="BR297" s="224" t="s">
        <v>285</v>
      </c>
      <c r="BS297" s="161" t="s">
        <v>286</v>
      </c>
      <c r="BT297" s="230" t="s">
        <v>287</v>
      </c>
      <c r="BU297" s="230"/>
      <c r="BV297" s="161" t="n">
        <v>1</v>
      </c>
      <c r="BW297" s="224" t="s">
        <v>1255</v>
      </c>
      <c r="BX297" s="0"/>
    </row>
    <row r="298" customFormat="false" ht="12.75" hidden="false" customHeight="false" outlineLevel="0" collapsed="false">
      <c r="A298" s="244"/>
      <c r="B298" s="245" t="e">
        <f aca="false">NextMonth(B297)</f>
        <v>#VALUE!</v>
      </c>
      <c r="C298" s="246" t="n">
        <v>0.063968115900211</v>
      </c>
      <c r="D298" s="246" t="n">
        <v>0.5</v>
      </c>
      <c r="E298" s="246" t="n">
        <v>0.5</v>
      </c>
      <c r="F298" s="246" t="n">
        <v>0.1435</v>
      </c>
      <c r="G298" s="246" t="n">
        <v>0.151</v>
      </c>
      <c r="H298" s="246" t="n">
        <v>0.1585</v>
      </c>
      <c r="I298" s="247" t="n">
        <v>3.9945</v>
      </c>
      <c r="J298" s="248" t="n">
        <v>3.9995</v>
      </c>
      <c r="K298" s="248" t="n">
        <v>-0.195</v>
      </c>
      <c r="L298" s="248" t="n">
        <v>0.0799681</v>
      </c>
      <c r="M298" s="248" t="n">
        <v>0.0799681</v>
      </c>
      <c r="N298" s="249" t="n">
        <v>0</v>
      </c>
      <c r="O298" s="249" t="n">
        <v>0</v>
      </c>
      <c r="P298" s="250"/>
      <c r="Q298" s="250"/>
      <c r="R298" s="251" t="e">
        <f aca="false">B298</f>
        <v>#VALUE!</v>
      </c>
      <c r="S298" s="252" t="n">
        <f aca="false">T298-$S$16</f>
        <v>0.43</v>
      </c>
      <c r="T298" s="243" t="n">
        <f aca="false">D298</f>
        <v>0.5</v>
      </c>
      <c r="U298" s="253" t="n">
        <f aca="false">$U$16+T298</f>
        <v>0.57</v>
      </c>
      <c r="BP298" s="226" t="n">
        <f aca="false">BP297+BV298</f>
        <v>297</v>
      </c>
      <c r="BQ298" s="227" t="s">
        <v>635</v>
      </c>
      <c r="BR298" s="224" t="s">
        <v>285</v>
      </c>
      <c r="BS298" s="161" t="s">
        <v>286</v>
      </c>
      <c r="BT298" s="230" t="s">
        <v>287</v>
      </c>
      <c r="BU298" s="230"/>
      <c r="BV298" s="161" t="n">
        <v>1</v>
      </c>
      <c r="BW298" s="224" t="s">
        <v>1256</v>
      </c>
      <c r="BX298" s="0"/>
    </row>
    <row r="299" customFormat="false" ht="12.75" hidden="false" customHeight="false" outlineLevel="0" collapsed="false">
      <c r="A299" s="244"/>
      <c r="B299" s="245" t="e">
        <f aca="false">NextMonth(B298)</f>
        <v>#VALUE!</v>
      </c>
      <c r="C299" s="246" t="n">
        <v>0.063988194391036</v>
      </c>
      <c r="D299" s="246" t="n">
        <v>0.55</v>
      </c>
      <c r="E299" s="246" t="n">
        <v>0.55</v>
      </c>
      <c r="F299" s="246" t="n">
        <v>0.1435</v>
      </c>
      <c r="G299" s="246" t="n">
        <v>0.151</v>
      </c>
      <c r="H299" s="246" t="n">
        <v>0.1585</v>
      </c>
      <c r="I299" s="247" t="n">
        <v>4.0265</v>
      </c>
      <c r="J299" s="248" t="n">
        <v>4.0315</v>
      </c>
      <c r="K299" s="248" t="n">
        <v>-0.203</v>
      </c>
      <c r="L299" s="248" t="n">
        <v>0.0799681</v>
      </c>
      <c r="M299" s="248" t="n">
        <v>0.0799681</v>
      </c>
      <c r="N299" s="249" t="n">
        <v>0</v>
      </c>
      <c r="O299" s="249" t="n">
        <v>0</v>
      </c>
      <c r="P299" s="250"/>
      <c r="Q299" s="250"/>
      <c r="R299" s="251" t="e">
        <f aca="false">B299</f>
        <v>#VALUE!</v>
      </c>
      <c r="S299" s="252" t="n">
        <f aca="false">T299-$S$16</f>
        <v>0.48</v>
      </c>
      <c r="T299" s="243" t="n">
        <f aca="false">D299</f>
        <v>0.55</v>
      </c>
      <c r="U299" s="253" t="n">
        <f aca="false">$U$16+T299</f>
        <v>0.62</v>
      </c>
      <c r="BP299" s="226" t="n">
        <f aca="false">BP298+BV299</f>
        <v>298</v>
      </c>
      <c r="BQ299" s="227" t="s">
        <v>639</v>
      </c>
      <c r="BR299" s="224" t="s">
        <v>285</v>
      </c>
      <c r="BS299" s="161" t="s">
        <v>286</v>
      </c>
      <c r="BT299" s="230" t="s">
        <v>287</v>
      </c>
      <c r="BU299" s="230"/>
      <c r="BV299" s="161" t="n">
        <v>1</v>
      </c>
      <c r="BW299" s="224" t="s">
        <v>1257</v>
      </c>
      <c r="BX299" s="0"/>
    </row>
    <row r="300" customFormat="false" ht="12.75" hidden="false" customHeight="false" outlineLevel="0" collapsed="false">
      <c r="A300" s="244"/>
      <c r="B300" s="245" t="e">
        <f aca="false">NextMonth(B299)</f>
        <v>#VALUE!</v>
      </c>
      <c r="C300" s="246" t="n">
        <v>0.064008942165029</v>
      </c>
      <c r="D300" s="246" t="n">
        <v>0.6</v>
      </c>
      <c r="E300" s="246" t="n">
        <v>0.6</v>
      </c>
      <c r="F300" s="246" t="n">
        <v>0.1435</v>
      </c>
      <c r="G300" s="246" t="n">
        <v>0.151</v>
      </c>
      <c r="H300" s="246" t="n">
        <v>0.1585</v>
      </c>
      <c r="I300" s="247" t="n">
        <v>4.0895</v>
      </c>
      <c r="J300" s="248" t="n">
        <v>4.0945</v>
      </c>
      <c r="K300" s="248" t="n">
        <v>-0.198</v>
      </c>
      <c r="L300" s="248" t="n">
        <v>0.0799681</v>
      </c>
      <c r="M300" s="248" t="n">
        <v>0.0799681</v>
      </c>
      <c r="N300" s="249" t="n">
        <v>0</v>
      </c>
      <c r="O300" s="249" t="n">
        <v>0</v>
      </c>
      <c r="P300" s="250"/>
      <c r="Q300" s="250"/>
      <c r="R300" s="251" t="e">
        <f aca="false">B300</f>
        <v>#VALUE!</v>
      </c>
      <c r="S300" s="252" t="n">
        <f aca="false">T300-$S$16</f>
        <v>0.53</v>
      </c>
      <c r="T300" s="243" t="n">
        <f aca="false">D300</f>
        <v>0.6</v>
      </c>
      <c r="U300" s="253" t="n">
        <f aca="false">$U$16+T300</f>
        <v>0.67</v>
      </c>
      <c r="BP300" s="226" t="n">
        <f aca="false">BP299+BV300</f>
        <v>299</v>
      </c>
      <c r="BQ300" s="227" t="s">
        <v>643</v>
      </c>
      <c r="BR300" s="224" t="s">
        <v>285</v>
      </c>
      <c r="BS300" s="161" t="s">
        <v>286</v>
      </c>
      <c r="BT300" s="230" t="s">
        <v>287</v>
      </c>
      <c r="BU300" s="230"/>
      <c r="BV300" s="161" t="n">
        <v>1</v>
      </c>
      <c r="BW300" s="224" t="s">
        <v>1258</v>
      </c>
      <c r="BX300" s="0"/>
    </row>
    <row r="301" customFormat="false" ht="12.75" hidden="false" customHeight="false" outlineLevel="0" collapsed="false">
      <c r="A301" s="244"/>
      <c r="B301" s="245" t="e">
        <f aca="false">NextMonth(B300)</f>
        <v>#VALUE!</v>
      </c>
      <c r="C301" s="246" t="n">
        <v>0.064029689939165</v>
      </c>
      <c r="D301" s="246" t="n">
        <v>0.6</v>
      </c>
      <c r="E301" s="246" t="n">
        <v>0.6</v>
      </c>
      <c r="F301" s="246" t="n">
        <v>0.1435</v>
      </c>
      <c r="G301" s="246" t="n">
        <v>0.151</v>
      </c>
      <c r="H301" s="246" t="n">
        <v>0.1585</v>
      </c>
      <c r="I301" s="247" t="n">
        <v>4.114</v>
      </c>
      <c r="J301" s="248" t="n">
        <v>4.119</v>
      </c>
      <c r="K301" s="248" t="n">
        <v>-0.205</v>
      </c>
      <c r="L301" s="248" t="n">
        <v>0.0799681</v>
      </c>
      <c r="M301" s="248" t="n">
        <v>0.0799681</v>
      </c>
      <c r="N301" s="249" t="n">
        <v>0</v>
      </c>
      <c r="O301" s="249" t="n">
        <v>0</v>
      </c>
      <c r="P301" s="250"/>
      <c r="Q301" s="250"/>
      <c r="R301" s="251" t="e">
        <f aca="false">B301</f>
        <v>#VALUE!</v>
      </c>
      <c r="S301" s="252" t="n">
        <f aca="false">T301-$S$16</f>
        <v>0.53</v>
      </c>
      <c r="T301" s="243" t="n">
        <f aca="false">D301</f>
        <v>0.6</v>
      </c>
      <c r="U301" s="253" t="n">
        <f aca="false">$U$16+T301</f>
        <v>0.67</v>
      </c>
      <c r="BP301" s="226" t="n">
        <f aca="false">BP300+BV301</f>
        <v>300</v>
      </c>
      <c r="BQ301" s="227" t="s">
        <v>647</v>
      </c>
      <c r="BR301" s="224" t="s">
        <v>285</v>
      </c>
      <c r="BS301" s="161" t="s">
        <v>286</v>
      </c>
      <c r="BT301" s="230" t="s">
        <v>287</v>
      </c>
      <c r="BU301" s="230"/>
      <c r="BV301" s="161" t="n">
        <v>1</v>
      </c>
      <c r="BW301" s="224" t="s">
        <v>1259</v>
      </c>
      <c r="BX301" s="0"/>
    </row>
    <row r="302" customFormat="false" ht="12.75" hidden="false" customHeight="false" outlineLevel="0" collapsed="false">
      <c r="A302" s="244"/>
      <c r="B302" s="245" t="e">
        <f aca="false">NextMonth(B301)</f>
        <v>#VALUE!</v>
      </c>
      <c r="C302" s="246" t="n">
        <v>0.0640497684304</v>
      </c>
      <c r="D302" s="246" t="n">
        <v>0.65</v>
      </c>
      <c r="E302" s="246" t="n">
        <v>0.65</v>
      </c>
      <c r="F302" s="246" t="n">
        <v>0.1435</v>
      </c>
      <c r="G302" s="246" t="n">
        <v>0.151</v>
      </c>
      <c r="H302" s="246" t="n">
        <v>0.1585</v>
      </c>
      <c r="I302" s="247" t="n">
        <v>4.085</v>
      </c>
      <c r="J302" s="248" t="n">
        <v>4.09</v>
      </c>
      <c r="K302" s="248" t="n">
        <v>-0.199</v>
      </c>
      <c r="L302" s="248" t="n">
        <v>0.0799681</v>
      </c>
      <c r="M302" s="248" t="n">
        <v>0.0799681</v>
      </c>
      <c r="N302" s="249" t="n">
        <v>0</v>
      </c>
      <c r="O302" s="249" t="n">
        <v>0</v>
      </c>
      <c r="P302" s="250"/>
      <c r="Q302" s="250"/>
      <c r="R302" s="251" t="e">
        <f aca="false">B302</f>
        <v>#VALUE!</v>
      </c>
      <c r="S302" s="252" t="n">
        <f aca="false">T302-$S$16</f>
        <v>0.58</v>
      </c>
      <c r="T302" s="243" t="n">
        <f aca="false">D302</f>
        <v>0.65</v>
      </c>
      <c r="U302" s="253" t="n">
        <f aca="false">$U$16+T302</f>
        <v>0.72</v>
      </c>
      <c r="BP302" s="226" t="n">
        <f aca="false">BP301+BV302</f>
        <v>301</v>
      </c>
      <c r="BQ302" s="227" t="s">
        <v>651</v>
      </c>
      <c r="BR302" s="224" t="s">
        <v>285</v>
      </c>
      <c r="BS302" s="161" t="s">
        <v>286</v>
      </c>
      <c r="BT302" s="230" t="s">
        <v>287</v>
      </c>
      <c r="BU302" s="230"/>
      <c r="BV302" s="161" t="n">
        <v>1</v>
      </c>
      <c r="BW302" s="224" t="s">
        <v>1260</v>
      </c>
      <c r="BX302" s="0"/>
    </row>
    <row r="303" customFormat="false" ht="12.75" hidden="false" customHeight="false" outlineLevel="0" collapsed="false">
      <c r="A303" s="244"/>
      <c r="B303" s="245" t="e">
        <f aca="false">NextMonth(B302)</f>
        <v>#VALUE!</v>
      </c>
      <c r="C303" s="246" t="n">
        <v>0.064070516204817</v>
      </c>
      <c r="D303" s="246" t="n">
        <v>0.8</v>
      </c>
      <c r="E303" s="246" t="n">
        <v>0.8</v>
      </c>
      <c r="F303" s="246" t="n">
        <v>0.1435</v>
      </c>
      <c r="G303" s="246" t="n">
        <v>0.151</v>
      </c>
      <c r="H303" s="246" t="n">
        <v>0.1585</v>
      </c>
      <c r="I303" s="247" t="n">
        <v>4.033</v>
      </c>
      <c r="J303" s="248" t="n">
        <v>4.038</v>
      </c>
      <c r="K303" s="248" t="n">
        <v>-0.19</v>
      </c>
      <c r="L303" s="248" t="n">
        <v>1.12E-005</v>
      </c>
      <c r="M303" s="248" t="n">
        <v>1.12E-005</v>
      </c>
      <c r="N303" s="249" t="n">
        <v>0</v>
      </c>
      <c r="O303" s="249" t="n">
        <v>0</v>
      </c>
      <c r="P303" s="250"/>
      <c r="Q303" s="250"/>
      <c r="R303" s="251" t="e">
        <f aca="false">B303</f>
        <v>#VALUE!</v>
      </c>
      <c r="S303" s="252" t="n">
        <f aca="false">T303-$S$16</f>
        <v>0.73</v>
      </c>
      <c r="T303" s="243" t="n">
        <f aca="false">D303</f>
        <v>0.8</v>
      </c>
      <c r="U303" s="253" t="n">
        <f aca="false">$U$16+T303</f>
        <v>0.87</v>
      </c>
      <c r="BP303" s="226" t="n">
        <f aca="false">BP302+BV303</f>
        <v>302</v>
      </c>
      <c r="BQ303" s="227" t="s">
        <v>655</v>
      </c>
      <c r="BR303" s="224" t="s">
        <v>285</v>
      </c>
      <c r="BS303" s="161" t="s">
        <v>286</v>
      </c>
      <c r="BT303" s="230" t="s">
        <v>287</v>
      </c>
      <c r="BU303" s="230"/>
      <c r="BV303" s="161" t="n">
        <v>1</v>
      </c>
      <c r="BW303" s="224" t="s">
        <v>1261</v>
      </c>
      <c r="BX303" s="0"/>
    </row>
    <row r="304" customFormat="false" ht="12.75" hidden="false" customHeight="false" outlineLevel="0" collapsed="false">
      <c r="A304" s="244"/>
      <c r="B304" s="245" t="e">
        <f aca="false">NextMonth(B303)</f>
        <v>#VALUE!</v>
      </c>
      <c r="C304" s="246" t="n">
        <v>0.064090594696324</v>
      </c>
      <c r="D304" s="246" t="n">
        <v>1.1</v>
      </c>
      <c r="E304" s="246" t="n">
        <v>1.1</v>
      </c>
      <c r="F304" s="246" t="n">
        <v>0.1435</v>
      </c>
      <c r="G304" s="246" t="n">
        <v>0.151</v>
      </c>
      <c r="H304" s="246" t="n">
        <v>0.1585</v>
      </c>
      <c r="I304" s="247" t="n">
        <v>3.996</v>
      </c>
      <c r="J304" s="248" t="n">
        <v>4.001</v>
      </c>
      <c r="K304" s="248" t="n">
        <v>-0.186</v>
      </c>
      <c r="L304" s="248" t="n">
        <v>-0.0149519</v>
      </c>
      <c r="M304" s="248" t="n">
        <v>-0.0149519</v>
      </c>
      <c r="N304" s="249" t="n">
        <v>0</v>
      </c>
      <c r="O304" s="249" t="n">
        <v>0</v>
      </c>
      <c r="P304" s="250"/>
      <c r="Q304" s="250"/>
      <c r="R304" s="251" t="e">
        <f aca="false">B304</f>
        <v>#VALUE!</v>
      </c>
      <c r="S304" s="252" t="n">
        <f aca="false">T304-$S$16</f>
        <v>1.03</v>
      </c>
      <c r="T304" s="243" t="n">
        <f aca="false">D304</f>
        <v>1.1</v>
      </c>
      <c r="U304" s="253" t="n">
        <f aca="false">$U$16+T304</f>
        <v>1.17</v>
      </c>
      <c r="BP304" s="226" t="n">
        <f aca="false">BP303+BV304</f>
        <v>303</v>
      </c>
      <c r="BQ304" s="227" t="s">
        <v>659</v>
      </c>
      <c r="BR304" s="224" t="s">
        <v>285</v>
      </c>
      <c r="BS304" s="161" t="s">
        <v>286</v>
      </c>
      <c r="BT304" s="230" t="s">
        <v>287</v>
      </c>
      <c r="BU304" s="230"/>
      <c r="BV304" s="161" t="n">
        <v>1</v>
      </c>
      <c r="BW304" s="224" t="s">
        <v>1262</v>
      </c>
      <c r="BX304" s="0"/>
    </row>
    <row r="305" customFormat="false" ht="12.75" hidden="false" customHeight="false" outlineLevel="0" collapsed="false">
      <c r="A305" s="244"/>
      <c r="B305" s="245" t="e">
        <f aca="false">NextMonth(B304)</f>
        <v>#VALUE!</v>
      </c>
      <c r="C305" s="246" t="n">
        <v>0.064111342471022</v>
      </c>
      <c r="D305" s="246" t="n">
        <v>1.1</v>
      </c>
      <c r="E305" s="246" t="n">
        <v>1.1</v>
      </c>
      <c r="F305" s="246" t="n">
        <v>0.1435</v>
      </c>
      <c r="G305" s="246" t="n">
        <v>0.151</v>
      </c>
      <c r="H305" s="246" t="n">
        <v>0.1585</v>
      </c>
      <c r="I305" s="247" t="n">
        <v>4.058</v>
      </c>
      <c r="J305" s="248" t="n">
        <v>4.063</v>
      </c>
      <c r="K305" s="248" t="n">
        <v>-0.172</v>
      </c>
      <c r="L305" s="248" t="n">
        <v>-0.0099551</v>
      </c>
      <c r="M305" s="248" t="n">
        <v>-0.0099551</v>
      </c>
      <c r="N305" s="249" t="n">
        <v>0</v>
      </c>
      <c r="O305" s="249" t="n">
        <v>0</v>
      </c>
      <c r="P305" s="250"/>
      <c r="Q305" s="250"/>
      <c r="R305" s="251" t="e">
        <f aca="false">B305</f>
        <v>#VALUE!</v>
      </c>
      <c r="S305" s="252" t="n">
        <f aca="false">T305-$S$16</f>
        <v>1.03</v>
      </c>
      <c r="T305" s="243" t="n">
        <f aca="false">D305</f>
        <v>1.1</v>
      </c>
      <c r="U305" s="253" t="n">
        <f aca="false">$U$16+T305</f>
        <v>1.17</v>
      </c>
      <c r="BP305" s="226" t="n">
        <f aca="false">BP304+BV305</f>
        <v>304</v>
      </c>
      <c r="BQ305" s="227" t="s">
        <v>663</v>
      </c>
      <c r="BR305" s="224" t="s">
        <v>285</v>
      </c>
      <c r="BS305" s="161" t="s">
        <v>286</v>
      </c>
      <c r="BT305" s="230" t="s">
        <v>287</v>
      </c>
      <c r="BU305" s="230"/>
      <c r="BV305" s="161" t="n">
        <v>1</v>
      </c>
      <c r="BW305" s="224" t="s">
        <v>1263</v>
      </c>
      <c r="BX305" s="0"/>
    </row>
    <row r="306" customFormat="false" ht="12.75" hidden="false" customHeight="false" outlineLevel="0" collapsed="false">
      <c r="A306" s="244"/>
      <c r="B306" s="245" t="e">
        <f aca="false">NextMonth(B305)</f>
        <v>#VALUE!</v>
      </c>
      <c r="C306" s="246" t="n">
        <v>0.064132090245862</v>
      </c>
      <c r="D306" s="246" t="n">
        <v>1.1</v>
      </c>
      <c r="E306" s="246" t="n">
        <v>1.1</v>
      </c>
      <c r="F306" s="246" t="n">
        <v>0.1435</v>
      </c>
      <c r="G306" s="246" t="n">
        <v>0.151</v>
      </c>
      <c r="H306" s="246" t="n">
        <v>0.1585</v>
      </c>
      <c r="I306" s="247" t="n">
        <v>4.2825</v>
      </c>
      <c r="J306" s="248" t="n">
        <v>4.2875</v>
      </c>
      <c r="K306" s="248" t="n">
        <v>-0.172</v>
      </c>
      <c r="L306" s="248" t="n">
        <v>0.0150425</v>
      </c>
      <c r="M306" s="248" t="n">
        <v>0.0150425</v>
      </c>
      <c r="N306" s="249" t="n">
        <v>0</v>
      </c>
      <c r="O306" s="249" t="n">
        <v>0</v>
      </c>
      <c r="P306" s="250"/>
      <c r="Q306" s="250"/>
      <c r="R306" s="251" t="e">
        <f aca="false">B306</f>
        <v>#VALUE!</v>
      </c>
      <c r="S306" s="252" t="n">
        <f aca="false">T306-$S$16</f>
        <v>1.03</v>
      </c>
      <c r="T306" s="243" t="n">
        <f aca="false">D306</f>
        <v>1.1</v>
      </c>
      <c r="U306" s="253" t="n">
        <f aca="false">$U$16+T306</f>
        <v>1.17</v>
      </c>
      <c r="BP306" s="226" t="n">
        <f aca="false">BP305+BV306</f>
        <v>305</v>
      </c>
      <c r="BQ306" s="227" t="s">
        <v>667</v>
      </c>
      <c r="BR306" s="224" t="s">
        <v>285</v>
      </c>
      <c r="BS306" s="161" t="s">
        <v>286</v>
      </c>
      <c r="BT306" s="230" t="s">
        <v>287</v>
      </c>
      <c r="BU306" s="230"/>
      <c r="BV306" s="161" t="n">
        <v>1</v>
      </c>
      <c r="BW306" s="224" t="s">
        <v>1264</v>
      </c>
      <c r="BX306" s="0"/>
    </row>
    <row r="307" customFormat="false" ht="12.75" hidden="false" customHeight="false" outlineLevel="0" collapsed="false">
      <c r="A307" s="244"/>
      <c r="B307" s="245" t="e">
        <f aca="false">NextMonth(B306)</f>
        <v>#VALUE!</v>
      </c>
      <c r="C307" s="246" t="n">
        <v>0.064150830171647</v>
      </c>
      <c r="D307" s="246" t="n">
        <v>0.75</v>
      </c>
      <c r="E307" s="246" t="n">
        <v>0.75</v>
      </c>
      <c r="F307" s="246" t="n">
        <v>0.1435</v>
      </c>
      <c r="G307" s="246" t="n">
        <v>0.151</v>
      </c>
      <c r="H307" s="246" t="n">
        <v>0.1585</v>
      </c>
      <c r="I307" s="247" t="n">
        <v>4.5545</v>
      </c>
      <c r="J307" s="248" t="n">
        <v>4.5595</v>
      </c>
      <c r="K307" s="248" t="n">
        <v>-0.172</v>
      </c>
      <c r="L307" s="248" t="n">
        <v>0.0250425</v>
      </c>
      <c r="M307" s="248" t="n">
        <v>0.0250425</v>
      </c>
      <c r="N307" s="249" t="n">
        <v>0</v>
      </c>
      <c r="O307" s="249" t="n">
        <v>0</v>
      </c>
      <c r="P307" s="250"/>
      <c r="Q307" s="250"/>
      <c r="R307" s="251" t="e">
        <f aca="false">B307</f>
        <v>#VALUE!</v>
      </c>
      <c r="S307" s="252" t="n">
        <f aca="false">T307-$S$16</f>
        <v>0.68</v>
      </c>
      <c r="T307" s="243" t="n">
        <f aca="false">D307</f>
        <v>0.75</v>
      </c>
      <c r="U307" s="253" t="n">
        <f aca="false">$U$16+T307</f>
        <v>0.82</v>
      </c>
      <c r="BP307" s="226" t="n">
        <f aca="false">BP306+BV307</f>
        <v>306</v>
      </c>
      <c r="BQ307" s="227" t="s">
        <v>671</v>
      </c>
      <c r="BR307" s="224" t="s">
        <v>285</v>
      </c>
      <c r="BS307" s="161" t="s">
        <v>286</v>
      </c>
      <c r="BT307" s="230" t="s">
        <v>287</v>
      </c>
      <c r="BU307" s="230"/>
      <c r="BV307" s="161" t="n">
        <v>1</v>
      </c>
      <c r="BW307" s="224" t="s">
        <v>1265</v>
      </c>
      <c r="BX307" s="0"/>
    </row>
    <row r="308" customFormat="false" ht="12.75" hidden="false" customHeight="false" outlineLevel="0" collapsed="false">
      <c r="A308" s="244"/>
      <c r="B308" s="245" t="e">
        <f aca="false">NextMonth(B307)</f>
        <v>#VALUE!</v>
      </c>
      <c r="C308" s="246" t="n">
        <v>0.064171577946759</v>
      </c>
      <c r="D308" s="246" t="n">
        <v>0.45</v>
      </c>
      <c r="E308" s="246" t="n">
        <v>0.45</v>
      </c>
      <c r="F308" s="246" t="n">
        <v>0.1435</v>
      </c>
      <c r="G308" s="246" t="n">
        <v>0.151</v>
      </c>
      <c r="H308" s="246" t="n">
        <v>0.1585</v>
      </c>
      <c r="I308" s="247" t="n">
        <v>-0.005</v>
      </c>
      <c r="J308" s="248" t="n">
        <v>4.597</v>
      </c>
      <c r="K308" s="248" t="n">
        <v>-0.172</v>
      </c>
      <c r="L308" s="248" t="n">
        <v>0.0849766</v>
      </c>
      <c r="M308" s="248" t="n">
        <v>0.0849766</v>
      </c>
      <c r="N308" s="249" t="n">
        <v>0</v>
      </c>
      <c r="O308" s="249" t="n">
        <v>0</v>
      </c>
      <c r="P308" s="250"/>
      <c r="Q308" s="250"/>
      <c r="R308" s="251" t="e">
        <f aca="false">B308</f>
        <v>#VALUE!</v>
      </c>
      <c r="S308" s="252" t="n">
        <f aca="false">T308-$S$16</f>
        <v>0.38</v>
      </c>
      <c r="T308" s="243" t="n">
        <f aca="false">D308</f>
        <v>0.45</v>
      </c>
      <c r="U308" s="253" t="n">
        <f aca="false">$U$16+T308</f>
        <v>0.52</v>
      </c>
      <c r="BP308" s="226" t="n">
        <f aca="false">BP307+BV308</f>
        <v>307</v>
      </c>
      <c r="BQ308" s="227" t="s">
        <v>675</v>
      </c>
      <c r="BR308" s="224" t="s">
        <v>285</v>
      </c>
      <c r="BS308" s="161" t="s">
        <v>286</v>
      </c>
      <c r="BT308" s="230" t="s">
        <v>287</v>
      </c>
      <c r="BU308" s="230"/>
      <c r="BV308" s="161" t="n">
        <v>1</v>
      </c>
      <c r="BW308" s="224" t="s">
        <v>1266</v>
      </c>
      <c r="BX308" s="0"/>
    </row>
    <row r="309" customFormat="false" ht="12.75" hidden="false" customHeight="false" outlineLevel="0" collapsed="false">
      <c r="A309" s="244"/>
      <c r="B309" s="245" t="e">
        <f aca="false">NextMonth(B308)</f>
        <v>#VALUE!</v>
      </c>
      <c r="C309" s="246" t="n">
        <v>0.064191656438939</v>
      </c>
      <c r="D309" s="246" t="n">
        <v>0.5</v>
      </c>
      <c r="E309" s="246" t="n">
        <v>0.5</v>
      </c>
      <c r="F309" s="246" t="n">
        <v>0.1435</v>
      </c>
      <c r="G309" s="246" t="n">
        <v>0.151</v>
      </c>
      <c r="H309" s="246" t="n">
        <v>0.1585</v>
      </c>
      <c r="I309" s="247" t="n">
        <v>5.416</v>
      </c>
      <c r="J309" s="248" t="n">
        <v>5.421</v>
      </c>
      <c r="K309" s="248" t="n">
        <v>-0.172</v>
      </c>
      <c r="L309" s="248" t="n">
        <v>0.0849681</v>
      </c>
      <c r="M309" s="248" t="n">
        <v>0.0849681</v>
      </c>
      <c r="N309" s="249" t="n">
        <v>0</v>
      </c>
      <c r="O309" s="249" t="n">
        <v>0</v>
      </c>
      <c r="P309" s="250"/>
      <c r="Q309" s="250"/>
      <c r="R309" s="251" t="e">
        <f aca="false">B309</f>
        <v>#VALUE!</v>
      </c>
      <c r="S309" s="252" t="n">
        <f aca="false">T309-$S$16</f>
        <v>0.43</v>
      </c>
      <c r="T309" s="243" t="n">
        <f aca="false">D309</f>
        <v>0.5</v>
      </c>
      <c r="U309" s="253" t="n">
        <f aca="false">$U$16+T309</f>
        <v>0.57</v>
      </c>
      <c r="BP309" s="226" t="n">
        <f aca="false">BP308+BV309</f>
        <v>308</v>
      </c>
      <c r="BQ309" s="227" t="s">
        <v>679</v>
      </c>
      <c r="BR309" s="224" t="s">
        <v>285</v>
      </c>
      <c r="BS309" s="161" t="s">
        <v>286</v>
      </c>
      <c r="BT309" s="230" t="s">
        <v>287</v>
      </c>
      <c r="BU309" s="230"/>
      <c r="BV309" s="161" t="n">
        <v>1</v>
      </c>
      <c r="BW309" s="224" t="s">
        <v>1267</v>
      </c>
      <c r="BX309" s="0"/>
    </row>
    <row r="310" customFormat="false" ht="12.75" hidden="false" customHeight="false" outlineLevel="0" collapsed="false">
      <c r="A310" s="244"/>
      <c r="B310" s="245" t="e">
        <f aca="false">NextMonth(B309)</f>
        <v>#VALUE!</v>
      </c>
      <c r="C310" s="246" t="n">
        <v>0.064212404214332</v>
      </c>
      <c r="D310" s="246" t="n">
        <v>0.5</v>
      </c>
      <c r="E310" s="246" t="n">
        <v>0.5</v>
      </c>
      <c r="F310" s="246" t="n">
        <v>0.1435</v>
      </c>
      <c r="G310" s="246" t="n">
        <v>0.151</v>
      </c>
      <c r="H310" s="246" t="n">
        <v>0.1585</v>
      </c>
      <c r="I310" s="247" t="n">
        <v>5.416</v>
      </c>
      <c r="J310" s="248" t="n">
        <v>5.421</v>
      </c>
      <c r="K310" s="248" t="n">
        <v>-0.172</v>
      </c>
      <c r="L310" s="248" t="n">
        <v>0.0849681</v>
      </c>
      <c r="M310" s="248" t="n">
        <v>0.0849681</v>
      </c>
      <c r="N310" s="249" t="n">
        <v>0</v>
      </c>
      <c r="O310" s="249" t="n">
        <v>0</v>
      </c>
      <c r="P310" s="250"/>
      <c r="Q310" s="250"/>
      <c r="R310" s="251" t="e">
        <f aca="false">B310</f>
        <v>#VALUE!</v>
      </c>
      <c r="S310" s="252" t="n">
        <f aca="false">T310-$S$16</f>
        <v>0.43</v>
      </c>
      <c r="T310" s="243" t="n">
        <f aca="false">D310</f>
        <v>0.5</v>
      </c>
      <c r="U310" s="253" t="n">
        <f aca="false">$U$16+T310</f>
        <v>0.57</v>
      </c>
      <c r="BP310" s="226" t="n">
        <f aca="false">BP309+BV310</f>
        <v>309</v>
      </c>
      <c r="BQ310" s="227" t="s">
        <v>683</v>
      </c>
      <c r="BR310" s="224" t="s">
        <v>285</v>
      </c>
      <c r="BS310" s="161" t="s">
        <v>286</v>
      </c>
      <c r="BT310" s="230" t="s">
        <v>287</v>
      </c>
      <c r="BU310" s="230"/>
      <c r="BV310" s="161" t="n">
        <v>1</v>
      </c>
      <c r="BW310" s="224" t="s">
        <v>1268</v>
      </c>
      <c r="BX310" s="0"/>
    </row>
    <row r="311" customFormat="false" ht="12.75" hidden="false" customHeight="false" outlineLevel="0" collapsed="false">
      <c r="A311" s="244"/>
      <c r="B311" s="245" t="e">
        <f aca="false">NextMonth(B310)</f>
        <v>#VALUE!</v>
      </c>
      <c r="C311" s="246" t="n">
        <v>0.064232482706783</v>
      </c>
      <c r="D311" s="246" t="n">
        <v>0.55</v>
      </c>
      <c r="E311" s="246" t="n">
        <v>0.55</v>
      </c>
      <c r="F311" s="246" t="n">
        <v>0.1435</v>
      </c>
      <c r="G311" s="246" t="n">
        <v>0.151</v>
      </c>
      <c r="H311" s="246" t="n">
        <v>0.1585</v>
      </c>
      <c r="I311" s="247" t="n">
        <v>0</v>
      </c>
      <c r="J311" s="248" t="n">
        <v>0</v>
      </c>
      <c r="K311" s="248" t="n">
        <v>0</v>
      </c>
      <c r="L311" s="248" t="n">
        <v>0.0849681</v>
      </c>
      <c r="M311" s="248" t="n">
        <v>0.0849681</v>
      </c>
      <c r="N311" s="249" t="n">
        <v>0</v>
      </c>
      <c r="O311" s="249" t="n">
        <v>0</v>
      </c>
      <c r="P311" s="250"/>
      <c r="R311" s="251" t="e">
        <f aca="false">EOMONTH(R310,0)+1</f>
        <v>#VALUE!</v>
      </c>
      <c r="BP311" s="226" t="n">
        <f aca="false">BP310+BV311</f>
        <v>310</v>
      </c>
      <c r="BQ311" s="227" t="s">
        <v>687</v>
      </c>
      <c r="BR311" s="224" t="s">
        <v>285</v>
      </c>
      <c r="BS311" s="161" t="s">
        <v>286</v>
      </c>
      <c r="BT311" s="230" t="s">
        <v>287</v>
      </c>
      <c r="BU311" s="230"/>
      <c r="BV311" s="161" t="n">
        <v>1</v>
      </c>
      <c r="BW311" s="224" t="s">
        <v>1269</v>
      </c>
      <c r="BX311" s="0"/>
    </row>
    <row r="312" customFormat="false" ht="12.75" hidden="false" customHeight="false" outlineLevel="0" collapsed="false">
      <c r="A312" s="244"/>
      <c r="B312" s="245" t="e">
        <f aca="false">NextMonth(B311)</f>
        <v>#VALUE!</v>
      </c>
      <c r="C312" s="246" t="n">
        <v>0.064253230482457</v>
      </c>
      <c r="D312" s="246" t="n">
        <v>0.6</v>
      </c>
      <c r="E312" s="246" t="n">
        <v>0.6</v>
      </c>
      <c r="F312" s="246" t="n">
        <v>0.1435</v>
      </c>
      <c r="G312" s="246" t="n">
        <v>0.151</v>
      </c>
      <c r="H312" s="246" t="n">
        <v>0.1585</v>
      </c>
      <c r="I312" s="247" t="n">
        <v>0</v>
      </c>
      <c r="J312" s="248" t="n">
        <v>0</v>
      </c>
      <c r="K312" s="248" t="n">
        <v>0</v>
      </c>
      <c r="L312" s="248" t="n">
        <v>0.0849681</v>
      </c>
      <c r="M312" s="248" t="n">
        <v>0.0849681</v>
      </c>
      <c r="N312" s="249" t="n">
        <v>0</v>
      </c>
      <c r="O312" s="249" t="n">
        <v>0</v>
      </c>
      <c r="P312" s="250"/>
      <c r="R312" s="251" t="e">
        <f aca="false">EOMONTH(R311,0)+1</f>
        <v>#VALUE!</v>
      </c>
      <c r="BP312" s="226" t="n">
        <f aca="false">BP311+BV312</f>
        <v>311</v>
      </c>
      <c r="BQ312" s="227" t="s">
        <v>691</v>
      </c>
      <c r="BR312" s="224" t="s">
        <v>285</v>
      </c>
      <c r="BS312" s="161" t="s">
        <v>286</v>
      </c>
      <c r="BT312" s="230" t="s">
        <v>287</v>
      </c>
      <c r="BU312" s="230"/>
      <c r="BV312" s="161" t="n">
        <v>1</v>
      </c>
      <c r="BW312" s="224" t="s">
        <v>1270</v>
      </c>
      <c r="BX312" s="0"/>
    </row>
    <row r="313" customFormat="false" ht="12.75" hidden="false" customHeight="false" outlineLevel="0" collapsed="false">
      <c r="A313" s="244"/>
      <c r="B313" s="245" t="e">
        <f aca="false">NextMonth(B312)</f>
        <v>#VALUE!</v>
      </c>
      <c r="C313" s="246" t="n">
        <v>0.064273978258274</v>
      </c>
      <c r="D313" s="246" t="n">
        <v>0.6</v>
      </c>
      <c r="E313" s="246" t="n">
        <v>0.6</v>
      </c>
      <c r="F313" s="246" t="n">
        <v>0.1435</v>
      </c>
      <c r="G313" s="246" t="n">
        <v>0.151</v>
      </c>
      <c r="H313" s="246" t="n">
        <v>0.1585</v>
      </c>
      <c r="I313" s="247" t="n">
        <v>0</v>
      </c>
      <c r="J313" s="248" t="n">
        <v>0</v>
      </c>
      <c r="K313" s="248" t="n">
        <v>0</v>
      </c>
      <c r="L313" s="248" t="n">
        <v>0.0849681</v>
      </c>
      <c r="M313" s="248" t="n">
        <v>0.0849681</v>
      </c>
      <c r="N313" s="249" t="n">
        <v>0</v>
      </c>
      <c r="O313" s="249" t="n">
        <v>0</v>
      </c>
      <c r="P313" s="250"/>
      <c r="R313" s="251" t="e">
        <f aca="false">EOMONTH(R312,0)+1</f>
        <v>#VALUE!</v>
      </c>
      <c r="BP313" s="226" t="n">
        <f aca="false">BP312+BV313</f>
        <v>312</v>
      </c>
      <c r="BQ313" s="227" t="s">
        <v>695</v>
      </c>
      <c r="BR313" s="224" t="s">
        <v>285</v>
      </c>
      <c r="BS313" s="161" t="s">
        <v>286</v>
      </c>
      <c r="BT313" s="230" t="s">
        <v>287</v>
      </c>
      <c r="BU313" s="230"/>
      <c r="BV313" s="161" t="n">
        <v>1</v>
      </c>
      <c r="BW313" s="224" t="s">
        <v>1271</v>
      </c>
      <c r="BX313" s="0"/>
    </row>
    <row r="314" customFormat="false" ht="12.75" hidden="false" customHeight="false" outlineLevel="0" collapsed="false">
      <c r="A314" s="244"/>
      <c r="B314" s="245" t="e">
        <f aca="false">NextMonth(B313)</f>
        <v>#VALUE!</v>
      </c>
      <c r="C314" s="246" t="n">
        <v>0.064294056751135</v>
      </c>
      <c r="D314" s="246" t="n">
        <v>0.65</v>
      </c>
      <c r="E314" s="246" t="n">
        <v>0.65</v>
      </c>
      <c r="F314" s="246" t="n">
        <v>0.1435</v>
      </c>
      <c r="G314" s="246" t="n">
        <v>0.151</v>
      </c>
      <c r="H314" s="246" t="n">
        <v>0.1585</v>
      </c>
      <c r="I314" s="247" t="n">
        <v>0</v>
      </c>
      <c r="J314" s="248" t="n">
        <v>0</v>
      </c>
      <c r="K314" s="248" t="n">
        <v>0</v>
      </c>
      <c r="L314" s="248" t="n">
        <v>0.0849681</v>
      </c>
      <c r="M314" s="248" t="n">
        <v>0.0849681</v>
      </c>
      <c r="N314" s="249" t="n">
        <v>0</v>
      </c>
      <c r="O314" s="249" t="n">
        <v>0</v>
      </c>
      <c r="P314" s="250"/>
      <c r="R314" s="251" t="e">
        <f aca="false">EOMONTH(R313,0)+1</f>
        <v>#VALUE!</v>
      </c>
      <c r="BP314" s="226" t="n">
        <f aca="false">BP313+BV314</f>
        <v>313</v>
      </c>
      <c r="BQ314" s="227" t="s">
        <v>699</v>
      </c>
      <c r="BR314" s="224" t="s">
        <v>285</v>
      </c>
      <c r="BS314" s="161" t="s">
        <v>286</v>
      </c>
      <c r="BT314" s="230" t="s">
        <v>287</v>
      </c>
      <c r="BU314" s="230"/>
      <c r="BV314" s="161" t="n">
        <v>1</v>
      </c>
      <c r="BW314" s="224" t="s">
        <v>1272</v>
      </c>
      <c r="BX314" s="0"/>
    </row>
    <row r="315" customFormat="false" ht="12.75" hidden="false" customHeight="false" outlineLevel="0" collapsed="false">
      <c r="A315" s="244"/>
      <c r="B315" s="245" t="e">
        <f aca="false">NextMonth(B314)</f>
        <v>#VALUE!</v>
      </c>
      <c r="C315" s="246" t="n">
        <v>0.064314804527232</v>
      </c>
      <c r="D315" s="246" t="n">
        <v>0.8</v>
      </c>
      <c r="E315" s="246" t="n">
        <v>0.8</v>
      </c>
      <c r="F315" s="246" t="n">
        <v>0.1435</v>
      </c>
      <c r="G315" s="246" t="n">
        <v>0.151</v>
      </c>
      <c r="H315" s="246" t="n">
        <v>0.1585</v>
      </c>
      <c r="I315" s="247" t="n">
        <v>0</v>
      </c>
      <c r="J315" s="248" t="n">
        <v>0</v>
      </c>
      <c r="K315" s="248" t="n">
        <v>0</v>
      </c>
      <c r="L315" s="248" t="n">
        <v>0.0050112</v>
      </c>
      <c r="M315" s="248" t="n">
        <v>0.0050112</v>
      </c>
      <c r="N315" s="249" t="n">
        <v>0</v>
      </c>
      <c r="O315" s="249" t="n">
        <v>0</v>
      </c>
      <c r="P315" s="250"/>
      <c r="R315" s="251" t="e">
        <f aca="false">EOMONTH(R314,0)+1</f>
        <v>#VALUE!</v>
      </c>
      <c r="BP315" s="226" t="n">
        <f aca="false">BP314+BV315</f>
        <v>314</v>
      </c>
      <c r="BQ315" s="227" t="s">
        <v>703</v>
      </c>
      <c r="BR315" s="224" t="s">
        <v>285</v>
      </c>
      <c r="BS315" s="161" t="s">
        <v>286</v>
      </c>
      <c r="BT315" s="230" t="s">
        <v>287</v>
      </c>
      <c r="BU315" s="230"/>
      <c r="BV315" s="161" t="n">
        <v>1</v>
      </c>
      <c r="BW315" s="224" t="s">
        <v>1273</v>
      </c>
      <c r="BX315" s="0"/>
    </row>
    <row r="316" customFormat="false" ht="12.75" hidden="false" customHeight="false" outlineLevel="0" collapsed="false">
      <c r="A316" s="244"/>
      <c r="B316" s="245" t="e">
        <f aca="false">NextMonth(B315)</f>
        <v>#VALUE!</v>
      </c>
      <c r="C316" s="246" t="n">
        <v>0.064334883020366</v>
      </c>
      <c r="D316" s="246" t="n">
        <v>1.1</v>
      </c>
      <c r="E316" s="246" t="n">
        <v>1.1</v>
      </c>
      <c r="F316" s="246" t="n">
        <v>0.1435</v>
      </c>
      <c r="G316" s="246" t="n">
        <v>0.151</v>
      </c>
      <c r="H316" s="246" t="n">
        <v>0.1585</v>
      </c>
      <c r="I316" s="247" t="n">
        <v>0</v>
      </c>
      <c r="J316" s="248" t="n">
        <v>0</v>
      </c>
      <c r="K316" s="248" t="n">
        <v>0</v>
      </c>
      <c r="L316" s="248" t="n">
        <v>-0.0099519</v>
      </c>
      <c r="M316" s="248" t="n">
        <v>-0.0099519</v>
      </c>
      <c r="N316" s="249" t="n">
        <v>0</v>
      </c>
      <c r="O316" s="249" t="n">
        <v>0</v>
      </c>
      <c r="P316" s="250"/>
      <c r="R316" s="251" t="e">
        <f aca="false">EOMONTH(R315,0)+1</f>
        <v>#VALUE!</v>
      </c>
      <c r="BP316" s="226" t="n">
        <f aca="false">BP315+BV316</f>
        <v>315</v>
      </c>
      <c r="BQ316" s="227" t="s">
        <v>707</v>
      </c>
      <c r="BR316" s="224" t="s">
        <v>285</v>
      </c>
      <c r="BS316" s="161" t="s">
        <v>286</v>
      </c>
      <c r="BT316" s="230" t="s">
        <v>287</v>
      </c>
      <c r="BU316" s="230"/>
      <c r="BV316" s="161" t="n">
        <v>1</v>
      </c>
      <c r="BW316" s="224" t="s">
        <v>1274</v>
      </c>
      <c r="BX316" s="0"/>
    </row>
    <row r="317" customFormat="false" ht="12.75" hidden="false" customHeight="false" outlineLevel="0" collapsed="false">
      <c r="A317" s="244"/>
      <c r="B317" s="245" t="e">
        <f aca="false">NextMonth(B316)</f>
        <v>#VALUE!</v>
      </c>
      <c r="C317" s="246" t="n">
        <v>0.064355630796744</v>
      </c>
      <c r="D317" s="246" t="n">
        <v>1.1</v>
      </c>
      <c r="E317" s="246" t="n">
        <v>1.1</v>
      </c>
      <c r="F317" s="246" t="n">
        <v>0.1435</v>
      </c>
      <c r="G317" s="246" t="n">
        <v>0.151</v>
      </c>
      <c r="H317" s="246" t="n">
        <v>0.1585</v>
      </c>
      <c r="I317" s="247" t="n">
        <v>0</v>
      </c>
      <c r="J317" s="248" t="n">
        <v>0</v>
      </c>
      <c r="K317" s="248" t="n">
        <v>0</v>
      </c>
      <c r="L317" s="248" t="n">
        <v>-0.0049551</v>
      </c>
      <c r="M317" s="248" t="n">
        <v>-0.0049551</v>
      </c>
      <c r="N317" s="249" t="n">
        <v>0</v>
      </c>
      <c r="O317" s="249" t="n">
        <v>0</v>
      </c>
      <c r="P317" s="250"/>
      <c r="R317" s="251" t="e">
        <f aca="false">EOMONTH(R316,0)+1</f>
        <v>#VALUE!</v>
      </c>
      <c r="BP317" s="226" t="n">
        <f aca="false">BP316+BV317</f>
        <v>316</v>
      </c>
      <c r="BQ317" s="227" t="s">
        <v>711</v>
      </c>
      <c r="BR317" s="224" t="s">
        <v>285</v>
      </c>
      <c r="BS317" s="161" t="s">
        <v>286</v>
      </c>
      <c r="BT317" s="230" t="s">
        <v>287</v>
      </c>
      <c r="BU317" s="230"/>
      <c r="BV317" s="161" t="n">
        <v>1</v>
      </c>
      <c r="BW317" s="224" t="s">
        <v>1275</v>
      </c>
      <c r="BX317" s="0"/>
    </row>
    <row r="318" customFormat="false" ht="12.75" hidden="false" customHeight="false" outlineLevel="0" collapsed="false">
      <c r="A318" s="244"/>
      <c r="B318" s="245" t="e">
        <f aca="false">NextMonth(B317)</f>
        <v>#VALUE!</v>
      </c>
      <c r="C318" s="246" t="n">
        <v>0.064376378573265</v>
      </c>
      <c r="D318" s="246" t="n">
        <v>1.1</v>
      </c>
      <c r="E318" s="246" t="n">
        <v>1.1</v>
      </c>
      <c r="F318" s="246" t="n">
        <v>0.1435</v>
      </c>
      <c r="G318" s="246" t="n">
        <v>0.151</v>
      </c>
      <c r="H318" s="246" t="n">
        <v>0.1585</v>
      </c>
      <c r="I318" s="247" t="n">
        <v>0</v>
      </c>
      <c r="J318" s="248" t="n">
        <v>0</v>
      </c>
      <c r="K318" s="248" t="n">
        <v>0</v>
      </c>
      <c r="L318" s="248" t="n">
        <v>0.0200425</v>
      </c>
      <c r="M318" s="248" t="n">
        <v>0.0200425</v>
      </c>
      <c r="N318" s="249" t="n">
        <v>0</v>
      </c>
      <c r="O318" s="249" t="n">
        <v>0</v>
      </c>
      <c r="P318" s="250"/>
      <c r="R318" s="251" t="e">
        <f aca="false">EOMONTH(R317,0)+1</f>
        <v>#VALUE!</v>
      </c>
      <c r="BP318" s="226" t="n">
        <f aca="false">BP317+BV318</f>
        <v>317</v>
      </c>
      <c r="BQ318" s="227" t="s">
        <v>715</v>
      </c>
      <c r="BR318" s="224" t="s">
        <v>285</v>
      </c>
      <c r="BS318" s="161" t="s">
        <v>286</v>
      </c>
      <c r="BT318" s="230" t="s">
        <v>287</v>
      </c>
      <c r="BU318" s="230"/>
      <c r="BV318" s="161" t="n">
        <v>1</v>
      </c>
      <c r="BW318" s="224" t="s">
        <v>1276</v>
      </c>
      <c r="BX318" s="0"/>
    </row>
    <row r="319" customFormat="false" ht="12.75" hidden="false" customHeight="false" outlineLevel="0" collapsed="false">
      <c r="A319" s="244"/>
      <c r="B319" s="245" t="e">
        <f aca="false">NextMonth(B318)</f>
        <v>#VALUE!</v>
      </c>
      <c r="C319" s="246" t="n">
        <v>0.064395118500568</v>
      </c>
      <c r="D319" s="246" t="n">
        <v>0.75</v>
      </c>
      <c r="E319" s="246" t="n">
        <v>0.75</v>
      </c>
      <c r="F319" s="246" t="n">
        <v>0.1435</v>
      </c>
      <c r="G319" s="246" t="n">
        <v>0.151</v>
      </c>
      <c r="H319" s="246" t="n">
        <v>0.1585</v>
      </c>
      <c r="I319" s="247" t="n">
        <v>0</v>
      </c>
      <c r="J319" s="248" t="n">
        <v>0</v>
      </c>
      <c r="K319" s="248" t="n">
        <v>0</v>
      </c>
      <c r="L319" s="248" t="n">
        <v>0.0300425</v>
      </c>
      <c r="M319" s="248" t="n">
        <v>0.0300425</v>
      </c>
      <c r="N319" s="249" t="n">
        <v>0</v>
      </c>
      <c r="O319" s="249" t="n">
        <v>0</v>
      </c>
      <c r="P319" s="250"/>
      <c r="R319" s="251" t="e">
        <f aca="false">EOMONTH(R318,0)+1</f>
        <v>#VALUE!</v>
      </c>
      <c r="BP319" s="226" t="n">
        <f aca="false">BP318+BV319</f>
        <v>318</v>
      </c>
      <c r="BQ319" s="227" t="s">
        <v>719</v>
      </c>
      <c r="BR319" s="224" t="s">
        <v>285</v>
      </c>
      <c r="BS319" s="161" t="s">
        <v>286</v>
      </c>
      <c r="BT319" s="230" t="s">
        <v>287</v>
      </c>
      <c r="BU319" s="230"/>
      <c r="BV319" s="161" t="n">
        <v>1</v>
      </c>
      <c r="BW319" s="224" t="s">
        <v>1277</v>
      </c>
      <c r="BX319" s="0"/>
    </row>
    <row r="320" customFormat="false" ht="12.75" hidden="false" customHeight="false" outlineLevel="0" collapsed="false">
      <c r="A320" s="244"/>
      <c r="B320" s="245" t="e">
        <f aca="false">NextMonth(B319)</f>
        <v>#VALUE!</v>
      </c>
      <c r="C320" s="246" t="n">
        <v>0.06441586627736</v>
      </c>
      <c r="D320" s="246" t="n">
        <v>0.45</v>
      </c>
      <c r="E320" s="246" t="n">
        <v>0.45</v>
      </c>
      <c r="F320" s="246" t="n">
        <v>0.1435</v>
      </c>
      <c r="G320" s="246" t="n">
        <v>0.151</v>
      </c>
      <c r="H320" s="246" t="n">
        <v>0.1585</v>
      </c>
      <c r="I320" s="247" t="n">
        <v>0</v>
      </c>
      <c r="J320" s="248" t="n">
        <v>0</v>
      </c>
      <c r="K320" s="248" t="n">
        <v>0</v>
      </c>
      <c r="L320" s="248" t="n">
        <v>0.0899766</v>
      </c>
      <c r="M320" s="248" t="n">
        <v>0.0899766</v>
      </c>
      <c r="N320" s="249" t="n">
        <v>0</v>
      </c>
      <c r="O320" s="249" t="n">
        <v>0</v>
      </c>
      <c r="P320" s="250"/>
      <c r="R320" s="251" t="e">
        <f aca="false">EOMONTH(R319,0)+1</f>
        <v>#VALUE!</v>
      </c>
      <c r="BP320" s="226" t="n">
        <f aca="false">BP319+BV320</f>
        <v>319</v>
      </c>
      <c r="BQ320" s="227" t="s">
        <v>723</v>
      </c>
      <c r="BR320" s="224" t="s">
        <v>285</v>
      </c>
      <c r="BS320" s="161" t="s">
        <v>286</v>
      </c>
      <c r="BT320" s="230" t="s">
        <v>287</v>
      </c>
      <c r="BU320" s="230"/>
      <c r="BV320" s="161" t="n">
        <v>1</v>
      </c>
      <c r="BW320" s="224" t="s">
        <v>1278</v>
      </c>
      <c r="BX320" s="0"/>
    </row>
    <row r="321" customFormat="false" ht="12.75" hidden="false" customHeight="false" outlineLevel="0" collapsed="false">
      <c r="A321" s="244"/>
      <c r="B321" s="245" t="e">
        <f aca="false">NextMonth(B320)</f>
        <v>#VALUE!</v>
      </c>
      <c r="C321" s="246" t="n">
        <v>0.064435944771167</v>
      </c>
      <c r="D321" s="246" t="n">
        <v>0.5</v>
      </c>
      <c r="E321" s="246" t="n">
        <v>0.5</v>
      </c>
      <c r="F321" s="246" t="n">
        <v>0.1435</v>
      </c>
      <c r="G321" s="246" t="n">
        <v>0.151</v>
      </c>
      <c r="H321" s="246" t="n">
        <v>0.1585</v>
      </c>
      <c r="I321" s="247" t="n">
        <v>0</v>
      </c>
      <c r="J321" s="248" t="n">
        <v>0</v>
      </c>
      <c r="K321" s="248" t="n">
        <v>0</v>
      </c>
      <c r="L321" s="248" t="n">
        <v>0.0899681</v>
      </c>
      <c r="M321" s="248" t="n">
        <v>0.0899681</v>
      </c>
      <c r="N321" s="249" t="n">
        <v>0</v>
      </c>
      <c r="O321" s="249" t="n">
        <v>0</v>
      </c>
      <c r="P321" s="250"/>
      <c r="R321" s="251" t="e">
        <f aca="false">EOMONTH(R320,0)+1</f>
        <v>#VALUE!</v>
      </c>
      <c r="BP321" s="226" t="n">
        <f aca="false">BP320+BV321</f>
        <v>320</v>
      </c>
      <c r="BQ321" s="227" t="s">
        <v>727</v>
      </c>
      <c r="BR321" s="224" t="s">
        <v>285</v>
      </c>
      <c r="BS321" s="161" t="s">
        <v>286</v>
      </c>
      <c r="BT321" s="230" t="s">
        <v>287</v>
      </c>
      <c r="BU321" s="230"/>
      <c r="BV321" s="161" t="n">
        <v>1</v>
      </c>
      <c r="BW321" s="224" t="s">
        <v>1279</v>
      </c>
      <c r="BX321" s="0"/>
    </row>
    <row r="322" customFormat="false" ht="12.75" hidden="false" customHeight="false" outlineLevel="0" collapsed="false">
      <c r="A322" s="244"/>
      <c r="B322" s="245" t="e">
        <f aca="false">NextMonth(B321)</f>
        <v>#VALUE!</v>
      </c>
      <c r="C322" s="246" t="n">
        <v>0.06445669254824</v>
      </c>
      <c r="D322" s="246" t="n">
        <v>0.5</v>
      </c>
      <c r="E322" s="246" t="n">
        <v>0.5</v>
      </c>
      <c r="F322" s="246" t="n">
        <v>0</v>
      </c>
      <c r="G322" s="246" t="n">
        <v>0</v>
      </c>
      <c r="H322" s="246" t="n">
        <v>0</v>
      </c>
      <c r="I322" s="247" t="n">
        <v>0</v>
      </c>
      <c r="J322" s="248" t="n">
        <v>0</v>
      </c>
      <c r="K322" s="248" t="n">
        <v>0</v>
      </c>
      <c r="L322" s="248" t="n">
        <v>0.0899681</v>
      </c>
      <c r="M322" s="248" t="n">
        <v>0.0899681</v>
      </c>
      <c r="N322" s="249" t="n">
        <v>0</v>
      </c>
      <c r="O322" s="249" t="n">
        <v>0</v>
      </c>
      <c r="P322" s="250"/>
      <c r="R322" s="251" t="e">
        <f aca="false">EOMONTH(R321,0)+1</f>
        <v>#VALUE!</v>
      </c>
      <c r="BP322" s="226" t="n">
        <f aca="false">BP321+BV322</f>
        <v>321</v>
      </c>
      <c r="BQ322" s="227" t="s">
        <v>731</v>
      </c>
      <c r="BR322" s="224" t="s">
        <v>285</v>
      </c>
      <c r="BS322" s="161" t="s">
        <v>286</v>
      </c>
      <c r="BT322" s="230" t="s">
        <v>287</v>
      </c>
      <c r="BU322" s="230"/>
      <c r="BV322" s="161" t="n">
        <v>1</v>
      </c>
      <c r="BW322" s="224" t="s">
        <v>1280</v>
      </c>
      <c r="BX322" s="0"/>
    </row>
    <row r="323" customFormat="false" ht="12.75" hidden="false" customHeight="false" outlineLevel="0" collapsed="false">
      <c r="A323" s="244"/>
      <c r="B323" s="245" t="e">
        <f aca="false">NextMonth(B322)</f>
        <v>#VALUE!</v>
      </c>
      <c r="C323" s="246" t="n">
        <v>0.064476771042318</v>
      </c>
      <c r="D323" s="246" t="n">
        <v>0.55</v>
      </c>
      <c r="E323" s="246" t="n">
        <v>0.55</v>
      </c>
      <c r="F323" s="246" t="n">
        <v>0</v>
      </c>
      <c r="G323" s="246" t="n">
        <v>0</v>
      </c>
      <c r="H323" s="246" t="n">
        <v>0</v>
      </c>
      <c r="I323" s="247" t="n">
        <v>0</v>
      </c>
      <c r="J323" s="248" t="n">
        <v>0</v>
      </c>
      <c r="K323" s="248" t="n">
        <v>0</v>
      </c>
      <c r="L323" s="248" t="n">
        <v>0.0899681</v>
      </c>
      <c r="M323" s="248" t="n">
        <v>0.0899681</v>
      </c>
      <c r="N323" s="249" t="n">
        <v>0</v>
      </c>
      <c r="O323" s="249" t="n">
        <v>0</v>
      </c>
      <c r="P323" s="250"/>
      <c r="R323" s="251" t="e">
        <f aca="false">EOMONTH(R322,0)+1</f>
        <v>#VALUE!</v>
      </c>
      <c r="BP323" s="226" t="n">
        <f aca="false">BP322+BV323</f>
        <v>322</v>
      </c>
      <c r="BQ323" s="227" t="s">
        <v>735</v>
      </c>
      <c r="BR323" s="224" t="s">
        <v>285</v>
      </c>
      <c r="BS323" s="161" t="s">
        <v>286</v>
      </c>
      <c r="BT323" s="230" t="s">
        <v>287</v>
      </c>
      <c r="BU323" s="230"/>
      <c r="BV323" s="161" t="n">
        <v>1</v>
      </c>
      <c r="BW323" s="224" t="s">
        <v>1281</v>
      </c>
      <c r="BX323" s="0"/>
    </row>
    <row r="324" customFormat="false" ht="12.75" hidden="false" customHeight="false" outlineLevel="0" collapsed="false">
      <c r="A324" s="244"/>
      <c r="B324" s="245" t="e">
        <f aca="false">NextMonth(B323)</f>
        <v>#VALUE!</v>
      </c>
      <c r="C324" s="246" t="n">
        <v>0.064497518819672</v>
      </c>
      <c r="D324" s="246" t="n">
        <v>0.6</v>
      </c>
      <c r="E324" s="246" t="n">
        <v>0.6</v>
      </c>
      <c r="F324" s="246" t="n">
        <v>0</v>
      </c>
      <c r="G324" s="246" t="n">
        <v>0</v>
      </c>
      <c r="H324" s="246" t="n">
        <v>0</v>
      </c>
      <c r="I324" s="247" t="n">
        <v>0</v>
      </c>
      <c r="J324" s="248" t="n">
        <v>0</v>
      </c>
      <c r="K324" s="248" t="n">
        <v>0</v>
      </c>
      <c r="L324" s="248" t="n">
        <v>0.0899681</v>
      </c>
      <c r="M324" s="248" t="n">
        <v>0.0899681</v>
      </c>
      <c r="N324" s="249" t="n">
        <v>0</v>
      </c>
      <c r="O324" s="249" t="n">
        <v>0</v>
      </c>
      <c r="P324" s="250"/>
      <c r="R324" s="251" t="e">
        <f aca="false">EOMONTH(R323,0)+1</f>
        <v>#VALUE!</v>
      </c>
      <c r="BP324" s="226" t="n">
        <f aca="false">BP323+BV324</f>
        <v>323</v>
      </c>
      <c r="BQ324" s="227" t="s">
        <v>739</v>
      </c>
      <c r="BR324" s="224" t="s">
        <v>285</v>
      </c>
      <c r="BS324" s="161" t="s">
        <v>286</v>
      </c>
      <c r="BT324" s="230" t="s">
        <v>287</v>
      </c>
      <c r="BU324" s="230"/>
      <c r="BV324" s="161" t="n">
        <v>1</v>
      </c>
      <c r="BW324" s="224" t="s">
        <v>1282</v>
      </c>
      <c r="BX324" s="0"/>
    </row>
    <row r="325" customFormat="false" ht="12.75" hidden="false" customHeight="false" outlineLevel="0" collapsed="false">
      <c r="A325" s="244"/>
      <c r="B325" s="245" t="e">
        <f aca="false">NextMonth(B324)</f>
        <v>#VALUE!</v>
      </c>
      <c r="C325" s="246" t="n">
        <v>0.064518266597169</v>
      </c>
      <c r="D325" s="246" t="n">
        <v>0.6</v>
      </c>
      <c r="E325" s="246" t="n">
        <v>0.6</v>
      </c>
      <c r="F325" s="246" t="n">
        <v>0</v>
      </c>
      <c r="G325" s="246" t="n">
        <v>0</v>
      </c>
      <c r="H325" s="246" t="n">
        <v>0</v>
      </c>
      <c r="I325" s="247" t="n">
        <v>0</v>
      </c>
      <c r="J325" s="248" t="n">
        <v>0</v>
      </c>
      <c r="K325" s="248" t="n">
        <v>0</v>
      </c>
      <c r="L325" s="248" t="n">
        <v>0.0899681</v>
      </c>
      <c r="M325" s="248" t="n">
        <v>0.0899681</v>
      </c>
      <c r="N325" s="249" t="n">
        <v>0</v>
      </c>
      <c r="O325" s="249" t="n">
        <v>0</v>
      </c>
      <c r="P325" s="250"/>
      <c r="R325" s="251" t="e">
        <f aca="false">EOMONTH(R324,0)+1</f>
        <v>#VALUE!</v>
      </c>
      <c r="BP325" s="226" t="n">
        <f aca="false">BP324+BV325</f>
        <v>324</v>
      </c>
      <c r="BQ325" s="227" t="s">
        <v>743</v>
      </c>
      <c r="BR325" s="224" t="s">
        <v>285</v>
      </c>
      <c r="BS325" s="161" t="s">
        <v>286</v>
      </c>
      <c r="BT325" s="230" t="s">
        <v>287</v>
      </c>
      <c r="BU325" s="230"/>
      <c r="BV325" s="161" t="n">
        <v>1</v>
      </c>
      <c r="BW325" s="224" t="s">
        <v>1283</v>
      </c>
      <c r="BX325" s="0"/>
    </row>
    <row r="326" customFormat="false" ht="12.75" hidden="false" customHeight="false" outlineLevel="0" collapsed="false">
      <c r="A326" s="244"/>
      <c r="B326" s="245" t="e">
        <f aca="false">NextMonth(B325)</f>
        <v>#VALUE!</v>
      </c>
      <c r="C326" s="246" t="n">
        <v>0.064538345091658</v>
      </c>
      <c r="D326" s="246" t="n">
        <v>0.65</v>
      </c>
      <c r="E326" s="246" t="n">
        <v>0.65</v>
      </c>
      <c r="F326" s="246" t="n">
        <v>0</v>
      </c>
      <c r="G326" s="246" t="n">
        <v>0</v>
      </c>
      <c r="H326" s="246" t="n">
        <v>0</v>
      </c>
      <c r="I326" s="247" t="n">
        <v>0</v>
      </c>
      <c r="J326" s="248" t="n">
        <v>0</v>
      </c>
      <c r="K326" s="248" t="n">
        <v>0</v>
      </c>
      <c r="L326" s="248" t="n">
        <v>0.0899681</v>
      </c>
      <c r="M326" s="248" t="n">
        <v>0.0899681</v>
      </c>
      <c r="N326" s="249" t="n">
        <v>0</v>
      </c>
      <c r="O326" s="249" t="n">
        <v>0</v>
      </c>
      <c r="P326" s="250"/>
      <c r="R326" s="251" t="e">
        <f aca="false">EOMONTH(R325,0)+1</f>
        <v>#VALUE!</v>
      </c>
      <c r="BP326" s="226" t="n">
        <f aca="false">BP325+BV326</f>
        <v>325</v>
      </c>
      <c r="BQ326" s="227" t="s">
        <v>747</v>
      </c>
      <c r="BR326" s="224" t="s">
        <v>285</v>
      </c>
      <c r="BS326" s="161" t="s">
        <v>286</v>
      </c>
      <c r="BT326" s="230" t="s">
        <v>287</v>
      </c>
      <c r="BU326" s="230"/>
      <c r="BV326" s="161" t="n">
        <v>1</v>
      </c>
      <c r="BW326" s="224" t="s">
        <v>1284</v>
      </c>
      <c r="BX326" s="0"/>
    </row>
    <row r="327" customFormat="false" ht="12.75" hidden="false" customHeight="false" outlineLevel="0" collapsed="false">
      <c r="A327" s="244"/>
      <c r="B327" s="245" t="e">
        <f aca="false">NextMonth(B326)</f>
        <v>#VALUE!</v>
      </c>
      <c r="C327" s="246" t="n">
        <v>0.064559092869435</v>
      </c>
      <c r="D327" s="246" t="n">
        <v>0.8</v>
      </c>
      <c r="E327" s="246" t="n">
        <v>0.8</v>
      </c>
      <c r="F327" s="246" t="n">
        <v>0</v>
      </c>
      <c r="G327" s="246" t="n">
        <v>0</v>
      </c>
      <c r="H327" s="246" t="n">
        <v>0</v>
      </c>
      <c r="I327" s="247" t="n">
        <v>0</v>
      </c>
      <c r="J327" s="248" t="n">
        <v>0</v>
      </c>
      <c r="K327" s="248" t="n">
        <v>0</v>
      </c>
      <c r="L327" s="248" t="n">
        <v>0.0100112</v>
      </c>
      <c r="M327" s="248" t="n">
        <v>0.0100112</v>
      </c>
      <c r="N327" s="249" t="n">
        <v>0</v>
      </c>
      <c r="O327" s="249" t="n">
        <v>0</v>
      </c>
      <c r="P327" s="250"/>
      <c r="R327" s="251" t="e">
        <f aca="false">EOMONTH(R326,0)+1</f>
        <v>#VALUE!</v>
      </c>
      <c r="BP327" s="226" t="n">
        <f aca="false">BP326+BV327</f>
        <v>326</v>
      </c>
      <c r="BQ327" s="227" t="s">
        <v>751</v>
      </c>
      <c r="BR327" s="224" t="s">
        <v>285</v>
      </c>
      <c r="BS327" s="161" t="s">
        <v>286</v>
      </c>
      <c r="BT327" s="230" t="s">
        <v>287</v>
      </c>
      <c r="BU327" s="230"/>
      <c r="BV327" s="161" t="n">
        <v>1</v>
      </c>
      <c r="BW327" s="224" t="s">
        <v>1285</v>
      </c>
      <c r="BX327" s="0"/>
    </row>
    <row r="328" customFormat="false" ht="12.75" hidden="false" customHeight="false" outlineLevel="0" collapsed="false">
      <c r="A328" s="244"/>
      <c r="B328" s="245" t="e">
        <f aca="false">NextMonth(B327)</f>
        <v>#VALUE!</v>
      </c>
      <c r="C328" s="246" t="n">
        <v>0.064579171364194</v>
      </c>
      <c r="D328" s="246" t="n">
        <v>1.1</v>
      </c>
      <c r="E328" s="246" t="n">
        <v>1.1</v>
      </c>
      <c r="F328" s="246" t="n">
        <v>0</v>
      </c>
      <c r="G328" s="246" t="n">
        <v>0</v>
      </c>
      <c r="H328" s="246" t="n">
        <v>0</v>
      </c>
      <c r="I328" s="247" t="n">
        <v>0</v>
      </c>
      <c r="J328" s="248" t="n">
        <v>0</v>
      </c>
      <c r="K328" s="248" t="n">
        <v>0</v>
      </c>
      <c r="L328" s="248" t="n">
        <v>-0.0049519</v>
      </c>
      <c r="M328" s="248" t="n">
        <v>-0.0049519</v>
      </c>
      <c r="N328" s="249" t="n">
        <v>0</v>
      </c>
      <c r="O328" s="249" t="n">
        <v>0</v>
      </c>
      <c r="P328" s="250"/>
      <c r="R328" s="251" t="e">
        <f aca="false">EOMONTH(R327,0)+1</f>
        <v>#VALUE!</v>
      </c>
      <c r="BP328" s="226" t="n">
        <f aca="false">BP327+BV328</f>
        <v>327</v>
      </c>
      <c r="BQ328" s="227" t="s">
        <v>755</v>
      </c>
      <c r="BR328" s="224" t="s">
        <v>285</v>
      </c>
      <c r="BS328" s="161" t="s">
        <v>286</v>
      </c>
      <c r="BT328" s="230" t="s">
        <v>287</v>
      </c>
      <c r="BU328" s="230"/>
      <c r="BV328" s="161" t="n">
        <v>1</v>
      </c>
      <c r="BW328" s="224" t="s">
        <v>1286</v>
      </c>
      <c r="BX328" s="0"/>
    </row>
    <row r="329" customFormat="false" ht="12.75" hidden="false" customHeight="false" outlineLevel="0" collapsed="false">
      <c r="A329" s="244"/>
      <c r="B329" s="245" t="e">
        <f aca="false">NextMonth(B328)</f>
        <v>#VALUE!</v>
      </c>
      <c r="C329" s="246" t="n">
        <v>0.064599919142254</v>
      </c>
      <c r="D329" s="246" t="n">
        <v>1.1</v>
      </c>
      <c r="E329" s="246" t="n">
        <v>1.1</v>
      </c>
      <c r="F329" s="246" t="n">
        <v>0</v>
      </c>
      <c r="G329" s="246" t="n">
        <v>0</v>
      </c>
      <c r="H329" s="246" t="n">
        <v>0</v>
      </c>
      <c r="I329" s="247" t="n">
        <v>0</v>
      </c>
      <c r="J329" s="248" t="n">
        <v>0</v>
      </c>
      <c r="K329" s="248" t="n">
        <v>0</v>
      </c>
      <c r="L329" s="248" t="n">
        <v>4.48E-005</v>
      </c>
      <c r="M329" s="248" t="n">
        <v>4.48E-005</v>
      </c>
      <c r="N329" s="249" t="n">
        <v>0</v>
      </c>
      <c r="O329" s="249" t="n">
        <v>0</v>
      </c>
      <c r="P329" s="250"/>
      <c r="R329" s="251" t="e">
        <f aca="false">EOMONTH(R328,0)+1</f>
        <v>#VALUE!</v>
      </c>
      <c r="BP329" s="226" t="n">
        <f aca="false">BP328+BV329</f>
        <v>328</v>
      </c>
      <c r="BQ329" s="227" t="s">
        <v>758</v>
      </c>
      <c r="BR329" s="224" t="s">
        <v>285</v>
      </c>
      <c r="BS329" s="161" t="s">
        <v>286</v>
      </c>
      <c r="BT329" s="230" t="s">
        <v>287</v>
      </c>
      <c r="BU329" s="230"/>
      <c r="BV329" s="161" t="n">
        <v>1</v>
      </c>
      <c r="BW329" s="224" t="s">
        <v>1287</v>
      </c>
      <c r="BX329" s="0"/>
    </row>
    <row r="330" customFormat="false" ht="12.75" hidden="false" customHeight="false" outlineLevel="0" collapsed="false">
      <c r="A330" s="244"/>
      <c r="B330" s="245" t="e">
        <f aca="false">NextMonth(B329)</f>
        <v>#VALUE!</v>
      </c>
      <c r="C330" s="246" t="n">
        <v>0.064620666920455</v>
      </c>
      <c r="D330" s="246" t="n">
        <v>1.1</v>
      </c>
      <c r="E330" s="246" t="n">
        <v>1.1</v>
      </c>
      <c r="F330" s="246" t="n">
        <v>0</v>
      </c>
      <c r="G330" s="246" t="n">
        <v>0</v>
      </c>
      <c r="H330" s="246" t="n">
        <v>0</v>
      </c>
      <c r="I330" s="247" t="n">
        <v>0</v>
      </c>
      <c r="J330" s="248" t="n">
        <v>0</v>
      </c>
      <c r="K330" s="248" t="n">
        <v>0</v>
      </c>
      <c r="L330" s="248" t="n">
        <v>0.0250425</v>
      </c>
      <c r="M330" s="248" t="n">
        <v>0.0250425</v>
      </c>
      <c r="N330" s="249" t="n">
        <v>0</v>
      </c>
      <c r="O330" s="249" t="n">
        <v>0</v>
      </c>
      <c r="P330" s="250"/>
      <c r="R330" s="251" t="e">
        <f aca="false">EOMONTH(R329,0)+1</f>
        <v>#VALUE!</v>
      </c>
      <c r="BP330" s="226" t="n">
        <f aca="false">BP329+BV330</f>
        <v>329</v>
      </c>
      <c r="BQ330" s="227" t="s">
        <v>762</v>
      </c>
      <c r="BR330" s="224" t="s">
        <v>285</v>
      </c>
      <c r="BS330" s="161" t="s">
        <v>286</v>
      </c>
      <c r="BT330" s="230" t="s">
        <v>287</v>
      </c>
      <c r="BU330" s="230"/>
      <c r="BV330" s="161" t="n">
        <v>1</v>
      </c>
      <c r="BW330" s="224" t="s">
        <v>1288</v>
      </c>
      <c r="BX330" s="0"/>
    </row>
    <row r="331" customFormat="false" ht="12.75" hidden="false" customHeight="false" outlineLevel="0" collapsed="false">
      <c r="A331" s="244"/>
      <c r="B331" s="245" t="e">
        <f aca="false">NextMonth(B330)</f>
        <v>#VALUE!</v>
      </c>
      <c r="C331" s="246" t="n">
        <v>0.064639406849276</v>
      </c>
      <c r="D331" s="246" t="n">
        <v>0.75</v>
      </c>
      <c r="E331" s="246" t="n">
        <v>0.75</v>
      </c>
      <c r="F331" s="246" t="n">
        <v>0</v>
      </c>
      <c r="G331" s="246" t="n">
        <v>0</v>
      </c>
      <c r="H331" s="246" t="n">
        <v>0</v>
      </c>
      <c r="I331" s="247" t="n">
        <v>0</v>
      </c>
      <c r="J331" s="248" t="n">
        <v>0</v>
      </c>
      <c r="K331" s="248" t="n">
        <v>0</v>
      </c>
      <c r="L331" s="248" t="n">
        <v>0.0350425</v>
      </c>
      <c r="M331" s="248" t="n">
        <v>0.0350425</v>
      </c>
      <c r="N331" s="249" t="n">
        <v>0</v>
      </c>
      <c r="O331" s="249" t="n">
        <v>0</v>
      </c>
      <c r="P331" s="250"/>
      <c r="R331" s="251" t="e">
        <f aca="false">EOMONTH(R330,0)+1</f>
        <v>#VALUE!</v>
      </c>
      <c r="BP331" s="226" t="n">
        <f aca="false">BP330+BV331</f>
        <v>330</v>
      </c>
      <c r="BQ331" s="227" t="s">
        <v>766</v>
      </c>
      <c r="BR331" s="224" t="s">
        <v>285</v>
      </c>
      <c r="BS331" s="161" t="s">
        <v>286</v>
      </c>
      <c r="BT331" s="230" t="s">
        <v>287</v>
      </c>
      <c r="BU331" s="230"/>
      <c r="BV331" s="161" t="n">
        <v>1</v>
      </c>
      <c r="BW331" s="224" t="s">
        <v>1289</v>
      </c>
      <c r="BX331" s="0"/>
    </row>
    <row r="332" customFormat="false" ht="12.75" hidden="false" customHeight="false" outlineLevel="0" collapsed="false">
      <c r="A332" s="244"/>
      <c r="B332" s="245" t="e">
        <f aca="false">NextMonth(B331)</f>
        <v>#VALUE!</v>
      </c>
      <c r="C332" s="246" t="n">
        <v>0.064660154627748</v>
      </c>
      <c r="D332" s="246" t="n">
        <v>0.45</v>
      </c>
      <c r="E332" s="246" t="n">
        <v>0.45</v>
      </c>
      <c r="F332" s="246" t="n">
        <v>0</v>
      </c>
      <c r="G332" s="246" t="n">
        <v>0</v>
      </c>
      <c r="H332" s="246" t="n">
        <v>0</v>
      </c>
      <c r="I332" s="247" t="n">
        <v>0</v>
      </c>
      <c r="J332" s="248" t="n">
        <v>0</v>
      </c>
      <c r="K332" s="248" t="n">
        <v>0</v>
      </c>
      <c r="L332" s="248" t="n">
        <v>0.0949766</v>
      </c>
      <c r="M332" s="248" t="n">
        <v>0.0949766</v>
      </c>
      <c r="N332" s="249" t="n">
        <v>0</v>
      </c>
      <c r="O332" s="249" t="n">
        <v>0</v>
      </c>
      <c r="P332" s="250"/>
      <c r="R332" s="251" t="e">
        <f aca="false">EOMONTH(R331,0)+1</f>
        <v>#VALUE!</v>
      </c>
      <c r="BP332" s="226" t="n">
        <f aca="false">BP331+BV332</f>
        <v>331</v>
      </c>
      <c r="BQ332" s="227" t="s">
        <v>770</v>
      </c>
      <c r="BR332" s="224" t="s">
        <v>285</v>
      </c>
      <c r="BS332" s="161" t="s">
        <v>286</v>
      </c>
      <c r="BT332" s="230" t="s">
        <v>287</v>
      </c>
      <c r="BU332" s="230"/>
      <c r="BV332" s="161" t="n">
        <v>1</v>
      </c>
      <c r="BW332" s="224" t="s">
        <v>1290</v>
      </c>
      <c r="BX332" s="0"/>
    </row>
    <row r="333" customFormat="false" ht="12.75" hidden="false" customHeight="false" outlineLevel="0" collapsed="false">
      <c r="A333" s="244"/>
      <c r="B333" s="245" t="e">
        <f aca="false">NextMonth(B332)</f>
        <v>#VALUE!</v>
      </c>
      <c r="C333" s="246" t="n">
        <v>0.06468023312318</v>
      </c>
      <c r="D333" s="246" t="n">
        <v>0.5</v>
      </c>
      <c r="E333" s="246" t="n">
        <v>0.5</v>
      </c>
      <c r="F333" s="246" t="n">
        <v>0</v>
      </c>
      <c r="G333" s="246" t="n">
        <v>0</v>
      </c>
      <c r="H333" s="246" t="n">
        <v>0</v>
      </c>
      <c r="I333" s="247" t="n">
        <v>0</v>
      </c>
      <c r="J333" s="248" t="n">
        <v>0</v>
      </c>
      <c r="K333" s="248" t="n">
        <v>0</v>
      </c>
      <c r="L333" s="248" t="n">
        <v>0.0949681</v>
      </c>
      <c r="M333" s="248" t="n">
        <v>0.0949681</v>
      </c>
      <c r="N333" s="249" t="n">
        <v>0</v>
      </c>
      <c r="O333" s="249" t="n">
        <v>0</v>
      </c>
      <c r="P333" s="250"/>
      <c r="R333" s="251" t="e">
        <f aca="false">EOMONTH(R332,0)+1</f>
        <v>#VALUE!</v>
      </c>
      <c r="BP333" s="226" t="n">
        <f aca="false">BP332+BV333</f>
        <v>332</v>
      </c>
      <c r="BQ333" s="227" t="s">
        <v>774</v>
      </c>
      <c r="BR333" s="224" t="s">
        <v>285</v>
      </c>
      <c r="BS333" s="161" t="s">
        <v>286</v>
      </c>
      <c r="BT333" s="230" t="s">
        <v>287</v>
      </c>
      <c r="BU333" s="230"/>
      <c r="BV333" s="161" t="n">
        <v>1</v>
      </c>
      <c r="BW333" s="224" t="s">
        <v>1291</v>
      </c>
      <c r="BX333" s="0"/>
    </row>
    <row r="334" customFormat="false" ht="12.75" hidden="false" customHeight="false" outlineLevel="0" collapsed="false">
      <c r="A334" s="244"/>
      <c r="B334" s="245" t="e">
        <f aca="false">NextMonth(B333)</f>
        <v>#VALUE!</v>
      </c>
      <c r="C334" s="246" t="n">
        <v>0.064700980901935</v>
      </c>
      <c r="D334" s="246" t="n">
        <v>0.5</v>
      </c>
      <c r="E334" s="246" t="n">
        <v>0.5</v>
      </c>
      <c r="F334" s="246" t="n">
        <v>0</v>
      </c>
      <c r="G334" s="246" t="n">
        <v>0</v>
      </c>
      <c r="H334" s="246" t="n">
        <v>0</v>
      </c>
      <c r="I334" s="247" t="n">
        <v>0</v>
      </c>
      <c r="J334" s="248" t="n">
        <v>0</v>
      </c>
      <c r="K334" s="248" t="n">
        <v>0</v>
      </c>
      <c r="L334" s="248" t="n">
        <v>0.0949681</v>
      </c>
      <c r="M334" s="248" t="n">
        <v>0.0949681</v>
      </c>
      <c r="N334" s="249" t="n">
        <v>0</v>
      </c>
      <c r="O334" s="249" t="n">
        <v>0</v>
      </c>
      <c r="P334" s="250"/>
      <c r="R334" s="251" t="e">
        <f aca="false">EOMONTH(R333,0)+1</f>
        <v>#VALUE!</v>
      </c>
      <c r="BP334" s="226" t="n">
        <f aca="false">BP333+BV334</f>
        <v>333</v>
      </c>
      <c r="BQ334" s="227" t="s">
        <v>778</v>
      </c>
      <c r="BR334" s="224" t="s">
        <v>285</v>
      </c>
      <c r="BS334" s="161" t="s">
        <v>286</v>
      </c>
      <c r="BT334" s="230" t="s">
        <v>287</v>
      </c>
      <c r="BU334" s="230"/>
      <c r="BV334" s="161" t="n">
        <v>1</v>
      </c>
      <c r="BW334" s="224" t="s">
        <v>1292</v>
      </c>
      <c r="BX334" s="0"/>
    </row>
    <row r="335" customFormat="false" ht="12.75" hidden="false" customHeight="false" outlineLevel="0" collapsed="false">
      <c r="A335" s="244"/>
      <c r="B335" s="245" t="e">
        <f aca="false">NextMonth(B334)</f>
        <v>#VALUE!</v>
      </c>
      <c r="C335" s="246" t="n">
        <v>0.064721059397638</v>
      </c>
      <c r="D335" s="246" t="n">
        <v>0.55</v>
      </c>
      <c r="E335" s="246" t="n">
        <v>0.55</v>
      </c>
      <c r="F335" s="246" t="n">
        <v>0</v>
      </c>
      <c r="G335" s="246" t="n">
        <v>0</v>
      </c>
      <c r="H335" s="246" t="n">
        <v>0</v>
      </c>
      <c r="I335" s="247" t="n">
        <v>0</v>
      </c>
      <c r="J335" s="248" t="n">
        <v>0</v>
      </c>
      <c r="K335" s="248" t="n">
        <v>0</v>
      </c>
      <c r="L335" s="248" t="n">
        <v>0.0949681</v>
      </c>
      <c r="M335" s="248" t="n">
        <v>0.0949681</v>
      </c>
      <c r="N335" s="249" t="n">
        <v>0</v>
      </c>
      <c r="O335" s="249" t="n">
        <v>0</v>
      </c>
      <c r="P335" s="250"/>
      <c r="R335" s="251" t="e">
        <f aca="false">EOMONTH(R334,0)+1</f>
        <v>#VALUE!</v>
      </c>
      <c r="BP335" s="226" t="n">
        <f aca="false">BP334+BV335</f>
        <v>334</v>
      </c>
      <c r="BQ335" s="227" t="s">
        <v>782</v>
      </c>
      <c r="BR335" s="224" t="s">
        <v>285</v>
      </c>
      <c r="BS335" s="161" t="s">
        <v>286</v>
      </c>
      <c r="BT335" s="230" t="s">
        <v>287</v>
      </c>
      <c r="BU335" s="230"/>
      <c r="BV335" s="161" t="n">
        <v>1</v>
      </c>
      <c r="BW335" s="224" t="s">
        <v>1293</v>
      </c>
      <c r="BX335" s="0"/>
    </row>
    <row r="336" customFormat="false" ht="12.75" hidden="false" customHeight="false" outlineLevel="0" collapsed="false">
      <c r="A336" s="244"/>
      <c r="B336" s="245" t="e">
        <f aca="false">NextMonth(B335)</f>
        <v>#VALUE!</v>
      </c>
      <c r="C336" s="246" t="n">
        <v>0.064741807176673</v>
      </c>
      <c r="D336" s="246" t="n">
        <v>0.6</v>
      </c>
      <c r="E336" s="246" t="n">
        <v>0.6</v>
      </c>
      <c r="F336" s="246" t="n">
        <v>0</v>
      </c>
      <c r="G336" s="246" t="n">
        <v>0</v>
      </c>
      <c r="H336" s="246" t="n">
        <v>0</v>
      </c>
      <c r="I336" s="247" t="n">
        <v>0</v>
      </c>
      <c r="J336" s="248" t="n">
        <v>0</v>
      </c>
      <c r="K336" s="248" t="n">
        <v>0</v>
      </c>
      <c r="L336" s="248" t="n">
        <v>0.0949681</v>
      </c>
      <c r="M336" s="248" t="n">
        <v>0.0949681</v>
      </c>
      <c r="N336" s="249" t="n">
        <v>0</v>
      </c>
      <c r="O336" s="249" t="n">
        <v>0</v>
      </c>
      <c r="P336" s="250"/>
      <c r="R336" s="251" t="e">
        <f aca="false">EOMONTH(R335,0)+1</f>
        <v>#VALUE!</v>
      </c>
      <c r="BP336" s="226" t="n">
        <f aca="false">BP335+BV336</f>
        <v>335</v>
      </c>
      <c r="BQ336" s="227" t="s">
        <v>786</v>
      </c>
      <c r="BR336" s="224" t="s">
        <v>285</v>
      </c>
      <c r="BS336" s="161" t="s">
        <v>286</v>
      </c>
      <c r="BT336" s="230" t="s">
        <v>287</v>
      </c>
      <c r="BU336" s="230"/>
      <c r="BV336" s="161" t="n">
        <v>1</v>
      </c>
      <c r="BW336" s="224" t="s">
        <v>1294</v>
      </c>
      <c r="BX336" s="0"/>
    </row>
    <row r="337" customFormat="false" ht="12.75" hidden="false" customHeight="false" outlineLevel="0" collapsed="false">
      <c r="A337" s="244"/>
      <c r="B337" s="245" t="e">
        <f aca="false">NextMonth(B336)</f>
        <v>#VALUE!</v>
      </c>
      <c r="C337" s="246" t="n">
        <v>0.06476255495585</v>
      </c>
      <c r="D337" s="246" t="n">
        <v>0.6</v>
      </c>
      <c r="E337" s="246" t="n">
        <v>0.6</v>
      </c>
      <c r="F337" s="246" t="n">
        <v>0</v>
      </c>
      <c r="G337" s="246" t="n">
        <v>0</v>
      </c>
      <c r="H337" s="246" t="n">
        <v>0</v>
      </c>
      <c r="I337" s="247" t="n">
        <v>0</v>
      </c>
      <c r="J337" s="248" t="n">
        <v>0</v>
      </c>
      <c r="K337" s="248" t="n">
        <v>0</v>
      </c>
      <c r="L337" s="248" t="n">
        <v>0.0949681</v>
      </c>
      <c r="M337" s="248" t="n">
        <v>0.0949681</v>
      </c>
      <c r="N337" s="249" t="n">
        <v>0</v>
      </c>
      <c r="O337" s="249" t="n">
        <v>0</v>
      </c>
      <c r="P337" s="250"/>
      <c r="R337" s="251" t="e">
        <f aca="false">EOMONTH(R336,0)+1</f>
        <v>#VALUE!</v>
      </c>
      <c r="BP337" s="226" t="n">
        <f aca="false">BP336+BV337</f>
        <v>336</v>
      </c>
      <c r="BQ337" s="227" t="s">
        <v>790</v>
      </c>
      <c r="BR337" s="224" t="s">
        <v>285</v>
      </c>
      <c r="BS337" s="161" t="s">
        <v>286</v>
      </c>
      <c r="BT337" s="230" t="s">
        <v>287</v>
      </c>
      <c r="BU337" s="230"/>
      <c r="BV337" s="161" t="n">
        <v>1</v>
      </c>
      <c r="BW337" s="224" t="s">
        <v>1295</v>
      </c>
      <c r="BX337" s="0"/>
    </row>
    <row r="338" customFormat="false" ht="12.75" hidden="false" customHeight="false" outlineLevel="0" collapsed="false">
      <c r="A338" s="244"/>
      <c r="B338" s="245" t="e">
        <f aca="false">NextMonth(B337)</f>
        <v>#VALUE!</v>
      </c>
      <c r="C338" s="246" t="n">
        <v>0.064782633451964</v>
      </c>
      <c r="D338" s="246" t="n">
        <v>0.65</v>
      </c>
      <c r="E338" s="246" t="n">
        <v>0.65</v>
      </c>
      <c r="F338" s="246" t="n">
        <v>0</v>
      </c>
      <c r="G338" s="246" t="n">
        <v>0</v>
      </c>
      <c r="H338" s="246" t="n">
        <v>0</v>
      </c>
      <c r="I338" s="247" t="n">
        <v>0</v>
      </c>
      <c r="J338" s="248" t="n">
        <v>0</v>
      </c>
      <c r="K338" s="248" t="n">
        <v>0</v>
      </c>
      <c r="L338" s="248" t="n">
        <v>0.0949681</v>
      </c>
      <c r="M338" s="248" t="n">
        <v>0.0949681</v>
      </c>
      <c r="N338" s="249" t="n">
        <v>0</v>
      </c>
      <c r="O338" s="249" t="n">
        <v>0</v>
      </c>
      <c r="P338" s="250"/>
      <c r="R338" s="251" t="e">
        <f aca="false">EOMONTH(R337,0)+1</f>
        <v>#VALUE!</v>
      </c>
      <c r="BP338" s="226" t="n">
        <f aca="false">BP337+BV338</f>
        <v>337</v>
      </c>
      <c r="BQ338" s="227" t="s">
        <v>794</v>
      </c>
      <c r="BR338" s="224" t="s">
        <v>285</v>
      </c>
      <c r="BS338" s="161" t="s">
        <v>286</v>
      </c>
      <c r="BT338" s="230" t="s">
        <v>287</v>
      </c>
      <c r="BU338" s="230"/>
      <c r="BV338" s="161" t="n">
        <v>1</v>
      </c>
      <c r="BW338" s="224" t="s">
        <v>1296</v>
      </c>
      <c r="BX338" s="0"/>
    </row>
    <row r="339" customFormat="false" ht="12.75" hidden="false" customHeight="false" outlineLevel="0" collapsed="false">
      <c r="A339" s="244"/>
      <c r="B339" s="245" t="e">
        <f aca="false">NextMonth(B338)</f>
        <v>#VALUE!</v>
      </c>
      <c r="C339" s="246" t="n">
        <v>0.064803381231423</v>
      </c>
      <c r="D339" s="246" t="n">
        <v>0.8</v>
      </c>
      <c r="E339" s="246" t="n">
        <v>0.8</v>
      </c>
      <c r="F339" s="246" t="n">
        <v>0</v>
      </c>
      <c r="G339" s="246" t="n">
        <v>0</v>
      </c>
      <c r="H339" s="246" t="n">
        <v>0</v>
      </c>
      <c r="I339" s="247" t="n">
        <v>0</v>
      </c>
      <c r="J339" s="248" t="n">
        <v>0</v>
      </c>
      <c r="K339" s="248" t="n">
        <v>0</v>
      </c>
      <c r="L339" s="248" t="n">
        <v>0.0150112</v>
      </c>
      <c r="M339" s="248" t="n">
        <v>0.0150112</v>
      </c>
      <c r="N339" s="249" t="n">
        <v>0</v>
      </c>
      <c r="O339" s="249" t="n">
        <v>0</v>
      </c>
      <c r="P339" s="250"/>
      <c r="R339" s="251" t="e">
        <f aca="false">EOMONTH(R338,0)+1</f>
        <v>#VALUE!</v>
      </c>
      <c r="BP339" s="226" t="n">
        <f aca="false">BP338+BV339</f>
        <v>338</v>
      </c>
      <c r="BQ339" s="227" t="s">
        <v>798</v>
      </c>
      <c r="BR339" s="224" t="s">
        <v>285</v>
      </c>
      <c r="BS339" s="161" t="s">
        <v>286</v>
      </c>
      <c r="BT339" s="230" t="s">
        <v>287</v>
      </c>
      <c r="BU339" s="230"/>
      <c r="BV339" s="161" t="n">
        <v>1</v>
      </c>
      <c r="BW339" s="224" t="s">
        <v>1297</v>
      </c>
      <c r="BX339" s="0"/>
    </row>
    <row r="340" customFormat="false" ht="12.75" hidden="false" customHeight="false" outlineLevel="0" collapsed="false">
      <c r="A340" s="244"/>
      <c r="B340" s="245" t="e">
        <f aca="false">NextMonth(B339)</f>
        <v>#VALUE!</v>
      </c>
      <c r="C340" s="246" t="n">
        <v>0.064823459727808</v>
      </c>
      <c r="D340" s="246" t="n">
        <v>1.1</v>
      </c>
      <c r="E340" s="246" t="n">
        <v>1.1</v>
      </c>
      <c r="F340" s="246" t="n">
        <v>0</v>
      </c>
      <c r="G340" s="246" t="n">
        <v>0</v>
      </c>
      <c r="H340" s="246" t="n">
        <v>0</v>
      </c>
      <c r="I340" s="247" t="n">
        <v>0</v>
      </c>
      <c r="J340" s="248" t="n">
        <v>0</v>
      </c>
      <c r="K340" s="248" t="n">
        <v>0</v>
      </c>
      <c r="L340" s="248" t="n">
        <v>4.8E-005</v>
      </c>
      <c r="M340" s="248" t="n">
        <v>4.8E-005</v>
      </c>
      <c r="N340" s="249" t="n">
        <v>0</v>
      </c>
      <c r="O340" s="249" t="n">
        <v>0</v>
      </c>
      <c r="P340" s="250"/>
      <c r="R340" s="251" t="e">
        <f aca="false">EOMONTH(R339,0)+1</f>
        <v>#VALUE!</v>
      </c>
      <c r="BP340" s="226" t="n">
        <f aca="false">BP339+BV340</f>
        <v>339</v>
      </c>
      <c r="BQ340" s="227" t="s">
        <v>802</v>
      </c>
      <c r="BR340" s="224" t="s">
        <v>285</v>
      </c>
      <c r="BS340" s="161" t="s">
        <v>286</v>
      </c>
      <c r="BT340" s="230" t="s">
        <v>287</v>
      </c>
      <c r="BU340" s="230"/>
      <c r="BV340" s="161" t="n">
        <v>1</v>
      </c>
      <c r="BW340" s="224" t="s">
        <v>1298</v>
      </c>
      <c r="BX340" s="0"/>
    </row>
    <row r="341" customFormat="false" ht="12.75" hidden="false" customHeight="false" outlineLevel="0" collapsed="false">
      <c r="A341" s="244"/>
      <c r="B341" s="245" t="e">
        <f aca="false">NextMonth(B340)</f>
        <v>#VALUE!</v>
      </c>
      <c r="C341" s="246" t="n">
        <v>0.064844207507547</v>
      </c>
      <c r="D341" s="246" t="n">
        <v>1.25</v>
      </c>
      <c r="E341" s="246" t="n">
        <v>1.25</v>
      </c>
      <c r="F341" s="246" t="n">
        <v>0</v>
      </c>
      <c r="G341" s="246" t="n">
        <v>0</v>
      </c>
      <c r="H341" s="246" t="n">
        <v>0</v>
      </c>
      <c r="I341" s="247" t="n">
        <v>0</v>
      </c>
      <c r="J341" s="248" t="n">
        <v>0</v>
      </c>
      <c r="K341" s="248" t="n">
        <v>0</v>
      </c>
      <c r="L341" s="248" t="n">
        <v>0.0050448</v>
      </c>
      <c r="M341" s="248" t="n">
        <v>0.0050448</v>
      </c>
      <c r="N341" s="249" t="n">
        <v>0</v>
      </c>
      <c r="O341" s="249" t="n">
        <v>0</v>
      </c>
      <c r="P341" s="250"/>
      <c r="R341" s="251" t="e">
        <f aca="false">EOMONTH(R340,0)+1</f>
        <v>#VALUE!</v>
      </c>
      <c r="BP341" s="226" t="n">
        <f aca="false">BP340+BV341</f>
        <v>340</v>
      </c>
      <c r="BQ341" s="227" t="s">
        <v>806</v>
      </c>
      <c r="BR341" s="224" t="s">
        <v>285</v>
      </c>
      <c r="BS341" s="161" t="s">
        <v>286</v>
      </c>
      <c r="BT341" s="230" t="s">
        <v>287</v>
      </c>
      <c r="BU341" s="230"/>
      <c r="BV341" s="161" t="n">
        <v>1</v>
      </c>
      <c r="BW341" s="224" t="s">
        <v>1299</v>
      </c>
      <c r="BX341" s="0"/>
    </row>
    <row r="342" customFormat="false" ht="12.75" hidden="false" customHeight="false" outlineLevel="0" collapsed="false">
      <c r="A342" s="244"/>
      <c r="B342" s="245" t="e">
        <f aca="false">NextMonth(B341)</f>
        <v>#VALUE!</v>
      </c>
      <c r="C342" s="246" t="n">
        <v>0.064864955287429</v>
      </c>
      <c r="D342" s="246" t="n">
        <v>0</v>
      </c>
      <c r="E342" s="246" t="n">
        <v>0</v>
      </c>
      <c r="F342" s="246" t="n">
        <v>0</v>
      </c>
      <c r="G342" s="246" t="n">
        <v>0</v>
      </c>
      <c r="H342" s="246" t="n">
        <v>0</v>
      </c>
      <c r="I342" s="247" t="n">
        <v>0</v>
      </c>
      <c r="J342" s="248" t="n">
        <v>0</v>
      </c>
      <c r="K342" s="248" t="n">
        <v>0</v>
      </c>
      <c r="L342" s="248" t="n">
        <v>0.0300425</v>
      </c>
      <c r="M342" s="248" t="n">
        <v>0.0300425</v>
      </c>
      <c r="N342" s="249" t="n">
        <v>0</v>
      </c>
      <c r="O342" s="249" t="n">
        <v>0</v>
      </c>
      <c r="P342" s="250"/>
      <c r="R342" s="251" t="e">
        <f aca="false">EOMONTH(R341,0)+1</f>
        <v>#VALUE!</v>
      </c>
      <c r="BP342" s="226" t="n">
        <f aca="false">BP341+BV342</f>
        <v>341</v>
      </c>
      <c r="BQ342" s="227" t="s">
        <v>810</v>
      </c>
      <c r="BR342" s="224" t="s">
        <v>285</v>
      </c>
      <c r="BS342" s="161" t="s">
        <v>286</v>
      </c>
      <c r="BT342" s="230" t="s">
        <v>287</v>
      </c>
      <c r="BU342" s="230"/>
      <c r="BV342" s="161" t="n">
        <v>1</v>
      </c>
      <c r="BW342" s="224" t="s">
        <v>1300</v>
      </c>
      <c r="BX342" s="0"/>
    </row>
    <row r="343" customFormat="false" ht="12.75" hidden="false" customHeight="false" outlineLevel="0" collapsed="false">
      <c r="A343" s="244"/>
      <c r="B343" s="245" t="e">
        <f aca="false">NextMonth(B342)</f>
        <v>#VALUE!</v>
      </c>
      <c r="C343" s="246" t="n">
        <v>0.064884364501</v>
      </c>
      <c r="D343" s="246" t="n">
        <v>1.25</v>
      </c>
      <c r="E343" s="246" t="n">
        <v>1.25</v>
      </c>
      <c r="F343" s="246" t="n">
        <v>0</v>
      </c>
      <c r="G343" s="246" t="n">
        <v>0</v>
      </c>
      <c r="H343" s="246" t="n">
        <v>0</v>
      </c>
      <c r="I343" s="247" t="n">
        <v>0</v>
      </c>
      <c r="J343" s="248" t="n">
        <v>0</v>
      </c>
      <c r="K343" s="248" t="n">
        <v>0</v>
      </c>
      <c r="L343" s="248" t="n">
        <v>0.0400425</v>
      </c>
      <c r="M343" s="248" t="n">
        <v>0.0400425</v>
      </c>
      <c r="N343" s="249" t="n">
        <v>0</v>
      </c>
      <c r="O343" s="249" t="n">
        <v>0</v>
      </c>
      <c r="P343" s="250"/>
      <c r="R343" s="251" t="e">
        <f aca="false">EOMONTH(R342,0)+1</f>
        <v>#VALUE!</v>
      </c>
      <c r="BP343" s="226" t="n">
        <f aca="false">BP342+BV343</f>
        <v>342</v>
      </c>
      <c r="BQ343" s="227" t="s">
        <v>814</v>
      </c>
      <c r="BR343" s="224" t="s">
        <v>285</v>
      </c>
      <c r="BS343" s="161" t="s">
        <v>286</v>
      </c>
      <c r="BT343" s="230" t="s">
        <v>287</v>
      </c>
      <c r="BU343" s="230"/>
      <c r="BV343" s="161" t="n">
        <v>1</v>
      </c>
      <c r="BW343" s="224" t="s">
        <v>1301</v>
      </c>
      <c r="BX343" s="0"/>
    </row>
    <row r="344" customFormat="false" ht="12.75" hidden="false" customHeight="false" outlineLevel="0" collapsed="false">
      <c r="A344" s="244"/>
      <c r="B344" s="245" t="e">
        <f aca="false">NextMonth(B343)</f>
        <v>#VALUE!</v>
      </c>
      <c r="C344" s="246" t="n">
        <v>0.064905112281153</v>
      </c>
      <c r="D344" s="246" t="n">
        <v>0.55</v>
      </c>
      <c r="E344" s="246" t="n">
        <v>0.55</v>
      </c>
      <c r="F344" s="246" t="n">
        <v>0</v>
      </c>
      <c r="G344" s="246" t="n">
        <v>0</v>
      </c>
      <c r="H344" s="246" t="n">
        <v>0</v>
      </c>
      <c r="I344" s="247" t="n">
        <v>0</v>
      </c>
      <c r="J344" s="248" t="n">
        <v>0</v>
      </c>
      <c r="K344" s="248" t="n">
        <v>0</v>
      </c>
      <c r="L344" s="248" t="n">
        <v>0.0999766</v>
      </c>
      <c r="M344" s="248" t="n">
        <v>0.0999766</v>
      </c>
      <c r="N344" s="249" t="n">
        <v>0</v>
      </c>
      <c r="O344" s="249" t="n">
        <v>0</v>
      </c>
      <c r="P344" s="250"/>
      <c r="R344" s="251" t="e">
        <f aca="false">EOMONTH(R343,0)+1</f>
        <v>#VALUE!</v>
      </c>
      <c r="BP344" s="226" t="n">
        <f aca="false">BP343+BV344</f>
        <v>343</v>
      </c>
      <c r="BQ344" s="227" t="s">
        <v>818</v>
      </c>
      <c r="BR344" s="224" t="s">
        <v>285</v>
      </c>
      <c r="BS344" s="161" t="s">
        <v>286</v>
      </c>
      <c r="BT344" s="230" t="s">
        <v>287</v>
      </c>
      <c r="BU344" s="230"/>
      <c r="BV344" s="161" t="n">
        <v>1</v>
      </c>
      <c r="BW344" s="224" t="s">
        <v>1302</v>
      </c>
      <c r="BX344" s="0"/>
    </row>
    <row r="345" customFormat="false" ht="12.75" hidden="false" customHeight="false" outlineLevel="0" collapsed="false">
      <c r="A345" s="244"/>
      <c r="B345" s="245" t="e">
        <f aca="false">NextMonth(B344)</f>
        <v>#VALUE!</v>
      </c>
      <c r="C345" s="246" t="n">
        <v>0.064925190778215</v>
      </c>
      <c r="D345" s="246" t="n">
        <v>0.55</v>
      </c>
      <c r="E345" s="246" t="n">
        <v>0.55</v>
      </c>
      <c r="F345" s="246" t="n">
        <v>0</v>
      </c>
      <c r="G345" s="246" t="n">
        <v>0</v>
      </c>
      <c r="H345" s="246" t="n">
        <v>0</v>
      </c>
      <c r="I345" s="247" t="n">
        <v>0</v>
      </c>
      <c r="J345" s="248" t="n">
        <v>0</v>
      </c>
      <c r="K345" s="248" t="n">
        <v>0</v>
      </c>
      <c r="L345" s="248" t="n">
        <v>0.0999681</v>
      </c>
      <c r="M345" s="248" t="n">
        <v>0.0999681</v>
      </c>
      <c r="N345" s="249" t="n">
        <v>0</v>
      </c>
      <c r="O345" s="249" t="n">
        <v>0</v>
      </c>
      <c r="P345" s="250"/>
      <c r="R345" s="251" t="e">
        <f aca="false">EOMONTH(R344,0)+1</f>
        <v>#VALUE!</v>
      </c>
      <c r="BP345" s="226" t="n">
        <f aca="false">BP344+BV345</f>
        <v>344</v>
      </c>
      <c r="BQ345" s="227" t="s">
        <v>822</v>
      </c>
      <c r="BR345" s="224" t="s">
        <v>285</v>
      </c>
      <c r="BS345" s="161" t="s">
        <v>286</v>
      </c>
      <c r="BT345" s="230" t="s">
        <v>287</v>
      </c>
      <c r="BU345" s="230"/>
      <c r="BV345" s="161" t="n">
        <v>1</v>
      </c>
      <c r="BW345" s="224" t="s">
        <v>1303</v>
      </c>
      <c r="BX345" s="0"/>
    </row>
    <row r="346" customFormat="false" ht="12.75" hidden="false" customHeight="false" outlineLevel="0" collapsed="false">
      <c r="A346" s="244"/>
      <c r="B346" s="245" t="e">
        <f aca="false">NextMonth(B345)</f>
        <v>#VALUE!</v>
      </c>
      <c r="C346" s="246" t="n">
        <v>0.064945938558654</v>
      </c>
      <c r="D346" s="246" t="n">
        <v>0.6</v>
      </c>
      <c r="E346" s="246" t="n">
        <v>0.6</v>
      </c>
      <c r="F346" s="246" t="n">
        <v>0</v>
      </c>
      <c r="G346" s="246" t="n">
        <v>0</v>
      </c>
      <c r="H346" s="246" t="n">
        <v>0</v>
      </c>
      <c r="I346" s="247" t="n">
        <v>0</v>
      </c>
      <c r="J346" s="248" t="n">
        <v>0</v>
      </c>
      <c r="K346" s="248" t="n">
        <v>0</v>
      </c>
      <c r="L346" s="248" t="n">
        <v>0.0999681</v>
      </c>
      <c r="M346" s="248" t="n">
        <v>0.0999681</v>
      </c>
      <c r="N346" s="249" t="n">
        <v>0</v>
      </c>
      <c r="O346" s="249" t="n">
        <v>0</v>
      </c>
      <c r="P346" s="250"/>
      <c r="R346" s="251" t="e">
        <f aca="false">EOMONTH(R345,0)+1</f>
        <v>#VALUE!</v>
      </c>
      <c r="BP346" s="226" t="n">
        <f aca="false">BP345+BV346</f>
        <v>345</v>
      </c>
      <c r="BQ346" s="227" t="s">
        <v>826</v>
      </c>
      <c r="BR346" s="224" t="s">
        <v>285</v>
      </c>
      <c r="BS346" s="161" t="s">
        <v>286</v>
      </c>
      <c r="BT346" s="230" t="s">
        <v>287</v>
      </c>
      <c r="BU346" s="230"/>
      <c r="BV346" s="161" t="n">
        <v>1</v>
      </c>
      <c r="BW346" s="224" t="s">
        <v>1304</v>
      </c>
      <c r="BX346" s="0"/>
    </row>
    <row r="347" customFormat="false" ht="12.75" hidden="false" customHeight="false" outlineLevel="0" collapsed="false">
      <c r="A347" s="244"/>
      <c r="B347" s="245" t="e">
        <f aca="false">NextMonth(B346)</f>
        <v>#VALUE!</v>
      </c>
      <c r="C347" s="246" t="n">
        <v>0.064966017055989</v>
      </c>
      <c r="D347" s="246" t="n">
        <v>0.8</v>
      </c>
      <c r="E347" s="246" t="n">
        <v>0.8</v>
      </c>
      <c r="F347" s="246" t="n">
        <v>0</v>
      </c>
      <c r="G347" s="246" t="n">
        <v>0</v>
      </c>
      <c r="H347" s="246" t="n">
        <v>0</v>
      </c>
      <c r="I347" s="247" t="n">
        <v>0</v>
      </c>
      <c r="J347" s="248" t="n">
        <v>0</v>
      </c>
      <c r="K347" s="248" t="n">
        <v>0</v>
      </c>
      <c r="L347" s="248" t="n">
        <v>0.0999681</v>
      </c>
      <c r="M347" s="248" t="n">
        <v>0.0999681</v>
      </c>
      <c r="N347" s="249" t="n">
        <v>0</v>
      </c>
      <c r="O347" s="249" t="n">
        <v>0</v>
      </c>
      <c r="P347" s="250"/>
      <c r="R347" s="251" t="e">
        <f aca="false">EOMONTH(R346,0)+1</f>
        <v>#VALUE!</v>
      </c>
      <c r="BP347" s="226" t="n">
        <f aca="false">BP346+BV347</f>
        <v>346</v>
      </c>
      <c r="BQ347" s="227" t="s">
        <v>830</v>
      </c>
      <c r="BR347" s="224" t="s">
        <v>285</v>
      </c>
      <c r="BS347" s="161" t="s">
        <v>286</v>
      </c>
      <c r="BT347" s="230" t="s">
        <v>287</v>
      </c>
      <c r="BU347" s="230"/>
      <c r="BV347" s="161" t="n">
        <v>1</v>
      </c>
      <c r="BW347" s="224" t="s">
        <v>1305</v>
      </c>
      <c r="BX347" s="0"/>
    </row>
    <row r="348" customFormat="false" ht="12.75" hidden="false" customHeight="false" outlineLevel="0" collapsed="false">
      <c r="A348" s="244"/>
      <c r="B348" s="245" t="e">
        <f aca="false">NextMonth(B347)</f>
        <v>#VALUE!</v>
      </c>
      <c r="C348" s="246" t="n">
        <v>0.064986764836708</v>
      </c>
      <c r="D348" s="246" t="n">
        <v>1</v>
      </c>
      <c r="E348" s="246" t="n">
        <v>1</v>
      </c>
      <c r="F348" s="246" t="n">
        <v>0</v>
      </c>
      <c r="G348" s="246" t="n">
        <v>0</v>
      </c>
      <c r="H348" s="246" t="n">
        <v>0</v>
      </c>
      <c r="I348" s="247" t="n">
        <v>0</v>
      </c>
      <c r="J348" s="248" t="n">
        <v>0</v>
      </c>
      <c r="K348" s="248" t="n">
        <v>0</v>
      </c>
      <c r="L348" s="248" t="n">
        <v>0.0999681</v>
      </c>
      <c r="M348" s="248" t="n">
        <v>0.0999681</v>
      </c>
      <c r="N348" s="249" t="n">
        <v>0</v>
      </c>
      <c r="O348" s="249" t="n">
        <v>0</v>
      </c>
      <c r="P348" s="250"/>
      <c r="R348" s="251" t="e">
        <f aca="false">EOMONTH(R347,0)+1</f>
        <v>#VALUE!</v>
      </c>
      <c r="BP348" s="226" t="n">
        <f aca="false">BP347+BV348</f>
        <v>347</v>
      </c>
      <c r="BQ348" s="227" t="s">
        <v>834</v>
      </c>
      <c r="BR348" s="224" t="s">
        <v>285</v>
      </c>
      <c r="BS348" s="161" t="s">
        <v>286</v>
      </c>
      <c r="BT348" s="230" t="s">
        <v>287</v>
      </c>
      <c r="BU348" s="230"/>
      <c r="BV348" s="161" t="n">
        <v>1</v>
      </c>
      <c r="BW348" s="224" t="s">
        <v>1306</v>
      </c>
      <c r="BX348" s="0"/>
    </row>
    <row r="349" customFormat="false" ht="12.75" hidden="false" customHeight="false" outlineLevel="0" collapsed="false">
      <c r="A349" s="244"/>
      <c r="B349" s="245" t="e">
        <f aca="false">NextMonth(B348)</f>
        <v>#VALUE!</v>
      </c>
      <c r="C349" s="246" t="n">
        <v>0.06500751261757</v>
      </c>
      <c r="D349" s="246" t="n">
        <v>1</v>
      </c>
      <c r="E349" s="246" t="n">
        <v>1</v>
      </c>
      <c r="F349" s="246" t="n">
        <v>0</v>
      </c>
      <c r="G349" s="246" t="n">
        <v>0</v>
      </c>
      <c r="H349" s="246" t="n">
        <v>0</v>
      </c>
      <c r="I349" s="247" t="n">
        <v>0</v>
      </c>
      <c r="J349" s="248" t="n">
        <v>0</v>
      </c>
      <c r="K349" s="248" t="n">
        <v>0</v>
      </c>
      <c r="L349" s="248" t="n">
        <v>0.0999681</v>
      </c>
      <c r="M349" s="248" t="n">
        <v>0.0999681</v>
      </c>
      <c r="N349" s="249" t="n">
        <v>0</v>
      </c>
      <c r="O349" s="249" t="n">
        <v>0</v>
      </c>
      <c r="P349" s="250"/>
      <c r="R349" s="251" t="e">
        <f aca="false">EOMONTH(R348,0)+1</f>
        <v>#VALUE!</v>
      </c>
      <c r="BP349" s="226" t="n">
        <f aca="false">BP348+BV349</f>
        <v>348</v>
      </c>
      <c r="BQ349" s="227" t="s">
        <v>838</v>
      </c>
      <c r="BR349" s="224" t="s">
        <v>285</v>
      </c>
      <c r="BS349" s="161" t="s">
        <v>286</v>
      </c>
      <c r="BT349" s="230" t="s">
        <v>287</v>
      </c>
      <c r="BU349" s="230"/>
      <c r="BV349" s="161" t="n">
        <v>1</v>
      </c>
      <c r="BW349" s="224" t="s">
        <v>1307</v>
      </c>
      <c r="BX349" s="0"/>
    </row>
    <row r="350" customFormat="false" ht="12.75" hidden="false" customHeight="false" outlineLevel="0" collapsed="false">
      <c r="A350" s="244"/>
      <c r="B350" s="245" t="e">
        <f aca="false">NextMonth(B349)</f>
        <v>#VALUE!</v>
      </c>
      <c r="C350" s="246" t="n">
        <v>0.065027591115314</v>
      </c>
      <c r="D350" s="246" t="n">
        <v>1.15</v>
      </c>
      <c r="E350" s="246" t="n">
        <v>1.15</v>
      </c>
      <c r="F350" s="246" t="n">
        <v>0</v>
      </c>
      <c r="G350" s="246" t="n">
        <v>0</v>
      </c>
      <c r="H350" s="246" t="n">
        <v>0</v>
      </c>
      <c r="I350" s="247" t="n">
        <v>0</v>
      </c>
      <c r="J350" s="248" t="n">
        <v>0</v>
      </c>
      <c r="K350" s="248" t="n">
        <v>0</v>
      </c>
      <c r="L350" s="248" t="n">
        <v>0.0999681</v>
      </c>
      <c r="M350" s="248" t="n">
        <v>0.0999681</v>
      </c>
      <c r="N350" s="249" t="n">
        <v>0</v>
      </c>
      <c r="O350" s="249" t="n">
        <v>0</v>
      </c>
      <c r="P350" s="250"/>
      <c r="R350" s="251" t="e">
        <f aca="false">EOMONTH(R349,0)+1</f>
        <v>#VALUE!</v>
      </c>
      <c r="BP350" s="226" t="n">
        <f aca="false">BP349+BV350</f>
        <v>349</v>
      </c>
      <c r="BQ350" s="227" t="s">
        <v>842</v>
      </c>
      <c r="BR350" s="224" t="s">
        <v>285</v>
      </c>
      <c r="BS350" s="161" t="s">
        <v>286</v>
      </c>
      <c r="BT350" s="230" t="s">
        <v>287</v>
      </c>
      <c r="BU350" s="230"/>
      <c r="BV350" s="161" t="n">
        <v>1</v>
      </c>
      <c r="BW350" s="224" t="s">
        <v>1308</v>
      </c>
      <c r="BX350" s="0"/>
    </row>
    <row r="351" customFormat="false" ht="12.75" hidden="false" customHeight="false" outlineLevel="0" collapsed="false">
      <c r="A351" s="244"/>
      <c r="B351" s="245" t="e">
        <f aca="false">NextMonth(B350)</f>
        <v>#VALUE!</v>
      </c>
      <c r="C351" s="246" t="n">
        <v>0.065048338896457</v>
      </c>
      <c r="D351" s="246" t="n">
        <v>1</v>
      </c>
      <c r="E351" s="246" t="n">
        <v>0</v>
      </c>
      <c r="F351" s="246" t="n">
        <v>0</v>
      </c>
      <c r="G351" s="246" t="n">
        <v>0</v>
      </c>
      <c r="H351" s="246" t="n">
        <v>0</v>
      </c>
      <c r="I351" s="247" t="n">
        <v>0</v>
      </c>
      <c r="J351" s="248" t="n">
        <v>0</v>
      </c>
      <c r="K351" s="248" t="n">
        <v>0</v>
      </c>
      <c r="L351" s="248" t="n">
        <v>0.0200112</v>
      </c>
      <c r="M351" s="248" t="n">
        <v>0.0200112</v>
      </c>
      <c r="N351" s="249" t="n">
        <v>0</v>
      </c>
      <c r="O351" s="249" t="n">
        <v>0</v>
      </c>
      <c r="P351" s="250"/>
      <c r="R351" s="251" t="e">
        <f aca="false">EOMONTH(R350,0)+1</f>
        <v>#VALUE!</v>
      </c>
      <c r="BP351" s="226" t="n">
        <f aca="false">BP350+BV351</f>
        <v>350</v>
      </c>
      <c r="BQ351" s="227" t="s">
        <v>846</v>
      </c>
      <c r="BR351" s="224" t="s">
        <v>285</v>
      </c>
      <c r="BS351" s="161" t="s">
        <v>286</v>
      </c>
      <c r="BT351" s="230" t="s">
        <v>287</v>
      </c>
      <c r="BU351" s="230"/>
      <c r="BV351" s="161" t="n">
        <v>1</v>
      </c>
      <c r="BW351" s="224" t="s">
        <v>1309</v>
      </c>
      <c r="BX351" s="0"/>
    </row>
    <row r="352" customFormat="false" ht="12.75" hidden="false" customHeight="false" outlineLevel="0" collapsed="false">
      <c r="A352" s="244"/>
      <c r="B352" s="245" t="e">
        <f aca="false">NextMonth(B351)</f>
        <v>#VALUE!</v>
      </c>
      <c r="C352" s="246" t="n">
        <v>0.065068417394473</v>
      </c>
      <c r="D352" s="246" t="n">
        <v>1.05</v>
      </c>
      <c r="E352" s="246" t="n">
        <v>0</v>
      </c>
      <c r="F352" s="246" t="n">
        <v>0</v>
      </c>
      <c r="G352" s="246" t="n">
        <v>0</v>
      </c>
      <c r="H352" s="246" t="n">
        <v>0</v>
      </c>
      <c r="I352" s="247" t="n">
        <v>0</v>
      </c>
      <c r="J352" s="248" t="n">
        <v>0</v>
      </c>
      <c r="K352" s="248" t="n">
        <v>0</v>
      </c>
      <c r="L352" s="248" t="n">
        <v>0.005048</v>
      </c>
      <c r="M352" s="248" t="n">
        <v>0.005048</v>
      </c>
      <c r="N352" s="249" t="n">
        <v>0</v>
      </c>
      <c r="O352" s="249" t="n">
        <v>0</v>
      </c>
      <c r="P352" s="250"/>
      <c r="R352" s="251" t="e">
        <f aca="false">EOMONTH(R351,0)+1</f>
        <v>#VALUE!</v>
      </c>
      <c r="BP352" s="226" t="n">
        <f aca="false">BP351+BV352</f>
        <v>351</v>
      </c>
      <c r="BQ352" s="227" t="s">
        <v>850</v>
      </c>
      <c r="BR352" s="224" t="s">
        <v>285</v>
      </c>
      <c r="BS352" s="161" t="s">
        <v>286</v>
      </c>
      <c r="BT352" s="230" t="s">
        <v>287</v>
      </c>
      <c r="BU352" s="230"/>
      <c r="BV352" s="161" t="n">
        <v>1</v>
      </c>
      <c r="BW352" s="224" t="s">
        <v>1310</v>
      </c>
      <c r="BX352" s="0"/>
    </row>
    <row r="353" customFormat="false" ht="12.75" hidden="false" customHeight="false" outlineLevel="0" collapsed="false">
      <c r="A353" s="244"/>
      <c r="B353" s="245" t="e">
        <f aca="false">NextMonth(B352)</f>
        <v>#VALUE!</v>
      </c>
      <c r="C353" s="246" t="n">
        <v>0.065089165175896</v>
      </c>
      <c r="D353" s="246" t="n">
        <v>1</v>
      </c>
      <c r="E353" s="246" t="n">
        <v>0</v>
      </c>
      <c r="F353" s="246" t="n">
        <v>0</v>
      </c>
      <c r="G353" s="246" t="n">
        <v>0</v>
      </c>
      <c r="H353" s="246" t="n">
        <v>0</v>
      </c>
      <c r="I353" s="247" t="n">
        <v>0</v>
      </c>
      <c r="J353" s="248" t="n">
        <v>0</v>
      </c>
      <c r="K353" s="248" t="n">
        <v>0</v>
      </c>
      <c r="L353" s="248" t="n">
        <v>0.0100448</v>
      </c>
      <c r="M353" s="248" t="n">
        <v>0.0100448</v>
      </c>
      <c r="N353" s="249" t="n">
        <v>0</v>
      </c>
      <c r="O353" s="249" t="n">
        <v>0</v>
      </c>
      <c r="P353" s="250"/>
      <c r="R353" s="251" t="e">
        <f aca="false">EOMONTH(R352,0)+1</f>
        <v>#VALUE!</v>
      </c>
      <c r="BP353" s="226" t="n">
        <f aca="false">BP352+BV353</f>
        <v>352</v>
      </c>
      <c r="BQ353" s="227" t="s">
        <v>854</v>
      </c>
      <c r="BR353" s="224" t="s">
        <v>285</v>
      </c>
      <c r="BS353" s="161" t="s">
        <v>286</v>
      </c>
      <c r="BT353" s="230" t="s">
        <v>287</v>
      </c>
      <c r="BU353" s="230"/>
      <c r="BV353" s="161" t="n">
        <v>1</v>
      </c>
      <c r="BW353" s="224" t="s">
        <v>1311</v>
      </c>
      <c r="BX353" s="0"/>
    </row>
    <row r="354" customFormat="false" ht="12.75" hidden="false" customHeight="false" outlineLevel="0" collapsed="false">
      <c r="A354" s="244"/>
      <c r="B354" s="245" t="e">
        <f aca="false">NextMonth(B353)</f>
        <v>#VALUE!</v>
      </c>
      <c r="C354" s="246" t="n">
        <v>0.065109912957462</v>
      </c>
      <c r="D354" s="246" t="n">
        <v>0</v>
      </c>
      <c r="E354" s="246" t="n">
        <v>0</v>
      </c>
      <c r="F354" s="246" t="n">
        <v>0</v>
      </c>
      <c r="G354" s="246" t="n">
        <v>0</v>
      </c>
      <c r="H354" s="246" t="n">
        <v>0</v>
      </c>
      <c r="I354" s="247" t="n">
        <v>0</v>
      </c>
      <c r="J354" s="248" t="n">
        <v>0</v>
      </c>
      <c r="K354" s="248" t="n">
        <v>0</v>
      </c>
      <c r="L354" s="248" t="n">
        <v>0.0350425</v>
      </c>
      <c r="M354" s="248" t="n">
        <v>0.0350425</v>
      </c>
      <c r="N354" s="249" t="n">
        <v>0</v>
      </c>
      <c r="O354" s="249" t="n">
        <v>0</v>
      </c>
      <c r="P354" s="250"/>
      <c r="R354" s="251" t="e">
        <f aca="false">EOMONTH(R353,0)+1</f>
        <v>#VALUE!</v>
      </c>
      <c r="BP354" s="226" t="n">
        <f aca="false">BP353+BV354</f>
        <v>353</v>
      </c>
      <c r="BQ354" s="227" t="s">
        <v>858</v>
      </c>
      <c r="BR354" s="224" t="s">
        <v>285</v>
      </c>
      <c r="BS354" s="161" t="s">
        <v>286</v>
      </c>
      <c r="BT354" s="230" t="s">
        <v>287</v>
      </c>
      <c r="BU354" s="230"/>
      <c r="BV354" s="161" t="n">
        <v>1</v>
      </c>
      <c r="BW354" s="224" t="s">
        <v>1312</v>
      </c>
      <c r="BX354" s="0"/>
    </row>
    <row r="355" customFormat="false" ht="12.75" hidden="false" customHeight="false" outlineLevel="0" collapsed="false">
      <c r="A355" s="244"/>
      <c r="B355" s="245" t="e">
        <f aca="false">NextMonth(B354)</f>
        <v>#VALUE!</v>
      </c>
      <c r="C355" s="246" t="n">
        <v>0.065128652889322</v>
      </c>
      <c r="D355" s="246" t="n">
        <v>0</v>
      </c>
      <c r="E355" s="246" t="n">
        <v>0</v>
      </c>
      <c r="F355" s="246" t="n">
        <v>0</v>
      </c>
      <c r="G355" s="246" t="n">
        <v>0</v>
      </c>
      <c r="H355" s="246" t="n">
        <v>0</v>
      </c>
      <c r="I355" s="247" t="n">
        <v>0</v>
      </c>
      <c r="J355" s="248" t="n">
        <v>0</v>
      </c>
      <c r="K355" s="248" t="n">
        <v>0</v>
      </c>
      <c r="L355" s="248" t="n">
        <v>0.0450425</v>
      </c>
      <c r="M355" s="248" t="n">
        <v>0.0450425</v>
      </c>
      <c r="N355" s="249" t="n">
        <v>0</v>
      </c>
      <c r="O355" s="249" t="n">
        <v>0</v>
      </c>
      <c r="P355" s="250"/>
      <c r="R355" s="251" t="e">
        <f aca="false">EOMONTH(R354,0)+1</f>
        <v>#VALUE!</v>
      </c>
      <c r="BP355" s="226" t="n">
        <f aca="false">BP354+BV355</f>
        <v>354</v>
      </c>
      <c r="BQ355" s="227" t="s">
        <v>862</v>
      </c>
      <c r="BR355" s="224" t="s">
        <v>285</v>
      </c>
      <c r="BS355" s="161" t="s">
        <v>286</v>
      </c>
      <c r="BT355" s="230" t="s">
        <v>287</v>
      </c>
      <c r="BU355" s="230"/>
      <c r="BV355" s="161" t="n">
        <v>1</v>
      </c>
      <c r="BW355" s="224" t="s">
        <v>1313</v>
      </c>
      <c r="BX355" s="0"/>
    </row>
    <row r="356" customFormat="false" ht="12.75" hidden="false" customHeight="false" outlineLevel="0" collapsed="false">
      <c r="A356" s="244"/>
      <c r="B356" s="245" t="e">
        <f aca="false">NextMonth(B355)</f>
        <v>#VALUE!</v>
      </c>
      <c r="C356" s="246" t="n">
        <v>0.06514940067116</v>
      </c>
      <c r="D356" s="246" t="n">
        <v>0</v>
      </c>
      <c r="E356" s="246" t="n">
        <v>0</v>
      </c>
      <c r="F356" s="246" t="n">
        <v>0</v>
      </c>
      <c r="G356" s="246" t="n">
        <v>0</v>
      </c>
      <c r="H356" s="246" t="n">
        <v>0</v>
      </c>
      <c r="I356" s="247" t="n">
        <v>0</v>
      </c>
      <c r="J356" s="248" t="n">
        <v>0</v>
      </c>
      <c r="K356" s="248" t="n">
        <v>0</v>
      </c>
      <c r="L356" s="248" t="n">
        <v>0.1049766</v>
      </c>
      <c r="M356" s="248" t="n">
        <v>0.1049766</v>
      </c>
      <c r="N356" s="249" t="n">
        <v>0</v>
      </c>
      <c r="O356" s="249" t="n">
        <v>0</v>
      </c>
      <c r="P356" s="250"/>
      <c r="R356" s="251" t="e">
        <f aca="false">EOMONTH(R355,0)+1</f>
        <v>#VALUE!</v>
      </c>
      <c r="BP356" s="226" t="n">
        <f aca="false">BP355+BV356</f>
        <v>355</v>
      </c>
      <c r="BQ356" s="227" t="s">
        <v>866</v>
      </c>
      <c r="BR356" s="224" t="s">
        <v>285</v>
      </c>
      <c r="BS356" s="161" t="s">
        <v>286</v>
      </c>
      <c r="BT356" s="230" t="s">
        <v>287</v>
      </c>
      <c r="BU356" s="230"/>
      <c r="BV356" s="161" t="n">
        <v>1</v>
      </c>
      <c r="BW356" s="224" t="s">
        <v>1314</v>
      </c>
      <c r="BX356" s="0"/>
    </row>
    <row r="357" customFormat="false" ht="12.75" hidden="false" customHeight="false" outlineLevel="0" collapsed="false">
      <c r="A357" s="244"/>
      <c r="B357" s="245" t="e">
        <f aca="false">NextMonth(B356)</f>
        <v>#VALUE!</v>
      </c>
      <c r="C357" s="246" t="n">
        <v>0.065169479169849</v>
      </c>
      <c r="D357" s="246" t="n">
        <v>0</v>
      </c>
      <c r="E357" s="246" t="n">
        <v>0</v>
      </c>
      <c r="F357" s="246" t="n">
        <v>0</v>
      </c>
      <c r="G357" s="246" t="n">
        <v>0</v>
      </c>
      <c r="H357" s="246" t="n">
        <v>0</v>
      </c>
      <c r="I357" s="247" t="n">
        <v>0</v>
      </c>
      <c r="J357" s="248" t="n">
        <v>0</v>
      </c>
      <c r="K357" s="248" t="n">
        <v>0</v>
      </c>
      <c r="L357" s="248" t="n">
        <v>0.1049681</v>
      </c>
      <c r="M357" s="248" t="n">
        <v>0.1049681</v>
      </c>
      <c r="N357" s="249" t="n">
        <v>0</v>
      </c>
      <c r="O357" s="249" t="n">
        <v>0</v>
      </c>
      <c r="P357" s="250"/>
      <c r="R357" s="251" t="e">
        <f aca="false">EOMONTH(R356,0)+1</f>
        <v>#VALUE!</v>
      </c>
      <c r="BP357" s="226" t="n">
        <f aca="false">BP356+BV357</f>
        <v>356</v>
      </c>
      <c r="BQ357" s="227" t="s">
        <v>870</v>
      </c>
      <c r="BR357" s="224" t="s">
        <v>285</v>
      </c>
      <c r="BS357" s="161" t="s">
        <v>286</v>
      </c>
      <c r="BT357" s="230" t="s">
        <v>287</v>
      </c>
      <c r="BU357" s="230"/>
      <c r="BV357" s="161" t="n">
        <v>1</v>
      </c>
      <c r="BW357" s="224" t="s">
        <v>1315</v>
      </c>
      <c r="BX357" s="0"/>
    </row>
    <row r="358" customFormat="false" ht="12.75" hidden="false" customHeight="false" outlineLevel="0" collapsed="false">
      <c r="A358" s="244"/>
      <c r="B358" s="245" t="e">
        <f aca="false">NextMonth(B357)</f>
        <v>#VALUE!</v>
      </c>
      <c r="C358" s="246" t="n">
        <v>0.065190226951967</v>
      </c>
      <c r="D358" s="246" t="n">
        <v>0</v>
      </c>
      <c r="E358" s="246" t="n">
        <v>0</v>
      </c>
      <c r="F358" s="246" t="n">
        <v>0</v>
      </c>
      <c r="G358" s="246" t="n">
        <v>0</v>
      </c>
      <c r="H358" s="246" t="n">
        <v>0</v>
      </c>
      <c r="I358" s="247" t="n">
        <v>0</v>
      </c>
      <c r="J358" s="248" t="n">
        <v>0</v>
      </c>
      <c r="K358" s="248" t="n">
        <v>0</v>
      </c>
      <c r="L358" s="248" t="n">
        <v>0.1049681</v>
      </c>
      <c r="M358" s="248" t="n">
        <v>0.1049681</v>
      </c>
      <c r="N358" s="249" t="n">
        <v>0</v>
      </c>
      <c r="O358" s="249" t="n">
        <v>0</v>
      </c>
      <c r="P358" s="250"/>
      <c r="R358" s="251" t="e">
        <f aca="false">EOMONTH(R357,0)+1</f>
        <v>#VALUE!</v>
      </c>
      <c r="BP358" s="226" t="n">
        <f aca="false">BP357+BV358</f>
        <v>357</v>
      </c>
      <c r="BQ358" s="227" t="s">
        <v>874</v>
      </c>
      <c r="BR358" s="224" t="s">
        <v>285</v>
      </c>
      <c r="BS358" s="161" t="s">
        <v>286</v>
      </c>
      <c r="BT358" s="230" t="s">
        <v>287</v>
      </c>
      <c r="BU358" s="230"/>
      <c r="BV358" s="161" t="n">
        <v>1</v>
      </c>
      <c r="BW358" s="224" t="s">
        <v>1316</v>
      </c>
      <c r="BX358" s="0"/>
    </row>
    <row r="359" customFormat="false" ht="12.75" hidden="false" customHeight="false" outlineLevel="0" collapsed="false">
      <c r="A359" s="244"/>
      <c r="B359" s="245" t="e">
        <f aca="false">NextMonth(B358)</f>
        <v>#VALUE!</v>
      </c>
      <c r="C359" s="246" t="n">
        <v>0.065210305450927</v>
      </c>
      <c r="D359" s="246" t="n">
        <v>0</v>
      </c>
      <c r="E359" s="246" t="n">
        <v>0</v>
      </c>
      <c r="F359" s="246" t="n">
        <v>0</v>
      </c>
      <c r="G359" s="246" t="n">
        <v>0</v>
      </c>
      <c r="H359" s="246" t="n">
        <v>0</v>
      </c>
      <c r="I359" s="247" t="n">
        <v>0</v>
      </c>
      <c r="J359" s="248" t="n">
        <v>0</v>
      </c>
      <c r="K359" s="248" t="n">
        <v>0</v>
      </c>
      <c r="L359" s="248" t="n">
        <v>0.1049681</v>
      </c>
      <c r="M359" s="248" t="n">
        <v>0.1049681</v>
      </c>
      <c r="N359" s="249" t="n">
        <v>0</v>
      </c>
      <c r="O359" s="249" t="n">
        <v>0</v>
      </c>
      <c r="P359" s="250"/>
      <c r="R359" s="251" t="e">
        <f aca="false">EOMONTH(R358,0)+1</f>
        <v>#VALUE!</v>
      </c>
      <c r="BP359" s="226" t="n">
        <f aca="false">BP358+BV359</f>
        <v>358</v>
      </c>
      <c r="BQ359" s="227" t="s">
        <v>878</v>
      </c>
      <c r="BR359" s="224" t="s">
        <v>285</v>
      </c>
      <c r="BS359" s="161" t="s">
        <v>286</v>
      </c>
      <c r="BT359" s="230" t="s">
        <v>287</v>
      </c>
      <c r="BU359" s="230"/>
      <c r="BV359" s="161" t="n">
        <v>1</v>
      </c>
      <c r="BW359" s="224" t="s">
        <v>1317</v>
      </c>
      <c r="BX359" s="0"/>
    </row>
    <row r="360" customFormat="false" ht="12.75" hidden="false" customHeight="false" outlineLevel="0" collapsed="false">
      <c r="A360" s="244"/>
      <c r="B360" s="245" t="e">
        <f aca="false">NextMonth(B359)</f>
        <v>#VALUE!</v>
      </c>
      <c r="C360" s="246" t="n">
        <v>0.065231053233326</v>
      </c>
      <c r="D360" s="246" t="n">
        <v>0</v>
      </c>
      <c r="E360" s="246" t="n">
        <v>0</v>
      </c>
      <c r="F360" s="246" t="n">
        <v>0</v>
      </c>
      <c r="G360" s="246" t="n">
        <v>0</v>
      </c>
      <c r="H360" s="246" t="n">
        <v>0</v>
      </c>
      <c r="I360" s="247" t="n">
        <v>0</v>
      </c>
      <c r="J360" s="248" t="n">
        <v>0</v>
      </c>
      <c r="K360" s="248" t="n">
        <v>0</v>
      </c>
      <c r="L360" s="248" t="n">
        <v>0.1049681</v>
      </c>
      <c r="M360" s="248" t="n">
        <v>0.1049681</v>
      </c>
      <c r="N360" s="249" t="n">
        <v>0</v>
      </c>
      <c r="O360" s="249" t="n">
        <v>0</v>
      </c>
      <c r="P360" s="250"/>
      <c r="R360" s="251" t="e">
        <f aca="false">EOMONTH(R359,0)+1</f>
        <v>#VALUE!</v>
      </c>
      <c r="BP360" s="226" t="n">
        <f aca="false">BP359+BV360</f>
        <v>359</v>
      </c>
      <c r="BQ360" s="227" t="s">
        <v>1318</v>
      </c>
      <c r="BR360" s="224" t="s">
        <v>285</v>
      </c>
      <c r="BS360" s="161" t="s">
        <v>286</v>
      </c>
      <c r="BT360" s="230" t="s">
        <v>287</v>
      </c>
      <c r="BU360" s="230"/>
      <c r="BV360" s="161" t="n">
        <v>1</v>
      </c>
      <c r="BW360" s="224" t="s">
        <v>1319</v>
      </c>
      <c r="BX360" s="0"/>
    </row>
    <row r="361" customFormat="false" ht="12.75" hidden="false" customHeight="false" outlineLevel="0" collapsed="false">
      <c r="A361" s="244"/>
      <c r="B361" s="245" t="e">
        <f aca="false">NextMonth(B360)</f>
        <v>#VALUE!</v>
      </c>
      <c r="C361" s="246" t="n">
        <v>0.065251801015868</v>
      </c>
      <c r="D361" s="246" t="n">
        <v>0</v>
      </c>
      <c r="E361" s="246" t="n">
        <v>0</v>
      </c>
      <c r="F361" s="246" t="n">
        <v>0</v>
      </c>
      <c r="G361" s="246" t="n">
        <v>0</v>
      </c>
      <c r="H361" s="246" t="n">
        <v>0</v>
      </c>
      <c r="I361" s="247" t="n">
        <v>0</v>
      </c>
      <c r="J361" s="248" t="n">
        <v>0</v>
      </c>
      <c r="K361" s="248" t="n">
        <v>0</v>
      </c>
      <c r="L361" s="248" t="n">
        <v>0.1049681</v>
      </c>
      <c r="M361" s="248" t="n">
        <v>0.1049681</v>
      </c>
      <c r="N361" s="249" t="n">
        <v>0</v>
      </c>
      <c r="O361" s="249" t="n">
        <v>0</v>
      </c>
      <c r="P361" s="250"/>
      <c r="R361" s="251" t="e">
        <f aca="false">EOMONTH(R360,0)+1</f>
        <v>#VALUE!</v>
      </c>
      <c r="BP361" s="226" t="n">
        <f aca="false">BP360+BV361</f>
        <v>360</v>
      </c>
      <c r="BQ361" s="227" t="s">
        <v>890</v>
      </c>
      <c r="BR361" s="224" t="s">
        <v>285</v>
      </c>
      <c r="BS361" s="161" t="s">
        <v>286</v>
      </c>
      <c r="BT361" s="230" t="s">
        <v>287</v>
      </c>
      <c r="BU361" s="230"/>
      <c r="BV361" s="161" t="n">
        <v>1</v>
      </c>
      <c r="BW361" s="224" t="s">
        <v>1320</v>
      </c>
      <c r="BX361" s="0"/>
    </row>
    <row r="362" customFormat="false" ht="12.75" hidden="false" customHeight="false" outlineLevel="0" collapsed="false">
      <c r="A362" s="244"/>
      <c r="B362" s="245" t="e">
        <f aca="false">NextMonth(B361)</f>
        <v>#VALUE!</v>
      </c>
      <c r="C362" s="246" t="n">
        <v>0.065271879515238</v>
      </c>
      <c r="D362" s="246" t="n">
        <v>0</v>
      </c>
      <c r="E362" s="246" t="n">
        <v>0</v>
      </c>
      <c r="F362" s="246" t="n">
        <v>0</v>
      </c>
      <c r="G362" s="246" t="n">
        <v>0</v>
      </c>
      <c r="H362" s="246" t="n">
        <v>0</v>
      </c>
      <c r="I362" s="247" t="n">
        <v>0</v>
      </c>
      <c r="J362" s="248" t="n">
        <v>0</v>
      </c>
      <c r="K362" s="248" t="n">
        <v>0</v>
      </c>
      <c r="L362" s="248" t="n">
        <v>0.1049681</v>
      </c>
      <c r="M362" s="248" t="n">
        <v>0.1049681</v>
      </c>
      <c r="N362" s="249" t="n">
        <v>0</v>
      </c>
      <c r="O362" s="249" t="n">
        <v>0</v>
      </c>
      <c r="P362" s="250"/>
      <c r="R362" s="251" t="e">
        <f aca="false">EOMONTH(R361,0)+1</f>
        <v>#VALUE!</v>
      </c>
      <c r="BP362" s="226" t="n">
        <f aca="false">BP361+BV362</f>
        <v>361</v>
      </c>
      <c r="BQ362" s="227" t="s">
        <v>894</v>
      </c>
      <c r="BR362" s="224" t="s">
        <v>285</v>
      </c>
      <c r="BS362" s="161" t="s">
        <v>286</v>
      </c>
      <c r="BT362" s="230" t="s">
        <v>287</v>
      </c>
      <c r="BU362" s="230"/>
      <c r="BV362" s="161" t="n">
        <v>1</v>
      </c>
      <c r="BW362" s="224" t="s">
        <v>1321</v>
      </c>
      <c r="BX362" s="0"/>
    </row>
    <row r="363" customFormat="false" ht="12.75" hidden="false" customHeight="false" outlineLevel="0" collapsed="false">
      <c r="A363" s="244"/>
      <c r="B363" s="245" t="e">
        <f aca="false">NextMonth(B362)</f>
        <v>#VALUE!</v>
      </c>
      <c r="C363" s="246" t="n">
        <v>0.065292627298061</v>
      </c>
      <c r="D363" s="246" t="n">
        <v>0</v>
      </c>
      <c r="E363" s="246" t="n">
        <v>0</v>
      </c>
      <c r="F363" s="246" t="n">
        <v>0</v>
      </c>
      <c r="G363" s="246" t="n">
        <v>0</v>
      </c>
      <c r="H363" s="246" t="n">
        <v>0</v>
      </c>
      <c r="I363" s="247" t="n">
        <v>0</v>
      </c>
      <c r="J363" s="248" t="n">
        <v>0</v>
      </c>
      <c r="K363" s="248" t="n">
        <v>0</v>
      </c>
      <c r="L363" s="248" t="n">
        <v>0.0250112</v>
      </c>
      <c r="M363" s="248" t="n">
        <v>0.0250112</v>
      </c>
      <c r="N363" s="249" t="n">
        <v>0</v>
      </c>
      <c r="O363" s="249" t="n">
        <v>0</v>
      </c>
      <c r="P363" s="250"/>
      <c r="R363" s="251" t="e">
        <f aca="false">EOMONTH(R362,0)+1</f>
        <v>#VALUE!</v>
      </c>
      <c r="BP363" s="226" t="n">
        <f aca="false">BP362+BV363</f>
        <v>362</v>
      </c>
      <c r="BQ363" s="227" t="s">
        <v>898</v>
      </c>
      <c r="BR363" s="224" t="s">
        <v>285</v>
      </c>
      <c r="BS363" s="161" t="s">
        <v>286</v>
      </c>
      <c r="BT363" s="230" t="s">
        <v>287</v>
      </c>
      <c r="BU363" s="230"/>
      <c r="BV363" s="161" t="n">
        <v>1</v>
      </c>
      <c r="BW363" s="224" t="s">
        <v>1322</v>
      </c>
      <c r="BX363" s="0"/>
    </row>
    <row r="364" customFormat="false" ht="12.75" hidden="false" customHeight="false" outlineLevel="0" collapsed="false">
      <c r="A364" s="244"/>
      <c r="B364" s="245" t="e">
        <f aca="false">NextMonth(B363)</f>
        <v>#VALUE!</v>
      </c>
      <c r="C364" s="246" t="n">
        <v>0.065312705797702</v>
      </c>
      <c r="D364" s="246" t="n">
        <v>0</v>
      </c>
      <c r="E364" s="246" t="n">
        <v>0</v>
      </c>
      <c r="F364" s="246" t="n">
        <v>0</v>
      </c>
      <c r="G364" s="246" t="n">
        <v>0</v>
      </c>
      <c r="H364" s="246" t="n">
        <v>0</v>
      </c>
      <c r="I364" s="247" t="n">
        <v>0</v>
      </c>
      <c r="J364" s="248" t="n">
        <v>0</v>
      </c>
      <c r="K364" s="248" t="n">
        <v>0</v>
      </c>
      <c r="L364" s="248" t="n">
        <v>0.010048</v>
      </c>
      <c r="M364" s="248" t="n">
        <v>0.010048</v>
      </c>
      <c r="N364" s="249" t="n">
        <v>0</v>
      </c>
      <c r="O364" s="249" t="n">
        <v>0</v>
      </c>
      <c r="P364" s="250"/>
      <c r="R364" s="251" t="e">
        <f aca="false">EOMONTH(R363,0)+1</f>
        <v>#VALUE!</v>
      </c>
      <c r="BP364" s="226" t="n">
        <f aca="false">BP363+BV364</f>
        <v>363</v>
      </c>
      <c r="BQ364" s="227" t="s">
        <v>902</v>
      </c>
      <c r="BR364" s="224" t="s">
        <v>285</v>
      </c>
      <c r="BS364" s="161" t="s">
        <v>286</v>
      </c>
      <c r="BT364" s="230" t="s">
        <v>287</v>
      </c>
      <c r="BU364" s="230"/>
      <c r="BV364" s="161" t="n">
        <v>1</v>
      </c>
      <c r="BW364" s="224" t="s">
        <v>1323</v>
      </c>
      <c r="BX364" s="0"/>
    </row>
    <row r="365" customFormat="false" ht="12.75" hidden="false" customHeight="false" outlineLevel="0" collapsed="false">
      <c r="A365" s="244"/>
      <c r="B365" s="245" t="e">
        <f aca="false">NextMonth(B364)</f>
        <v>#VALUE!</v>
      </c>
      <c r="C365" s="246" t="n">
        <v>0.065333453580806</v>
      </c>
      <c r="D365" s="246" t="n">
        <v>0</v>
      </c>
      <c r="E365" s="246" t="n">
        <v>0</v>
      </c>
      <c r="F365" s="246" t="n">
        <v>0</v>
      </c>
      <c r="G365" s="246" t="n">
        <v>0</v>
      </c>
      <c r="H365" s="246" t="n">
        <v>0</v>
      </c>
      <c r="I365" s="247" t="n">
        <v>0</v>
      </c>
      <c r="J365" s="248" t="n">
        <v>0</v>
      </c>
      <c r="K365" s="248" t="n">
        <v>0</v>
      </c>
      <c r="L365" s="248" t="n">
        <v>1.31</v>
      </c>
      <c r="M365" s="248" t="n">
        <v>1.31</v>
      </c>
      <c r="N365" s="249" t="n">
        <v>0.3</v>
      </c>
      <c r="O365" s="249" t="n">
        <v>0.3</v>
      </c>
      <c r="P365" s="250"/>
      <c r="R365" s="251" t="e">
        <f aca="false">EOMONTH(R364,0)+1</f>
        <v>#VALUE!</v>
      </c>
      <c r="BP365" s="226" t="n">
        <f aca="false">BP364+BV365</f>
        <v>364</v>
      </c>
      <c r="BQ365" s="227" t="s">
        <v>906</v>
      </c>
      <c r="BR365" s="224" t="s">
        <v>285</v>
      </c>
      <c r="BS365" s="161" t="s">
        <v>286</v>
      </c>
      <c r="BT365" s="230" t="s">
        <v>287</v>
      </c>
      <c r="BU365" s="230"/>
      <c r="BV365" s="161" t="n">
        <v>1</v>
      </c>
      <c r="BW365" s="224" t="s">
        <v>1324</v>
      </c>
      <c r="BX365" s="0"/>
    </row>
    <row r="366" customFormat="false" ht="12.75" hidden="false" customHeight="false" outlineLevel="0" collapsed="false">
      <c r="A366" s="244"/>
      <c r="B366" s="245" t="e">
        <f aca="false">NextMonth(B365)</f>
        <v>#VALUE!</v>
      </c>
      <c r="C366" s="246" t="n">
        <v>0.065354201364051</v>
      </c>
      <c r="D366" s="246" t="n">
        <v>0</v>
      </c>
      <c r="E366" s="246" t="n">
        <v>0</v>
      </c>
      <c r="F366" s="246" t="n">
        <v>0</v>
      </c>
      <c r="G366" s="246" t="n">
        <v>0</v>
      </c>
      <c r="H366" s="246" t="n">
        <v>0</v>
      </c>
      <c r="I366" s="247" t="n">
        <v>0</v>
      </c>
      <c r="J366" s="248" t="n">
        <v>0</v>
      </c>
      <c r="K366" s="248" t="n">
        <v>0</v>
      </c>
      <c r="L366" s="248" t="n">
        <v>1.31</v>
      </c>
      <c r="M366" s="248" t="n">
        <v>1.31</v>
      </c>
      <c r="N366" s="249" t="n">
        <v>0.11</v>
      </c>
      <c r="O366" s="249" t="n">
        <v>0.11</v>
      </c>
      <c r="P366" s="250"/>
      <c r="R366" s="251" t="e">
        <f aca="false">EOMONTH(R365,0)+1</f>
        <v>#VALUE!</v>
      </c>
      <c r="BP366" s="226" t="n">
        <f aca="false">BP365+BV366</f>
        <v>365</v>
      </c>
      <c r="BQ366" s="227" t="s">
        <v>910</v>
      </c>
      <c r="BR366" s="224" t="s">
        <v>285</v>
      </c>
      <c r="BS366" s="161" t="s">
        <v>286</v>
      </c>
      <c r="BT366" s="230" t="s">
        <v>287</v>
      </c>
      <c r="BU366" s="230"/>
      <c r="BV366" s="161" t="n">
        <v>1</v>
      </c>
      <c r="BW366" s="224" t="s">
        <v>1325</v>
      </c>
      <c r="BX366" s="0"/>
    </row>
    <row r="367" customFormat="false" ht="12.75" hidden="false" customHeight="false" outlineLevel="0" collapsed="false">
      <c r="A367" s="244"/>
      <c r="B367" s="245" t="e">
        <f aca="false">NextMonth(B366)</f>
        <v>#VALUE!</v>
      </c>
      <c r="C367" s="246" t="n">
        <v>0.065372941297429</v>
      </c>
      <c r="D367" s="246" t="n">
        <v>0</v>
      </c>
      <c r="E367" s="246" t="n">
        <v>0</v>
      </c>
      <c r="F367" s="246" t="n">
        <v>0</v>
      </c>
      <c r="G367" s="246" t="n">
        <v>0</v>
      </c>
      <c r="H367" s="246" t="n">
        <v>0</v>
      </c>
      <c r="I367" s="247" t="n">
        <v>0</v>
      </c>
      <c r="J367" s="248" t="n">
        <v>0</v>
      </c>
      <c r="K367" s="248" t="n">
        <v>0</v>
      </c>
      <c r="L367" s="248" t="n">
        <v>1.31</v>
      </c>
      <c r="M367" s="248" t="n">
        <v>1.31</v>
      </c>
      <c r="N367" s="249" t="n">
        <v>0.38</v>
      </c>
      <c r="O367" s="249" t="n">
        <v>0.38</v>
      </c>
      <c r="P367" s="250"/>
      <c r="R367" s="251" t="e">
        <f aca="false">EOMONTH(R366,0)+1</f>
        <v>#VALUE!</v>
      </c>
      <c r="BP367" s="226" t="n">
        <f aca="false">BP366+BV367</f>
        <v>366</v>
      </c>
      <c r="BQ367" s="227" t="s">
        <v>914</v>
      </c>
      <c r="BR367" s="224" t="s">
        <v>285</v>
      </c>
      <c r="BS367" s="161" t="s">
        <v>286</v>
      </c>
      <c r="BT367" s="230" t="s">
        <v>287</v>
      </c>
      <c r="BU367" s="230"/>
      <c r="BV367" s="161" t="n">
        <v>1</v>
      </c>
      <c r="BW367" s="224" t="s">
        <v>1326</v>
      </c>
      <c r="BX367" s="0"/>
    </row>
    <row r="368" customFormat="false" ht="12.75" hidden="false" customHeight="false" outlineLevel="0" collapsed="false">
      <c r="A368" s="244"/>
      <c r="B368" s="245" t="e">
        <f aca="false">NextMonth(B367)</f>
        <v>#VALUE!</v>
      </c>
      <c r="C368" s="246" t="n">
        <v>0.065393689080946</v>
      </c>
      <c r="D368" s="246" t="n">
        <v>0</v>
      </c>
      <c r="E368" s="246" t="n">
        <v>0</v>
      </c>
      <c r="F368" s="246" t="n">
        <v>0</v>
      </c>
      <c r="G368" s="246" t="n">
        <v>0</v>
      </c>
      <c r="H368" s="246" t="n">
        <v>0</v>
      </c>
      <c r="I368" s="247" t="n">
        <v>0</v>
      </c>
      <c r="J368" s="248" t="n">
        <v>0</v>
      </c>
      <c r="K368" s="248" t="n">
        <v>0</v>
      </c>
      <c r="L368" s="248" t="n">
        <v>0</v>
      </c>
      <c r="M368" s="248" t="n">
        <v>0</v>
      </c>
      <c r="N368" s="249" t="n">
        <v>0</v>
      </c>
      <c r="O368" s="249" t="n">
        <v>0</v>
      </c>
      <c r="P368" s="250"/>
      <c r="R368" s="251" t="e">
        <f aca="false">EOMONTH(R367,0)+1</f>
        <v>#VALUE!</v>
      </c>
      <c r="BP368" s="226" t="n">
        <f aca="false">BP367+BV368</f>
        <v>367</v>
      </c>
      <c r="BQ368" s="227" t="s">
        <v>918</v>
      </c>
      <c r="BR368" s="224" t="s">
        <v>285</v>
      </c>
      <c r="BS368" s="161" t="s">
        <v>286</v>
      </c>
      <c r="BT368" s="230" t="s">
        <v>287</v>
      </c>
      <c r="BU368" s="230"/>
      <c r="BV368" s="161" t="n">
        <v>1</v>
      </c>
      <c r="BW368" s="224" t="s">
        <v>1327</v>
      </c>
      <c r="BX368" s="0"/>
    </row>
    <row r="369" customFormat="false" ht="12.75" hidden="false" customHeight="false" outlineLevel="0" collapsed="false">
      <c r="A369" s="244"/>
      <c r="B369" s="245" t="e">
        <f aca="false">NextMonth(B368)</f>
        <v>#VALUE!</v>
      </c>
      <c r="C369" s="246" t="n">
        <v>0.06541376758126</v>
      </c>
      <c r="D369" s="246" t="n">
        <v>0</v>
      </c>
      <c r="E369" s="246" t="n">
        <v>0</v>
      </c>
      <c r="F369" s="246" t="n">
        <v>0</v>
      </c>
      <c r="G369" s="246" t="n">
        <v>0</v>
      </c>
      <c r="H369" s="246" t="n">
        <v>0</v>
      </c>
      <c r="I369" s="247" t="n">
        <v>0</v>
      </c>
      <c r="J369" s="248" t="n">
        <v>0</v>
      </c>
      <c r="K369" s="248" t="n">
        <v>0</v>
      </c>
      <c r="L369" s="248" t="n">
        <v>0</v>
      </c>
      <c r="M369" s="248" t="n">
        <v>0</v>
      </c>
      <c r="N369" s="249" t="n">
        <v>0</v>
      </c>
      <c r="O369" s="249" t="n">
        <v>0</v>
      </c>
      <c r="P369" s="250"/>
      <c r="R369" s="251" t="e">
        <f aca="false">EOMONTH(R368,0)+1</f>
        <v>#VALUE!</v>
      </c>
      <c r="BP369" s="226" t="n">
        <f aca="false">BP368+BV369</f>
        <v>368</v>
      </c>
      <c r="BQ369" s="227" t="s">
        <v>922</v>
      </c>
      <c r="BR369" s="224" t="s">
        <v>285</v>
      </c>
      <c r="BS369" s="161" t="s">
        <v>286</v>
      </c>
      <c r="BT369" s="230" t="s">
        <v>287</v>
      </c>
      <c r="BU369" s="230"/>
      <c r="BV369" s="161" t="n">
        <v>1</v>
      </c>
      <c r="BW369" s="224" t="s">
        <v>1328</v>
      </c>
      <c r="BX369" s="0"/>
    </row>
    <row r="370" customFormat="false" ht="12.75" hidden="false" customHeight="false" outlineLevel="0" collapsed="false">
      <c r="A370" s="244"/>
      <c r="B370" s="245" t="e">
        <f aca="false">NextMonth(B369)</f>
        <v>#VALUE!</v>
      </c>
      <c r="C370" s="246" t="n">
        <v>0.065434515365058</v>
      </c>
      <c r="D370" s="246" t="n">
        <v>0</v>
      </c>
      <c r="E370" s="246" t="n">
        <v>0</v>
      </c>
      <c r="F370" s="246" t="n">
        <v>0</v>
      </c>
      <c r="G370" s="246" t="n">
        <v>0</v>
      </c>
      <c r="H370" s="246" t="n">
        <v>0</v>
      </c>
      <c r="I370" s="247" t="n">
        <v>0</v>
      </c>
      <c r="J370" s="248" t="n">
        <v>0</v>
      </c>
      <c r="K370" s="248" t="n">
        <v>0</v>
      </c>
      <c r="L370" s="248" t="n">
        <v>0</v>
      </c>
      <c r="M370" s="248" t="n">
        <v>0</v>
      </c>
      <c r="N370" s="249" t="n">
        <v>0</v>
      </c>
      <c r="O370" s="249" t="n">
        <v>0</v>
      </c>
      <c r="P370" s="250"/>
      <c r="R370" s="251" t="e">
        <f aca="false">EOMONTH(R369,0)+1</f>
        <v>#VALUE!</v>
      </c>
      <c r="BP370" s="226" t="n">
        <f aca="false">BP369+BV370</f>
        <v>369</v>
      </c>
      <c r="BQ370" s="227" t="s">
        <v>926</v>
      </c>
      <c r="BR370" s="224" t="s">
        <v>285</v>
      </c>
      <c r="BS370" s="161" t="s">
        <v>286</v>
      </c>
      <c r="BT370" s="230" t="s">
        <v>287</v>
      </c>
      <c r="BU370" s="230"/>
      <c r="BV370" s="161" t="n">
        <v>1</v>
      </c>
      <c r="BW370" s="224" t="s">
        <v>1329</v>
      </c>
      <c r="BX370" s="0"/>
    </row>
    <row r="371" customFormat="false" ht="12.75" hidden="false" customHeight="false" outlineLevel="0" collapsed="false">
      <c r="A371" s="244"/>
      <c r="B371" s="245" t="e">
        <f aca="false">NextMonth(B370)</f>
        <v>#VALUE!</v>
      </c>
      <c r="C371" s="246" t="n">
        <v>0.065454593865644</v>
      </c>
      <c r="D371" s="246" t="n">
        <v>0</v>
      </c>
      <c r="E371" s="246" t="n">
        <v>0</v>
      </c>
      <c r="F371" s="246" t="n">
        <v>0</v>
      </c>
      <c r="G371" s="246" t="n">
        <v>0</v>
      </c>
      <c r="H371" s="246" t="n">
        <v>0</v>
      </c>
      <c r="I371" s="247" t="n">
        <v>0</v>
      </c>
      <c r="J371" s="248" t="n">
        <v>0</v>
      </c>
      <c r="K371" s="248" t="n">
        <v>0</v>
      </c>
      <c r="L371" s="248" t="n">
        <v>0</v>
      </c>
      <c r="M371" s="248" t="n">
        <v>0</v>
      </c>
      <c r="N371" s="249" t="n">
        <v>0</v>
      </c>
      <c r="O371" s="249" t="n">
        <v>0</v>
      </c>
      <c r="P371" s="250"/>
      <c r="R371" s="251" t="e">
        <f aca="false">EOMONTH(R370,0)+1</f>
        <v>#VALUE!</v>
      </c>
      <c r="BP371" s="226" t="n">
        <f aca="false">BP370+BV371</f>
        <v>370</v>
      </c>
      <c r="BQ371" s="227" t="s">
        <v>930</v>
      </c>
      <c r="BR371" s="224" t="s">
        <v>285</v>
      </c>
      <c r="BS371" s="161" t="s">
        <v>286</v>
      </c>
      <c r="BT371" s="230" t="s">
        <v>287</v>
      </c>
      <c r="BU371" s="230"/>
      <c r="BV371" s="161" t="n">
        <v>1</v>
      </c>
      <c r="BW371" s="224" t="s">
        <v>1330</v>
      </c>
      <c r="BX371" s="0"/>
    </row>
    <row r="372" customFormat="false" ht="12.75" hidden="false" customHeight="false" outlineLevel="0" collapsed="false">
      <c r="A372" s="244"/>
      <c r="B372" s="245" t="e">
        <f aca="false">NextMonth(B371)</f>
        <v>#VALUE!</v>
      </c>
      <c r="C372" s="246" t="n">
        <v>0.065475341649722</v>
      </c>
      <c r="D372" s="246" t="n">
        <v>0</v>
      </c>
      <c r="E372" s="246" t="n">
        <v>0</v>
      </c>
      <c r="F372" s="246" t="n">
        <v>0</v>
      </c>
      <c r="G372" s="246" t="n">
        <v>0</v>
      </c>
      <c r="H372" s="246" t="n">
        <v>0</v>
      </c>
      <c r="I372" s="247" t="n">
        <v>0</v>
      </c>
      <c r="J372" s="248" t="n">
        <v>0</v>
      </c>
      <c r="K372" s="248" t="n">
        <v>0</v>
      </c>
      <c r="L372" s="248" t="n">
        <v>0</v>
      </c>
      <c r="M372" s="248" t="n">
        <v>0</v>
      </c>
      <c r="N372" s="249" t="n">
        <v>0</v>
      </c>
      <c r="O372" s="249" t="n">
        <v>0</v>
      </c>
      <c r="P372" s="250"/>
      <c r="R372" s="251" t="e">
        <f aca="false">EOMONTH(R371,0)+1</f>
        <v>#VALUE!</v>
      </c>
      <c r="BP372" s="226" t="n">
        <f aca="false">BP371+BV372</f>
        <v>371</v>
      </c>
      <c r="BQ372" s="227" t="s">
        <v>934</v>
      </c>
      <c r="BR372" s="224" t="s">
        <v>285</v>
      </c>
      <c r="BS372" s="161" t="s">
        <v>286</v>
      </c>
      <c r="BT372" s="230" t="s">
        <v>287</v>
      </c>
      <c r="BU372" s="230"/>
      <c r="BV372" s="161" t="n">
        <v>1</v>
      </c>
      <c r="BW372" s="224" t="s">
        <v>1331</v>
      </c>
      <c r="BX372" s="0"/>
    </row>
    <row r="373" customFormat="false" ht="12.75" hidden="false" customHeight="false" outlineLevel="0" collapsed="false">
      <c r="A373" s="244"/>
      <c r="B373" s="245" t="e">
        <f aca="false">NextMonth(B372)</f>
        <v>#VALUE!</v>
      </c>
      <c r="C373" s="246" t="n">
        <v>0.065496089433944</v>
      </c>
      <c r="D373" s="246" t="n">
        <v>0</v>
      </c>
      <c r="E373" s="246" t="n">
        <v>0</v>
      </c>
      <c r="F373" s="246" t="n">
        <v>0</v>
      </c>
      <c r="G373" s="246" t="n">
        <v>0</v>
      </c>
      <c r="H373" s="246" t="n">
        <v>0</v>
      </c>
      <c r="I373" s="247" t="n">
        <v>0</v>
      </c>
      <c r="J373" s="248" t="n">
        <v>0</v>
      </c>
      <c r="K373" s="248" t="n">
        <v>0</v>
      </c>
      <c r="L373" s="248" t="n">
        <v>0</v>
      </c>
      <c r="M373" s="248" t="n">
        <v>0</v>
      </c>
      <c r="N373" s="249" t="n">
        <v>0</v>
      </c>
      <c r="O373" s="249" t="n">
        <v>0</v>
      </c>
      <c r="P373" s="250"/>
      <c r="R373" s="251" t="e">
        <f aca="false">EOMONTH(R372,0)+1</f>
        <v>#VALUE!</v>
      </c>
      <c r="BP373" s="226" t="n">
        <f aca="false">BP372+BV373</f>
        <v>372</v>
      </c>
      <c r="BQ373" s="227" t="s">
        <v>938</v>
      </c>
      <c r="BR373" s="224" t="s">
        <v>285</v>
      </c>
      <c r="BS373" s="161" t="s">
        <v>286</v>
      </c>
      <c r="BT373" s="230" t="s">
        <v>287</v>
      </c>
      <c r="BU373" s="230"/>
      <c r="BV373" s="161" t="n">
        <v>1</v>
      </c>
      <c r="BW373" s="224" t="s">
        <v>1332</v>
      </c>
      <c r="BX373" s="0"/>
    </row>
    <row r="374" customFormat="false" ht="12.75" hidden="false" customHeight="false" outlineLevel="0" collapsed="false">
      <c r="A374" s="244"/>
      <c r="B374" s="245" t="e">
        <f aca="false">NextMonth(B373)</f>
        <v>#VALUE!</v>
      </c>
      <c r="C374" s="246" t="n">
        <v>0.065516167934939</v>
      </c>
      <c r="D374" s="246" t="n">
        <v>0</v>
      </c>
      <c r="E374" s="246" t="n">
        <v>0</v>
      </c>
      <c r="F374" s="246" t="n">
        <v>0</v>
      </c>
      <c r="G374" s="246" t="n">
        <v>0</v>
      </c>
      <c r="H374" s="246" t="n">
        <v>0</v>
      </c>
      <c r="I374" s="247" t="n">
        <v>0</v>
      </c>
      <c r="J374" s="248" t="n">
        <v>0</v>
      </c>
      <c r="K374" s="248" t="n">
        <v>0</v>
      </c>
      <c r="L374" s="248" t="n">
        <v>0</v>
      </c>
      <c r="M374" s="248" t="n">
        <v>0</v>
      </c>
      <c r="N374" s="249" t="n">
        <v>0</v>
      </c>
      <c r="O374" s="249" t="n">
        <v>0</v>
      </c>
      <c r="P374" s="250"/>
      <c r="R374" s="251" t="e">
        <f aca="false">EOMONTH(R373,0)+1</f>
        <v>#VALUE!</v>
      </c>
      <c r="BP374" s="226" t="n">
        <f aca="false">BP373+BV374</f>
        <v>373</v>
      </c>
      <c r="BQ374" s="227" t="s">
        <v>942</v>
      </c>
      <c r="BR374" s="224" t="s">
        <v>285</v>
      </c>
      <c r="BS374" s="161" t="s">
        <v>286</v>
      </c>
      <c r="BT374" s="230" t="s">
        <v>287</v>
      </c>
      <c r="BU374" s="230"/>
      <c r="BV374" s="161" t="n">
        <v>1</v>
      </c>
      <c r="BW374" s="224" t="s">
        <v>1333</v>
      </c>
      <c r="BX374" s="0"/>
    </row>
    <row r="375" customFormat="false" ht="12.75" hidden="false" customHeight="false" outlineLevel="0" collapsed="false">
      <c r="A375" s="244"/>
      <c r="B375" s="245" t="e">
        <f aca="false">NextMonth(B374)</f>
        <v>#VALUE!</v>
      </c>
      <c r="C375" s="246" t="n">
        <v>0.065536915719442</v>
      </c>
      <c r="D375" s="246" t="n">
        <v>0</v>
      </c>
      <c r="E375" s="246" t="n">
        <v>0</v>
      </c>
      <c r="F375" s="246" t="n">
        <v>0</v>
      </c>
      <c r="G375" s="246" t="n">
        <v>0</v>
      </c>
      <c r="H375" s="246" t="n">
        <v>0</v>
      </c>
      <c r="I375" s="247" t="n">
        <v>0</v>
      </c>
      <c r="J375" s="248" t="n">
        <v>0</v>
      </c>
      <c r="K375" s="248" t="n">
        <v>0</v>
      </c>
      <c r="L375" s="248" t="n">
        <v>0</v>
      </c>
      <c r="M375" s="248" t="n">
        <v>0</v>
      </c>
      <c r="N375" s="249" t="n">
        <v>0</v>
      </c>
      <c r="O375" s="249" t="n">
        <v>0</v>
      </c>
      <c r="P375" s="250"/>
      <c r="R375" s="251" t="e">
        <f aca="false">EOMONTH(R374,0)+1</f>
        <v>#VALUE!</v>
      </c>
      <c r="BP375" s="226" t="n">
        <f aca="false">BP374+BV375</f>
        <v>374</v>
      </c>
      <c r="BQ375" s="227" t="s">
        <v>946</v>
      </c>
      <c r="BR375" s="224" t="s">
        <v>285</v>
      </c>
      <c r="BS375" s="161" t="s">
        <v>286</v>
      </c>
      <c r="BT375" s="230" t="s">
        <v>287</v>
      </c>
      <c r="BU375" s="230"/>
      <c r="BV375" s="161" t="n">
        <v>1</v>
      </c>
      <c r="BW375" s="224" t="s">
        <v>1334</v>
      </c>
      <c r="BX375" s="0"/>
    </row>
    <row r="376" customFormat="false" ht="12.75" hidden="false" customHeight="false" outlineLevel="0" collapsed="false">
      <c r="A376" s="244"/>
      <c r="B376" s="245" t="e">
        <f aca="false">NextMonth(B375)</f>
        <v>#VALUE!</v>
      </c>
      <c r="C376" s="246" t="n">
        <v>0.065556994220709</v>
      </c>
      <c r="D376" s="246" t="n">
        <v>0</v>
      </c>
      <c r="E376" s="246" t="n">
        <v>0</v>
      </c>
      <c r="F376" s="246" t="n">
        <v>0</v>
      </c>
      <c r="G376" s="246" t="n">
        <v>0</v>
      </c>
      <c r="H376" s="246" t="n">
        <v>0</v>
      </c>
      <c r="I376" s="247" t="n">
        <v>0</v>
      </c>
      <c r="J376" s="248" t="n">
        <v>0</v>
      </c>
      <c r="K376" s="248" t="n">
        <v>0</v>
      </c>
      <c r="L376" s="248" t="n">
        <v>0</v>
      </c>
      <c r="M376" s="248" t="n">
        <v>0</v>
      </c>
      <c r="N376" s="249" t="n">
        <v>0</v>
      </c>
      <c r="O376" s="249" t="n">
        <v>0</v>
      </c>
      <c r="P376" s="250"/>
      <c r="R376" s="251" t="e">
        <f aca="false">EOMONTH(R375,0)+1</f>
        <v>#VALUE!</v>
      </c>
      <c r="BP376" s="226" t="n">
        <f aca="false">BP375+BV376</f>
        <v>375</v>
      </c>
      <c r="BQ376" s="227" t="s">
        <v>950</v>
      </c>
      <c r="BR376" s="224" t="s">
        <v>285</v>
      </c>
      <c r="BS376" s="161" t="s">
        <v>286</v>
      </c>
      <c r="BT376" s="230" t="s">
        <v>287</v>
      </c>
      <c r="BU376" s="230"/>
      <c r="BV376" s="161" t="n">
        <v>1</v>
      </c>
      <c r="BW376" s="224" t="s">
        <v>1335</v>
      </c>
      <c r="BX376" s="0"/>
    </row>
    <row r="377" customFormat="false" ht="12.75" hidden="false" customHeight="false" outlineLevel="0" collapsed="false">
      <c r="A377" s="244"/>
      <c r="B377" s="245" t="e">
        <f aca="false">NextMonth(B376)</f>
        <v>#VALUE!</v>
      </c>
      <c r="C377" s="246" t="n">
        <v>0.069106554660279</v>
      </c>
      <c r="D377" s="246" t="n">
        <v>0</v>
      </c>
      <c r="E377" s="246" t="n">
        <v>0</v>
      </c>
      <c r="F377" s="246" t="n">
        <v>0</v>
      </c>
      <c r="G377" s="246" t="n">
        <v>0</v>
      </c>
      <c r="H377" s="246" t="n">
        <v>0</v>
      </c>
      <c r="I377" s="247" t="n">
        <v>0</v>
      </c>
      <c r="J377" s="248" t="n">
        <v>0</v>
      </c>
      <c r="K377" s="248" t="n">
        <v>0</v>
      </c>
      <c r="L377" s="248" t="n">
        <v>0</v>
      </c>
      <c r="M377" s="248" t="n">
        <v>0</v>
      </c>
      <c r="N377" s="249" t="n">
        <v>0</v>
      </c>
      <c r="O377" s="249" t="n">
        <v>0</v>
      </c>
      <c r="P377" s="250"/>
      <c r="R377" s="251" t="e">
        <f aca="false">EOMONTH(R376,0)+1</f>
        <v>#VALUE!</v>
      </c>
      <c r="BP377" s="226" t="n">
        <f aca="false">BP376+BV377</f>
        <v>376</v>
      </c>
      <c r="BQ377" s="227" t="s">
        <v>954</v>
      </c>
      <c r="BR377" s="224" t="s">
        <v>285</v>
      </c>
      <c r="BS377" s="161" t="s">
        <v>286</v>
      </c>
      <c r="BT377" s="230" t="s">
        <v>287</v>
      </c>
      <c r="BU377" s="230"/>
      <c r="BV377" s="161" t="n">
        <v>1</v>
      </c>
      <c r="BW377" s="224" t="s">
        <v>1336</v>
      </c>
      <c r="BX377" s="0"/>
    </row>
    <row r="378" customFormat="false" ht="12.75" hidden="false" customHeight="false" outlineLevel="0" collapsed="false">
      <c r="I378" s="247"/>
      <c r="J378" s="248"/>
      <c r="K378" s="248"/>
      <c r="L378" s="248"/>
      <c r="M378" s="248"/>
      <c r="R378" s="251" t="e">
        <f aca="false">EOMONTH(R377,0)+1</f>
        <v>#VALUE!</v>
      </c>
      <c r="BP378" s="226" t="n">
        <f aca="false">BP377+BV378</f>
        <v>377</v>
      </c>
      <c r="BQ378" s="227" t="s">
        <v>958</v>
      </c>
      <c r="BR378" s="224" t="s">
        <v>285</v>
      </c>
      <c r="BS378" s="161" t="s">
        <v>286</v>
      </c>
      <c r="BT378" s="230" t="s">
        <v>287</v>
      </c>
      <c r="BU378" s="230"/>
      <c r="BV378" s="161" t="n">
        <v>1</v>
      </c>
      <c r="BW378" s="224" t="s">
        <v>1337</v>
      </c>
      <c r="BX378" s="0"/>
    </row>
    <row r="379" customFormat="false" ht="12.75" hidden="false" customHeight="false" outlineLevel="0" collapsed="false">
      <c r="I379" s="247"/>
      <c r="J379" s="248"/>
      <c r="K379" s="248"/>
      <c r="L379" s="248"/>
      <c r="M379" s="248"/>
      <c r="R379" s="251" t="e">
        <f aca="false">EOMONTH(R378,0)+1</f>
        <v>#VALUE!</v>
      </c>
      <c r="BP379" s="226" t="n">
        <f aca="false">BP378+BV379</f>
        <v>378</v>
      </c>
      <c r="BQ379" s="227" t="s">
        <v>962</v>
      </c>
      <c r="BR379" s="224" t="s">
        <v>285</v>
      </c>
      <c r="BS379" s="161" t="s">
        <v>286</v>
      </c>
      <c r="BT379" s="230" t="s">
        <v>287</v>
      </c>
      <c r="BU379" s="230"/>
      <c r="BV379" s="161" t="n">
        <v>1</v>
      </c>
      <c r="BW379" s="224" t="s">
        <v>1338</v>
      </c>
      <c r="BX379" s="0"/>
    </row>
    <row r="380" customFormat="false" ht="12.75" hidden="false" customHeight="false" outlineLevel="0" collapsed="false">
      <c r="I380" s="247"/>
      <c r="J380" s="248"/>
      <c r="K380" s="248"/>
      <c r="L380" s="248"/>
      <c r="M380" s="248"/>
      <c r="R380" s="251" t="e">
        <f aca="false">EOMONTH(R379,0)+1</f>
        <v>#VALUE!</v>
      </c>
      <c r="BP380" s="226" t="n">
        <f aca="false">BP379+BV380</f>
        <v>379</v>
      </c>
      <c r="BQ380" s="227" t="s">
        <v>966</v>
      </c>
      <c r="BR380" s="224" t="s">
        <v>285</v>
      </c>
      <c r="BS380" s="161" t="s">
        <v>286</v>
      </c>
      <c r="BT380" s="230" t="s">
        <v>287</v>
      </c>
      <c r="BU380" s="230"/>
      <c r="BV380" s="161" t="n">
        <v>1</v>
      </c>
      <c r="BW380" s="224" t="s">
        <v>1339</v>
      </c>
      <c r="BX380" s="0"/>
    </row>
    <row r="381" customFormat="false" ht="12.75" hidden="false" customHeight="false" outlineLevel="0" collapsed="false">
      <c r="I381" s="247"/>
      <c r="J381" s="248"/>
      <c r="K381" s="248"/>
      <c r="L381" s="248"/>
      <c r="M381" s="248"/>
      <c r="R381" s="251" t="e">
        <f aca="false">EOMONTH(R380,0)+1</f>
        <v>#VALUE!</v>
      </c>
      <c r="BP381" s="226" t="n">
        <f aca="false">BP380+BV381</f>
        <v>380</v>
      </c>
      <c r="BQ381" s="227" t="s">
        <v>982</v>
      </c>
      <c r="BR381" s="224" t="s">
        <v>285</v>
      </c>
      <c r="BS381" s="161" t="s">
        <v>286</v>
      </c>
      <c r="BT381" s="230" t="s">
        <v>287</v>
      </c>
      <c r="BU381" s="230"/>
      <c r="BV381" s="161" t="n">
        <v>1</v>
      </c>
      <c r="BW381" s="224" t="s">
        <v>1340</v>
      </c>
      <c r="BX381" s="0"/>
    </row>
    <row r="382" customFormat="false" ht="12.75" hidden="false" customHeight="false" outlineLevel="0" collapsed="false">
      <c r="I382" s="247"/>
      <c r="J382" s="248"/>
      <c r="K382" s="248"/>
      <c r="L382" s="248"/>
      <c r="M382" s="248"/>
      <c r="R382" s="251" t="e">
        <f aca="false">EOMONTH(R381,0)+1</f>
        <v>#VALUE!</v>
      </c>
      <c r="BP382" s="226" t="n">
        <f aca="false">BP381+BV382</f>
        <v>381</v>
      </c>
      <c r="BQ382" s="227" t="s">
        <v>986</v>
      </c>
      <c r="BR382" s="224" t="s">
        <v>285</v>
      </c>
      <c r="BS382" s="161" t="s">
        <v>286</v>
      </c>
      <c r="BT382" s="230" t="s">
        <v>287</v>
      </c>
      <c r="BU382" s="230"/>
      <c r="BV382" s="161" t="n">
        <v>1</v>
      </c>
      <c r="BW382" s="224" t="s">
        <v>1341</v>
      </c>
      <c r="BX382" s="0"/>
    </row>
    <row r="383" customFormat="false" ht="12.75" hidden="false" customHeight="false" outlineLevel="0" collapsed="false">
      <c r="I383" s="247"/>
      <c r="J383" s="248"/>
      <c r="K383" s="248"/>
      <c r="L383" s="248"/>
      <c r="M383" s="248"/>
      <c r="R383" s="251" t="e">
        <f aca="false">EOMONTH(R382,0)+1</f>
        <v>#VALUE!</v>
      </c>
      <c r="BP383" s="226" t="n">
        <f aca="false">BP382+BV383</f>
        <v>382</v>
      </c>
      <c r="BQ383" s="227" t="s">
        <v>990</v>
      </c>
      <c r="BR383" s="224" t="s">
        <v>285</v>
      </c>
      <c r="BS383" s="161" t="s">
        <v>286</v>
      </c>
      <c r="BT383" s="230" t="s">
        <v>287</v>
      </c>
      <c r="BU383" s="230"/>
      <c r="BV383" s="161" t="n">
        <v>1</v>
      </c>
      <c r="BW383" s="224" t="s">
        <v>1342</v>
      </c>
      <c r="BX383" s="0"/>
    </row>
    <row r="384" customFormat="false" ht="12.75" hidden="false" customHeight="false" outlineLevel="0" collapsed="false">
      <c r="I384" s="247"/>
      <c r="J384" s="248"/>
      <c r="K384" s="248"/>
      <c r="L384" s="248"/>
      <c r="M384" s="248"/>
      <c r="R384" s="251" t="e">
        <f aca="false">EOMONTH(R383,0)+1</f>
        <v>#VALUE!</v>
      </c>
      <c r="BP384" s="226" t="n">
        <f aca="false">BP383+BV384</f>
        <v>383</v>
      </c>
      <c r="BQ384" s="227" t="s">
        <v>994</v>
      </c>
      <c r="BR384" s="224" t="s">
        <v>285</v>
      </c>
      <c r="BS384" s="161" t="s">
        <v>286</v>
      </c>
      <c r="BT384" s="230" t="s">
        <v>287</v>
      </c>
      <c r="BU384" s="230"/>
      <c r="BV384" s="161" t="n">
        <v>1</v>
      </c>
      <c r="BW384" s="224" t="s">
        <v>1343</v>
      </c>
      <c r="BX384" s="0"/>
    </row>
    <row r="385" customFormat="false" ht="12.75" hidden="false" customHeight="false" outlineLevel="0" collapsed="false">
      <c r="I385" s="247"/>
      <c r="J385" s="248"/>
      <c r="K385" s="248"/>
      <c r="L385" s="248"/>
      <c r="M385" s="248"/>
      <c r="R385" s="251" t="e">
        <f aca="false">EOMONTH(R384,0)+1</f>
        <v>#VALUE!</v>
      </c>
      <c r="BP385" s="226" t="n">
        <f aca="false">BP384+BV385</f>
        <v>384</v>
      </c>
      <c r="BQ385" s="227" t="s">
        <v>998</v>
      </c>
      <c r="BR385" s="224" t="s">
        <v>285</v>
      </c>
      <c r="BS385" s="161" t="s">
        <v>286</v>
      </c>
      <c r="BT385" s="230" t="s">
        <v>287</v>
      </c>
      <c r="BU385" s="230"/>
      <c r="BV385" s="161" t="n">
        <v>1</v>
      </c>
      <c r="BW385" s="224" t="s">
        <v>1344</v>
      </c>
      <c r="BX385" s="0"/>
    </row>
    <row r="386" customFormat="false" ht="12.75" hidden="false" customHeight="false" outlineLevel="0" collapsed="false">
      <c r="I386" s="247"/>
      <c r="J386" s="248"/>
      <c r="K386" s="248"/>
      <c r="L386" s="248"/>
      <c r="M386" s="248"/>
      <c r="R386" s="251" t="e">
        <f aca="false">EOMONTH(R385,0)+1</f>
        <v>#VALUE!</v>
      </c>
      <c r="BP386" s="226" t="n">
        <f aca="false">BP385+BV386</f>
        <v>385</v>
      </c>
      <c r="BQ386" s="227" t="s">
        <v>1002</v>
      </c>
      <c r="BR386" s="224" t="s">
        <v>285</v>
      </c>
      <c r="BS386" s="161" t="s">
        <v>286</v>
      </c>
      <c r="BT386" s="230" t="s">
        <v>287</v>
      </c>
      <c r="BU386" s="230"/>
      <c r="BV386" s="161" t="n">
        <v>1</v>
      </c>
      <c r="BW386" s="224" t="s">
        <v>1345</v>
      </c>
      <c r="BX386" s="0"/>
    </row>
    <row r="387" customFormat="false" ht="12.75" hidden="false" customHeight="false" outlineLevel="0" collapsed="false">
      <c r="I387" s="247"/>
      <c r="J387" s="248"/>
      <c r="K387" s="248"/>
      <c r="L387" s="248"/>
      <c r="M387" s="248"/>
      <c r="R387" s="251" t="e">
        <f aca="false">EOMONTH(R386,0)+1</f>
        <v>#VALUE!</v>
      </c>
      <c r="BP387" s="226" t="n">
        <f aca="false">BP386+BV387</f>
        <v>386</v>
      </c>
      <c r="BQ387" s="227" t="s">
        <v>1006</v>
      </c>
      <c r="BR387" s="224" t="s">
        <v>285</v>
      </c>
      <c r="BS387" s="161" t="s">
        <v>286</v>
      </c>
      <c r="BT387" s="230" t="s">
        <v>287</v>
      </c>
      <c r="BU387" s="230"/>
      <c r="BV387" s="161" t="n">
        <v>1</v>
      </c>
      <c r="BW387" s="224" t="s">
        <v>1346</v>
      </c>
      <c r="BX387" s="0"/>
    </row>
    <row r="388" customFormat="false" ht="12.75" hidden="false" customHeight="false" outlineLevel="0" collapsed="false">
      <c r="I388" s="247"/>
      <c r="J388" s="248"/>
      <c r="K388" s="248"/>
      <c r="L388" s="248"/>
      <c r="M388" s="248"/>
      <c r="R388" s="251" t="e">
        <f aca="false">EOMONTH(R387,0)+1</f>
        <v>#VALUE!</v>
      </c>
      <c r="BP388" s="226" t="n">
        <f aca="false">BP387+BV388</f>
        <v>387</v>
      </c>
      <c r="BQ388" s="227" t="s">
        <v>1010</v>
      </c>
      <c r="BR388" s="224" t="s">
        <v>285</v>
      </c>
      <c r="BS388" s="161" t="s">
        <v>286</v>
      </c>
      <c r="BT388" s="230" t="s">
        <v>287</v>
      </c>
      <c r="BU388" s="230"/>
      <c r="BV388" s="161" t="n">
        <v>1</v>
      </c>
      <c r="BW388" s="224" t="s">
        <v>1347</v>
      </c>
      <c r="BX388" s="0"/>
    </row>
    <row r="389" customFormat="false" ht="12.75" hidden="false" customHeight="false" outlineLevel="0" collapsed="false">
      <c r="I389" s="247"/>
      <c r="J389" s="248"/>
      <c r="K389" s="248"/>
      <c r="L389" s="248"/>
      <c r="M389" s="248"/>
      <c r="R389" s="251" t="e">
        <f aca="false">EOMONTH(R388,0)+1</f>
        <v>#VALUE!</v>
      </c>
      <c r="BP389" s="226" t="n">
        <f aca="false">BP388+BV389</f>
        <v>388</v>
      </c>
      <c r="BQ389" s="227" t="s">
        <v>1014</v>
      </c>
      <c r="BR389" s="224" t="s">
        <v>285</v>
      </c>
      <c r="BS389" s="161" t="s">
        <v>286</v>
      </c>
      <c r="BT389" s="230" t="s">
        <v>287</v>
      </c>
      <c r="BU389" s="230"/>
      <c r="BV389" s="161" t="n">
        <v>1</v>
      </c>
      <c r="BW389" s="224" t="s">
        <v>1348</v>
      </c>
      <c r="BX389" s="0"/>
    </row>
    <row r="390" customFormat="false" ht="12.75" hidden="false" customHeight="false" outlineLevel="0" collapsed="false">
      <c r="I390" s="247"/>
      <c r="J390" s="248"/>
      <c r="K390" s="248"/>
      <c r="L390" s="248"/>
      <c r="M390" s="248"/>
      <c r="R390" s="251" t="e">
        <f aca="false">EOMONTH(R389,0)+1</f>
        <v>#VALUE!</v>
      </c>
      <c r="BP390" s="226" t="n">
        <f aca="false">BP389+BV390</f>
        <v>389</v>
      </c>
      <c r="BQ390" s="227" t="s">
        <v>1018</v>
      </c>
      <c r="BR390" s="224" t="s">
        <v>285</v>
      </c>
      <c r="BS390" s="161" t="s">
        <v>286</v>
      </c>
      <c r="BT390" s="230" t="s">
        <v>287</v>
      </c>
      <c r="BU390" s="230"/>
      <c r="BV390" s="161" t="n">
        <v>1</v>
      </c>
      <c r="BW390" s="224" t="s">
        <v>1349</v>
      </c>
      <c r="BX390" s="0"/>
    </row>
    <row r="391" customFormat="false" ht="12.75" hidden="false" customHeight="false" outlineLevel="0" collapsed="false">
      <c r="I391" s="247"/>
      <c r="J391" s="248"/>
      <c r="K391" s="248"/>
      <c r="L391" s="248"/>
      <c r="M391" s="248"/>
      <c r="R391" s="251" t="e">
        <f aca="false">EOMONTH(R390,0)+1</f>
        <v>#VALUE!</v>
      </c>
      <c r="BP391" s="226" t="n">
        <f aca="false">BP390+BV391</f>
        <v>390</v>
      </c>
      <c r="BQ391" s="227" t="s">
        <v>1022</v>
      </c>
      <c r="BR391" s="224" t="s">
        <v>285</v>
      </c>
      <c r="BS391" s="161" t="s">
        <v>286</v>
      </c>
      <c r="BT391" s="230" t="s">
        <v>287</v>
      </c>
      <c r="BU391" s="230"/>
      <c r="BV391" s="161" t="n">
        <v>1</v>
      </c>
      <c r="BW391" s="224" t="s">
        <v>1350</v>
      </c>
      <c r="BX391" s="0"/>
    </row>
    <row r="392" customFormat="false" ht="12.75" hidden="false" customHeight="false" outlineLevel="0" collapsed="false">
      <c r="I392" s="247"/>
      <c r="J392" s="248"/>
      <c r="K392" s="248"/>
      <c r="L392" s="248"/>
      <c r="M392" s="248"/>
      <c r="R392" s="251" t="e">
        <f aca="false">EOMONTH(R391,0)+1</f>
        <v>#VALUE!</v>
      </c>
      <c r="BP392" s="226" t="n">
        <f aca="false">BP391+BV392</f>
        <v>391</v>
      </c>
      <c r="BQ392" s="227" t="s">
        <v>1026</v>
      </c>
      <c r="BR392" s="224" t="s">
        <v>285</v>
      </c>
      <c r="BS392" s="161" t="s">
        <v>286</v>
      </c>
      <c r="BT392" s="230" t="s">
        <v>287</v>
      </c>
      <c r="BU392" s="230"/>
      <c r="BV392" s="161" t="n">
        <v>1</v>
      </c>
      <c r="BW392" s="224" t="s">
        <v>1351</v>
      </c>
      <c r="BX392" s="0"/>
    </row>
    <row r="393" customFormat="false" ht="12.75" hidden="false" customHeight="false" outlineLevel="0" collapsed="false">
      <c r="I393" s="247"/>
      <c r="J393" s="248"/>
      <c r="K393" s="248"/>
      <c r="L393" s="248"/>
      <c r="M393" s="248"/>
      <c r="R393" s="251" t="e">
        <f aca="false">EOMONTH(R392,0)+1</f>
        <v>#VALUE!</v>
      </c>
      <c r="BP393" s="226" t="n">
        <f aca="false">BP392+BV393</f>
        <v>392</v>
      </c>
      <c r="BQ393" s="227" t="s">
        <v>1030</v>
      </c>
      <c r="BR393" s="224" t="s">
        <v>285</v>
      </c>
      <c r="BS393" s="161" t="s">
        <v>286</v>
      </c>
      <c r="BT393" s="230" t="s">
        <v>287</v>
      </c>
      <c r="BU393" s="230"/>
      <c r="BV393" s="161" t="n">
        <v>1</v>
      </c>
      <c r="BW393" s="224" t="s">
        <v>1352</v>
      </c>
      <c r="BX393" s="0"/>
    </row>
    <row r="394" customFormat="false" ht="12.75" hidden="false" customHeight="false" outlineLevel="0" collapsed="false">
      <c r="I394" s="247"/>
      <c r="J394" s="248"/>
      <c r="K394" s="248"/>
      <c r="L394" s="248"/>
      <c r="M394" s="248"/>
      <c r="R394" s="251" t="e">
        <f aca="false">EOMONTH(R393,0)+1</f>
        <v>#VALUE!</v>
      </c>
      <c r="BP394" s="226" t="n">
        <f aca="false">BP393+BV394</f>
        <v>393</v>
      </c>
      <c r="BQ394" s="227" t="s">
        <v>1034</v>
      </c>
      <c r="BR394" s="224" t="s">
        <v>285</v>
      </c>
      <c r="BS394" s="161" t="s">
        <v>286</v>
      </c>
      <c r="BT394" s="230" t="s">
        <v>287</v>
      </c>
      <c r="BU394" s="230"/>
      <c r="BV394" s="161" t="n">
        <v>1</v>
      </c>
      <c r="BW394" s="224" t="s">
        <v>1353</v>
      </c>
      <c r="BX394" s="0"/>
    </row>
    <row r="395" customFormat="false" ht="12.75" hidden="false" customHeight="false" outlineLevel="0" collapsed="false">
      <c r="I395" s="247"/>
      <c r="J395" s="248"/>
      <c r="K395" s="248"/>
      <c r="L395" s="248"/>
      <c r="M395" s="248"/>
      <c r="R395" s="251" t="e">
        <f aca="false">EOMONTH(R394,0)+1</f>
        <v>#VALUE!</v>
      </c>
      <c r="BP395" s="226" t="n">
        <f aca="false">BP394+BV395</f>
        <v>394</v>
      </c>
      <c r="BQ395" s="227" t="s">
        <v>1038</v>
      </c>
      <c r="BR395" s="224" t="s">
        <v>285</v>
      </c>
      <c r="BS395" s="161" t="s">
        <v>286</v>
      </c>
      <c r="BT395" s="230" t="s">
        <v>287</v>
      </c>
      <c r="BU395" s="230"/>
      <c r="BV395" s="161" t="n">
        <v>1</v>
      </c>
      <c r="BW395" s="224" t="s">
        <v>1354</v>
      </c>
      <c r="BX395" s="0"/>
    </row>
    <row r="396" customFormat="false" ht="12.75" hidden="false" customHeight="false" outlineLevel="0" collapsed="false">
      <c r="I396" s="247"/>
      <c r="J396" s="248"/>
      <c r="K396" s="248"/>
      <c r="L396" s="248"/>
      <c r="M396" s="248"/>
      <c r="R396" s="251" t="e">
        <f aca="false">EOMONTH(R395,0)+1</f>
        <v>#VALUE!</v>
      </c>
      <c r="BP396" s="226" t="n">
        <f aca="false">BP395+BV396</f>
        <v>395</v>
      </c>
      <c r="BQ396" s="227" t="s">
        <v>1042</v>
      </c>
      <c r="BR396" s="224" t="s">
        <v>285</v>
      </c>
      <c r="BS396" s="161" t="s">
        <v>286</v>
      </c>
      <c r="BT396" s="230" t="s">
        <v>287</v>
      </c>
      <c r="BU396" s="230"/>
      <c r="BV396" s="161" t="n">
        <v>1</v>
      </c>
      <c r="BW396" s="224" t="s">
        <v>1355</v>
      </c>
      <c r="BX396" s="0"/>
    </row>
    <row r="397" customFormat="false" ht="12.75" hidden="false" customHeight="false" outlineLevel="0" collapsed="false">
      <c r="I397" s="247"/>
      <c r="J397" s="248"/>
      <c r="K397" s="248"/>
      <c r="L397" s="248"/>
      <c r="M397" s="248"/>
      <c r="R397" s="251" t="e">
        <f aca="false">EOMONTH(R396,0)+1</f>
        <v>#VALUE!</v>
      </c>
      <c r="BP397" s="226" t="n">
        <f aca="false">BP396+BV397</f>
        <v>396</v>
      </c>
      <c r="BQ397" s="227" t="s">
        <v>1046</v>
      </c>
      <c r="BR397" s="224" t="s">
        <v>285</v>
      </c>
      <c r="BS397" s="161" t="s">
        <v>286</v>
      </c>
      <c r="BT397" s="230" t="s">
        <v>287</v>
      </c>
      <c r="BU397" s="230"/>
      <c r="BV397" s="161" t="n">
        <v>1</v>
      </c>
      <c r="BW397" s="224" t="s">
        <v>1356</v>
      </c>
      <c r="BX397" s="0"/>
    </row>
    <row r="398" customFormat="false" ht="12.75" hidden="false" customHeight="false" outlineLevel="0" collapsed="false">
      <c r="I398" s="234"/>
      <c r="R398" s="251" t="e">
        <f aca="false">EOMONTH(R397,0)+1</f>
        <v>#VALUE!</v>
      </c>
      <c r="BP398" s="226" t="n">
        <f aca="false">BP397+BV398</f>
        <v>397</v>
      </c>
      <c r="BQ398" s="227" t="s">
        <v>1050</v>
      </c>
      <c r="BR398" s="224" t="s">
        <v>285</v>
      </c>
      <c r="BS398" s="161" t="s">
        <v>286</v>
      </c>
      <c r="BT398" s="230" t="s">
        <v>287</v>
      </c>
      <c r="BU398" s="230"/>
      <c r="BV398" s="161" t="n">
        <v>1</v>
      </c>
      <c r="BW398" s="224" t="s">
        <v>1357</v>
      </c>
      <c r="BX398" s="0"/>
    </row>
    <row r="399" customFormat="false" ht="12.75" hidden="false" customHeight="false" outlineLevel="0" collapsed="false">
      <c r="I399" s="234"/>
      <c r="BP399" s="226" t="n">
        <f aca="false">BP398+BV399</f>
        <v>398</v>
      </c>
      <c r="BQ399" s="227" t="s">
        <v>1054</v>
      </c>
      <c r="BR399" s="224" t="s">
        <v>285</v>
      </c>
      <c r="BS399" s="161" t="s">
        <v>286</v>
      </c>
      <c r="BT399" s="230" t="s">
        <v>287</v>
      </c>
      <c r="BU399" s="230"/>
      <c r="BV399" s="161" t="n">
        <v>1</v>
      </c>
      <c r="BW399" s="224" t="s">
        <v>1358</v>
      </c>
      <c r="BX399" s="0"/>
    </row>
    <row r="400" customFormat="false" ht="12.75" hidden="false" customHeight="false" outlineLevel="0" collapsed="false">
      <c r="I400" s="234"/>
      <c r="BP400" s="226" t="n">
        <f aca="false">BP399+BV400</f>
        <v>399</v>
      </c>
      <c r="BQ400" s="227" t="s">
        <v>1058</v>
      </c>
      <c r="BR400" s="224" t="s">
        <v>285</v>
      </c>
      <c r="BS400" s="161" t="s">
        <v>286</v>
      </c>
      <c r="BT400" s="230" t="s">
        <v>287</v>
      </c>
      <c r="BU400" s="230"/>
      <c r="BV400" s="161" t="n">
        <v>1</v>
      </c>
      <c r="BW400" s="224" t="s">
        <v>1359</v>
      </c>
      <c r="BX400" s="0"/>
    </row>
    <row r="401" customFormat="false" ht="12.75" hidden="false" customHeight="false" outlineLevel="0" collapsed="false">
      <c r="I401" s="234"/>
      <c r="BP401" s="226" t="n">
        <f aca="false">BP400+BV401</f>
        <v>400</v>
      </c>
      <c r="BQ401" s="227" t="s">
        <v>1062</v>
      </c>
      <c r="BR401" s="224" t="s">
        <v>285</v>
      </c>
      <c r="BS401" s="161" t="s">
        <v>286</v>
      </c>
      <c r="BT401" s="230" t="s">
        <v>287</v>
      </c>
      <c r="BU401" s="230"/>
      <c r="BV401" s="161" t="n">
        <v>1</v>
      </c>
      <c r="BW401" s="224" t="s">
        <v>1360</v>
      </c>
      <c r="BX401" s="0"/>
    </row>
    <row r="402" customFormat="false" ht="12.75" hidden="false" customHeight="false" outlineLevel="0" collapsed="false">
      <c r="I402" s="234"/>
      <c r="BP402" s="226" t="n">
        <f aca="false">BP401+BV402</f>
        <v>401</v>
      </c>
      <c r="BQ402" s="227" t="s">
        <v>1361</v>
      </c>
      <c r="BR402" s="224" t="s">
        <v>285</v>
      </c>
      <c r="BS402" s="161" t="s">
        <v>286</v>
      </c>
      <c r="BT402" s="230" t="s">
        <v>287</v>
      </c>
      <c r="BU402" s="230"/>
      <c r="BV402" s="161" t="n">
        <v>1</v>
      </c>
      <c r="BW402" s="224" t="s">
        <v>1362</v>
      </c>
      <c r="BX402" s="0"/>
    </row>
    <row r="403" customFormat="false" ht="12.75" hidden="false" customHeight="false" outlineLevel="0" collapsed="false">
      <c r="I403" s="234"/>
      <c r="BP403" s="226" t="n">
        <f aca="false">BP402+BV403</f>
        <v>402</v>
      </c>
      <c r="BQ403" s="227" t="s">
        <v>1066</v>
      </c>
      <c r="BR403" s="224" t="s">
        <v>285</v>
      </c>
      <c r="BS403" s="161" t="s">
        <v>286</v>
      </c>
      <c r="BT403" s="230" t="s">
        <v>287</v>
      </c>
      <c r="BU403" s="230"/>
      <c r="BV403" s="161" t="n">
        <v>1</v>
      </c>
      <c r="BW403" s="224" t="s">
        <v>1363</v>
      </c>
      <c r="BX403" s="0"/>
    </row>
    <row r="404" customFormat="false" ht="12.75" hidden="false" customHeight="false" outlineLevel="0" collapsed="false">
      <c r="I404" s="234"/>
      <c r="BP404" s="226" t="n">
        <f aca="false">BP403+BV404</f>
        <v>403</v>
      </c>
      <c r="BQ404" s="227" t="s">
        <v>1070</v>
      </c>
      <c r="BR404" s="224" t="s">
        <v>285</v>
      </c>
      <c r="BS404" s="161" t="s">
        <v>286</v>
      </c>
      <c r="BT404" s="230" t="s">
        <v>287</v>
      </c>
      <c r="BU404" s="230"/>
      <c r="BV404" s="161" t="n">
        <v>1</v>
      </c>
      <c r="BW404" s="224" t="s">
        <v>1364</v>
      </c>
      <c r="BX404" s="0"/>
    </row>
    <row r="405" customFormat="false" ht="12.75" hidden="false" customHeight="false" outlineLevel="0" collapsed="false">
      <c r="I405" s="234"/>
      <c r="BP405" s="226" t="n">
        <f aca="false">BP404+BV405</f>
        <v>404</v>
      </c>
      <c r="BQ405" s="227" t="s">
        <v>1365</v>
      </c>
      <c r="BR405" s="224" t="s">
        <v>285</v>
      </c>
      <c r="BS405" s="161" t="s">
        <v>286</v>
      </c>
      <c r="BT405" s="230" t="s">
        <v>287</v>
      </c>
      <c r="BU405" s="230"/>
      <c r="BV405" s="161" t="n">
        <v>1</v>
      </c>
      <c r="BW405" s="224" t="s">
        <v>1366</v>
      </c>
      <c r="BX405" s="0"/>
    </row>
    <row r="406" customFormat="false" ht="12.75" hidden="false" customHeight="false" outlineLevel="0" collapsed="false">
      <c r="I406" s="234"/>
      <c r="BP406" s="226" t="n">
        <f aca="false">BP405+BV406</f>
        <v>405</v>
      </c>
      <c r="BQ406" s="227" t="s">
        <v>1078</v>
      </c>
      <c r="BR406" s="224" t="s">
        <v>285</v>
      </c>
      <c r="BS406" s="161" t="s">
        <v>286</v>
      </c>
      <c r="BT406" s="230" t="s">
        <v>287</v>
      </c>
      <c r="BU406" s="230"/>
      <c r="BV406" s="161" t="n">
        <v>1</v>
      </c>
      <c r="BW406" s="224" t="s">
        <v>1367</v>
      </c>
      <c r="BX406" s="0"/>
    </row>
    <row r="407" customFormat="false" ht="12.75" hidden="false" customHeight="false" outlineLevel="0" collapsed="false">
      <c r="I407" s="234"/>
      <c r="BP407" s="226" t="n">
        <f aca="false">BP406+BV407</f>
        <v>406</v>
      </c>
      <c r="BQ407" s="227" t="s">
        <v>1368</v>
      </c>
      <c r="BR407" s="224" t="s">
        <v>285</v>
      </c>
      <c r="BS407" s="161" t="s">
        <v>286</v>
      </c>
      <c r="BT407" s="230" t="s">
        <v>287</v>
      </c>
      <c r="BU407" s="230"/>
      <c r="BV407" s="161" t="n">
        <v>1</v>
      </c>
      <c r="BW407" s="224" t="s">
        <v>1368</v>
      </c>
      <c r="BX407" s="0"/>
    </row>
    <row r="408" customFormat="false" ht="12.75" hidden="false" customHeight="false" outlineLevel="0" collapsed="false">
      <c r="I408" s="234"/>
      <c r="BP408" s="226" t="n">
        <f aca="false">BP407+BV408</f>
        <v>407</v>
      </c>
      <c r="BQ408" s="227" t="s">
        <v>1082</v>
      </c>
      <c r="BR408" s="224" t="s">
        <v>285</v>
      </c>
      <c r="BS408" s="161" t="s">
        <v>286</v>
      </c>
      <c r="BT408" s="230" t="s">
        <v>287</v>
      </c>
      <c r="BU408" s="230"/>
      <c r="BV408" s="161" t="n">
        <v>1</v>
      </c>
      <c r="BW408" s="224" t="s">
        <v>1369</v>
      </c>
      <c r="BX408" s="0"/>
    </row>
    <row r="409" customFormat="false" ht="12.75" hidden="false" customHeight="false" outlineLevel="0" collapsed="false">
      <c r="I409" s="234"/>
      <c r="BP409" s="226" t="n">
        <f aca="false">BP408+BV409</f>
        <v>408</v>
      </c>
      <c r="BQ409" s="227" t="s">
        <v>1370</v>
      </c>
      <c r="BR409" s="224" t="s">
        <v>285</v>
      </c>
      <c r="BS409" s="161" t="s">
        <v>286</v>
      </c>
      <c r="BT409" s="230" t="s">
        <v>287</v>
      </c>
      <c r="BU409" s="230"/>
      <c r="BV409" s="161" t="n">
        <v>1</v>
      </c>
      <c r="BW409" s="224" t="s">
        <v>1371</v>
      </c>
      <c r="BX409" s="0"/>
    </row>
    <row r="410" customFormat="false" ht="12.75" hidden="false" customHeight="false" outlineLevel="0" collapsed="false">
      <c r="I410" s="234"/>
      <c r="BP410" s="226" t="n">
        <f aca="false">BP409+BV410</f>
        <v>409</v>
      </c>
      <c r="BQ410" s="227" t="s">
        <v>1074</v>
      </c>
      <c r="BR410" s="224" t="s">
        <v>285</v>
      </c>
      <c r="BS410" s="161" t="s">
        <v>286</v>
      </c>
      <c r="BT410" s="230" t="s">
        <v>287</v>
      </c>
      <c r="BU410" s="230"/>
      <c r="BV410" s="161" t="n">
        <v>1</v>
      </c>
      <c r="BW410" s="224" t="s">
        <v>1075</v>
      </c>
    </row>
    <row r="411" customFormat="false" ht="12" hidden="false" customHeight="false" outlineLevel="0" collapsed="false">
      <c r="I411" s="234"/>
    </row>
    <row r="412" customFormat="false" ht="12" hidden="false" customHeight="false" outlineLevel="0" collapsed="false">
      <c r="I412" s="234"/>
    </row>
    <row r="413" customFormat="false" ht="12" hidden="false" customHeight="false" outlineLevel="0" collapsed="false">
      <c r="I413" s="234"/>
    </row>
    <row r="414" customFormat="false" ht="12" hidden="false" customHeight="false" outlineLevel="0" collapsed="false">
      <c r="I414" s="234"/>
    </row>
    <row r="415" customFormat="false" ht="12" hidden="false" customHeight="false" outlineLevel="0" collapsed="false">
      <c r="I415" s="234"/>
    </row>
    <row r="416" customFormat="false" ht="12" hidden="false" customHeight="false" outlineLevel="0" collapsed="false">
      <c r="I416" s="234"/>
    </row>
    <row r="417" customFormat="false" ht="12" hidden="false" customHeight="false" outlineLevel="0" collapsed="false">
      <c r="I417" s="234"/>
    </row>
    <row r="418" customFormat="false" ht="12" hidden="false" customHeight="false" outlineLevel="0" collapsed="false">
      <c r="I418" s="234"/>
    </row>
    <row r="419" customFormat="false" ht="12" hidden="false" customHeight="false" outlineLevel="0" collapsed="false">
      <c r="I419" s="234"/>
    </row>
    <row r="420" customFormat="false" ht="12" hidden="false" customHeight="false" outlineLevel="0" collapsed="false">
      <c r="I420" s="234"/>
    </row>
    <row r="421" customFormat="false" ht="12" hidden="false" customHeight="false" outlineLevel="0" collapsed="false">
      <c r="I421" s="234"/>
    </row>
    <row r="422" customFormat="false" ht="12" hidden="false" customHeight="false" outlineLevel="0" collapsed="false">
      <c r="I422" s="234"/>
    </row>
    <row r="423" customFormat="false" ht="12" hidden="false" customHeight="false" outlineLevel="0" collapsed="false">
      <c r="I423" s="234"/>
    </row>
    <row r="424" customFormat="false" ht="12" hidden="false" customHeight="false" outlineLevel="0" collapsed="false">
      <c r="I424" s="234"/>
    </row>
    <row r="425" customFormat="false" ht="12" hidden="false" customHeight="false" outlineLevel="0" collapsed="false">
      <c r="I425" s="234"/>
    </row>
    <row r="426" customFormat="false" ht="12" hidden="false" customHeight="false" outlineLevel="0" collapsed="false">
      <c r="I426" s="234"/>
    </row>
    <row r="427" customFormat="false" ht="12" hidden="false" customHeight="false" outlineLevel="0" collapsed="false">
      <c r="I427" s="234"/>
    </row>
    <row r="428" customFormat="false" ht="12" hidden="false" customHeight="false" outlineLevel="0" collapsed="false">
      <c r="I428" s="234"/>
    </row>
    <row r="429" customFormat="false" ht="12" hidden="false" customHeight="false" outlineLevel="0" collapsed="false">
      <c r="I429" s="234"/>
    </row>
    <row r="430" customFormat="false" ht="12" hidden="false" customHeight="false" outlineLevel="0" collapsed="false">
      <c r="I430" s="234"/>
    </row>
    <row r="431" customFormat="false" ht="12" hidden="false" customHeight="false" outlineLevel="0" collapsed="false">
      <c r="I431" s="234"/>
    </row>
    <row r="432" customFormat="false" ht="12" hidden="false" customHeight="false" outlineLevel="0" collapsed="false">
      <c r="I432" s="234"/>
    </row>
    <row r="433" customFormat="false" ht="12" hidden="false" customHeight="false" outlineLevel="0" collapsed="false">
      <c r="I433" s="234"/>
    </row>
    <row r="434" customFormat="false" ht="12" hidden="false" customHeight="false" outlineLevel="0" collapsed="false">
      <c r="I434" s="234"/>
    </row>
    <row r="435" customFormat="false" ht="12" hidden="false" customHeight="false" outlineLevel="0" collapsed="false">
      <c r="I435" s="234"/>
    </row>
    <row r="436" customFormat="false" ht="12" hidden="false" customHeight="false" outlineLevel="0" collapsed="false">
      <c r="I436" s="234"/>
    </row>
    <row r="437" customFormat="false" ht="12" hidden="false" customHeight="false" outlineLevel="0" collapsed="false">
      <c r="I437" s="234"/>
    </row>
    <row r="438" customFormat="false" ht="12" hidden="false" customHeight="false" outlineLevel="0" collapsed="false">
      <c r="I438" s="234"/>
    </row>
    <row r="439" customFormat="false" ht="12" hidden="false" customHeight="false" outlineLevel="0" collapsed="false">
      <c r="I439" s="234"/>
    </row>
    <row r="440" customFormat="false" ht="12" hidden="false" customHeight="false" outlineLevel="0" collapsed="false">
      <c r="I440" s="234"/>
    </row>
    <row r="441" customFormat="false" ht="12" hidden="false" customHeight="false" outlineLevel="0" collapsed="false">
      <c r="I441" s="234"/>
    </row>
    <row r="442" customFormat="false" ht="12" hidden="false" customHeight="false" outlineLevel="0" collapsed="false">
      <c r="I442" s="234"/>
    </row>
    <row r="443" customFormat="false" ht="12" hidden="false" customHeight="false" outlineLevel="0" collapsed="false">
      <c r="I443" s="234"/>
    </row>
    <row r="444" customFormat="false" ht="12" hidden="false" customHeight="false" outlineLevel="0" collapsed="false">
      <c r="I444" s="234"/>
    </row>
    <row r="445" customFormat="false" ht="12" hidden="false" customHeight="false" outlineLevel="0" collapsed="false">
      <c r="I445" s="234"/>
    </row>
    <row r="446" customFormat="false" ht="12" hidden="false" customHeight="false" outlineLevel="0" collapsed="false">
      <c r="I446" s="234"/>
    </row>
    <row r="447" customFormat="false" ht="12" hidden="false" customHeight="false" outlineLevel="0" collapsed="false">
      <c r="I447" s="234"/>
    </row>
    <row r="448" customFormat="false" ht="12" hidden="false" customHeight="false" outlineLevel="0" collapsed="false">
      <c r="I448" s="234"/>
    </row>
    <row r="449" customFormat="false" ht="12" hidden="false" customHeight="false" outlineLevel="0" collapsed="false">
      <c r="I449" s="234"/>
    </row>
    <row r="450" customFormat="false" ht="12" hidden="false" customHeight="false" outlineLevel="0" collapsed="false">
      <c r="I450" s="234"/>
    </row>
    <row r="451" customFormat="false" ht="12" hidden="false" customHeight="false" outlineLevel="0" collapsed="false">
      <c r="I451" s="234"/>
    </row>
    <row r="452" customFormat="false" ht="12" hidden="false" customHeight="false" outlineLevel="0" collapsed="false">
      <c r="I452" s="234"/>
    </row>
    <row r="453" customFormat="false" ht="12" hidden="false" customHeight="false" outlineLevel="0" collapsed="false">
      <c r="I453" s="234"/>
    </row>
    <row r="454" customFormat="false" ht="12" hidden="false" customHeight="false" outlineLevel="0" collapsed="false">
      <c r="I454" s="234"/>
    </row>
    <row r="455" customFormat="false" ht="12" hidden="false" customHeight="false" outlineLevel="0" collapsed="false">
      <c r="I455" s="234"/>
    </row>
    <row r="456" customFormat="false" ht="12" hidden="false" customHeight="false" outlineLevel="0" collapsed="false">
      <c r="I456" s="234"/>
    </row>
    <row r="457" customFormat="false" ht="12" hidden="false" customHeight="false" outlineLevel="0" collapsed="false">
      <c r="I457" s="234"/>
    </row>
    <row r="458" customFormat="false" ht="12" hidden="false" customHeight="false" outlineLevel="0" collapsed="false">
      <c r="I458" s="234"/>
    </row>
    <row r="459" customFormat="false" ht="12" hidden="false" customHeight="false" outlineLevel="0" collapsed="false">
      <c r="I459" s="234"/>
    </row>
    <row r="460" customFormat="false" ht="12" hidden="false" customHeight="false" outlineLevel="0" collapsed="false">
      <c r="I460" s="234"/>
    </row>
    <row r="461" customFormat="false" ht="12" hidden="false" customHeight="false" outlineLevel="0" collapsed="false">
      <c r="I461" s="234"/>
    </row>
    <row r="462" customFormat="false" ht="12" hidden="false" customHeight="false" outlineLevel="0" collapsed="false">
      <c r="I462" s="234"/>
    </row>
    <row r="463" customFormat="false" ht="12" hidden="false" customHeight="false" outlineLevel="0" collapsed="false">
      <c r="I463" s="234"/>
    </row>
    <row r="464" customFormat="false" ht="12" hidden="false" customHeight="false" outlineLevel="0" collapsed="false">
      <c r="I464" s="234"/>
    </row>
    <row r="465" customFormat="false" ht="12" hidden="false" customHeight="false" outlineLevel="0" collapsed="false">
      <c r="I465" s="234"/>
    </row>
    <row r="466" customFormat="false" ht="12" hidden="false" customHeight="false" outlineLevel="0" collapsed="false">
      <c r="I466" s="234"/>
    </row>
    <row r="467" customFormat="false" ht="12" hidden="false" customHeight="false" outlineLevel="0" collapsed="false">
      <c r="I467" s="234"/>
    </row>
    <row r="468" customFormat="false" ht="12" hidden="false" customHeight="false" outlineLevel="0" collapsed="false">
      <c r="I468" s="234"/>
    </row>
    <row r="469" customFormat="false" ht="12" hidden="false" customHeight="false" outlineLevel="0" collapsed="false">
      <c r="I469" s="234"/>
    </row>
    <row r="470" customFormat="false" ht="12" hidden="false" customHeight="false" outlineLevel="0" collapsed="false">
      <c r="I470" s="234"/>
    </row>
    <row r="471" customFormat="false" ht="12" hidden="false" customHeight="false" outlineLevel="0" collapsed="false">
      <c r="I471" s="234"/>
    </row>
    <row r="472" customFormat="false" ht="12" hidden="false" customHeight="false" outlineLevel="0" collapsed="false">
      <c r="I472" s="234"/>
    </row>
    <row r="473" customFormat="false" ht="12" hidden="false" customHeight="false" outlineLevel="0" collapsed="false">
      <c r="I473" s="234"/>
    </row>
    <row r="474" customFormat="false" ht="12" hidden="false" customHeight="false" outlineLevel="0" collapsed="false">
      <c r="I474" s="234"/>
    </row>
    <row r="475" customFormat="false" ht="12" hidden="false" customHeight="false" outlineLevel="0" collapsed="false">
      <c r="I475" s="234"/>
    </row>
    <row r="476" customFormat="false" ht="12" hidden="false" customHeight="false" outlineLevel="0" collapsed="false">
      <c r="I476" s="234"/>
    </row>
    <row r="477" customFormat="false" ht="12" hidden="false" customHeight="false" outlineLevel="0" collapsed="false">
      <c r="I477" s="234"/>
    </row>
    <row r="478" customFormat="false" ht="12" hidden="false" customHeight="false" outlineLevel="0" collapsed="false">
      <c r="I478" s="234"/>
    </row>
    <row r="479" customFormat="false" ht="12" hidden="false" customHeight="false" outlineLevel="0" collapsed="false">
      <c r="I479" s="234"/>
    </row>
    <row r="480" customFormat="false" ht="12" hidden="false" customHeight="false" outlineLevel="0" collapsed="false">
      <c r="I480" s="234"/>
    </row>
    <row r="481" customFormat="false" ht="12" hidden="false" customHeight="false" outlineLevel="0" collapsed="false">
      <c r="I481" s="234"/>
    </row>
    <row r="482" customFormat="false" ht="12" hidden="false" customHeight="false" outlineLevel="0" collapsed="false">
      <c r="I482" s="234"/>
    </row>
    <row r="483" customFormat="false" ht="12" hidden="false" customHeight="false" outlineLevel="0" collapsed="false">
      <c r="I483" s="234"/>
    </row>
    <row r="484" customFormat="false" ht="12" hidden="false" customHeight="false" outlineLevel="0" collapsed="false">
      <c r="I484" s="234"/>
    </row>
    <row r="485" customFormat="false" ht="12" hidden="false" customHeight="false" outlineLevel="0" collapsed="false">
      <c r="I485" s="234"/>
    </row>
    <row r="486" customFormat="false" ht="12" hidden="false" customHeight="false" outlineLevel="0" collapsed="false">
      <c r="I486" s="234"/>
    </row>
  </sheetData>
  <mergeCells count="2">
    <mergeCell ref="CL2:CN2"/>
    <mergeCell ref="N6:O6"/>
  </mergeCells>
  <printOptions headings="false" gridLines="false" gridLinesSet="true" horizontalCentered="false" verticalCentered="false"/>
  <pageMargins left="0.2" right="0.229861111111111" top="0.170138888888889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8.7"/>
    <col collapsed="false" customWidth="true" hidden="false" outlineLevel="0" max="2" min="2" style="40" width="5.99"/>
    <col collapsed="false" customWidth="true" hidden="false" outlineLevel="0" max="3" min="3" style="40" width="10.28"/>
    <col collapsed="false" customWidth="true" hidden="false" outlineLevel="0" max="7" min="4" style="40" width="8.7"/>
    <col collapsed="false" customWidth="true" hidden="false" outlineLevel="0" max="8" min="8" style="40" width="10.28"/>
    <col collapsed="false" customWidth="true" hidden="false" outlineLevel="0" max="53" min="9" style="255" width="8.7"/>
    <col collapsed="false" customWidth="true" hidden="false" outlineLevel="0" max="62" min="54" style="40" width="8.7"/>
    <col collapsed="false" customWidth="true" hidden="false" outlineLevel="0" max="63" min="63" style="255" width="9.7"/>
    <col collapsed="false" customWidth="true" hidden="false" outlineLevel="0" max="80" min="64" style="255" width="8.7"/>
    <col collapsed="false" customWidth="true" hidden="false" outlineLevel="0" max="81" min="81" style="40" width="9.7"/>
    <col collapsed="false" customWidth="true" hidden="false" outlineLevel="0" max="87" min="82" style="40" width="8.7"/>
    <col collapsed="false" customWidth="true" hidden="false" outlineLevel="0" max="92" min="88" style="255" width="8.7"/>
    <col collapsed="false" customWidth="true" hidden="false" outlineLevel="0" max="95" min="93" style="255" width="10.28"/>
    <col collapsed="false" customWidth="true" hidden="false" outlineLevel="0" max="98" min="96" style="255" width="8.7"/>
    <col collapsed="false" customWidth="true" hidden="false" outlineLevel="0" max="99" min="99" style="255" width="9.85"/>
    <col collapsed="false" customWidth="true" hidden="false" outlineLevel="0" max="100" min="100" style="255" width="8.56"/>
    <col collapsed="false" customWidth="true" hidden="false" outlineLevel="0" max="101" min="101" style="255" width="8.7"/>
    <col collapsed="false" customWidth="true" hidden="false" outlineLevel="0" max="102" min="102" style="255" width="9.41"/>
    <col collapsed="false" customWidth="true" hidden="false" outlineLevel="0" max="103" min="103" style="255" width="9.7"/>
    <col collapsed="false" customWidth="true" hidden="false" outlineLevel="0" max="108" min="104" style="255" width="10.71"/>
    <col collapsed="false" customWidth="true" hidden="false" outlineLevel="0" max="111" min="109" style="255" width="6.7"/>
    <col collapsed="false" customWidth="true" hidden="false" outlineLevel="0" max="117" min="112" style="255" width="10.71"/>
    <col collapsed="false" customWidth="false" hidden="false" outlineLevel="0" max="257" min="118" style="255" width="9.14"/>
  </cols>
  <sheetData>
    <row r="1" customFormat="false" ht="15.75" hidden="false" customHeight="false" outlineLevel="0" collapsed="false">
      <c r="A1" s="256"/>
      <c r="B1" s="257" t="s">
        <v>1372</v>
      </c>
      <c r="C1" s="257"/>
      <c r="D1" s="257"/>
      <c r="E1" s="257"/>
      <c r="F1" s="257"/>
      <c r="G1" s="257"/>
      <c r="H1" s="257"/>
      <c r="I1" s="258" t="s">
        <v>1373</v>
      </c>
      <c r="J1" s="258"/>
      <c r="K1" s="258"/>
      <c r="L1" s="258"/>
      <c r="M1" s="258"/>
      <c r="N1" s="258"/>
      <c r="O1" s="258"/>
      <c r="P1" s="258"/>
      <c r="Q1" s="258"/>
      <c r="R1" s="257" t="s">
        <v>1374</v>
      </c>
      <c r="S1" s="257"/>
      <c r="T1" s="257"/>
      <c r="U1" s="257"/>
      <c r="V1" s="257"/>
      <c r="W1" s="257"/>
      <c r="X1" s="257"/>
      <c r="Y1" s="257"/>
      <c r="Z1" s="257"/>
      <c r="AA1" s="258" t="s">
        <v>1375</v>
      </c>
      <c r="AB1" s="258"/>
      <c r="AC1" s="258"/>
      <c r="AD1" s="258"/>
      <c r="AE1" s="258"/>
      <c r="AF1" s="258"/>
      <c r="AG1" s="258"/>
      <c r="AH1" s="258"/>
      <c r="AI1" s="258"/>
      <c r="AJ1" s="259" t="s">
        <v>1376</v>
      </c>
      <c r="AK1" s="259"/>
      <c r="AL1" s="259"/>
      <c r="AM1" s="259"/>
      <c r="AN1" s="259"/>
      <c r="AO1" s="259"/>
      <c r="AP1" s="259"/>
      <c r="AQ1" s="259"/>
      <c r="AR1" s="259"/>
      <c r="AS1" s="259" t="s">
        <v>1377</v>
      </c>
      <c r="AT1" s="259"/>
      <c r="AU1" s="259"/>
      <c r="AV1" s="259"/>
      <c r="AW1" s="259"/>
      <c r="AX1" s="259"/>
      <c r="AY1" s="259"/>
      <c r="AZ1" s="259"/>
      <c r="BA1" s="259"/>
      <c r="BB1" s="258" t="s">
        <v>1378</v>
      </c>
      <c r="BC1" s="258"/>
      <c r="BD1" s="258"/>
      <c r="BE1" s="258"/>
      <c r="BF1" s="258"/>
      <c r="BG1" s="258"/>
      <c r="BH1" s="258"/>
      <c r="BI1" s="258"/>
      <c r="BJ1" s="258"/>
      <c r="BK1" s="257" t="s">
        <v>1379</v>
      </c>
      <c r="BL1" s="257"/>
      <c r="BM1" s="257"/>
      <c r="BN1" s="257"/>
      <c r="BO1" s="257"/>
      <c r="BP1" s="257"/>
      <c r="BQ1" s="257"/>
      <c r="BR1" s="257"/>
      <c r="BS1" s="257"/>
      <c r="BT1" s="258" t="s">
        <v>1380</v>
      </c>
      <c r="BU1" s="258"/>
      <c r="BV1" s="258"/>
      <c r="BW1" s="258"/>
      <c r="BX1" s="258"/>
      <c r="BY1" s="258"/>
      <c r="BZ1" s="258"/>
      <c r="CA1" s="258"/>
      <c r="CB1" s="258"/>
      <c r="CC1" s="259" t="s">
        <v>1381</v>
      </c>
      <c r="CD1" s="259"/>
      <c r="CE1" s="259"/>
      <c r="CF1" s="259"/>
      <c r="CG1" s="259"/>
      <c r="CH1" s="259"/>
      <c r="CI1" s="259"/>
      <c r="CJ1" s="259"/>
      <c r="CK1" s="259"/>
      <c r="CL1" s="260" t="s">
        <v>1382</v>
      </c>
      <c r="CM1" s="260"/>
      <c r="CN1" s="260"/>
      <c r="CO1" s="260"/>
      <c r="CP1" s="260"/>
      <c r="CQ1" s="260"/>
      <c r="CR1" s="260"/>
      <c r="CS1" s="260"/>
      <c r="CT1" s="260"/>
      <c r="CU1" s="260"/>
      <c r="CV1" s="260"/>
      <c r="CW1" s="260"/>
      <c r="CX1" s="260"/>
      <c r="CY1" s="260" t="s">
        <v>1383</v>
      </c>
      <c r="CZ1" s="261" t="s">
        <v>1384</v>
      </c>
      <c r="DA1" s="261"/>
      <c r="DB1" s="261"/>
      <c r="DC1" s="261"/>
      <c r="DD1" s="261"/>
      <c r="DE1" s="260" t="s">
        <v>1385</v>
      </c>
      <c r="DF1" s="260"/>
      <c r="DG1" s="260"/>
      <c r="DH1" s="262" t="s">
        <v>29</v>
      </c>
      <c r="DI1" s="262"/>
      <c r="DJ1" s="263" t="s">
        <v>1386</v>
      </c>
      <c r="DK1" s="263"/>
      <c r="DL1" s="263"/>
      <c r="DM1" s="263"/>
      <c r="DN1" s="264"/>
      <c r="DO1" s="264"/>
      <c r="DP1" s="264"/>
      <c r="DQ1" s="264"/>
      <c r="DR1" s="264"/>
      <c r="DS1" s="264"/>
      <c r="DT1" s="264"/>
      <c r="DU1" s="264"/>
      <c r="DV1" s="264"/>
      <c r="DW1" s="264"/>
      <c r="DX1" s="264"/>
      <c r="DY1" s="264"/>
      <c r="DZ1" s="264"/>
      <c r="EA1" s="264"/>
      <c r="EB1" s="264"/>
      <c r="EC1" s="264"/>
      <c r="ED1" s="264"/>
      <c r="EE1" s="264"/>
      <c r="EF1" s="264"/>
      <c r="EG1" s="264"/>
      <c r="EH1" s="264"/>
      <c r="EI1" s="264"/>
      <c r="EJ1" s="264"/>
      <c r="EK1" s="264"/>
      <c r="EL1" s="264"/>
      <c r="EM1" s="264"/>
      <c r="EN1" s="264"/>
      <c r="EO1" s="264"/>
      <c r="EP1" s="264"/>
      <c r="EQ1" s="264"/>
      <c r="ER1" s="264"/>
      <c r="ES1" s="264"/>
      <c r="ET1" s="264"/>
      <c r="EU1" s="264"/>
      <c r="EV1" s="264"/>
      <c r="EW1" s="264"/>
      <c r="EX1" s="264"/>
      <c r="EY1" s="264"/>
      <c r="EZ1" s="264"/>
      <c r="FA1" s="264"/>
      <c r="FB1" s="264"/>
      <c r="FC1" s="264"/>
      <c r="FD1" s="264"/>
      <c r="FE1" s="264"/>
      <c r="FF1" s="264"/>
      <c r="FG1" s="264"/>
      <c r="FH1" s="264"/>
      <c r="FI1" s="264"/>
      <c r="FJ1" s="264"/>
      <c r="FK1" s="264"/>
      <c r="FL1" s="264"/>
      <c r="FM1" s="264"/>
      <c r="FN1" s="264"/>
      <c r="FO1" s="264"/>
      <c r="FP1" s="264"/>
      <c r="FQ1" s="264"/>
      <c r="FR1" s="264"/>
      <c r="FS1" s="264"/>
      <c r="FT1" s="264"/>
      <c r="FU1" s="264"/>
      <c r="FV1" s="264"/>
      <c r="FW1" s="264"/>
      <c r="FX1" s="264"/>
      <c r="FY1" s="264"/>
      <c r="FZ1" s="264"/>
      <c r="GA1" s="264"/>
      <c r="GB1" s="264"/>
      <c r="GC1" s="264"/>
      <c r="GD1" s="264"/>
      <c r="GE1" s="264"/>
      <c r="GF1" s="264"/>
      <c r="GG1" s="264"/>
      <c r="GH1" s="264"/>
      <c r="GI1" s="264"/>
      <c r="GJ1" s="264"/>
      <c r="GK1" s="264"/>
      <c r="GL1" s="264"/>
      <c r="GM1" s="264"/>
      <c r="GN1" s="264"/>
      <c r="GO1" s="264"/>
      <c r="GP1" s="264"/>
      <c r="GQ1" s="264"/>
      <c r="GR1" s="264"/>
      <c r="GS1" s="264"/>
      <c r="GT1" s="264"/>
      <c r="GU1" s="264"/>
      <c r="GV1" s="264"/>
      <c r="GW1" s="264"/>
      <c r="GX1" s="264"/>
      <c r="GY1" s="264"/>
      <c r="GZ1" s="264"/>
      <c r="HA1" s="264"/>
      <c r="HB1" s="264"/>
      <c r="HC1" s="264"/>
      <c r="HD1" s="264"/>
      <c r="HE1" s="264"/>
      <c r="HF1" s="264"/>
      <c r="HG1" s="264"/>
      <c r="HH1" s="264"/>
      <c r="HI1" s="264"/>
      <c r="HJ1" s="264"/>
      <c r="HK1" s="264"/>
      <c r="HL1" s="264"/>
      <c r="HM1" s="264"/>
      <c r="HN1" s="264"/>
      <c r="HO1" s="264"/>
      <c r="HP1" s="264"/>
      <c r="HQ1" s="264"/>
      <c r="HR1" s="264"/>
      <c r="HS1" s="264"/>
      <c r="HT1" s="264"/>
      <c r="HU1" s="264"/>
      <c r="HV1" s="264"/>
      <c r="HW1" s="264"/>
      <c r="HX1" s="264"/>
      <c r="HY1" s="264"/>
      <c r="HZ1" s="264"/>
      <c r="IA1" s="264"/>
      <c r="IB1" s="264"/>
      <c r="IC1" s="264"/>
      <c r="ID1" s="264"/>
      <c r="IE1" s="264"/>
      <c r="IF1" s="264"/>
      <c r="IG1" s="264"/>
      <c r="IH1" s="264"/>
      <c r="II1" s="264"/>
      <c r="IJ1" s="264"/>
      <c r="IK1" s="264"/>
      <c r="IL1" s="264"/>
      <c r="IM1" s="264"/>
      <c r="IN1" s="264"/>
      <c r="IO1" s="264"/>
      <c r="IP1" s="264"/>
      <c r="IQ1" s="264"/>
      <c r="IR1" s="264"/>
      <c r="IS1" s="264"/>
      <c r="IT1" s="264"/>
      <c r="IU1" s="264"/>
      <c r="IV1" s="264"/>
      <c r="IW1" s="264"/>
    </row>
    <row r="2" customFormat="false" ht="12.75" hidden="false" customHeight="false" outlineLevel="0" collapsed="false">
      <c r="A2" s="265"/>
      <c r="B2" s="266"/>
      <c r="C2" s="267" t="s">
        <v>1387</v>
      </c>
      <c r="D2" s="268"/>
      <c r="E2" s="267" t="s">
        <v>1388</v>
      </c>
      <c r="F2" s="267" t="s">
        <v>1389</v>
      </c>
      <c r="G2" s="267" t="s">
        <v>1390</v>
      </c>
      <c r="H2" s="269" t="s">
        <v>1391</v>
      </c>
      <c r="I2" s="270" t="s">
        <v>8</v>
      </c>
      <c r="J2" s="271" t="s">
        <v>8</v>
      </c>
      <c r="K2" s="271" t="s">
        <v>8</v>
      </c>
      <c r="L2" s="271" t="s">
        <v>9</v>
      </c>
      <c r="M2" s="271" t="s">
        <v>9</v>
      </c>
      <c r="N2" s="271" t="s">
        <v>1392</v>
      </c>
      <c r="O2" s="271" t="s">
        <v>10</v>
      </c>
      <c r="P2" s="271" t="s">
        <v>10</v>
      </c>
      <c r="Q2" s="272" t="s">
        <v>10</v>
      </c>
      <c r="R2" s="273" t="s">
        <v>8</v>
      </c>
      <c r="S2" s="267" t="s">
        <v>8</v>
      </c>
      <c r="T2" s="267" t="s">
        <v>8</v>
      </c>
      <c r="U2" s="267" t="s">
        <v>9</v>
      </c>
      <c r="V2" s="267" t="s">
        <v>9</v>
      </c>
      <c r="W2" s="267" t="s">
        <v>1392</v>
      </c>
      <c r="X2" s="267" t="s">
        <v>10</v>
      </c>
      <c r="Y2" s="267" t="s">
        <v>10</v>
      </c>
      <c r="Z2" s="269" t="s">
        <v>10</v>
      </c>
      <c r="AA2" s="270" t="s">
        <v>8</v>
      </c>
      <c r="AB2" s="271" t="s">
        <v>8</v>
      </c>
      <c r="AC2" s="271" t="s">
        <v>8</v>
      </c>
      <c r="AD2" s="271" t="s">
        <v>9</v>
      </c>
      <c r="AE2" s="271" t="s">
        <v>9</v>
      </c>
      <c r="AF2" s="271" t="s">
        <v>1392</v>
      </c>
      <c r="AG2" s="271" t="s">
        <v>10</v>
      </c>
      <c r="AH2" s="271" t="s">
        <v>10</v>
      </c>
      <c r="AI2" s="272" t="s">
        <v>10</v>
      </c>
      <c r="AJ2" s="274" t="s">
        <v>8</v>
      </c>
      <c r="AK2" s="80" t="s">
        <v>8</v>
      </c>
      <c r="AL2" s="80" t="s">
        <v>8</v>
      </c>
      <c r="AM2" s="80" t="s">
        <v>9</v>
      </c>
      <c r="AN2" s="80" t="s">
        <v>9</v>
      </c>
      <c r="AO2" s="80" t="s">
        <v>1392</v>
      </c>
      <c r="AP2" s="80" t="s">
        <v>10</v>
      </c>
      <c r="AQ2" s="80" t="s">
        <v>10</v>
      </c>
      <c r="AR2" s="275" t="s">
        <v>10</v>
      </c>
      <c r="AS2" s="274" t="s">
        <v>8</v>
      </c>
      <c r="AT2" s="80" t="s">
        <v>8</v>
      </c>
      <c r="AU2" s="80" t="s">
        <v>8</v>
      </c>
      <c r="AV2" s="80" t="s">
        <v>9</v>
      </c>
      <c r="AW2" s="80" t="s">
        <v>9</v>
      </c>
      <c r="AX2" s="80" t="s">
        <v>1392</v>
      </c>
      <c r="AY2" s="80" t="s">
        <v>10</v>
      </c>
      <c r="AZ2" s="80" t="s">
        <v>10</v>
      </c>
      <c r="BA2" s="275" t="s">
        <v>10</v>
      </c>
      <c r="BB2" s="270" t="s">
        <v>8</v>
      </c>
      <c r="BC2" s="271" t="s">
        <v>8</v>
      </c>
      <c r="BD2" s="271" t="s">
        <v>8</v>
      </c>
      <c r="BE2" s="271" t="s">
        <v>9</v>
      </c>
      <c r="BF2" s="271" t="s">
        <v>9</v>
      </c>
      <c r="BG2" s="271" t="s">
        <v>1392</v>
      </c>
      <c r="BH2" s="271" t="s">
        <v>10</v>
      </c>
      <c r="BI2" s="271" t="s">
        <v>10</v>
      </c>
      <c r="BJ2" s="272" t="s">
        <v>10</v>
      </c>
      <c r="BK2" s="273" t="s">
        <v>8</v>
      </c>
      <c r="BL2" s="267" t="s">
        <v>8</v>
      </c>
      <c r="BM2" s="267" t="s">
        <v>8</v>
      </c>
      <c r="BN2" s="267" t="s">
        <v>9</v>
      </c>
      <c r="BO2" s="267" t="s">
        <v>9</v>
      </c>
      <c r="BP2" s="267" t="s">
        <v>1392</v>
      </c>
      <c r="BQ2" s="267" t="s">
        <v>10</v>
      </c>
      <c r="BR2" s="267" t="s">
        <v>10</v>
      </c>
      <c r="BS2" s="269" t="s">
        <v>10</v>
      </c>
      <c r="BT2" s="270" t="s">
        <v>8</v>
      </c>
      <c r="BU2" s="271" t="s">
        <v>8</v>
      </c>
      <c r="BV2" s="271" t="s">
        <v>8</v>
      </c>
      <c r="BW2" s="271" t="s">
        <v>9</v>
      </c>
      <c r="BX2" s="271" t="s">
        <v>9</v>
      </c>
      <c r="BY2" s="271" t="s">
        <v>1392</v>
      </c>
      <c r="BZ2" s="271" t="s">
        <v>10</v>
      </c>
      <c r="CA2" s="271" t="s">
        <v>10</v>
      </c>
      <c r="CB2" s="272" t="s">
        <v>10</v>
      </c>
      <c r="CC2" s="274" t="s">
        <v>8</v>
      </c>
      <c r="CD2" s="80" t="s">
        <v>8</v>
      </c>
      <c r="CE2" s="80" t="s">
        <v>8</v>
      </c>
      <c r="CF2" s="80" t="s">
        <v>9</v>
      </c>
      <c r="CG2" s="80" t="s">
        <v>9</v>
      </c>
      <c r="CH2" s="80" t="s">
        <v>1392</v>
      </c>
      <c r="CI2" s="80" t="s">
        <v>10</v>
      </c>
      <c r="CJ2" s="80" t="s">
        <v>10</v>
      </c>
      <c r="CK2" s="275" t="s">
        <v>10</v>
      </c>
      <c r="CL2" s="276" t="s">
        <v>71</v>
      </c>
      <c r="CM2" s="108" t="s">
        <v>71</v>
      </c>
      <c r="CN2" s="108" t="s">
        <v>71</v>
      </c>
      <c r="CO2" s="108" t="s">
        <v>72</v>
      </c>
      <c r="CP2" s="108" t="s">
        <v>72</v>
      </c>
      <c r="CQ2" s="108" t="s">
        <v>72</v>
      </c>
      <c r="CR2" s="108" t="s">
        <v>1387</v>
      </c>
      <c r="CS2" s="108" t="s">
        <v>1387</v>
      </c>
      <c r="CT2" s="108" t="s">
        <v>1387</v>
      </c>
      <c r="CU2" s="108" t="s">
        <v>1393</v>
      </c>
      <c r="CV2" s="108" t="s">
        <v>1394</v>
      </c>
      <c r="CW2" s="108" t="s">
        <v>1395</v>
      </c>
      <c r="CX2" s="108" t="s">
        <v>1396</v>
      </c>
      <c r="CY2" s="277" t="s">
        <v>1397</v>
      </c>
      <c r="CZ2" s="273" t="s">
        <v>71</v>
      </c>
      <c r="DA2" s="267" t="s">
        <v>72</v>
      </c>
      <c r="DB2" s="271" t="s">
        <v>71</v>
      </c>
      <c r="DC2" s="271" t="s">
        <v>72</v>
      </c>
      <c r="DD2" s="275" t="s">
        <v>1398</v>
      </c>
      <c r="DE2" s="276" t="s">
        <v>1399</v>
      </c>
      <c r="DF2" s="108" t="s">
        <v>9</v>
      </c>
      <c r="DG2" s="278" t="s">
        <v>10</v>
      </c>
      <c r="DH2" s="279" t="s">
        <v>1400</v>
      </c>
      <c r="DI2" s="280" t="s">
        <v>1401</v>
      </c>
      <c r="DJ2" s="281" t="s">
        <v>1402</v>
      </c>
      <c r="DK2" s="281" t="s">
        <v>1403</v>
      </c>
      <c r="DL2" s="281" t="s">
        <v>1404</v>
      </c>
      <c r="DM2" s="281" t="s">
        <v>1405</v>
      </c>
    </row>
    <row r="3" customFormat="false" ht="12.75" hidden="false" customHeight="false" outlineLevel="0" collapsed="false">
      <c r="A3" s="277" t="s">
        <v>1406</v>
      </c>
      <c r="B3" s="273" t="s">
        <v>1407</v>
      </c>
      <c r="C3" s="267" t="s">
        <v>1408</v>
      </c>
      <c r="D3" s="267" t="s">
        <v>137</v>
      </c>
      <c r="E3" s="267" t="s">
        <v>35</v>
      </c>
      <c r="F3" s="267" t="s">
        <v>35</v>
      </c>
      <c r="G3" s="267" t="s">
        <v>35</v>
      </c>
      <c r="H3" s="269" t="s">
        <v>35</v>
      </c>
      <c r="I3" s="270" t="s">
        <v>14</v>
      </c>
      <c r="J3" s="271" t="s">
        <v>15</v>
      </c>
      <c r="K3" s="271" t="s">
        <v>16</v>
      </c>
      <c r="L3" s="271" t="s">
        <v>14</v>
      </c>
      <c r="M3" s="271" t="s">
        <v>15</v>
      </c>
      <c r="N3" s="271" t="s">
        <v>16</v>
      </c>
      <c r="O3" s="271" t="s">
        <v>14</v>
      </c>
      <c r="P3" s="271" t="s">
        <v>15</v>
      </c>
      <c r="Q3" s="272" t="s">
        <v>16</v>
      </c>
      <c r="R3" s="273" t="s">
        <v>14</v>
      </c>
      <c r="S3" s="267" t="s">
        <v>15</v>
      </c>
      <c r="T3" s="267" t="s">
        <v>16</v>
      </c>
      <c r="U3" s="267" t="s">
        <v>14</v>
      </c>
      <c r="V3" s="267" t="s">
        <v>15</v>
      </c>
      <c r="W3" s="267" t="s">
        <v>16</v>
      </c>
      <c r="X3" s="267" t="s">
        <v>14</v>
      </c>
      <c r="Y3" s="267" t="s">
        <v>15</v>
      </c>
      <c r="Z3" s="269" t="s">
        <v>16</v>
      </c>
      <c r="AA3" s="270" t="s">
        <v>14</v>
      </c>
      <c r="AB3" s="271" t="s">
        <v>15</v>
      </c>
      <c r="AC3" s="271" t="s">
        <v>16</v>
      </c>
      <c r="AD3" s="271" t="s">
        <v>14</v>
      </c>
      <c r="AE3" s="271" t="s">
        <v>15</v>
      </c>
      <c r="AF3" s="271" t="s">
        <v>16</v>
      </c>
      <c r="AG3" s="271" t="s">
        <v>14</v>
      </c>
      <c r="AH3" s="271" t="s">
        <v>15</v>
      </c>
      <c r="AI3" s="272" t="s">
        <v>16</v>
      </c>
      <c r="AJ3" s="274" t="s">
        <v>14</v>
      </c>
      <c r="AK3" s="80" t="s">
        <v>15</v>
      </c>
      <c r="AL3" s="80" t="s">
        <v>16</v>
      </c>
      <c r="AM3" s="80" t="s">
        <v>14</v>
      </c>
      <c r="AN3" s="80" t="s">
        <v>15</v>
      </c>
      <c r="AO3" s="80" t="s">
        <v>16</v>
      </c>
      <c r="AP3" s="80" t="s">
        <v>14</v>
      </c>
      <c r="AQ3" s="80" t="s">
        <v>15</v>
      </c>
      <c r="AR3" s="275" t="s">
        <v>16</v>
      </c>
      <c r="AS3" s="274" t="s">
        <v>14</v>
      </c>
      <c r="AT3" s="80" t="s">
        <v>15</v>
      </c>
      <c r="AU3" s="80" t="s">
        <v>16</v>
      </c>
      <c r="AV3" s="80" t="s">
        <v>14</v>
      </c>
      <c r="AW3" s="80" t="s">
        <v>15</v>
      </c>
      <c r="AX3" s="80" t="s">
        <v>16</v>
      </c>
      <c r="AY3" s="80" t="s">
        <v>14</v>
      </c>
      <c r="AZ3" s="80" t="s">
        <v>15</v>
      </c>
      <c r="BA3" s="275" t="s">
        <v>16</v>
      </c>
      <c r="BB3" s="270" t="s">
        <v>14</v>
      </c>
      <c r="BC3" s="271" t="s">
        <v>15</v>
      </c>
      <c r="BD3" s="271" t="s">
        <v>16</v>
      </c>
      <c r="BE3" s="271" t="s">
        <v>14</v>
      </c>
      <c r="BF3" s="271" t="s">
        <v>15</v>
      </c>
      <c r="BG3" s="271" t="s">
        <v>16</v>
      </c>
      <c r="BH3" s="271" t="s">
        <v>14</v>
      </c>
      <c r="BI3" s="271" t="s">
        <v>15</v>
      </c>
      <c r="BJ3" s="272" t="s">
        <v>16</v>
      </c>
      <c r="BK3" s="273" t="s">
        <v>14</v>
      </c>
      <c r="BL3" s="267" t="s">
        <v>15</v>
      </c>
      <c r="BM3" s="267" t="s">
        <v>16</v>
      </c>
      <c r="BN3" s="267" t="s">
        <v>14</v>
      </c>
      <c r="BO3" s="267" t="s">
        <v>15</v>
      </c>
      <c r="BP3" s="267" t="s">
        <v>16</v>
      </c>
      <c r="BQ3" s="267" t="s">
        <v>14</v>
      </c>
      <c r="BR3" s="267" t="s">
        <v>15</v>
      </c>
      <c r="BS3" s="269" t="s">
        <v>16</v>
      </c>
      <c r="BT3" s="270" t="s">
        <v>14</v>
      </c>
      <c r="BU3" s="271" t="s">
        <v>15</v>
      </c>
      <c r="BV3" s="271" t="s">
        <v>16</v>
      </c>
      <c r="BW3" s="271" t="s">
        <v>14</v>
      </c>
      <c r="BX3" s="271" t="s">
        <v>15</v>
      </c>
      <c r="BY3" s="271" t="s">
        <v>16</v>
      </c>
      <c r="BZ3" s="271" t="s">
        <v>14</v>
      </c>
      <c r="CA3" s="271" t="s">
        <v>15</v>
      </c>
      <c r="CB3" s="272" t="s">
        <v>16</v>
      </c>
      <c r="CC3" s="274" t="s">
        <v>14</v>
      </c>
      <c r="CD3" s="80" t="s">
        <v>15</v>
      </c>
      <c r="CE3" s="80" t="s">
        <v>16</v>
      </c>
      <c r="CF3" s="80" t="s">
        <v>14</v>
      </c>
      <c r="CG3" s="80" t="s">
        <v>15</v>
      </c>
      <c r="CH3" s="80" t="s">
        <v>16</v>
      </c>
      <c r="CI3" s="80" t="s">
        <v>14</v>
      </c>
      <c r="CJ3" s="80" t="s">
        <v>15</v>
      </c>
      <c r="CK3" s="275" t="s">
        <v>16</v>
      </c>
      <c r="CL3" s="276" t="s">
        <v>13</v>
      </c>
      <c r="CM3" s="108" t="s">
        <v>1409</v>
      </c>
      <c r="CN3" s="108" t="s">
        <v>1410</v>
      </c>
      <c r="CO3" s="108" t="s">
        <v>13</v>
      </c>
      <c r="CP3" s="108" t="s">
        <v>1409</v>
      </c>
      <c r="CQ3" s="108" t="s">
        <v>1410</v>
      </c>
      <c r="CR3" s="108" t="s">
        <v>13</v>
      </c>
      <c r="CS3" s="108" t="s">
        <v>1409</v>
      </c>
      <c r="CT3" s="108" t="s">
        <v>1411</v>
      </c>
      <c r="CU3" s="108" t="s">
        <v>1412</v>
      </c>
      <c r="CV3" s="108" t="s">
        <v>1413</v>
      </c>
      <c r="CW3" s="108" t="s">
        <v>1414</v>
      </c>
      <c r="CX3" s="108" t="s">
        <v>1415</v>
      </c>
      <c r="CY3" s="277" t="s">
        <v>1416</v>
      </c>
      <c r="CZ3" s="273" t="s">
        <v>1417</v>
      </c>
      <c r="DA3" s="267" t="s">
        <v>1417</v>
      </c>
      <c r="DB3" s="271" t="s">
        <v>1418</v>
      </c>
      <c r="DC3" s="271" t="s">
        <v>1418</v>
      </c>
      <c r="DD3" s="275" t="s">
        <v>1419</v>
      </c>
      <c r="DE3" s="276" t="s">
        <v>1420</v>
      </c>
      <c r="DF3" s="108" t="s">
        <v>1420</v>
      </c>
      <c r="DG3" s="278" t="s">
        <v>1421</v>
      </c>
      <c r="DH3" s="279" t="s">
        <v>1422</v>
      </c>
      <c r="DI3" s="280" t="s">
        <v>1422</v>
      </c>
      <c r="DJ3" s="281" t="s">
        <v>1423</v>
      </c>
      <c r="DK3" s="281" t="s">
        <v>1423</v>
      </c>
      <c r="DL3" s="281" t="s">
        <v>1424</v>
      </c>
      <c r="DM3" s="281" t="s">
        <v>1424</v>
      </c>
    </row>
    <row r="4" customFormat="false" ht="12.75" hidden="false" customHeight="false" outlineLevel="0" collapsed="false">
      <c r="A4" s="282" t="n">
        <f aca="false">Inputs!S4</f>
        <v>37135</v>
      </c>
      <c r="B4" s="283" t="n">
        <f aca="false">IF(A4="N/A"," ",YEAR(A4))</f>
        <v>2001</v>
      </c>
      <c r="C4" s="284" t="e">
        <f aca="false">IF(A4="N/A"," ",VLOOKUP(A4,ScaledPrice,14))</f>
        <v>#N/A</v>
      </c>
      <c r="D4" s="285" t="n">
        <f aca="false">IF(A4="N/A"," ",(VLOOKUP(MONTH($A4),Hrtable,2))/1000)</f>
        <v>9.5</v>
      </c>
      <c r="E4" s="286" t="e">
        <f aca="false">IF($A4="N/A"," ",(C4)*D4)</f>
        <v>#N/A</v>
      </c>
      <c r="F4" s="287" t="n">
        <f aca="false">IF(A4="N/A"," ",VOM*(1+VOMesc)^(YEAR(A4)-YEAR(Today)))</f>
        <v>0</v>
      </c>
      <c r="G4" s="287" t="n">
        <f aca="false">IF(A4="N/A"," ",Perstart/VLOOKUP(Dayrun,'Pricing Inputs'!$AQ$4:$AS$14,3)/(CY4/CX4))</f>
        <v>0</v>
      </c>
      <c r="H4" s="288" t="e">
        <f aca="false">IF(A4="N/A"," ",SUM(E4:G4))</f>
        <v>#N/A</v>
      </c>
      <c r="I4" s="289" t="n">
        <f aca="false">VLOOKUP($A4,ScaledPrice,6)</f>
        <v>38.3250007629395</v>
      </c>
      <c r="J4" s="290" t="n">
        <f aca="false">VLOOKUP($A4,ScaledPrice,10)</f>
        <v>38.3250007629395</v>
      </c>
      <c r="K4" s="290" t="n">
        <f aca="false">VLOOKUP($A4,ScaledPrice,13)</f>
        <v>13</v>
      </c>
      <c r="L4" s="290" t="n">
        <f aca="false">VLOOKUP($A4,ScaledPrice,7)</f>
        <v>23</v>
      </c>
      <c r="M4" s="290" t="n">
        <f aca="false">VLOOKUP($A4,ScaledPrice,11)</f>
        <v>23</v>
      </c>
      <c r="N4" s="290" t="n">
        <f aca="false">VLOOKUP($A4,ScaledPrice,13)</f>
        <v>13</v>
      </c>
      <c r="O4" s="290" t="n">
        <f aca="false">VLOOKUP($A4,ScaledPrice,8)</f>
        <v>23</v>
      </c>
      <c r="P4" s="290" t="n">
        <f aca="false">VLOOKUP($A4,ScaledPrice,12)</f>
        <v>23</v>
      </c>
      <c r="Q4" s="291" t="n">
        <f aca="false">VLOOKUP($A4,ScaledPrice,13)</f>
        <v>13</v>
      </c>
      <c r="R4" s="292" t="e">
        <f aca="false">IF($A4="N/A"," ",IF(Dayrun&gt;=3,IF(Option=1,MAX($I4-$H4,0),IF(Option=2,MAX($H4-$I4,0),0)),0))</f>
        <v>#N/A</v>
      </c>
      <c r="S4" s="286" t="e">
        <f aca="false">IF($A4="N/A"," ",IF(Dayrun&gt;=6,IF(Option=1,MAX($J4-H4,0),IF(Option=2,MAX(H4-$J4,0),0)),0))</f>
        <v>#N/A</v>
      </c>
      <c r="T4" s="286" t="e">
        <f aca="false">IF($A4="N/A"," ",IF(OR(Dayrun&lt;=2,Dayrun&gt;=9),IF(Option=1,MAX($K4-$H4,0),IF(Option=2,MAX($H4-$K4,0),0)),0))</f>
        <v>#N/A</v>
      </c>
      <c r="U4" s="286" t="e">
        <f aca="false">IF($A4="N/A"," ",IF(OR(Dayrun=1,Dayrun=4,Dayrun=5,Dayrun=7,Dayrun=8,Dayrun=10,Dayrun=11),IF(Option=1,MAX($L4-H4,0),IF(Option=2,MAX(H4-$L4,0),0)),0))</f>
        <v>#N/A</v>
      </c>
      <c r="V4" s="286" t="e">
        <f aca="false">IF($A4="N/A"," ",IF(OR(Dayrun=1,Dayrun=7,Dayrun=8,Dayrun=10,Dayrun=11),IF(Option=1,MAX($M4-H4,0),IF(Option=2,MAX(H4-$M4,0),0)),0))</f>
        <v>#N/A</v>
      </c>
      <c r="W4" s="286" t="e">
        <f aca="false">IF($A4="N/A"," ",IF(OR(Dayrun&lt;=2,Dayrun&gt;=10),IF(Option=1,MAX($N4-$H4,0),IF(Option=2,MAX($H4-$N4,0),0)),0))</f>
        <v>#N/A</v>
      </c>
      <c r="X4" s="286" t="e">
        <f aca="false">IF($A4="N/A"," ",IF(OR(Dayrun=1,Dayrun=5,Dayrun=8,Dayrun=11),IF(Option=1,MAX($O4-H4,0),IF(Option=2,MAX(H4-$O4,0),0)),0))</f>
        <v>#N/A</v>
      </c>
      <c r="Y4" s="286" t="e">
        <f aca="false">IF($A4="N/A"," ",IF(OR(Dayrun=1,Dayrun=8,Dayrun=11),IF(Option=1,MAX($P4-H4,0),IF(Option=2,MAX(H4-$P4,0),0)),0))</f>
        <v>#N/A</v>
      </c>
      <c r="Z4" s="293" t="e">
        <f aca="false">IF($A4="N/A"," ",IF(OR(Dayrun&lt;=2,Dayrun&gt;=11),IF(Option=1,MAX($Q4-$H4,0),IF(Option=2,MAX($H4-$Q4,0),0)),0))</f>
        <v>#N/A</v>
      </c>
      <c r="AA4" s="289" t="e">
        <f aca="false">IF($A4="N/A"," ",IF(Dayrun&gt;=3,(MAX(0,(xSPRDOPT(I4,($E4-'Pricing Inputs'!$X39*$D4),$CV4,0,($CN4+IF(Smile=TRUE(),VLOOKUP(MAX(-5,$H4-I4),Volsmile,2),0)),$CT4,$CU4,($A4-DateToday)+15,ABS(Option-2),0)-R4))),0))</f>
        <v>#N/A</v>
      </c>
      <c r="AB4" s="290" t="e">
        <f aca="false">IF($A4="N/A"," ",IF(Dayrun&gt;=6,MAX(0,(xSPRDOPT(J4,($E4-'Pricing Inputs'!$X39*$D4),$CV4,0,($CN4+IF(Smile=TRUE(),VLOOKUP(MAX(-5,$H4-J4),Volsmile,2),0)),$CT4,$CU4,($A4-DateToday)+15,ABS(Option-2),0)-S4)),0))</f>
        <v>#N/A</v>
      </c>
      <c r="AC4" s="290" t="e">
        <f aca="false">IF($A4="N/A"," ",IF(OR(Dayrun&lt;=2,Dayrun&gt;=9),IF(OffPeakEx=TRUE(),MAX(0,(xSPRDOPT(K4,($E4-'Pricing Inputs'!$X39*$D4),$CV4,0,($CQ4+IF(Smile=TRUE(),VLOOKUP(MAX(-5,$H4-K4),Volsmile,2),0)),$CT4,$CU4,($A4-DateToday)+15,ABS(Option-2),0)-T4)),0),0))</f>
        <v>#N/A</v>
      </c>
      <c r="AD4" s="290" t="e">
        <f aca="false">IF($A4="N/A"," ",IF(OR(Dayrun=1,Dayrun=4,Dayrun=5,Dayrun=7,Dayrun=8,Dayrun=10,Dayrun=11),MAX(0,(xSPRDOPT(L4,($E4-'Pricing Inputs'!$X39*$D4),$CV4,0,($CQ4+IF(Smile=TRUE(),VLOOKUP(MAX(-5,$H4-L4),Volsmile,2),0)),$CT4,$CU4,($A4-DateToday)+15,ABS(Option-2),0)-U4)),0))</f>
        <v>#N/A</v>
      </c>
      <c r="AE4" s="290" t="e">
        <f aca="false">IF($A4="N/A"," ",IF(OR(Dayrun=1,Dayrun=7,Dayrun=8,Dayrun=10,Dayrun=11),MAX(0,(xSPRDOPT(M4,($E4-'Pricing Inputs'!$X39*$D4),$CV4,0,($CQ4+IF(Smile=TRUE(),VLOOKUP(MAX(-5,$H4-M4),Volsmile,2),0)),$CT4,$CU4,($A4-DateToday)+15,ABS(Option-2),0)-V4)),0))</f>
        <v>#N/A</v>
      </c>
      <c r="AF4" s="290" t="e">
        <f aca="false">IF($A4="N/A"," ",IF(OR(Dayrun&lt;=2,Dayrun&gt;=10),IF(OffPeakEx=TRUE(),MAX(0,(xSPRDOPT(N4,($E4-'Pricing Inputs'!$X39*$D4),$CV4,0,($CQ4+IF(Smile=TRUE(),VLOOKUP(MAX(-5,$H4-N4),Volsmile,2),0)),$CT4,$CU4,($A4-DateToday)+15,ABS(Option-2),0)-W4)),0),0))</f>
        <v>#N/A</v>
      </c>
      <c r="AG4" s="290" t="e">
        <f aca="false">IF($A4="N/A"," ",IF(OR(Dayrun=1,Dayrun=5,Dayrun=8,Dayrun=11),MAX(0,(xSPRDOPT(O4,($E4-'Pricing Inputs'!$X39*$D4),$CV4,0,($CQ4+IF(Smile=TRUE(),VLOOKUP(MAX(-5,$H4-O4),Volsmile,2),0)),$CT4,$CU4,($A4-DateToday)+15,ABS(Option-2),0)-X4)),0))</f>
        <v>#N/A</v>
      </c>
      <c r="AH4" s="290" t="e">
        <f aca="false">IF($A4="N/A"," ",IF(OR(Dayrun=1,Dayrun=8,Dayrun=11),MAX(0,(xSPRDOPT(P4,($E4-'Pricing Inputs'!$X39*$D4),$CV4,0,($CQ4+IF(Smile=TRUE(),VLOOKUP(MAX(-5,$H4-P4),Volsmile,2),0)),$CT4,$CU4,($A4-DateToday)+15,ABS(Option-2),0)-Y4)),0))</f>
        <v>#N/A</v>
      </c>
      <c r="AI4" s="290" t="e">
        <f aca="false">IF($A4="N/A"," ",IF(OR(Dayrun&lt;=2,Dayrun&gt;=11),IF(OffPeakEx=TRUE(),MAX(0,(xSPRDOPT(Q4,($E4-'Pricing Inputs'!$X39*$D4),$CV4,0,($CQ4+IF(Smile=TRUE(),VLOOKUP(MAX(-5,$H4-Q4),Volsmile,2),0)),$CT4,$CU4,($A4-DateToday)+15,ABS(Option-2),0)-Z4)),0),0))</f>
        <v>#N/A</v>
      </c>
      <c r="AJ4" s="294" t="e">
        <f aca="false">IF($A4="N/A"," ",IF(Dayrun&gt;=3,IF(Option=1,$I4-$H4,IF(Option=2,$H4-$I4)),0))</f>
        <v>#N/A</v>
      </c>
      <c r="AK4" s="295" t="e">
        <f aca="false">IF($A4="N/A"," ",IF(Dayrun&gt;=6,IF(Option=1,$J4-H4,IF(Option=2,H4-$J4)),0))</f>
        <v>#N/A</v>
      </c>
      <c r="AL4" s="295" t="e">
        <f aca="false">IF($A4="N/A"," ",IF(OR(Dayrun&lt;=2,Dayrun&gt;=9),IF(Option=1,$K4-$H4,IF(Option=2,$H4-$K4)),0))</f>
        <v>#N/A</v>
      </c>
      <c r="AM4" s="295" t="e">
        <f aca="false">IF($A4="N/A"," ",IF(OR(Dayrun=1,Dayrun=4,Dayrun=5,Dayrun=7,Dayrun=8,Dayrun=10,Dayrun=11),IF(Option=1,$L4-H4,IF(Option=2,H4-$L4)),0))</f>
        <v>#N/A</v>
      </c>
      <c r="AN4" s="295" t="e">
        <f aca="false">IF($A4="N/A"," ",IF(OR(Dayrun=1,Dayrun=7,Dayrun=8,Dayrun=10,Dayrun=11),IF(Option=1,$M4-H4,IF(Option=2,H4-$M4)),0))</f>
        <v>#N/A</v>
      </c>
      <c r="AO4" s="295" t="e">
        <f aca="false">IF($A4="N/A"," ",IF(OR(Dayrun&lt;=2,Dayrun&gt;=9),IF(Option=1,$N4-$H4,IF(Option=2,$H4-$N4)),0))</f>
        <v>#N/A</v>
      </c>
      <c r="AP4" s="295" t="e">
        <f aca="false">IF($A4="N/A"," ",IF(OR(Dayrun=1,Dayrun=5,Dayrun=8,Dayrun=11),IF(Option=1,$O4-H4,IF(Option=2,H4-$O4)),0))</f>
        <v>#N/A</v>
      </c>
      <c r="AQ4" s="295" t="e">
        <f aca="false">IF($A4="N/A"," ",IF(OR(Dayrun=1,Dayrun=8,Dayrun=11),IF(Option=1,$P4-H4,IF(Option=2,H4-$P4)),0))</f>
        <v>#N/A</v>
      </c>
      <c r="AR4" s="296" t="e">
        <f aca="false">IF($A4="N/A"," ",IF(OR(Dayrun&lt;=2,Dayrun&gt;=9),IF(Option=1,$Q4-H4,IF(Option=2,H4-$Q4)),0))</f>
        <v>#N/A</v>
      </c>
      <c r="AS4" s="297" t="n">
        <f aca="false">IF($A4="N/A"," ",IF(VLOOKUP(MONTH($A4),ManualTable,2)=1,IF(Dayrun&gt;=3,$DE4*8*$CY4,0),0))</f>
        <v>4.32384971412866E+018</v>
      </c>
      <c r="AT4" s="297" t="n">
        <f aca="false">IF($A4="N/A"," ",IF(VLOOKUP(MONTH($A4),ManualTable,3)=1,IF(Dayrun&gt;=6,$DE4*8*$CY4,0),0))</f>
        <v>4.32384971412866E+018</v>
      </c>
      <c r="AU4" s="297" t="n">
        <f aca="false">IF($A4="N/A"," ",IF(VLOOKUP(MONTH($A4),ManualTable,4)=1,IF(OR(Dayrun&lt;=2,Dayrun&gt;=9),$DE4*8*$CY4,0),0))</f>
        <v>4.32384971412866E+018</v>
      </c>
      <c r="AV4" s="297" t="n">
        <f aca="false">IF($A4="N/A"," ",IF(VLOOKUP(MONTH($A4),ManualTable,5)=1,IF(OR(Dayrun=1,Dayrun=4,Dayrun=5,Dayrun=7,Dayrun=8,Dayrun=10,Dayrun=11),$DF4*8*$CY4,0),0))</f>
        <v>1.1378551879286E+018</v>
      </c>
      <c r="AW4" s="297" t="n">
        <f aca="false">IF($A4="N/A"," ",IF(VLOOKUP(MONTH($A4),ManualTable,6)=1,IF(OR(Dayrun=1,Dayrun=7,Dayrun=8,Dayrun=10,Dayrun=11),$DF4*8*$CY4,0),0))</f>
        <v>1.1378551879286E+018</v>
      </c>
      <c r="AX4" s="297" t="n">
        <f aca="false">IF($A4="N/A"," ",IF(VLOOKUP(MONTH($A4),ManualTable,7)=1,IF(OR(Dayrun&lt;=2,Dayrun&gt;=9),$DF4*8*$CY4,0),0))</f>
        <v>1.1378551879286E+018</v>
      </c>
      <c r="AY4" s="297" t="n">
        <f aca="false">IF($A4="N/A"," ",IF(VLOOKUP(MONTH($A4),ManualTable,8)=1,IF(OR(Dayrun=1,Dayrun=5,Dayrun=8,Dayrun=11),$DG4*8*$CY4,0),0))</f>
        <v>1.36542622551431E+018</v>
      </c>
      <c r="AZ4" s="297" t="n">
        <f aca="false">IF($A4="N/A"," ",IF(VLOOKUP(MONTH($A4),ManualTable,9)=1,IF(OR(Dayrun=1,Dayrun=8,Dayrun=11),$DG4*8*$CY4,0),0))</f>
        <v>1.36542622551431E+018</v>
      </c>
      <c r="BA4" s="298" t="n">
        <f aca="false">IF($A4="N/A"," ",IF(VLOOKUP(MONTH($A4),ManualTable,10)=1,IF(OR(Dayrun&lt;=2,Dayrun&gt;=9),$DG4*8*$CY4,0),0))</f>
        <v>1.36542622551431E+018</v>
      </c>
      <c r="BB4" s="299" t="e">
        <f aca="false">IF($A4="N/A"," ",IF(Dayrun&gt;=3,(MAX(0,(xSPRDOPT(I4,($E4-'Pricing Inputs'!$X39*$D4),$CV4,0,($CN4+IF(Smile=TRUE(),VLOOKUP(MAX(-5,$H4-I4),Volsmile,2),0)),$CT4,$CU4,($A4-DateToday)+15,ABS(Option-2),1)*DE4*8))),0))</f>
        <v>#N/A</v>
      </c>
      <c r="BC4" s="300" t="e">
        <f aca="false">IF($A4="N/A"," ",IF(Dayrun&gt;=6,MAX(0,(xSPRDOPT(J4,($E4-'Pricing Inputs'!$X39*$D4),$CV4,0,($CN4+IF(Smile=TRUE(),VLOOKUP(MAX(-5,$H4-J4),Volsmile,2),0)),$CT4,$CU4,($A4-DateToday)+15,ABS(Option-2),1)*DE4*8)),0))</f>
        <v>#N/A</v>
      </c>
      <c r="BD4" s="300" t="e">
        <f aca="false">IF($A4="N/A"," ",IF(OR(Dayrun&lt;=2,Dayrun&gt;=9),IF(OffPeakEx=TRUE(),MAX(0,(xSPRDOPT(K4,($E4-'Pricing Inputs'!$X39*$D4),$CV4,0,($CQ4+IF(Smile=TRUE(),VLOOKUP(MAX(-5,$H4-K4),Volsmile,2),0)),$CT4,$CU4,($A4-DateToday)+15,ABS(Option-2),1)*DE4*8)),0),0))</f>
        <v>#N/A</v>
      </c>
      <c r="BE4" s="300" t="e">
        <f aca="false">IF($A4="N/A"," ",IF(OR(Dayrun=1,Dayrun=4,Dayrun=5,Dayrun=7,Dayrun=8,Dayrun=10,Dayrun=11),MAX(0,(xSPRDOPT(L4,($E4-'Pricing Inputs'!$X39*$D4),$CV4,0,($CQ4+IF(Smile=TRUE(),VLOOKUP(MAX(-5,$H4-L4),Volsmile,2),0)),$CT4,$CU4,($A4-DateToday)+15,ABS(Option-2),1)*DF4*8)),0))</f>
        <v>#N/A</v>
      </c>
      <c r="BF4" s="300" t="e">
        <f aca="false">IF($A4="N/A"," ",IF(OR(Dayrun=1,Dayrun=7,Dayrun=8,Dayrun=10,Dayrun=11),MAX(0,(xSPRDOPT(M4,($E4-'Pricing Inputs'!$X39*$D4),$CV4,0,($CQ4+IF(Smile=TRUE(),VLOOKUP(MAX(-5,$H4-M4),Volsmile,2),0)),$CT4,$CU4,($A4-DateToday)+15,ABS(Option-2),1)*DF4*8)),0))</f>
        <v>#N/A</v>
      </c>
      <c r="BG4" s="300" t="e">
        <f aca="false">IF($A4="N/A"," ",IF(OR(Dayrun&lt;=2,Dayrun&gt;=10),IF(OffPeakEx=TRUE(),MAX(0,(xSPRDOPT(N4,($E4-'Pricing Inputs'!$X39*$D4),$CV4,0,($CQ4+IF(Smile=TRUE(),VLOOKUP(MAX(-5,$H4-N4),Volsmile,2),0)),$CT4,$CU4,($A4-DateToday)+15,ABS(Option-2),1)*DF4*8)),0),0))</f>
        <v>#N/A</v>
      </c>
      <c r="BH4" s="300" t="e">
        <f aca="false">IF($A4="N/A"," ",IF(OR(Dayrun=1,Dayrun=5,Dayrun=8,Dayrun=11),MAX(0,(xSPRDOPT(O4,($E4-'Pricing Inputs'!$X39*$D4),$CV4,0,($CQ4+IF(Smile=TRUE(),VLOOKUP(MAX(-5,$H4-O4),Volsmile,2),0)),$CT4,$CU4,($A4-DateToday)+15,ABS(Option-2),1)*DG4*8)),0))</f>
        <v>#N/A</v>
      </c>
      <c r="BI4" s="300" t="e">
        <f aca="false">IF($A4="N/A"," ",IF(OR(Dayrun=1,Dayrun=8,Dayrun=11),MAX(0,(xSPRDOPT(P4,($E4-'Pricing Inputs'!$X39*$D4),$CV4,0,($CQ4+IF(Smile=TRUE(),VLOOKUP(MAX(-5,$H4-P4),Volsmile,2),0)),$CT4,$CU4,($A4-DateToday)+15,ABS(Option-2),1)*DG4*8)),0))</f>
        <v>#N/A</v>
      </c>
      <c r="BJ4" s="301" t="e">
        <f aca="false">IF($A4="N/A"," ",IF(OR(Dayrun&lt;=2,Dayrun&gt;=11),IF(OffPeakEx=TRUE(),MAX(0,(xSPRDOPT(Q4,($E4-'Pricing Inputs'!$X39*$D4),$CV4,0,($CQ4+IF(Smile=TRUE(),VLOOKUP(MAX(-5,$H4-Q4),Volsmile,2),0)),$CT4,$CU4,($A4-DateToday)+15,ABS(Option-2),1)*DG4*8)),0),0))</f>
        <v>#N/A</v>
      </c>
      <c r="BK4" s="302" t="e">
        <f aca="false">IF($A4="N/A"," ",R4*$AS4)</f>
        <v>#N/A</v>
      </c>
      <c r="BL4" s="303" t="e">
        <f aca="false">IF($A4="N/A"," ",S4*$AT4)</f>
        <v>#N/A</v>
      </c>
      <c r="BM4" s="303" t="e">
        <f aca="false">IF($A4="N/A"," ",T4*$AU4)</f>
        <v>#N/A</v>
      </c>
      <c r="BN4" s="303" t="e">
        <f aca="false">IF($A4="N/A"," ",U4*$AV4)</f>
        <v>#N/A</v>
      </c>
      <c r="BO4" s="303" t="e">
        <f aca="false">IF($A4="N/A"," ",V4*$AW4)</f>
        <v>#N/A</v>
      </c>
      <c r="BP4" s="303" t="e">
        <f aca="false">IF($A4="N/A"," ",W4*$AX4)</f>
        <v>#N/A</v>
      </c>
      <c r="BQ4" s="303" t="e">
        <f aca="false">IF($A4="N/A"," ",X4*$AY4)</f>
        <v>#N/A</v>
      </c>
      <c r="BR4" s="303" t="e">
        <f aca="false">IF($A4="N/A"," ",Y4*$AZ4)</f>
        <v>#N/A</v>
      </c>
      <c r="BS4" s="304" t="e">
        <f aca="false">IF($A4="N/A"," ",Z4*$BA4)</f>
        <v>#N/A</v>
      </c>
      <c r="BT4" s="305" t="e">
        <f aca="false">IF($A4="N/A"," ",AA4*$AS4)</f>
        <v>#N/A</v>
      </c>
      <c r="BU4" s="306" t="e">
        <f aca="false">IF($A4="N/A"," ",AB4*$AT4)</f>
        <v>#N/A</v>
      </c>
      <c r="BV4" s="306" t="e">
        <f aca="false">IF($A4="N/A"," ",AC4*$AU4)</f>
        <v>#N/A</v>
      </c>
      <c r="BW4" s="306" t="e">
        <f aca="false">IF($A4="N/A"," ",AD4*$AV4)</f>
        <v>#N/A</v>
      </c>
      <c r="BX4" s="306" t="e">
        <f aca="false">IF($A4="N/A"," ",AE4*$AW4)</f>
        <v>#N/A</v>
      </c>
      <c r="BY4" s="306" t="e">
        <f aca="false">IF($A4="N/A"," ",AF4*$AX4)</f>
        <v>#N/A</v>
      </c>
      <c r="BZ4" s="306" t="e">
        <f aca="false">IF($A4="N/A"," ",AG4*$AY4)</f>
        <v>#N/A</v>
      </c>
      <c r="CA4" s="306" t="e">
        <f aca="false">IF($A4="N/A"," ",AH4*$AZ4)</f>
        <v>#N/A</v>
      </c>
      <c r="CB4" s="307" t="e">
        <f aca="false">IF($A4="N/A"," ",AI4*$BA4)</f>
        <v>#N/A</v>
      </c>
      <c r="CC4" s="308" t="e">
        <f aca="false">IF($A4="N/A"," ",AJ4*$AS4)</f>
        <v>#N/A</v>
      </c>
      <c r="CD4" s="309" t="e">
        <f aca="false">IF($A4="N/A"," ",AK4*$AT4)</f>
        <v>#N/A</v>
      </c>
      <c r="CE4" s="309" t="e">
        <f aca="false">IF($A4="N/A"," ",AL4*$AU4)</f>
        <v>#N/A</v>
      </c>
      <c r="CF4" s="309" t="e">
        <f aca="false">IF($A4="N/A"," ",AM4*$AV4)</f>
        <v>#N/A</v>
      </c>
      <c r="CG4" s="309" t="e">
        <f aca="false">IF($A4="N/A"," ",AN4*$AW4)</f>
        <v>#N/A</v>
      </c>
      <c r="CH4" s="309" t="e">
        <f aca="false">IF($A4="N/A"," ",AO4*$AX4)</f>
        <v>#N/A</v>
      </c>
      <c r="CI4" s="309" t="e">
        <f aca="false">IF($A4="N/A"," ",AP4*$AY4)</f>
        <v>#N/A</v>
      </c>
      <c r="CJ4" s="309" t="e">
        <f aca="false">IF($A4="N/A"," ",AQ4*$AZ4)</f>
        <v>#N/A</v>
      </c>
      <c r="CK4" s="310" t="e">
        <f aca="false">IF($A4="N/A"," ",AR4*$BA4)</f>
        <v>#N/A</v>
      </c>
      <c r="CL4" s="311" t="n">
        <f aca="false">IF($A4="N/A"," ",(VLOOKUP($A4,PowerVolTable,(IF(VolBMO=2,7,IF(VolBMO=1,6,8))),FALSE())))</f>
        <v>0.75</v>
      </c>
      <c r="CM4" s="312" t="n">
        <f aca="false">IF($A4="N/A"," ",(VLOOKUP($A4,IntraPowerVol,(IF(VolBMO=2,3,IF(VolBMO=1,2,4))),FALSE())*VLOOKUP(MONTH($A4),Volscale,2)))</f>
        <v>2.25</v>
      </c>
      <c r="CN4" s="312" t="n">
        <f aca="false">IF($A4="N/A"," ",IF(VolType=1,CM4,CL4))</f>
        <v>2.25</v>
      </c>
      <c r="CO4" s="312" t="n">
        <f aca="false">IF($A4="N/A"," ",(VLOOKUP($A4,OffPeakVol,(IF(VolBMO=2,7,IF(VolBMO=1,6,8))),FALSE())))</f>
        <v>0.375</v>
      </c>
      <c r="CP4" s="312" t="n">
        <f aca="false">IF($A4="N/A"," ",(VLOOKUP($A4,OffPeakVol,(IF(VolBMO=2,3,IF(VolBMO=1,2,4))),FALSE())*VLOOKUP(MONTH($A4),Volscale,2)))</f>
        <v>1.35</v>
      </c>
      <c r="CQ4" s="312" t="n">
        <f aca="false">IF($A4="N/A"," ",IF(VolType=1,CP4,CO4))</f>
        <v>1.35</v>
      </c>
      <c r="CR4" s="312" t="e">
        <f aca="false">IF($A4="N/A"," ",(VLOOKUP($A4,GasVolTable,(IF(VolBMO=2,6,IF(VolBMO=1,7,5))),FALSE())))</f>
        <v>#N/A</v>
      </c>
      <c r="CS4" s="312" t="e">
        <f aca="false">IF($A4="N/A"," ",(VLOOKUP($A4,OmicronVol,(IF(VolBMO=2,3,IF(VolBMO=1,4,2))),FALSE())))</f>
        <v>#N/A</v>
      </c>
      <c r="CT4" s="312" t="e">
        <f aca="false">IF($A4="N/A"," ",(IF(DateToday&gt;$A4,$CS4,IF(VolType=1,((($CR4^2)*((($A4-1)-DateToday)/((EOMONTH($A4,0)+1)-DateToday-15)))+((($CS4)^2)*((15)/((EOMONTH($A4,0)+1)-DateToday-15))))^0.5,CR4))))</f>
        <v>#N/A</v>
      </c>
      <c r="CU4" s="312" t="n">
        <f aca="false">IF($A4="N/A"," ",IF('Pricing Inputs'!$AR$23=TRUE(),Inputs!$S$22,VLOOKUP($A4,CorrelationTable,2,FALSE())))</f>
        <v>0.75</v>
      </c>
      <c r="CV4" s="313" t="n">
        <f aca="false">IF($A4="N/A"," ",F4+G4+(D4*('Pricing Inputs'!X39)))</f>
        <v>0</v>
      </c>
      <c r="CW4" s="314" t="n">
        <f aca="false">IF($A4="N/A"," ",IF(PV=1,0,'Pricing Inputs'!Y39))</f>
        <v>2</v>
      </c>
      <c r="CX4" s="315" t="n">
        <f aca="false">IF($A4="N/A"," ",(1+CW4/2)^(-2*((EOMONTH(A4,0)+20)-DateToday)/365.25))</f>
        <v>256968199622537</v>
      </c>
      <c r="CY4" s="316" t="n">
        <f aca="false">IF($A4="N/A"," ",(IF(MONTH(A4)&gt;=4,IF(MONTH(A4)&lt;=10,Inputs!$S$26,Inputs!$S$27),Inputs!$S$27))*$CX4)</f>
        <v>31607088553572100</v>
      </c>
      <c r="CZ4" s="317" t="e">
        <f aca="false">IF($A4="N/A"," ",BK4+BL4+BN4+BO4+BQ4+BR4)</f>
        <v>#N/A</v>
      </c>
      <c r="DA4" s="318" t="e">
        <f aca="false">IF($A4="N/A"," ",BM4+BP4+BS4)</f>
        <v>#N/A</v>
      </c>
      <c r="DB4" s="319" t="e">
        <f aca="false">IF($A4="N/A"," ",BT4+BU4+BW4+BX4+BZ4+CA4)</f>
        <v>#N/A</v>
      </c>
      <c r="DC4" s="319" t="e">
        <f aca="false">IF($A4="N/A"," ",BV4+BY4+CB4)</f>
        <v>#N/A</v>
      </c>
      <c r="DD4" s="320" t="e">
        <f aca="false">IF($A4="N/A"," ",SUM(CC4:CK4))</f>
        <v>#N/A</v>
      </c>
      <c r="DE4" s="321" t="n">
        <f aca="false">IF($A4="N/A"," ",VLOOKUP($A4,NumberofDaysTable,2)*Availability)</f>
        <v>17.1</v>
      </c>
      <c r="DF4" s="94" t="n">
        <f aca="false">IF($A4="N/A"," ",VLOOKUP($A4,NumberofDaysTable,3)*Availability)</f>
        <v>4.5</v>
      </c>
      <c r="DG4" s="322" t="n">
        <f aca="false">IF($A4="N/A"," ",VLOOKUP($A4,NumberofDaysTable,4)*Availability)</f>
        <v>5.4</v>
      </c>
      <c r="DH4" s="323" t="n">
        <f aca="false">IF($A4="N/A"," ",IF(Option=1,$D4*Inputs!$S$15*SUM(AS4:BA4),0))</f>
        <v>0</v>
      </c>
      <c r="DI4" s="324" t="n">
        <f aca="false">IF($A4="N/A"," ",IF(Option=1,$D4*Inputs!$S$16*SUM(AS4:BA4),0))</f>
        <v>0</v>
      </c>
      <c r="DJ4" s="325" t="n">
        <f aca="false">IF($A4="N/A"," ",SUM(AS4:AT4))</f>
        <v>8.64769942825733E+018</v>
      </c>
      <c r="DK4" s="325" t="n">
        <f aca="false">IF($A4="N/A"," ",SUM(AU4:BA4))</f>
        <v>1.18336939544574E+019</v>
      </c>
      <c r="DL4" s="325" t="e">
        <f aca="false">IF($A4="N/A"," ",SUM(BB4:BC4))</f>
        <v>#N/A</v>
      </c>
      <c r="DM4" s="325" t="e">
        <f aca="false">IF($A4="N/A"," ",SUM(BD4:BJ4))</f>
        <v>#N/A</v>
      </c>
    </row>
    <row r="5" customFormat="false" ht="12.75" hidden="false" customHeight="false" outlineLevel="0" collapsed="false">
      <c r="A5" s="282" t="n">
        <f aca="false">IF(A4="N/A","N/A",IF(EDATE(A4,1)&gt;Inputs!$S$5,"N/A",EDATE(A4,1)))</f>
        <v>37165</v>
      </c>
      <c r="B5" s="283" t="n">
        <f aca="false">IF(A5="N/A"," ",YEAR(A5))</f>
        <v>2001</v>
      </c>
      <c r="C5" s="284" t="e">
        <f aca="false">IF(A5="N/A"," ",VLOOKUP(A5,ScaledPrice,14))</f>
        <v>#N/A</v>
      </c>
      <c r="D5" s="285" t="n">
        <f aca="false">IF(A5="N/A"," ",(VLOOKUP(MONTH($A5),Hrtable,2))/1000)</f>
        <v>9.5</v>
      </c>
      <c r="E5" s="286" t="e">
        <f aca="false">IF($A5="N/A"," ",(C5)*D5)</f>
        <v>#N/A</v>
      </c>
      <c r="F5" s="287" t="n">
        <f aca="false">IF(A5="N/A"," ",VOM*(1+VOMesc)^(YEAR(A5)-YEAR(Today)))</f>
        <v>0</v>
      </c>
      <c r="G5" s="287" t="n">
        <f aca="false">IF(A5="N/A"," ",Perstart/VLOOKUP(Dayrun,'Pricing Inputs'!$AQ$4:$AS$14,3)/(CY5/CX5))</f>
        <v>0</v>
      </c>
      <c r="H5" s="288" t="e">
        <f aca="false">IF(A5="N/A"," ",SUM(E5:G5))</f>
        <v>#N/A</v>
      </c>
      <c r="I5" s="289" t="n">
        <f aca="false">VLOOKUP($A5,ScaledPrice,6)</f>
        <v>29.2450007629395</v>
      </c>
      <c r="J5" s="290" t="n">
        <f aca="false">VLOOKUP($A5,ScaledPrice,10)</f>
        <v>29.2450007629395</v>
      </c>
      <c r="K5" s="290" t="n">
        <f aca="false">VLOOKUP($A5,ScaledPrice,13)</f>
        <v>16.2500038146973</v>
      </c>
      <c r="L5" s="290" t="n">
        <f aca="false">VLOOKUP($A5,ScaledPrice,7)</f>
        <v>26.746000289917</v>
      </c>
      <c r="M5" s="290" t="n">
        <f aca="false">VLOOKUP($A5,ScaledPrice,11)</f>
        <v>26.746000289917</v>
      </c>
      <c r="N5" s="290" t="n">
        <f aca="false">VLOOKUP($A5,ScaledPrice,13)</f>
        <v>16.2500038146973</v>
      </c>
      <c r="O5" s="290" t="n">
        <f aca="false">VLOOKUP($A5,ScaledPrice,8)</f>
        <v>26.7465000152588</v>
      </c>
      <c r="P5" s="290" t="n">
        <f aca="false">VLOOKUP($A5,ScaledPrice,12)</f>
        <v>26.7465000152588</v>
      </c>
      <c r="Q5" s="291" t="n">
        <f aca="false">VLOOKUP($A5,ScaledPrice,13)</f>
        <v>16.2500038146973</v>
      </c>
      <c r="R5" s="292" t="e">
        <f aca="false">IF($A5="N/A"," ",IF(Dayrun&gt;=3,IF(Option=1,MAX($I5-$H5,0),IF(Option=2,MAX($H5-$I5,0),0)),0))</f>
        <v>#N/A</v>
      </c>
      <c r="S5" s="286" t="e">
        <f aca="false">IF($A5="N/A"," ",IF(Dayrun&gt;=6,IF(Option=1,MAX($J5-H5,0),IF(Option=2,MAX(H5-$J5,0),0)),0))</f>
        <v>#N/A</v>
      </c>
      <c r="T5" s="286" t="e">
        <f aca="false">IF($A5="N/A"," ",IF(OR(Dayrun&lt;=2,Dayrun&gt;=9),IF(Option=1,MAX($K5-$H5,0),IF(Option=2,MAX($H5-$K5,0),0)),0))</f>
        <v>#N/A</v>
      </c>
      <c r="U5" s="286" t="e">
        <f aca="false">IF($A5="N/A"," ",IF(OR(Dayrun=1,Dayrun=4,Dayrun=5,Dayrun=7,Dayrun=8,Dayrun=10,Dayrun=11),IF(Option=1,MAX($L5-H5,0),IF(Option=2,MAX(H5-$L5,0),0)),0))</f>
        <v>#N/A</v>
      </c>
      <c r="V5" s="286" t="e">
        <f aca="false">IF($A5="N/A"," ",IF(OR(Dayrun=1,Dayrun=7,Dayrun=8,Dayrun=10,Dayrun=11),IF(Option=1,MAX($M5-H5,0),IF(Option=2,MAX(H5-$M5,0),0)),0))</f>
        <v>#N/A</v>
      </c>
      <c r="W5" s="286" t="e">
        <f aca="false">IF($A5="N/A"," ",IF(OR(Dayrun&lt;=2,Dayrun&gt;=10),IF(Option=1,MAX($N5-$H5,0),IF(Option=2,MAX($H5-$N5,0),0)),0))</f>
        <v>#N/A</v>
      </c>
      <c r="X5" s="286" t="e">
        <f aca="false">IF($A5="N/A"," ",IF(OR(Dayrun=1,Dayrun=5,Dayrun=8,Dayrun=11),IF(Option=1,MAX($O5-H5,0),IF(Option=2,MAX(H5-$O5,0),0)),0))</f>
        <v>#N/A</v>
      </c>
      <c r="Y5" s="286" t="e">
        <f aca="false">IF($A5="N/A"," ",IF(OR(Dayrun=1,Dayrun=8,Dayrun=11),IF(Option=1,MAX($P5-H5,0),IF(Option=2,MAX(H5-$P5,0),0)),0))</f>
        <v>#N/A</v>
      </c>
      <c r="Z5" s="293" t="e">
        <f aca="false">IF($A5="N/A"," ",IF(OR(Dayrun&lt;=2,Dayrun&gt;=11),IF(Option=1,MAX($Q5-$H5,0),IF(Option=2,MAX($H5-$Q5,0),0)),0))</f>
        <v>#N/A</v>
      </c>
      <c r="AA5" s="289" t="e">
        <f aca="false">IF($A5="N/A"," ",IF(Dayrun&gt;=3,(MAX(0,(xSPRDOPT(I5,($E5-'Pricing Inputs'!$X40*$D5),$CV5,0,($CN5+IF(Smile=TRUE(),VLOOKUP(MAX(-5,$H5-I5),Volsmile,2),0)),$CT5,$CU5,($A5-DateToday)+15,ABS(Option-2),0)-R5))),0))</f>
        <v>#N/A</v>
      </c>
      <c r="AB5" s="290" t="e">
        <f aca="false">IF($A5="N/A"," ",IF(Dayrun&gt;=6,MAX(0,(xSPRDOPT(J5,($E5-'Pricing Inputs'!$X40*$D5),$CV5,0,($CN5+IF(Smile=TRUE(),VLOOKUP(MAX(-5,$H5-J5),Volsmile,2),0)),$CT5,$CU5,($A5-DateToday)+15,ABS(Option-2),0)-S5)),0))</f>
        <v>#N/A</v>
      </c>
      <c r="AC5" s="290" t="e">
        <f aca="false">IF($A5="N/A"," ",IF(OR(Dayrun&lt;=2,Dayrun&gt;=9),IF(OffPeakEx=TRUE(),MAX(0,(xSPRDOPT(K5,($E5-'Pricing Inputs'!$X40*$D5),$CV5,0,($CQ5+IF(Smile=TRUE(),VLOOKUP(MAX(-5,$H5-K5),Volsmile,2),0)),$CT5,$CU5,($A5-DateToday)+15,ABS(Option-2),0)-T5)),0),0))</f>
        <v>#N/A</v>
      </c>
      <c r="AD5" s="290" t="e">
        <f aca="false">IF($A5="N/A"," ",IF(OR(Dayrun=1,Dayrun=4,Dayrun=5,Dayrun=7,Dayrun=8,Dayrun=10,Dayrun=11),MAX(0,(xSPRDOPT(L5,($E5-'Pricing Inputs'!$X40*$D5),$CV5,0,($CQ5+IF(Smile=TRUE(),VLOOKUP(MAX(-5,$H5-L5),Volsmile,2),0)),$CT5,$CU5,($A5-DateToday)+15,ABS(Option-2),0)-U5)),0))</f>
        <v>#N/A</v>
      </c>
      <c r="AE5" s="290" t="e">
        <f aca="false">IF($A5="N/A"," ",IF(OR(Dayrun=1,Dayrun=7,Dayrun=8,Dayrun=10,Dayrun=11),MAX(0,(xSPRDOPT(M5,($E5-'Pricing Inputs'!$X40*$D5),$CV5,0,($CQ5+IF(Smile=TRUE(),VLOOKUP(MAX(-5,$H5-M5),Volsmile,2),0)),$CT5,$CU5,($A5-DateToday)+15,ABS(Option-2),0)-V5)),0))</f>
        <v>#N/A</v>
      </c>
      <c r="AF5" s="290" t="e">
        <f aca="false">IF($A5="N/A"," ",IF(OR(Dayrun&lt;=2,Dayrun&gt;=10),IF(OffPeakEx=TRUE(),MAX(0,(xSPRDOPT(N5,($E5-'Pricing Inputs'!$X40*$D5),$CV5,0,($CQ5+IF(Smile=TRUE(),VLOOKUP(MAX(-5,$H5-N5),Volsmile,2),0)),$CT5,$CU5,($A5-DateToday)+15,ABS(Option-2),0)-W5)),0),0))</f>
        <v>#N/A</v>
      </c>
      <c r="AG5" s="290" t="e">
        <f aca="false">IF($A5="N/A"," ",IF(OR(Dayrun=1,Dayrun=5,Dayrun=8,Dayrun=11),MAX(0,(xSPRDOPT(O5,($E5-'Pricing Inputs'!$X40*$D5),$CV5,0,($CQ5+IF(Smile=TRUE(),VLOOKUP(MAX(-5,$H5-O5),Volsmile,2),0)),$CT5,$CU5,($A5-DateToday)+15,ABS(Option-2),0)-X5)),0))</f>
        <v>#N/A</v>
      </c>
      <c r="AH5" s="290" t="e">
        <f aca="false">IF($A5="N/A"," ",IF(OR(Dayrun=1,Dayrun=8,Dayrun=11),MAX(0,(xSPRDOPT(P5,($E5-'Pricing Inputs'!$X40*$D5),$CV5,0,($CQ5+IF(Smile=TRUE(),VLOOKUP(MAX(-5,$H5-P5),Volsmile,2),0)),$CT5,$CU5,($A5-DateToday)+15,ABS(Option-2),0)-Y5)),0))</f>
        <v>#N/A</v>
      </c>
      <c r="AI5" s="290" t="e">
        <f aca="false">IF($A5="N/A"," ",IF(OR(Dayrun&lt;=2,Dayrun&gt;=11),IF(OffPeakEx=TRUE(),MAX(0,(xSPRDOPT(Q5,($E5-'Pricing Inputs'!$X40*$D5),$CV5,0,($CQ5+IF(Smile=TRUE(),VLOOKUP(MAX(-5,$H5-Q5),Volsmile,2),0)),$CT5,$CU5,($A5-DateToday)+15,ABS(Option-2),0)-Z5)),0),0))</f>
        <v>#N/A</v>
      </c>
      <c r="AJ5" s="294" t="e">
        <f aca="false">IF($A5="N/A"," ",IF(Dayrun&gt;=3,IF(Option=1,$I5-$H5,IF(Option=2,$H5-$I5)),0))</f>
        <v>#N/A</v>
      </c>
      <c r="AK5" s="295" t="e">
        <f aca="false">IF($A5="N/A"," ",IF(Dayrun&gt;=6,IF(Option=1,$J5-H5,IF(Option=2,H5-$J5)),0))</f>
        <v>#N/A</v>
      </c>
      <c r="AL5" s="295" t="e">
        <f aca="false">IF($A5="N/A"," ",IF(OR(Dayrun&lt;=2,Dayrun&gt;=9),IF(Option=1,$K5-$H5,IF(Option=2,$H5-$K5)),0))</f>
        <v>#N/A</v>
      </c>
      <c r="AM5" s="295" t="e">
        <f aca="false">IF($A5="N/A"," ",IF(OR(Dayrun=1,Dayrun=4,Dayrun=5,Dayrun=7,Dayrun=8,Dayrun=10,Dayrun=11),IF(Option=1,$L5-H5,IF(Option=2,H5-$L5)),0))</f>
        <v>#N/A</v>
      </c>
      <c r="AN5" s="295" t="e">
        <f aca="false">IF($A5="N/A"," ",IF(OR(Dayrun=1,Dayrun=7,Dayrun=8,Dayrun=10,Dayrun=11),IF(Option=1,$M5-H5,IF(Option=2,H5-$M5)),0))</f>
        <v>#N/A</v>
      </c>
      <c r="AO5" s="295" t="e">
        <f aca="false">IF($A5="N/A"," ",IF(OR(Dayrun&lt;=2,Dayrun&gt;=9),IF(Option=1,$N5-$H5,IF(Option=2,$H5-$N5)),0))</f>
        <v>#N/A</v>
      </c>
      <c r="AP5" s="295" t="e">
        <f aca="false">IF($A5="N/A"," ",IF(OR(Dayrun=1,Dayrun=5,Dayrun=8,Dayrun=11),IF(Option=1,$O5-H5,IF(Option=2,H5-$O5)),0))</f>
        <v>#N/A</v>
      </c>
      <c r="AQ5" s="295" t="e">
        <f aca="false">IF($A5="N/A"," ",IF(OR(Dayrun=1,Dayrun=8,Dayrun=11),IF(Option=1,$P5-H5,IF(Option=2,H5-$P5)),0))</f>
        <v>#N/A</v>
      </c>
      <c r="AR5" s="296" t="e">
        <f aca="false">IF($A5="N/A"," ",IF(OR(Dayrun&lt;=2,Dayrun&gt;=9),IF(Option=1,$Q5-H5,IF(Option=2,H5-$Q5)),0))</f>
        <v>#N/A</v>
      </c>
      <c r="AS5" s="297" t="n">
        <f aca="false">IF($A5="N/A"," ",IF(VLOOKUP(MONTH($A5),ManualTable,2)=1,IF(Dayrun&gt;=3,$DE5*8*$CY5,0),0))</f>
        <v>4.65313831954054E+018</v>
      </c>
      <c r="AT5" s="297" t="n">
        <f aca="false">IF($A5="N/A"," ",IF(VLOOKUP(MONTH($A5),ManualTable,3)=1,IF(Dayrun&gt;=6,$DE5*8*$CY5,0),0))</f>
        <v>4.65313831954054E+018</v>
      </c>
      <c r="AU5" s="297" t="n">
        <f aca="false">IF($A5="N/A"," ",IF(VLOOKUP(MONTH($A5),ManualTable,4)=1,IF(OR(Dayrun&lt;=2,Dayrun&gt;=9),$DE5*8*$CY5,0),0))</f>
        <v>4.65313831954054E+018</v>
      </c>
      <c r="AV5" s="297" t="n">
        <f aca="false">IF($A5="N/A"," ",IF(VLOOKUP(MONTH($A5),ManualTable,5)=1,IF(OR(Dayrun=1,Dayrun=4,Dayrun=5,Dayrun=7,Dayrun=8,Dayrun=10,Dayrun=11),$DF5*8*$CY5,0),0))</f>
        <v>8.09241446876616E+017</v>
      </c>
      <c r="AW5" s="297" t="n">
        <f aca="false">IF($A5="N/A"," ",IF(VLOOKUP(MONTH($A5),ManualTable,6)=1,IF(OR(Dayrun=1,Dayrun=7,Dayrun=8,Dayrun=10,Dayrun=11),$DF5*8*$CY5,0),0))</f>
        <v>8.09241446876616E+017</v>
      </c>
      <c r="AX5" s="297" t="n">
        <f aca="false">IF($A5="N/A"," ",IF(VLOOKUP(MONTH($A5),ManualTable,7)=1,IF(OR(Dayrun&lt;=2,Dayrun&gt;=9),$DF5*8*$CY5,0),0))</f>
        <v>8.09241446876616E+017</v>
      </c>
      <c r="AY5" s="297" t="n">
        <f aca="false">IF($A5="N/A"," ",IF(VLOOKUP(MONTH($A5),ManualTable,8)=1,IF(OR(Dayrun=1,Dayrun=5,Dayrun=8,Dayrun=11),$DG5*8*$CY5,0),0))</f>
        <v>8.09241446876616E+017</v>
      </c>
      <c r="AZ5" s="297" t="n">
        <f aca="false">IF($A5="N/A"," ",IF(VLOOKUP(MONTH($A5),ManualTable,9)=1,IF(OR(Dayrun=1,Dayrun=8,Dayrun=11),$DG5*8*$CY5,0),0))</f>
        <v>8.09241446876616E+017</v>
      </c>
      <c r="BA5" s="298" t="n">
        <f aca="false">IF($A5="N/A"," ",IF(VLOOKUP(MONTH($A5),ManualTable,10)=1,IF(OR(Dayrun&lt;=2,Dayrun&gt;=9),$DG5*8*$CY5,0),0))</f>
        <v>8.09241446876616E+017</v>
      </c>
      <c r="BB5" s="299" t="e">
        <f aca="false">IF($A5="N/A"," ",IF(Dayrun&gt;=3,(MAX(0,(xSPRDOPT(I5,($E5-'Pricing Inputs'!$X40*$D5),$CV5,0,($CN5+IF(Smile=TRUE(),VLOOKUP(MAX(-5,$H5-I5),Volsmile,2),0)),$CT5,$CU5,($A5-DateToday)+15,ABS(Option-2),1)*DE5*8))),0))</f>
        <v>#N/A</v>
      </c>
      <c r="BC5" s="300" t="e">
        <f aca="false">IF($A5="N/A"," ",IF(Dayrun&gt;=6,MAX(0,(xSPRDOPT(J5,($E5-'Pricing Inputs'!$X40*$D5),$CV5,0,($CN5+IF(Smile=TRUE(),VLOOKUP(MAX(-5,$H5-J5),Volsmile,2),0)),$CT5,$CU5,($A5-DateToday)+15,ABS(Option-2),1)*DE5*8)),0))</f>
        <v>#N/A</v>
      </c>
      <c r="BD5" s="300" t="e">
        <f aca="false">IF($A5="N/A"," ",IF(OR(Dayrun&lt;=2,Dayrun&gt;=9),IF(OffPeakEx=TRUE(),MAX(0,(xSPRDOPT(K5,($E5-'Pricing Inputs'!$X40*$D5),$CV5,0,($CQ5+IF(Smile=TRUE(),VLOOKUP(MAX(-5,$H5-K5),Volsmile,2),0)),$CT5,$CU5,($A5-DateToday)+15,ABS(Option-2),1)*DE5*8)),0),0))</f>
        <v>#N/A</v>
      </c>
      <c r="BE5" s="300" t="e">
        <f aca="false">IF($A5="N/A"," ",IF(OR(Dayrun=1,Dayrun=4,Dayrun=5,Dayrun=7,Dayrun=8,Dayrun=10,Dayrun=11),MAX(0,(xSPRDOPT(L5,($E5-'Pricing Inputs'!$X40*$D5),$CV5,0,($CQ5+IF(Smile=TRUE(),VLOOKUP(MAX(-5,$H5-L5),Volsmile,2),0)),$CT5,$CU5,($A5-DateToday)+15,ABS(Option-2),1)*DF5*8)),0))</f>
        <v>#N/A</v>
      </c>
      <c r="BF5" s="300" t="e">
        <f aca="false">IF($A5="N/A"," ",IF(OR(Dayrun=1,Dayrun=7,Dayrun=8,Dayrun=10,Dayrun=11),MAX(0,(xSPRDOPT(M5,($E5-'Pricing Inputs'!$X40*$D5),$CV5,0,($CQ5+IF(Smile=TRUE(),VLOOKUP(MAX(-5,$H5-M5),Volsmile,2),0)),$CT5,$CU5,($A5-DateToday)+15,ABS(Option-2),1)*DF5*8)),0))</f>
        <v>#N/A</v>
      </c>
      <c r="BG5" s="300" t="e">
        <f aca="false">IF($A5="N/A"," ",IF(OR(Dayrun&lt;=2,Dayrun&gt;=10),IF(OffPeakEx=TRUE(),MAX(0,(xSPRDOPT(N5,($E5-'Pricing Inputs'!$X40*$D5),$CV5,0,($CQ5+IF(Smile=TRUE(),VLOOKUP(MAX(-5,$H5-N5),Volsmile,2),0)),$CT5,$CU5,($A5-DateToday)+15,ABS(Option-2),1)*DF5*8)),0),0))</f>
        <v>#N/A</v>
      </c>
      <c r="BH5" s="300" t="e">
        <f aca="false">IF($A5="N/A"," ",IF(OR(Dayrun=1,Dayrun=5,Dayrun=8,Dayrun=11),MAX(0,(xSPRDOPT(O5,($E5-'Pricing Inputs'!$X40*$D5),$CV5,0,($CQ5+IF(Smile=TRUE(),VLOOKUP(MAX(-5,$H5-O5),Volsmile,2),0)),$CT5,$CU5,($A5-DateToday)+15,ABS(Option-2),1)*DG5*8)),0))</f>
        <v>#N/A</v>
      </c>
      <c r="BI5" s="300" t="e">
        <f aca="false">IF($A5="N/A"," ",IF(OR(Dayrun=1,Dayrun=8,Dayrun=11),MAX(0,(xSPRDOPT(P5,($E5-'Pricing Inputs'!$X40*$D5),$CV5,0,($CQ5+IF(Smile=TRUE(),VLOOKUP(MAX(-5,$H5-P5),Volsmile,2),0)),$CT5,$CU5,($A5-DateToday)+15,ABS(Option-2),1)*DG5*8)),0))</f>
        <v>#N/A</v>
      </c>
      <c r="BJ5" s="301" t="e">
        <f aca="false">IF($A5="N/A"," ",IF(OR(Dayrun&lt;=2,Dayrun&gt;=11),IF(OffPeakEx=TRUE(),MAX(0,(xSPRDOPT(Q5,($E5-'Pricing Inputs'!$X40*$D5),$CV5,0,($CQ5+IF(Smile=TRUE(),VLOOKUP(MAX(-5,$H5-Q5),Volsmile,2),0)),$CT5,$CU5,($A5-DateToday)+15,ABS(Option-2),1)*DG5*8)),0),0))</f>
        <v>#N/A</v>
      </c>
      <c r="BK5" s="302" t="e">
        <f aca="false">IF($A5="N/A"," ",R5*$AS5)</f>
        <v>#N/A</v>
      </c>
      <c r="BL5" s="303" t="e">
        <f aca="false">IF($A5="N/A"," ",S5*$AT5)</f>
        <v>#N/A</v>
      </c>
      <c r="BM5" s="303" t="e">
        <f aca="false">IF($A5="N/A"," ",T5*$AU5)</f>
        <v>#N/A</v>
      </c>
      <c r="BN5" s="303" t="e">
        <f aca="false">IF($A5="N/A"," ",U5*$AV5)</f>
        <v>#N/A</v>
      </c>
      <c r="BO5" s="303" t="e">
        <f aca="false">IF($A5="N/A"," ",V5*$AW5)</f>
        <v>#N/A</v>
      </c>
      <c r="BP5" s="303" t="e">
        <f aca="false">IF($A5="N/A"," ",W5*$AX5)</f>
        <v>#N/A</v>
      </c>
      <c r="BQ5" s="303" t="e">
        <f aca="false">IF($A5="N/A"," ",X5*$AY5)</f>
        <v>#N/A</v>
      </c>
      <c r="BR5" s="303" t="e">
        <f aca="false">IF($A5="N/A"," ",Y5*$AZ5)</f>
        <v>#N/A</v>
      </c>
      <c r="BS5" s="304" t="e">
        <f aca="false">IF($A5="N/A"," ",Z5*$BA5)</f>
        <v>#N/A</v>
      </c>
      <c r="BT5" s="305" t="e">
        <f aca="false">IF($A5="N/A"," ",AA5*$AS5)</f>
        <v>#N/A</v>
      </c>
      <c r="BU5" s="306" t="e">
        <f aca="false">IF($A5="N/A"," ",AB5*$AT5)</f>
        <v>#N/A</v>
      </c>
      <c r="BV5" s="306" t="e">
        <f aca="false">IF($A5="N/A"," ",AC5*$AU5)</f>
        <v>#N/A</v>
      </c>
      <c r="BW5" s="306" t="e">
        <f aca="false">IF($A5="N/A"," ",AD5*$AV5)</f>
        <v>#N/A</v>
      </c>
      <c r="BX5" s="306" t="e">
        <f aca="false">IF($A5="N/A"," ",AE5*$AW5)</f>
        <v>#N/A</v>
      </c>
      <c r="BY5" s="306" t="e">
        <f aca="false">IF($A5="N/A"," ",AF5*$AX5)</f>
        <v>#N/A</v>
      </c>
      <c r="BZ5" s="306" t="e">
        <f aca="false">IF($A5="N/A"," ",AG5*$AY5)</f>
        <v>#N/A</v>
      </c>
      <c r="CA5" s="306" t="e">
        <f aca="false">IF($A5="N/A"," ",AH5*$AZ5)</f>
        <v>#N/A</v>
      </c>
      <c r="CB5" s="307" t="e">
        <f aca="false">IF($A5="N/A"," ",AI5*$BA5)</f>
        <v>#N/A</v>
      </c>
      <c r="CC5" s="308" t="e">
        <f aca="false">IF($A5="N/A"," ",AJ5*$AS5)</f>
        <v>#N/A</v>
      </c>
      <c r="CD5" s="309" t="e">
        <f aca="false">IF($A5="N/A"," ",AK5*$AT5)</f>
        <v>#N/A</v>
      </c>
      <c r="CE5" s="309" t="e">
        <f aca="false">IF($A5="N/A"," ",AL5*$AU5)</f>
        <v>#N/A</v>
      </c>
      <c r="CF5" s="309" t="e">
        <f aca="false">IF($A5="N/A"," ",AM5*$AV5)</f>
        <v>#N/A</v>
      </c>
      <c r="CG5" s="309" t="e">
        <f aca="false">IF($A5="N/A"," ",AN5*$AW5)</f>
        <v>#N/A</v>
      </c>
      <c r="CH5" s="309" t="e">
        <f aca="false">IF($A5="N/A"," ",AO5*$AX5)</f>
        <v>#N/A</v>
      </c>
      <c r="CI5" s="309" t="e">
        <f aca="false">IF($A5="N/A"," ",AP5*$AY5)</f>
        <v>#N/A</v>
      </c>
      <c r="CJ5" s="309" t="e">
        <f aca="false">IF($A5="N/A"," ",AQ5*$AZ5)</f>
        <v>#N/A</v>
      </c>
      <c r="CK5" s="310" t="e">
        <f aca="false">IF($A5="N/A"," ",AR5*$BA5)</f>
        <v>#N/A</v>
      </c>
      <c r="CL5" s="311" t="n">
        <f aca="false">IF(A5="N/A"," ",(VLOOKUP(A5,PowerVolTable,(IF(VolBMO=2,7,IF(VolBMO=1,6,8))),FALSE())))</f>
        <v>0.52</v>
      </c>
      <c r="CM5" s="312" t="n">
        <f aca="false">IF(A5="N/A"," ",(VLOOKUP(A5,IntraPowerVol,(IF(VolBMO=2,3,IF(VolBMO=1,2,4))),FALSE())*VLOOKUP(MONTH($A5),Volscale,2)))</f>
        <v>0.9</v>
      </c>
      <c r="CN5" s="312" t="n">
        <f aca="false">IF($A5="N/A"," ",IF(VolType=1,CM5,CL5))</f>
        <v>0.9</v>
      </c>
      <c r="CO5" s="312" t="n">
        <f aca="false">IF($A5="N/A"," ",(VLOOKUP($A5,OffPeakVol,(IF(VolBMO=2,7,IF(VolBMO=1,6,8))),FALSE())))</f>
        <v>0.26</v>
      </c>
      <c r="CP5" s="312" t="n">
        <f aca="false">IF($A5="N/A"," ",(VLOOKUP($A5,OffPeakVol,(IF(VolBMO=2,3,IF(VolBMO=1,2,4))),FALSE())*VLOOKUP(MONTH($A5),Volscale,2)))</f>
        <v>0.54</v>
      </c>
      <c r="CQ5" s="312" t="n">
        <f aca="false">IF($A5="N/A"," ",IF(VolType=1,CP5,CO5))</f>
        <v>0.54</v>
      </c>
      <c r="CR5" s="312" t="e">
        <f aca="false">IF($A5="N/A"," ",(VLOOKUP($A5,GasVolTable,(IF(VolBMO=2,6,IF(VolBMO=1,7,5))),FALSE())))</f>
        <v>#N/A</v>
      </c>
      <c r="CS5" s="312" t="e">
        <f aca="false">IF($A5="N/A"," ",(VLOOKUP($A5,OmicronVol,(IF(VolBMO=2,3,IF(VolBMO=1,4,2))),FALSE())))</f>
        <v>#N/A</v>
      </c>
      <c r="CT5" s="312" t="e">
        <f aca="false">IF($A5="N/A"," ",(IF(DateToday&gt;$A5,$CS5,IF(VolType=1,((($CR5^2)*((($A5-1)-DateToday)/((EOMONTH($A5,0)+1)-DateToday-15)))+((($CS5)^2)*((15)/((EOMONTH($A5,0)+1)-DateToday-15))))^0.5,CR5))))</f>
        <v>#N/A</v>
      </c>
      <c r="CU5" s="312" t="n">
        <f aca="false">IF($A5="N/A"," ",IF('Pricing Inputs'!$AR$23=TRUE(),Inputs!$S$22,VLOOKUP($A5,CorrelationTable,2,FALSE())))</f>
        <v>0.75</v>
      </c>
      <c r="CV5" s="313" t="n">
        <f aca="false">IF($A5="N/A"," ",F5+G5+(D5*('Pricing Inputs'!X40)))</f>
        <v>0</v>
      </c>
      <c r="CW5" s="314" t="n">
        <f aca="false">IF($A5="N/A"," ",IF(PV=1,0,'Pricing Inputs'!Y40))</f>
        <v>2</v>
      </c>
      <c r="CX5" s="315" t="n">
        <f aca="false">IF($A5="N/A"," ",(1+CW5/2)^(-2*((EOMONTH(A5,0)+20)-DateToday)/365.25))</f>
        <v>228444401218557</v>
      </c>
      <c r="CY5" s="316" t="n">
        <f aca="false">IF($A5="N/A"," ",(IF(MONTH(A5)&gt;=4,IF(MONTH(A5)&lt;=10,Inputs!$S$26,Inputs!$S$27),Inputs!$S$27))*$CX5)</f>
        <v>28098661349882500</v>
      </c>
      <c r="CZ5" s="317" t="e">
        <f aca="false">IF($A5="N/A"," ",BK5+BL5+BN5+BO5+BQ5+BR5)</f>
        <v>#N/A</v>
      </c>
      <c r="DA5" s="318" t="e">
        <f aca="false">IF($A5="N/A"," ",BM5+BP5+BS5)</f>
        <v>#N/A</v>
      </c>
      <c r="DB5" s="319" t="e">
        <f aca="false">IF($A5="N/A"," ",BT5+BU5+BW5+BX5+BZ5+CA5)</f>
        <v>#N/A</v>
      </c>
      <c r="DC5" s="319" t="e">
        <f aca="false">IF($A5="N/A"," ",BV5+BY5+CB5)</f>
        <v>#N/A</v>
      </c>
      <c r="DD5" s="320" t="e">
        <f aca="false">IF($A5="N/A"," ",SUM(CC5:CK5))</f>
        <v>#N/A</v>
      </c>
      <c r="DE5" s="321" t="n">
        <f aca="false">IF($A5="N/A"," ",VLOOKUP($A5,NumberofDaysTable,2)*Availability)</f>
        <v>20.7</v>
      </c>
      <c r="DF5" s="94" t="n">
        <f aca="false">IF($A5="N/A"," ",VLOOKUP($A5,NumberofDaysTable,3)*Availability)</f>
        <v>3.6</v>
      </c>
      <c r="DG5" s="322" t="n">
        <f aca="false">IF($A5="N/A"," ",VLOOKUP($A5,NumberofDaysTable,4)*Availability)</f>
        <v>3.6</v>
      </c>
      <c r="DH5" s="323" t="n">
        <f aca="false">IF($A5="N/A"," ",IF(Option=1,$D5*Inputs!$S$15*SUM(AS5:BA5),0))</f>
        <v>0</v>
      </c>
      <c r="DI5" s="324" t="n">
        <f aca="false">IF($A5="N/A"," ",IF(Option=1,$D5*Inputs!$S$16*SUM(AS5:BA5),0))</f>
        <v>0</v>
      </c>
      <c r="DJ5" s="325" t="n">
        <f aca="false">IF($A5="N/A"," ",SUM(AS5:AT5))</f>
        <v>9.30627663908109E+018</v>
      </c>
      <c r="DK5" s="325" t="n">
        <f aca="false">IF($A5="N/A"," ",SUM(AU5:BA5))</f>
        <v>9.50858700080024E+018</v>
      </c>
      <c r="DL5" s="325" t="e">
        <f aca="false">IF($A5="N/A"," ",SUM(BB5:BC5))</f>
        <v>#N/A</v>
      </c>
      <c r="DM5" s="325" t="e">
        <f aca="false">IF($A5="N/A"," ",SUM(BD5:BJ5))</f>
        <v>#N/A</v>
      </c>
    </row>
    <row r="6" customFormat="false" ht="12.75" hidden="false" customHeight="false" outlineLevel="0" collapsed="false">
      <c r="A6" s="282" t="n">
        <f aca="false">IF(A5="N/A","N/A",IF(EDATE(A5,1)&gt;Inputs!$S$5,"N/A",EDATE(A5,1)))</f>
        <v>37196</v>
      </c>
      <c r="B6" s="283" t="n">
        <f aca="false">IF(A6="N/A"," ",YEAR(A6))</f>
        <v>2001</v>
      </c>
      <c r="C6" s="284" t="e">
        <f aca="false">IF(A6="N/A"," ",VLOOKUP(A6,ScaledPrice,14))</f>
        <v>#N/A</v>
      </c>
      <c r="D6" s="285" t="n">
        <f aca="false">IF(A6="N/A"," ",(VLOOKUP(MONTH($A6),Hrtable,2))/1000)</f>
        <v>9.5</v>
      </c>
      <c r="E6" s="286" t="e">
        <f aca="false">IF($A6="N/A"," ",(C6)*D6)</f>
        <v>#N/A</v>
      </c>
      <c r="F6" s="287" t="n">
        <f aca="false">IF(A6="N/A"," ",VOM*(1+VOMesc)^(YEAR(A6)-YEAR(Today)))</f>
        <v>0</v>
      </c>
      <c r="G6" s="287" t="n">
        <f aca="false">IF(A6="N/A"," ",Perstart/VLOOKUP(Dayrun,'Pricing Inputs'!$AQ$4:$AS$14,3)/(CY6/CX6))</f>
        <v>0</v>
      </c>
      <c r="H6" s="288" t="e">
        <f aca="false">IF(A6="N/A"," ",SUM(E6:G6))</f>
        <v>#N/A</v>
      </c>
      <c r="I6" s="289" t="n">
        <f aca="false">VLOOKUP($A6,ScaledPrice,6)</f>
        <v>28</v>
      </c>
      <c r="J6" s="290" t="n">
        <f aca="false">VLOOKUP($A6,ScaledPrice,10)</f>
        <v>28</v>
      </c>
      <c r="K6" s="290" t="n">
        <f aca="false">VLOOKUP($A6,ScaledPrice,13)</f>
        <v>16.5000009536743</v>
      </c>
      <c r="L6" s="290" t="n">
        <f aca="false">VLOOKUP($A6,ScaledPrice,7)</f>
        <v>31</v>
      </c>
      <c r="M6" s="290" t="n">
        <f aca="false">VLOOKUP($A6,ScaledPrice,11)</f>
        <v>31</v>
      </c>
      <c r="N6" s="290" t="n">
        <f aca="false">VLOOKUP($A6,ScaledPrice,13)</f>
        <v>16.5000009536743</v>
      </c>
      <c r="O6" s="290" t="n">
        <f aca="false">VLOOKUP($A6,ScaledPrice,8)</f>
        <v>31</v>
      </c>
      <c r="P6" s="290" t="n">
        <f aca="false">VLOOKUP($A6,ScaledPrice,12)</f>
        <v>31</v>
      </c>
      <c r="Q6" s="291" t="n">
        <f aca="false">VLOOKUP($A6,ScaledPrice,13)</f>
        <v>16.5000009536743</v>
      </c>
      <c r="R6" s="292" t="e">
        <f aca="false">IF($A6="N/A"," ",IF(Dayrun&gt;=3,IF(Option=1,MAX($I6-$H6,0),IF(Option=2,MAX($H6-$I6,0),0)),0))</f>
        <v>#N/A</v>
      </c>
      <c r="S6" s="286" t="e">
        <f aca="false">IF($A6="N/A"," ",IF(Dayrun&gt;=6,IF(Option=1,MAX($J6-H6,0),IF(Option=2,MAX(H6-$J6,0),0)),0))</f>
        <v>#N/A</v>
      </c>
      <c r="T6" s="286" t="e">
        <f aca="false">IF($A6="N/A"," ",IF(OR(Dayrun&lt;=2,Dayrun&gt;=9),IF(Option=1,MAX($K6-$H6,0),IF(Option=2,MAX($H6-$K6,0),0)),0))</f>
        <v>#N/A</v>
      </c>
      <c r="U6" s="286" t="e">
        <f aca="false">IF($A6="N/A"," ",IF(OR(Dayrun=1,Dayrun=4,Dayrun=5,Dayrun=7,Dayrun=8,Dayrun=10,Dayrun=11),IF(Option=1,MAX($L6-H6,0),IF(Option=2,MAX(H6-$L6,0),0)),0))</f>
        <v>#N/A</v>
      </c>
      <c r="V6" s="286" t="e">
        <f aca="false">IF($A6="N/A"," ",IF(OR(Dayrun=1,Dayrun=7,Dayrun=8,Dayrun=10,Dayrun=11),IF(Option=1,MAX($M6-H6,0),IF(Option=2,MAX(H6-$M6,0),0)),0))</f>
        <v>#N/A</v>
      </c>
      <c r="W6" s="286" t="e">
        <f aca="false">IF($A6="N/A"," ",IF(OR(Dayrun&lt;=2,Dayrun&gt;=10),IF(Option=1,MAX($N6-$H6,0),IF(Option=2,MAX($H6-$N6,0),0)),0))</f>
        <v>#N/A</v>
      </c>
      <c r="X6" s="286" t="e">
        <f aca="false">IF($A6="N/A"," ",IF(OR(Dayrun=1,Dayrun=5,Dayrun=8,Dayrun=11),IF(Option=1,MAX($O6-H6,0),IF(Option=2,MAX(H6-$O6,0),0)),0))</f>
        <v>#N/A</v>
      </c>
      <c r="Y6" s="286" t="e">
        <f aca="false">IF($A6="N/A"," ",IF(OR(Dayrun=1,Dayrun=8,Dayrun=11),IF(Option=1,MAX($P6-H6,0),IF(Option=2,MAX(H6-$P6,0),0)),0))</f>
        <v>#N/A</v>
      </c>
      <c r="Z6" s="293" t="e">
        <f aca="false">IF($A6="N/A"," ",IF(OR(Dayrun&lt;=2,Dayrun&gt;=11),IF(Option=1,MAX($Q6-$H6,0),IF(Option=2,MAX($H6-$Q6,0),0)),0))</f>
        <v>#N/A</v>
      </c>
      <c r="AA6" s="289" t="e">
        <f aca="false">IF($A6="N/A"," ",IF(Dayrun&gt;=3,(MAX(0,(xSPRDOPT(I6,($E6-'Pricing Inputs'!$X41*$D6),$CV6,0,($CN6+IF(Smile=TRUE(),VLOOKUP(MAX(-5,$H6-I6),Volsmile,2),0)),$CT6,$CU6,($A6-DateToday)+15,ABS(Option-2),0)-R6))),0))</f>
        <v>#N/A</v>
      </c>
      <c r="AB6" s="290" t="e">
        <f aca="false">IF($A6="N/A"," ",IF(Dayrun&gt;=6,MAX(0,(xSPRDOPT(J6,($E6-'Pricing Inputs'!$X41*$D6),$CV6,0,($CN6+IF(Smile=TRUE(),VLOOKUP(MAX(-5,$H6-J6),Volsmile,2),0)),$CT6,$CU6,($A6-DateToday)+15,ABS(Option-2),0)-S6)),0))</f>
        <v>#N/A</v>
      </c>
      <c r="AC6" s="290" t="e">
        <f aca="false">IF($A6="N/A"," ",IF(OR(Dayrun&lt;=2,Dayrun&gt;=9),IF(OffPeakEx=TRUE(),MAX(0,(xSPRDOPT(K6,($E6-'Pricing Inputs'!$X41*$D6),$CV6,0,($CQ6+IF(Smile=TRUE(),VLOOKUP(MAX(-5,$H6-K6),Volsmile,2),0)),$CT6,$CU6,($A6-DateToday)+15,ABS(Option-2),0)-T6)),0),0))</f>
        <v>#N/A</v>
      </c>
      <c r="AD6" s="290" t="e">
        <f aca="false">IF($A6="N/A"," ",IF(OR(Dayrun=1,Dayrun=4,Dayrun=5,Dayrun=7,Dayrun=8,Dayrun=10,Dayrun=11),MAX(0,(xSPRDOPT(L6,($E6-'Pricing Inputs'!$X41*$D6),$CV6,0,($CQ6+IF(Smile=TRUE(),VLOOKUP(MAX(-5,$H6-L6),Volsmile,2),0)),$CT6,$CU6,($A6-DateToday)+15,ABS(Option-2),0)-U6)),0))</f>
        <v>#N/A</v>
      </c>
      <c r="AE6" s="290" t="e">
        <f aca="false">IF($A6="N/A"," ",IF(OR(Dayrun=1,Dayrun=7,Dayrun=8,Dayrun=10,Dayrun=11),MAX(0,(xSPRDOPT(M6,($E6-'Pricing Inputs'!$X41*$D6),$CV6,0,($CQ6+IF(Smile=TRUE(),VLOOKUP(MAX(-5,$H6-M6),Volsmile,2),0)),$CT6,$CU6,($A6-DateToday)+15,ABS(Option-2),0)-V6)),0))</f>
        <v>#N/A</v>
      </c>
      <c r="AF6" s="290" t="e">
        <f aca="false">IF($A6="N/A"," ",IF(OR(Dayrun&lt;=2,Dayrun&gt;=10),IF(OffPeakEx=TRUE(),MAX(0,(xSPRDOPT(N6,($E6-'Pricing Inputs'!$X41*$D6),$CV6,0,($CQ6+IF(Smile=TRUE(),VLOOKUP(MAX(-5,$H6-N6),Volsmile,2),0)),$CT6,$CU6,($A6-DateToday)+15,ABS(Option-2),0)-W6)),0),0))</f>
        <v>#N/A</v>
      </c>
      <c r="AG6" s="290" t="e">
        <f aca="false">IF($A6="N/A"," ",IF(OR(Dayrun=1,Dayrun=5,Dayrun=8,Dayrun=11),MAX(0,(xSPRDOPT(O6,($E6-'Pricing Inputs'!$X41*$D6),$CV6,0,($CQ6+IF(Smile=TRUE(),VLOOKUP(MAX(-5,$H6-O6),Volsmile,2),0)),$CT6,$CU6,($A6-DateToday)+15,ABS(Option-2),0)-X6)),0))</f>
        <v>#N/A</v>
      </c>
      <c r="AH6" s="290" t="e">
        <f aca="false">IF($A6="N/A"," ",IF(OR(Dayrun=1,Dayrun=8,Dayrun=11),MAX(0,(xSPRDOPT(P6,($E6-'Pricing Inputs'!$X41*$D6),$CV6,0,($CQ6+IF(Smile=TRUE(),VLOOKUP(MAX(-5,$H6-P6),Volsmile,2),0)),$CT6,$CU6,($A6-DateToday)+15,ABS(Option-2),0)-Y6)),0))</f>
        <v>#N/A</v>
      </c>
      <c r="AI6" s="290" t="e">
        <f aca="false">IF($A6="N/A"," ",IF(OR(Dayrun&lt;=2,Dayrun&gt;=11),IF(OffPeakEx=TRUE(),MAX(0,(xSPRDOPT(Q6,($E6-'Pricing Inputs'!$X41*$D6),$CV6,0,($CQ6+IF(Smile=TRUE(),VLOOKUP(MAX(-5,$H6-Q6),Volsmile,2),0)),$CT6,$CU6,($A6-DateToday)+15,ABS(Option-2),0)-Z6)),0),0))</f>
        <v>#N/A</v>
      </c>
      <c r="AJ6" s="294" t="e">
        <f aca="false">IF($A6="N/A"," ",IF(Dayrun&gt;=3,IF(Option=1,$I6-$H6,IF(Option=2,$H6-$I6)),0))</f>
        <v>#N/A</v>
      </c>
      <c r="AK6" s="295" t="e">
        <f aca="false">IF($A6="N/A"," ",IF(Dayrun&gt;=6,IF(Option=1,$J6-H6,IF(Option=2,H6-$J6)),0))</f>
        <v>#N/A</v>
      </c>
      <c r="AL6" s="295" t="e">
        <f aca="false">IF($A6="N/A"," ",IF(OR(Dayrun&lt;=2,Dayrun&gt;=9),IF(Option=1,$K6-$H6,IF(Option=2,$H6-$K6)),0))</f>
        <v>#N/A</v>
      </c>
      <c r="AM6" s="295" t="e">
        <f aca="false">IF($A6="N/A"," ",IF(OR(Dayrun=1,Dayrun=4,Dayrun=5,Dayrun=7,Dayrun=8,Dayrun=10,Dayrun=11),IF(Option=1,$L6-H6,IF(Option=2,H6-$L6)),0))</f>
        <v>#N/A</v>
      </c>
      <c r="AN6" s="295" t="e">
        <f aca="false">IF($A6="N/A"," ",IF(OR(Dayrun=1,Dayrun=7,Dayrun=8,Dayrun=10,Dayrun=11),IF(Option=1,$M6-H6,IF(Option=2,H6-$M6)),0))</f>
        <v>#N/A</v>
      </c>
      <c r="AO6" s="295" t="e">
        <f aca="false">IF($A6="N/A"," ",IF(OR(Dayrun&lt;=2,Dayrun&gt;=9),IF(Option=1,$N6-$H6,IF(Option=2,$H6-$N6)),0))</f>
        <v>#N/A</v>
      </c>
      <c r="AP6" s="295" t="e">
        <f aca="false">IF($A6="N/A"," ",IF(OR(Dayrun=1,Dayrun=5,Dayrun=8,Dayrun=11),IF(Option=1,$O6-H6,IF(Option=2,H6-$O6)),0))</f>
        <v>#N/A</v>
      </c>
      <c r="AQ6" s="295" t="e">
        <f aca="false">IF($A6="N/A"," ",IF(OR(Dayrun=1,Dayrun=8,Dayrun=11),IF(Option=1,$P6-H6,IF(Option=2,H6-$P6)),0))</f>
        <v>#N/A</v>
      </c>
      <c r="AR6" s="296" t="e">
        <f aca="false">IF($A6="N/A"," ",IF(OR(Dayrun&lt;=2,Dayrun&gt;=9),IF(Option=1,$Q6-H6,IF(Option=2,H6-$Q6)),0))</f>
        <v>#N/A</v>
      </c>
      <c r="AS6" s="297" t="n">
        <f aca="false">IF($A6="N/A"," ",IF(VLOOKUP(MONTH($A6),ManualTable,2)=1,IF(Dayrun&gt;=3,$DE6*8*$CY6,0),0))</f>
        <v>3.79128915592774E+018</v>
      </c>
      <c r="AT6" s="297" t="n">
        <f aca="false">IF($A6="N/A"," ",IF(VLOOKUP(MONTH($A6),ManualTable,3)=1,IF(Dayrun&gt;=6,$DE6*8*$CY6,0),0))</f>
        <v>3.79128915592774E+018</v>
      </c>
      <c r="AU6" s="297" t="n">
        <f aca="false">IF($A6="N/A"," ",IF(VLOOKUP(MONTH($A6),ManualTable,4)=1,IF(OR(Dayrun&lt;=2,Dayrun&gt;=9),$DE6*8*$CY6,0),0))</f>
        <v>3.79128915592774E+018</v>
      </c>
      <c r="AV6" s="297" t="n">
        <f aca="false">IF($A6="N/A"," ",IF(VLOOKUP(MONTH($A6),ManualTable,5)=1,IF(OR(Dayrun=1,Dayrun=4,Dayrun=5,Dayrun=7,Dayrun=8,Dayrun=10,Dayrun=11),$DF6*8*$CY6,0),0))</f>
        <v>7.22150315414807E+017</v>
      </c>
      <c r="AW6" s="297" t="n">
        <f aca="false">IF($A6="N/A"," ",IF(VLOOKUP(MONTH($A6),ManualTable,6)=1,IF(OR(Dayrun=1,Dayrun=7,Dayrun=8,Dayrun=10,Dayrun=11),$DF6*8*$CY6,0),0))</f>
        <v>7.22150315414807E+017</v>
      </c>
      <c r="AX6" s="297" t="n">
        <f aca="false">IF($A6="N/A"," ",IF(VLOOKUP(MONTH($A6),ManualTable,7)=1,IF(OR(Dayrun&lt;=2,Dayrun&gt;=9),$DF6*8*$CY6,0),0))</f>
        <v>7.22150315414807E+017</v>
      </c>
      <c r="AY6" s="297" t="n">
        <f aca="false">IF($A6="N/A"," ",IF(VLOOKUP(MONTH($A6),ManualTable,8)=1,IF(OR(Dayrun=1,Dayrun=5,Dayrun=8,Dayrun=11),$DG6*8*$CY6,0),0))</f>
        <v>9.02687894268509E+017</v>
      </c>
      <c r="AZ6" s="297" t="n">
        <f aca="false">IF($A6="N/A"," ",IF(VLOOKUP(MONTH($A6),ManualTable,9)=1,IF(OR(Dayrun=1,Dayrun=8,Dayrun=11),$DG6*8*$CY6,0),0))</f>
        <v>9.02687894268509E+017</v>
      </c>
      <c r="BA6" s="298" t="n">
        <f aca="false">IF($A6="N/A"," ",IF(VLOOKUP(MONTH($A6),ManualTable,10)=1,IF(OR(Dayrun&lt;=2,Dayrun&gt;=9),$DG6*8*$CY6,0),0))</f>
        <v>9.02687894268509E+017</v>
      </c>
      <c r="BB6" s="299" t="e">
        <f aca="false">IF($A6="N/A"," ",IF(Dayrun&gt;=3,(MAX(0,(xSPRDOPT(I6,($E6-'Pricing Inputs'!$X41*$D6),$CV6,0,($CN6+IF(Smile=TRUE(),VLOOKUP(MAX(-5,$H6-I6),Volsmile,2),0)),$CT6,$CU6,($A6-DateToday)+15,ABS(Option-2),1)*DE6*8))),0))</f>
        <v>#N/A</v>
      </c>
      <c r="BC6" s="300" t="e">
        <f aca="false">IF($A6="N/A"," ",IF(Dayrun&gt;=6,MAX(0,(xSPRDOPT(J6,($E6-'Pricing Inputs'!$X41*$D6),$CV6,0,($CN6+IF(Smile=TRUE(),VLOOKUP(MAX(-5,$H6-J6),Volsmile,2),0)),$CT6,$CU6,($A6-DateToday)+15,ABS(Option-2),1)*DE6*8)),0))</f>
        <v>#N/A</v>
      </c>
      <c r="BD6" s="300" t="e">
        <f aca="false">IF($A6="N/A"," ",IF(OR(Dayrun&lt;=2,Dayrun&gt;=9),IF(OffPeakEx=TRUE(),MAX(0,(xSPRDOPT(K6,($E6-'Pricing Inputs'!$X41*$D6),$CV6,0,($CQ6+IF(Smile=TRUE(),VLOOKUP(MAX(-5,$H6-K6),Volsmile,2),0)),$CT6,$CU6,($A6-DateToday)+15,ABS(Option-2),1)*DE6*8)),0),0))</f>
        <v>#N/A</v>
      </c>
      <c r="BE6" s="300" t="e">
        <f aca="false">IF($A6="N/A"," ",IF(OR(Dayrun=1,Dayrun=4,Dayrun=5,Dayrun=7,Dayrun=8,Dayrun=10,Dayrun=11),MAX(0,(xSPRDOPT(L6,($E6-'Pricing Inputs'!$X41*$D6),$CV6,0,($CQ6+IF(Smile=TRUE(),VLOOKUP(MAX(-5,$H6-L6),Volsmile,2),0)),$CT6,$CU6,($A6-DateToday)+15,ABS(Option-2),1)*DF6*8)),0))</f>
        <v>#N/A</v>
      </c>
      <c r="BF6" s="300" t="e">
        <f aca="false">IF($A6="N/A"," ",IF(OR(Dayrun=1,Dayrun=7,Dayrun=8,Dayrun=10,Dayrun=11),MAX(0,(xSPRDOPT(M6,($E6-'Pricing Inputs'!$X41*$D6),$CV6,0,($CQ6+IF(Smile=TRUE(),VLOOKUP(MAX(-5,$H6-M6),Volsmile,2),0)),$CT6,$CU6,($A6-DateToday)+15,ABS(Option-2),1)*DF6*8)),0))</f>
        <v>#N/A</v>
      </c>
      <c r="BG6" s="300" t="e">
        <f aca="false">IF($A6="N/A"," ",IF(OR(Dayrun&lt;=2,Dayrun&gt;=10),IF(OffPeakEx=TRUE(),MAX(0,(xSPRDOPT(N6,($E6-'Pricing Inputs'!$X41*$D6),$CV6,0,($CQ6+IF(Smile=TRUE(),VLOOKUP(MAX(-5,$H6-N6),Volsmile,2),0)),$CT6,$CU6,($A6-DateToday)+15,ABS(Option-2),1)*DF6*8)),0),0))</f>
        <v>#N/A</v>
      </c>
      <c r="BH6" s="300" t="e">
        <f aca="false">IF($A6="N/A"," ",IF(OR(Dayrun=1,Dayrun=5,Dayrun=8,Dayrun=11),MAX(0,(xSPRDOPT(O6,($E6-'Pricing Inputs'!$X41*$D6),$CV6,0,($CQ6+IF(Smile=TRUE(),VLOOKUP(MAX(-5,$H6-O6),Volsmile,2),0)),$CT6,$CU6,($A6-DateToday)+15,ABS(Option-2),1)*DG6*8)),0))</f>
        <v>#N/A</v>
      </c>
      <c r="BI6" s="300" t="e">
        <f aca="false">IF($A6="N/A"," ",IF(OR(Dayrun=1,Dayrun=8,Dayrun=11),MAX(0,(xSPRDOPT(P6,($E6-'Pricing Inputs'!$X41*$D6),$CV6,0,($CQ6+IF(Smile=TRUE(),VLOOKUP(MAX(-5,$H6-P6),Volsmile,2),0)),$CT6,$CU6,($A6-DateToday)+15,ABS(Option-2),1)*DG6*8)),0))</f>
        <v>#N/A</v>
      </c>
      <c r="BJ6" s="301" t="e">
        <f aca="false">IF($A6="N/A"," ",IF(OR(Dayrun&lt;=2,Dayrun&gt;=11),IF(OffPeakEx=TRUE(),MAX(0,(xSPRDOPT(Q6,($E6-'Pricing Inputs'!$X41*$D6),$CV6,0,($CQ6+IF(Smile=TRUE(),VLOOKUP(MAX(-5,$H6-Q6),Volsmile,2),0)),$CT6,$CU6,($A6-DateToday)+15,ABS(Option-2),1)*DG6*8)),0),0))</f>
        <v>#N/A</v>
      </c>
      <c r="BK6" s="302" t="e">
        <f aca="false">IF($A6="N/A"," ",R6*$AS6)</f>
        <v>#N/A</v>
      </c>
      <c r="BL6" s="303" t="e">
        <f aca="false">IF($A6="N/A"," ",S6*$AT6)</f>
        <v>#N/A</v>
      </c>
      <c r="BM6" s="303" t="e">
        <f aca="false">IF($A6="N/A"," ",T6*$AU6)</f>
        <v>#N/A</v>
      </c>
      <c r="BN6" s="303" t="e">
        <f aca="false">IF($A6="N/A"," ",U6*$AV6)</f>
        <v>#N/A</v>
      </c>
      <c r="BO6" s="303" t="e">
        <f aca="false">IF($A6="N/A"," ",V6*$AW6)</f>
        <v>#N/A</v>
      </c>
      <c r="BP6" s="303" t="e">
        <f aca="false">IF($A6="N/A"," ",W6*$AX6)</f>
        <v>#N/A</v>
      </c>
      <c r="BQ6" s="303" t="e">
        <f aca="false">IF($A6="N/A"," ",X6*$AY6)</f>
        <v>#N/A</v>
      </c>
      <c r="BR6" s="303" t="e">
        <f aca="false">IF($A6="N/A"," ",Y6*$AZ6)</f>
        <v>#N/A</v>
      </c>
      <c r="BS6" s="304" t="e">
        <f aca="false">IF($A6="N/A"," ",Z6*$BA6)</f>
        <v>#N/A</v>
      </c>
      <c r="BT6" s="305" t="e">
        <f aca="false">IF($A6="N/A"," ",AA6*$AS6)</f>
        <v>#N/A</v>
      </c>
      <c r="BU6" s="306" t="e">
        <f aca="false">IF($A6="N/A"," ",AB6*$AT6)</f>
        <v>#N/A</v>
      </c>
      <c r="BV6" s="306" t="e">
        <f aca="false">IF($A6="N/A"," ",AC6*$AU6)</f>
        <v>#N/A</v>
      </c>
      <c r="BW6" s="306" t="e">
        <f aca="false">IF($A6="N/A"," ",AD6*$AV6)</f>
        <v>#N/A</v>
      </c>
      <c r="BX6" s="306" t="e">
        <f aca="false">IF($A6="N/A"," ",AE6*$AW6)</f>
        <v>#N/A</v>
      </c>
      <c r="BY6" s="306" t="e">
        <f aca="false">IF($A6="N/A"," ",AF6*$AX6)</f>
        <v>#N/A</v>
      </c>
      <c r="BZ6" s="306" t="e">
        <f aca="false">IF($A6="N/A"," ",AG6*$AY6)</f>
        <v>#N/A</v>
      </c>
      <c r="CA6" s="306" t="e">
        <f aca="false">IF($A6="N/A"," ",AH6*$AZ6)</f>
        <v>#N/A</v>
      </c>
      <c r="CB6" s="307" t="e">
        <f aca="false">IF($A6="N/A"," ",AI6*$BA6)</f>
        <v>#N/A</v>
      </c>
      <c r="CC6" s="308" t="e">
        <f aca="false">IF($A6="N/A"," ",AJ6*$AS6)</f>
        <v>#N/A</v>
      </c>
      <c r="CD6" s="309" t="e">
        <f aca="false">IF($A6="N/A"," ",AK6*$AT6)</f>
        <v>#N/A</v>
      </c>
      <c r="CE6" s="309" t="e">
        <f aca="false">IF($A6="N/A"," ",AL6*$AU6)</f>
        <v>#N/A</v>
      </c>
      <c r="CF6" s="309" t="e">
        <f aca="false">IF($A6="N/A"," ",AM6*$AV6)</f>
        <v>#N/A</v>
      </c>
      <c r="CG6" s="309" t="e">
        <f aca="false">IF($A6="N/A"," ",AN6*$AW6)</f>
        <v>#N/A</v>
      </c>
      <c r="CH6" s="309" t="e">
        <f aca="false">IF($A6="N/A"," ",AO6*$AX6)</f>
        <v>#N/A</v>
      </c>
      <c r="CI6" s="309" t="e">
        <f aca="false">IF($A6="N/A"," ",AP6*$AY6)</f>
        <v>#N/A</v>
      </c>
      <c r="CJ6" s="309" t="e">
        <f aca="false">IF($A6="N/A"," ",AQ6*$AZ6)</f>
        <v>#N/A</v>
      </c>
      <c r="CK6" s="310" t="e">
        <f aca="false">IF($A6="N/A"," ",AR6*$BA6)</f>
        <v>#N/A</v>
      </c>
      <c r="CL6" s="311" t="n">
        <f aca="false">IF(A6="N/A"," ",(VLOOKUP(A6,PowerVolTable,(IF(VolBMO=2,7,IF(VolBMO=1,6,8))),FALSE())))</f>
        <v>0.43</v>
      </c>
      <c r="CM6" s="312" t="n">
        <f aca="false">IF(A6="N/A"," ",(VLOOKUP(A6,IntraPowerVol,(IF(VolBMO=2,3,IF(VolBMO=1,2,4))),FALSE())*VLOOKUP(MONTH($A6),Volscale,2)))</f>
        <v>0.72</v>
      </c>
      <c r="CN6" s="312" t="n">
        <f aca="false">IF($A6="N/A"," ",IF(VolType=1,CM6,CL6))</f>
        <v>0.72</v>
      </c>
      <c r="CO6" s="312" t="n">
        <f aca="false">IF($A6="N/A"," ",(VLOOKUP($A6,OffPeakVol,(IF(VolBMO=2,7,IF(VolBMO=1,6,8))),FALSE())))</f>
        <v>0.215</v>
      </c>
      <c r="CP6" s="312" t="n">
        <f aca="false">IF($A6="N/A"," ",(VLOOKUP($A6,OffPeakVol,(IF(VolBMO=2,3,IF(VolBMO=1,2,4))),FALSE())*VLOOKUP(MONTH($A6),Volscale,2)))</f>
        <v>0.432</v>
      </c>
      <c r="CQ6" s="312" t="n">
        <f aca="false">IF($A6="N/A"," ",IF(VolType=1,CP6,CO6))</f>
        <v>0.432</v>
      </c>
      <c r="CR6" s="312" t="e">
        <f aca="false">IF($A6="N/A"," ",(VLOOKUP($A6,GasVolTable,(IF(VolBMO=2,6,IF(VolBMO=1,7,5))),FALSE())))</f>
        <v>#N/A</v>
      </c>
      <c r="CS6" s="312" t="e">
        <f aca="false">IF($A6="N/A"," ",(VLOOKUP($A6,OmicronVol,(IF(VolBMO=2,3,IF(VolBMO=1,4,2))),FALSE())))</f>
        <v>#N/A</v>
      </c>
      <c r="CT6" s="312" t="e">
        <f aca="false">IF($A6="N/A"," ",(IF(DateToday&gt;$A6,$CS6,IF(VolType=1,((($CR6^2)*((($A6-1)-DateToday)/((EOMONTH($A6,0)+1)-DateToday-15)))+((($CS6)^2)*((15)/((EOMONTH($A6,0)+1)-DateToday-15))))^0.5,CR6))))</f>
        <v>#N/A</v>
      </c>
      <c r="CU6" s="312" t="n">
        <f aca="false">IF($A6="N/A"," ",IF('Pricing Inputs'!$AR$23=TRUE(),Inputs!$S$22,VLOOKUP($A6,CorrelationTable,2,FALSE())))</f>
        <v>0.75</v>
      </c>
      <c r="CV6" s="313" t="n">
        <f aca="false">IF($A6="N/A"," ",F6+G6+(D6*('Pricing Inputs'!X41)))</f>
        <v>0</v>
      </c>
      <c r="CW6" s="314" t="n">
        <f aca="false">IF($A6="N/A"," ",IF(PV=1,0,'Pricing Inputs'!Y41))</f>
        <v>2</v>
      </c>
      <c r="CX6" s="315" t="n">
        <f aca="false">IF($A6="N/A"," ",(1+CW6/2)^(-2*((EOMONTH(A6,0)+20)-DateToday)/365.25))</f>
        <v>203859054712852</v>
      </c>
      <c r="CY6" s="316" t="n">
        <f aca="false">IF($A6="N/A"," ",(IF(MONTH(A6)&gt;=4,IF(MONTH(A6)&lt;=10,Inputs!$S$26,Inputs!$S$27),Inputs!$S$27))*$CX6)</f>
        <v>25074663729680800</v>
      </c>
      <c r="CZ6" s="317" t="e">
        <f aca="false">IF($A6="N/A"," ",BK6+BL6+BN6+BO6+BQ6+BR6)</f>
        <v>#N/A</v>
      </c>
      <c r="DA6" s="318" t="e">
        <f aca="false">IF($A6="N/A"," ",BM6+BP6+BS6)</f>
        <v>#N/A</v>
      </c>
      <c r="DB6" s="319" t="e">
        <f aca="false">IF($A6="N/A"," ",BT6+BU6+BW6+BX6+BZ6+CA6)</f>
        <v>#N/A</v>
      </c>
      <c r="DC6" s="319" t="e">
        <f aca="false">IF($A6="N/A"," ",BV6+BY6+CB6)</f>
        <v>#N/A</v>
      </c>
      <c r="DD6" s="320" t="e">
        <f aca="false">IF($A6="N/A"," ",SUM(CC6:CK6))</f>
        <v>#N/A</v>
      </c>
      <c r="DE6" s="321" t="n">
        <f aca="false">IF($A6="N/A"," ",VLOOKUP($A6,NumberofDaysTable,2)*Availability)</f>
        <v>18.9</v>
      </c>
      <c r="DF6" s="94" t="n">
        <f aca="false">IF($A6="N/A"," ",VLOOKUP($A6,NumberofDaysTable,3)*Availability)</f>
        <v>3.6</v>
      </c>
      <c r="DG6" s="322" t="n">
        <f aca="false">IF($A6="N/A"," ",VLOOKUP($A6,NumberofDaysTable,4)*Availability)</f>
        <v>4.5</v>
      </c>
      <c r="DH6" s="323" t="n">
        <f aca="false">IF($A6="N/A"," ",IF(Option=1,$D6*Inputs!$S$15*SUM(AS6:BA6),0))</f>
        <v>0</v>
      </c>
      <c r="DI6" s="324" t="n">
        <f aca="false">IF($A6="N/A"," ",IF(Option=1,$D6*Inputs!$S$16*SUM(AS6:BA6),0))</f>
        <v>0</v>
      </c>
      <c r="DJ6" s="325" t="n">
        <f aca="false">IF($A6="N/A"," ",SUM(AS6:AT6))</f>
        <v>7.58257831185548E+018</v>
      </c>
      <c r="DK6" s="325" t="n">
        <f aca="false">IF($A6="N/A"," ",SUM(AU6:BA6))</f>
        <v>8.66580378497769E+018</v>
      </c>
      <c r="DL6" s="325" t="e">
        <f aca="false">IF($A6="N/A"," ",SUM(BB6:BC6))</f>
        <v>#N/A</v>
      </c>
      <c r="DM6" s="325" t="e">
        <f aca="false">IF($A6="N/A"," ",SUM(BD6:BJ6))</f>
        <v>#N/A</v>
      </c>
    </row>
    <row r="7" customFormat="false" ht="12.75" hidden="false" customHeight="false" outlineLevel="0" collapsed="false">
      <c r="A7" s="282" t="n">
        <f aca="false">IF(A6="N/A","N/A",IF(EDATE(A6,1)&gt;Inputs!$S$5,"N/A",EDATE(A6,1)))</f>
        <v>37226</v>
      </c>
      <c r="B7" s="283" t="n">
        <f aca="false">IF(A7="N/A"," ",YEAR(A7))</f>
        <v>2001</v>
      </c>
      <c r="C7" s="284" t="e">
        <f aca="false">IF(A7="N/A"," ",VLOOKUP(A7,ScaledPrice,14))</f>
        <v>#N/A</v>
      </c>
      <c r="D7" s="285" t="n">
        <f aca="false">IF(A7="N/A"," ",(VLOOKUP(MONTH($A7),Hrtable,2))/1000)</f>
        <v>9.5</v>
      </c>
      <c r="E7" s="286" t="e">
        <f aca="false">IF($A7="N/A"," ",(C7)*D7)</f>
        <v>#N/A</v>
      </c>
      <c r="F7" s="287" t="n">
        <f aca="false">IF(A7="N/A"," ",VOM*(1+VOMesc)^(YEAR(A7)-YEAR(Today)))</f>
        <v>0</v>
      </c>
      <c r="G7" s="287" t="n">
        <f aca="false">IF(A7="N/A"," ",Perstart/VLOOKUP(Dayrun,'Pricing Inputs'!$AQ$4:$AS$14,3)/(CY7/CX7))</f>
        <v>0</v>
      </c>
      <c r="H7" s="288" t="e">
        <f aca="false">IF(A7="N/A"," ",SUM(E7:G7))</f>
        <v>#N/A</v>
      </c>
      <c r="I7" s="289" t="n">
        <f aca="false">VLOOKUP($A7,ScaledPrice,6)</f>
        <v>30</v>
      </c>
      <c r="J7" s="290" t="n">
        <f aca="false">VLOOKUP($A7,ScaledPrice,10)</f>
        <v>30</v>
      </c>
      <c r="K7" s="290" t="n">
        <f aca="false">VLOOKUP($A7,ScaledPrice,13)</f>
        <v>17.5</v>
      </c>
      <c r="L7" s="290" t="n">
        <f aca="false">VLOOKUP($A7,ScaledPrice,7)</f>
        <v>27.75</v>
      </c>
      <c r="M7" s="290" t="n">
        <f aca="false">VLOOKUP($A7,ScaledPrice,11)</f>
        <v>27.75</v>
      </c>
      <c r="N7" s="290" t="n">
        <f aca="false">VLOOKUP($A7,ScaledPrice,13)</f>
        <v>17.5</v>
      </c>
      <c r="O7" s="290" t="n">
        <f aca="false">VLOOKUP($A7,ScaledPrice,8)</f>
        <v>27.75</v>
      </c>
      <c r="P7" s="290" t="n">
        <f aca="false">VLOOKUP($A7,ScaledPrice,12)</f>
        <v>27.75</v>
      </c>
      <c r="Q7" s="291" t="n">
        <f aca="false">VLOOKUP($A7,ScaledPrice,13)</f>
        <v>17.5</v>
      </c>
      <c r="R7" s="292" t="e">
        <f aca="false">IF($A7="N/A"," ",IF(Dayrun&gt;=3,IF(Option=1,MAX($I7-$H7,0),IF(Option=2,MAX($H7-$I7,0),0)),0))</f>
        <v>#N/A</v>
      </c>
      <c r="S7" s="286" t="e">
        <f aca="false">IF($A7="N/A"," ",IF(Dayrun&gt;=6,IF(Option=1,MAX($J7-H7,0),IF(Option=2,MAX(H7-$J7,0),0)),0))</f>
        <v>#N/A</v>
      </c>
      <c r="T7" s="286" t="e">
        <f aca="false">IF($A7="N/A"," ",IF(OR(Dayrun&lt;=2,Dayrun&gt;=9),IF(Option=1,MAX($K7-$H7,0),IF(Option=2,MAX($H7-$K7,0),0)),0))</f>
        <v>#N/A</v>
      </c>
      <c r="U7" s="286" t="e">
        <f aca="false">IF($A7="N/A"," ",IF(OR(Dayrun=1,Dayrun=4,Dayrun=5,Dayrun=7,Dayrun=8,Dayrun=10,Dayrun=11),IF(Option=1,MAX($L7-H7,0),IF(Option=2,MAX(H7-$L7,0),0)),0))</f>
        <v>#N/A</v>
      </c>
      <c r="V7" s="286" t="e">
        <f aca="false">IF($A7="N/A"," ",IF(OR(Dayrun=1,Dayrun=7,Dayrun=8,Dayrun=10,Dayrun=11),IF(Option=1,MAX($M7-H7,0),IF(Option=2,MAX(H7-$M7,0),0)),0))</f>
        <v>#N/A</v>
      </c>
      <c r="W7" s="286" t="e">
        <f aca="false">IF($A7="N/A"," ",IF(OR(Dayrun&lt;=2,Dayrun&gt;=10),IF(Option=1,MAX($N7-$H7,0),IF(Option=2,MAX($H7-$N7,0),0)),0))</f>
        <v>#N/A</v>
      </c>
      <c r="X7" s="286" t="e">
        <f aca="false">IF($A7="N/A"," ",IF(OR(Dayrun=1,Dayrun=5,Dayrun=8,Dayrun=11),IF(Option=1,MAX($O7-H7,0),IF(Option=2,MAX(H7-$O7,0),0)),0))</f>
        <v>#N/A</v>
      </c>
      <c r="Y7" s="286" t="e">
        <f aca="false">IF($A7="N/A"," ",IF(OR(Dayrun=1,Dayrun=8,Dayrun=11),IF(Option=1,MAX($P7-H7,0),IF(Option=2,MAX(H7-$P7,0),0)),0))</f>
        <v>#N/A</v>
      </c>
      <c r="Z7" s="293" t="e">
        <f aca="false">IF($A7="N/A"," ",IF(OR(Dayrun&lt;=2,Dayrun&gt;=11),IF(Option=1,MAX($Q7-$H7,0),IF(Option=2,MAX($H7-$Q7,0),0)),0))</f>
        <v>#N/A</v>
      </c>
      <c r="AA7" s="289" t="e">
        <f aca="false">IF($A7="N/A"," ",IF(Dayrun&gt;=3,(MAX(0,(xSPRDOPT(I7,($E7-'Pricing Inputs'!$X42*$D7),$CV7,0,($CN7+IF(Smile=TRUE(),VLOOKUP(MAX(-5,$H7-I7),Volsmile,2),0)),$CT7,$CU7,($A7-DateToday)+15,ABS(Option-2),0)-R7))),0))</f>
        <v>#N/A</v>
      </c>
      <c r="AB7" s="290" t="e">
        <f aca="false">IF($A7="N/A"," ",IF(Dayrun&gt;=6,MAX(0,(xSPRDOPT(J7,($E7-'Pricing Inputs'!$X42*$D7),$CV7,0,($CN7+IF(Smile=TRUE(),VLOOKUP(MAX(-5,$H7-J7),Volsmile,2),0)),$CT7,$CU7,($A7-DateToday)+15,ABS(Option-2),0)-S7)),0))</f>
        <v>#N/A</v>
      </c>
      <c r="AC7" s="290" t="e">
        <f aca="false">IF($A7="N/A"," ",IF(OR(Dayrun&lt;=2,Dayrun&gt;=9),IF(OffPeakEx=TRUE(),MAX(0,(xSPRDOPT(K7,($E7-'Pricing Inputs'!$X42*$D7),$CV7,0,($CQ7+IF(Smile=TRUE(),VLOOKUP(MAX(-5,$H7-K7),Volsmile,2),0)),$CT7,$CU7,($A7-DateToday)+15,ABS(Option-2),0)-T7)),0),0))</f>
        <v>#N/A</v>
      </c>
      <c r="AD7" s="290" t="e">
        <f aca="false">IF($A7="N/A"," ",IF(OR(Dayrun=1,Dayrun=4,Dayrun=5,Dayrun=7,Dayrun=8,Dayrun=10,Dayrun=11),MAX(0,(xSPRDOPT(L7,($E7-'Pricing Inputs'!$X42*$D7),$CV7,0,($CQ7+IF(Smile=TRUE(),VLOOKUP(MAX(-5,$H7-L7),Volsmile,2),0)),$CT7,$CU7,($A7-DateToday)+15,ABS(Option-2),0)-U7)),0))</f>
        <v>#N/A</v>
      </c>
      <c r="AE7" s="290" t="e">
        <f aca="false">IF($A7="N/A"," ",IF(OR(Dayrun=1,Dayrun=7,Dayrun=8,Dayrun=10,Dayrun=11),MAX(0,(xSPRDOPT(M7,($E7-'Pricing Inputs'!$X42*$D7),$CV7,0,($CQ7+IF(Smile=TRUE(),VLOOKUP(MAX(-5,$H7-M7),Volsmile,2),0)),$CT7,$CU7,($A7-DateToday)+15,ABS(Option-2),0)-V7)),0))</f>
        <v>#N/A</v>
      </c>
      <c r="AF7" s="290" t="e">
        <f aca="false">IF($A7="N/A"," ",IF(OR(Dayrun&lt;=2,Dayrun&gt;=10),IF(OffPeakEx=TRUE(),MAX(0,(xSPRDOPT(N7,($E7-'Pricing Inputs'!$X42*$D7),$CV7,0,($CQ7+IF(Smile=TRUE(),VLOOKUP(MAX(-5,$H7-N7),Volsmile,2),0)),$CT7,$CU7,($A7-DateToday)+15,ABS(Option-2),0)-W7)),0),0))</f>
        <v>#N/A</v>
      </c>
      <c r="AG7" s="290" t="e">
        <f aca="false">IF($A7="N/A"," ",IF(OR(Dayrun=1,Dayrun=5,Dayrun=8,Dayrun=11),MAX(0,(xSPRDOPT(O7,($E7-'Pricing Inputs'!$X42*$D7),$CV7,0,($CQ7+IF(Smile=TRUE(),VLOOKUP(MAX(-5,$H7-O7),Volsmile,2),0)),$CT7,$CU7,($A7-DateToday)+15,ABS(Option-2),0)-X7)),0))</f>
        <v>#N/A</v>
      </c>
      <c r="AH7" s="290" t="e">
        <f aca="false">IF($A7="N/A"," ",IF(OR(Dayrun=1,Dayrun=8,Dayrun=11),MAX(0,(xSPRDOPT(P7,($E7-'Pricing Inputs'!$X42*$D7),$CV7,0,($CQ7+IF(Smile=TRUE(),VLOOKUP(MAX(-5,$H7-P7),Volsmile,2),0)),$CT7,$CU7,($A7-DateToday)+15,ABS(Option-2),0)-Y7)),0))</f>
        <v>#N/A</v>
      </c>
      <c r="AI7" s="290" t="e">
        <f aca="false">IF($A7="N/A"," ",IF(OR(Dayrun&lt;=2,Dayrun&gt;=11),IF(OffPeakEx=TRUE(),MAX(0,(xSPRDOPT(Q7,($E7-'Pricing Inputs'!$X42*$D7),$CV7,0,($CQ7+IF(Smile=TRUE(),VLOOKUP(MAX(-5,$H7-Q7),Volsmile,2),0)),$CT7,$CU7,($A7-DateToday)+15,ABS(Option-2),0)-Z7)),0),0))</f>
        <v>#N/A</v>
      </c>
      <c r="AJ7" s="294" t="e">
        <f aca="false">IF($A7="N/A"," ",IF(Dayrun&gt;=3,IF(Option=1,$I7-$H7,IF(Option=2,$H7-$I7)),0))</f>
        <v>#N/A</v>
      </c>
      <c r="AK7" s="295" t="e">
        <f aca="false">IF($A7="N/A"," ",IF(Dayrun&gt;=6,IF(Option=1,$J7-H7,IF(Option=2,H7-$J7)),0))</f>
        <v>#N/A</v>
      </c>
      <c r="AL7" s="295" t="e">
        <f aca="false">IF($A7="N/A"," ",IF(OR(Dayrun&lt;=2,Dayrun&gt;=9),IF(Option=1,$K7-$H7,IF(Option=2,$H7-$K7)),0))</f>
        <v>#N/A</v>
      </c>
      <c r="AM7" s="295" t="e">
        <f aca="false">IF($A7="N/A"," ",IF(OR(Dayrun=1,Dayrun=4,Dayrun=5,Dayrun=7,Dayrun=8,Dayrun=10,Dayrun=11),IF(Option=1,$L7-H7,IF(Option=2,H7-$L7)),0))</f>
        <v>#N/A</v>
      </c>
      <c r="AN7" s="295" t="e">
        <f aca="false">IF($A7="N/A"," ",IF(OR(Dayrun=1,Dayrun=7,Dayrun=8,Dayrun=10,Dayrun=11),IF(Option=1,$M7-H7,IF(Option=2,H7-$M7)),0))</f>
        <v>#N/A</v>
      </c>
      <c r="AO7" s="295" t="e">
        <f aca="false">IF($A7="N/A"," ",IF(OR(Dayrun&lt;=2,Dayrun&gt;=9),IF(Option=1,$N7-$H7,IF(Option=2,$H7-$N7)),0))</f>
        <v>#N/A</v>
      </c>
      <c r="AP7" s="295" t="e">
        <f aca="false">IF($A7="N/A"," ",IF(OR(Dayrun=1,Dayrun=5,Dayrun=8,Dayrun=11),IF(Option=1,$O7-H7,IF(Option=2,H7-$O7)),0))</f>
        <v>#N/A</v>
      </c>
      <c r="AQ7" s="295" t="e">
        <f aca="false">IF($A7="N/A"," ",IF(OR(Dayrun=1,Dayrun=8,Dayrun=11),IF(Option=1,$P7-H7,IF(Option=2,H7-$P7)),0))</f>
        <v>#N/A</v>
      </c>
      <c r="AR7" s="296" t="e">
        <f aca="false">IF($A7="N/A"," ",IF(OR(Dayrun&lt;=2,Dayrun&gt;=9),IF(Option=1,$Q7-H7,IF(Option=2,H7-$Q7)),0))</f>
        <v>#N/A</v>
      </c>
      <c r="AS7" s="297" t="n">
        <f aca="false">IF($A7="N/A"," ",IF(VLOOKUP(MONTH($A7),ManualTable,2)=1,IF(Dayrun&gt;=3,$DE7*8*$CY7,0),0))</f>
        <v>3.20995353971922E+018</v>
      </c>
      <c r="AT7" s="297" t="n">
        <f aca="false">IF($A7="N/A"," ",IF(VLOOKUP(MONTH($A7),ManualTable,3)=1,IF(Dayrun&gt;=6,$DE7*8*$CY7,0),0))</f>
        <v>3.20995353971922E+018</v>
      </c>
      <c r="AU7" s="297" t="n">
        <f aca="false">IF($A7="N/A"," ",IF(VLOOKUP(MONTH($A7),ManualTable,4)=1,IF(OR(Dayrun&lt;=2,Dayrun&gt;=9),$DE7*8*$CY7,0),0))</f>
        <v>3.20995353971922E+018</v>
      </c>
      <c r="AV7" s="297" t="n">
        <f aca="false">IF($A7="N/A"," ",IF(VLOOKUP(MONTH($A7),ManualTable,5)=1,IF(OR(Dayrun=1,Dayrun=4,Dayrun=5,Dayrun=7,Dayrun=8,Dayrun=10,Dayrun=11),$DF7*8*$CY7,0),0))</f>
        <v>8.02488384929804E+017</v>
      </c>
      <c r="AW7" s="297" t="n">
        <f aca="false">IF($A7="N/A"," ",IF(VLOOKUP(MONTH($A7),ManualTable,6)=1,IF(OR(Dayrun=1,Dayrun=7,Dayrun=8,Dayrun=10,Dayrun=11),$DF7*8*$CY7,0),0))</f>
        <v>8.02488384929804E+017</v>
      </c>
      <c r="AX7" s="297" t="n">
        <f aca="false">IF($A7="N/A"," ",IF(VLOOKUP(MONTH($A7),ManualTable,7)=1,IF(OR(Dayrun&lt;=2,Dayrun&gt;=9),$DF7*8*$CY7,0),0))</f>
        <v>8.02488384929804E+017</v>
      </c>
      <c r="AY7" s="297" t="n">
        <f aca="false">IF($A7="N/A"," ",IF(VLOOKUP(MONTH($A7),ManualTable,8)=1,IF(OR(Dayrun=1,Dayrun=5,Dayrun=8,Dayrun=11),$DG7*8*$CY7,0),0))</f>
        <v>9.62986061915765E+017</v>
      </c>
      <c r="AZ7" s="297" t="n">
        <f aca="false">IF($A7="N/A"," ",IF(VLOOKUP(MONTH($A7),ManualTable,9)=1,IF(OR(Dayrun=1,Dayrun=8,Dayrun=11),$DG7*8*$CY7,0),0))</f>
        <v>9.62986061915765E+017</v>
      </c>
      <c r="BA7" s="298" t="n">
        <f aca="false">IF($A7="N/A"," ",IF(VLOOKUP(MONTH($A7),ManualTable,10)=1,IF(OR(Dayrun&lt;=2,Dayrun&gt;=9),$DG7*8*$CY7,0),0))</f>
        <v>9.62986061915765E+017</v>
      </c>
      <c r="BB7" s="299" t="e">
        <f aca="false">IF($A7="N/A"," ",IF(Dayrun&gt;=3,(MAX(0,(xSPRDOPT(I7,($E7-'Pricing Inputs'!$X42*$D7),$CV7,0,($CN7+IF(Smile=TRUE(),VLOOKUP(MAX(-5,$H7-I7),Volsmile,2),0)),$CT7,$CU7,($A7-DateToday)+15,ABS(Option-2),1)*DE7*8))),0))</f>
        <v>#N/A</v>
      </c>
      <c r="BC7" s="300" t="e">
        <f aca="false">IF($A7="N/A"," ",IF(Dayrun&gt;=6,MAX(0,(xSPRDOPT(J7,($E7-'Pricing Inputs'!$X42*$D7),$CV7,0,($CN7+IF(Smile=TRUE(),VLOOKUP(MAX(-5,$H7-J7),Volsmile,2),0)),$CT7,$CU7,($A7-DateToday)+15,ABS(Option-2),1)*DE7*8)),0))</f>
        <v>#N/A</v>
      </c>
      <c r="BD7" s="300" t="e">
        <f aca="false">IF($A7="N/A"," ",IF(OR(Dayrun&lt;=2,Dayrun&gt;=9),IF(OffPeakEx=TRUE(),MAX(0,(xSPRDOPT(K7,($E7-'Pricing Inputs'!$X42*$D7),$CV7,0,($CQ7+IF(Smile=TRUE(),VLOOKUP(MAX(-5,$H7-K7),Volsmile,2),0)),$CT7,$CU7,($A7-DateToday)+15,ABS(Option-2),1)*DE7*8)),0),0))</f>
        <v>#N/A</v>
      </c>
      <c r="BE7" s="300" t="e">
        <f aca="false">IF($A7="N/A"," ",IF(OR(Dayrun=1,Dayrun=4,Dayrun=5,Dayrun=7,Dayrun=8,Dayrun=10,Dayrun=11),MAX(0,(xSPRDOPT(L7,($E7-'Pricing Inputs'!$X42*$D7),$CV7,0,($CQ7+IF(Smile=TRUE(),VLOOKUP(MAX(-5,$H7-L7),Volsmile,2),0)),$CT7,$CU7,($A7-DateToday)+15,ABS(Option-2),1)*DF7*8)),0))</f>
        <v>#N/A</v>
      </c>
      <c r="BF7" s="300" t="e">
        <f aca="false">IF($A7="N/A"," ",IF(OR(Dayrun=1,Dayrun=7,Dayrun=8,Dayrun=10,Dayrun=11),MAX(0,(xSPRDOPT(M7,($E7-'Pricing Inputs'!$X42*$D7),$CV7,0,($CQ7+IF(Smile=TRUE(),VLOOKUP(MAX(-5,$H7-M7),Volsmile,2),0)),$CT7,$CU7,($A7-DateToday)+15,ABS(Option-2),1)*DF7*8)),0))</f>
        <v>#N/A</v>
      </c>
      <c r="BG7" s="300" t="e">
        <f aca="false">IF($A7="N/A"," ",IF(OR(Dayrun&lt;=2,Dayrun&gt;=10),IF(OffPeakEx=TRUE(),MAX(0,(xSPRDOPT(N7,($E7-'Pricing Inputs'!$X42*$D7),$CV7,0,($CQ7+IF(Smile=TRUE(),VLOOKUP(MAX(-5,$H7-N7),Volsmile,2),0)),$CT7,$CU7,($A7-DateToday)+15,ABS(Option-2),1)*DF7*8)),0),0))</f>
        <v>#N/A</v>
      </c>
      <c r="BH7" s="300" t="e">
        <f aca="false">IF($A7="N/A"," ",IF(OR(Dayrun=1,Dayrun=5,Dayrun=8,Dayrun=11),MAX(0,(xSPRDOPT(O7,($E7-'Pricing Inputs'!$X42*$D7),$CV7,0,($CQ7+IF(Smile=TRUE(),VLOOKUP(MAX(-5,$H7-O7),Volsmile,2),0)),$CT7,$CU7,($A7-DateToday)+15,ABS(Option-2),1)*DG7*8)),0))</f>
        <v>#N/A</v>
      </c>
      <c r="BI7" s="300" t="e">
        <f aca="false">IF($A7="N/A"," ",IF(OR(Dayrun=1,Dayrun=8,Dayrun=11),MAX(0,(xSPRDOPT(P7,($E7-'Pricing Inputs'!$X42*$D7),$CV7,0,($CQ7+IF(Smile=TRUE(),VLOOKUP(MAX(-5,$H7-P7),Volsmile,2),0)),$CT7,$CU7,($A7-DateToday)+15,ABS(Option-2),1)*DG7*8)),0))</f>
        <v>#N/A</v>
      </c>
      <c r="BJ7" s="301" t="e">
        <f aca="false">IF($A7="N/A"," ",IF(OR(Dayrun&lt;=2,Dayrun&gt;=11),IF(OffPeakEx=TRUE(),MAX(0,(xSPRDOPT(Q7,($E7-'Pricing Inputs'!$X42*$D7),$CV7,0,($CQ7+IF(Smile=TRUE(),VLOOKUP(MAX(-5,$H7-Q7),Volsmile,2),0)),$CT7,$CU7,($A7-DateToday)+15,ABS(Option-2),1)*DG7*8)),0),0))</f>
        <v>#N/A</v>
      </c>
      <c r="BK7" s="302" t="e">
        <f aca="false">IF($A7="N/A"," ",R7*$AS7)</f>
        <v>#N/A</v>
      </c>
      <c r="BL7" s="303" t="e">
        <f aca="false">IF($A7="N/A"," ",S7*$AT7)</f>
        <v>#N/A</v>
      </c>
      <c r="BM7" s="303" t="e">
        <f aca="false">IF($A7="N/A"," ",T7*$AU7)</f>
        <v>#N/A</v>
      </c>
      <c r="BN7" s="303" t="e">
        <f aca="false">IF($A7="N/A"," ",U7*$AV7)</f>
        <v>#N/A</v>
      </c>
      <c r="BO7" s="303" t="e">
        <f aca="false">IF($A7="N/A"," ",V7*$AW7)</f>
        <v>#N/A</v>
      </c>
      <c r="BP7" s="303" t="e">
        <f aca="false">IF($A7="N/A"," ",W7*$AX7)</f>
        <v>#N/A</v>
      </c>
      <c r="BQ7" s="303" t="e">
        <f aca="false">IF($A7="N/A"," ",X7*$AY7)</f>
        <v>#N/A</v>
      </c>
      <c r="BR7" s="303" t="e">
        <f aca="false">IF($A7="N/A"," ",Y7*$AZ7)</f>
        <v>#N/A</v>
      </c>
      <c r="BS7" s="304" t="e">
        <f aca="false">IF($A7="N/A"," ",Z7*$BA7)</f>
        <v>#N/A</v>
      </c>
      <c r="BT7" s="305" t="e">
        <f aca="false">IF($A7="N/A"," ",AA7*$AS7)</f>
        <v>#N/A</v>
      </c>
      <c r="BU7" s="306" t="e">
        <f aca="false">IF($A7="N/A"," ",AB7*$AT7)</f>
        <v>#N/A</v>
      </c>
      <c r="BV7" s="306" t="e">
        <f aca="false">IF($A7="N/A"," ",AC7*$AU7)</f>
        <v>#N/A</v>
      </c>
      <c r="BW7" s="306" t="e">
        <f aca="false">IF($A7="N/A"," ",AD7*$AV7)</f>
        <v>#N/A</v>
      </c>
      <c r="BX7" s="306" t="e">
        <f aca="false">IF($A7="N/A"," ",AE7*$AW7)</f>
        <v>#N/A</v>
      </c>
      <c r="BY7" s="306" t="e">
        <f aca="false">IF($A7="N/A"," ",AF7*$AX7)</f>
        <v>#N/A</v>
      </c>
      <c r="BZ7" s="306" t="e">
        <f aca="false">IF($A7="N/A"," ",AG7*$AY7)</f>
        <v>#N/A</v>
      </c>
      <c r="CA7" s="306" t="e">
        <f aca="false">IF($A7="N/A"," ",AH7*$AZ7)</f>
        <v>#N/A</v>
      </c>
      <c r="CB7" s="307" t="e">
        <f aca="false">IF($A7="N/A"," ",AI7*$BA7)</f>
        <v>#N/A</v>
      </c>
      <c r="CC7" s="308" t="e">
        <f aca="false">IF($A7="N/A"," ",AJ7*$AS7)</f>
        <v>#N/A</v>
      </c>
      <c r="CD7" s="309" t="e">
        <f aca="false">IF($A7="N/A"," ",AK7*$AT7)</f>
        <v>#N/A</v>
      </c>
      <c r="CE7" s="309" t="e">
        <f aca="false">IF($A7="N/A"," ",AL7*$AU7)</f>
        <v>#N/A</v>
      </c>
      <c r="CF7" s="309" t="e">
        <f aca="false">IF($A7="N/A"," ",AM7*$AV7)</f>
        <v>#N/A</v>
      </c>
      <c r="CG7" s="309" t="e">
        <f aca="false">IF($A7="N/A"," ",AN7*$AW7)</f>
        <v>#N/A</v>
      </c>
      <c r="CH7" s="309" t="e">
        <f aca="false">IF($A7="N/A"," ",AO7*$AX7)</f>
        <v>#N/A</v>
      </c>
      <c r="CI7" s="309" t="e">
        <f aca="false">IF($A7="N/A"," ",AP7*$AY7)</f>
        <v>#N/A</v>
      </c>
      <c r="CJ7" s="309" t="e">
        <f aca="false">IF($A7="N/A"," ",AQ7*$AZ7)</f>
        <v>#N/A</v>
      </c>
      <c r="CK7" s="310" t="e">
        <f aca="false">IF($A7="N/A"," ",AR7*$BA7)</f>
        <v>#N/A</v>
      </c>
      <c r="CL7" s="311" t="n">
        <f aca="false">IF(A7="N/A"," ",(VLOOKUP(A7,PowerVolTable,(IF(VolBMO=2,7,IF(VolBMO=1,6,8))),FALSE())))</f>
        <v>0.41</v>
      </c>
      <c r="CM7" s="312" t="n">
        <f aca="false">IF(A7="N/A"," ",(VLOOKUP(A7,IntraPowerVol,(IF(VolBMO=2,3,IF(VolBMO=1,2,4))),FALSE())*VLOOKUP(MONTH($A7),Volscale,2)))</f>
        <v>0.72</v>
      </c>
      <c r="CN7" s="312" t="n">
        <f aca="false">IF($A7="N/A"," ",IF(VolType=1,CM7,CL7))</f>
        <v>0.72</v>
      </c>
      <c r="CO7" s="312" t="n">
        <f aca="false">IF($A7="N/A"," ",(VLOOKUP($A7,OffPeakVol,(IF(VolBMO=2,7,IF(VolBMO=1,6,8))),FALSE())))</f>
        <v>0.205</v>
      </c>
      <c r="CP7" s="312" t="n">
        <f aca="false">IF($A7="N/A"," ",(VLOOKUP($A7,OffPeakVol,(IF(VolBMO=2,3,IF(VolBMO=1,2,4))),FALSE())*VLOOKUP(MONTH($A7),Volscale,2)))</f>
        <v>0.432</v>
      </c>
      <c r="CQ7" s="312" t="n">
        <f aca="false">IF($A7="N/A"," ",IF(VolType=1,CP7,CO7))</f>
        <v>0.432</v>
      </c>
      <c r="CR7" s="312" t="e">
        <f aca="false">IF($A7="N/A"," ",(VLOOKUP($A7,GasVolTable,(IF(VolBMO=2,6,IF(VolBMO=1,7,5))),FALSE())))</f>
        <v>#N/A</v>
      </c>
      <c r="CS7" s="312" t="e">
        <f aca="false">IF($A7="N/A"," ",(VLOOKUP($A7,OmicronVol,(IF(VolBMO=2,3,IF(VolBMO=1,4,2))),FALSE())))</f>
        <v>#N/A</v>
      </c>
      <c r="CT7" s="312" t="e">
        <f aca="false">IF($A7="N/A"," ",(IF(DateToday&gt;$A7,$CS7,IF(VolType=1,((($CR7^2)*((($A7-1)-DateToday)/((EOMONTH($A7,0)+1)-DateToday-15)))+((($CS7)^2)*((15)/((EOMONTH($A7,0)+1)-DateToday-15))))^0.5,CR7))))</f>
        <v>#N/A</v>
      </c>
      <c r="CU7" s="312" t="n">
        <f aca="false">IF($A7="N/A"," ",IF('Pricing Inputs'!$AR$23=TRUE(),Inputs!$S$22,VLOOKUP($A7,CorrelationTable,2,FALSE())))</f>
        <v>0.75</v>
      </c>
      <c r="CV7" s="313" t="n">
        <f aca="false">IF($A7="N/A"," ",F7+G7+(D7*('Pricing Inputs'!X42)))</f>
        <v>0</v>
      </c>
      <c r="CW7" s="314" t="n">
        <f aca="false">IF($A7="N/A"," ",IF(PV=1,0,'Pricing Inputs'!Y42))</f>
        <v>2</v>
      </c>
      <c r="CX7" s="315" t="n">
        <f aca="false">IF($A7="N/A"," ",(1+CW7/2)^(-2*((EOMONTH(A7,0)+20)-DateToday)/365.25))</f>
        <v>181230439234373</v>
      </c>
      <c r="CY7" s="316" t="n">
        <f aca="false">IF($A7="N/A"," ",(IF(MONTH(A7)&gt;=4,IF(MONTH(A7)&lt;=10,Inputs!$S$26,Inputs!$S$27),Inputs!$S$27))*$CX7)</f>
        <v>22291344025827900</v>
      </c>
      <c r="CZ7" s="317" t="e">
        <f aca="false">IF($A7="N/A"," ",BK7+BL7+BN7+BO7+BQ7+BR7)</f>
        <v>#N/A</v>
      </c>
      <c r="DA7" s="318" t="e">
        <f aca="false">IF($A7="N/A"," ",BM7+BP7+BS7)</f>
        <v>#N/A</v>
      </c>
      <c r="DB7" s="319" t="e">
        <f aca="false">IF($A7="N/A"," ",BT7+BU7+BW7+BX7+BZ7+CA7)</f>
        <v>#N/A</v>
      </c>
      <c r="DC7" s="319" t="e">
        <f aca="false">IF($A7="N/A"," ",BV7+BY7+CB7)</f>
        <v>#N/A</v>
      </c>
      <c r="DD7" s="320" t="e">
        <f aca="false">IF($A7="N/A"," ",SUM(CC7:CK7))</f>
        <v>#N/A</v>
      </c>
      <c r="DE7" s="321" t="n">
        <f aca="false">IF($A7="N/A"," ",VLOOKUP($A7,NumberofDaysTable,2)*Availability)</f>
        <v>18</v>
      </c>
      <c r="DF7" s="94" t="n">
        <f aca="false">IF($A7="N/A"," ",VLOOKUP($A7,NumberofDaysTable,3)*Availability)</f>
        <v>4.5</v>
      </c>
      <c r="DG7" s="322" t="n">
        <f aca="false">IF($A7="N/A"," ",VLOOKUP($A7,NumberofDaysTable,4)*Availability)</f>
        <v>5.4</v>
      </c>
      <c r="DH7" s="323" t="n">
        <f aca="false">IF($A7="N/A"," ",IF(Option=1,$D7*Inputs!$S$15*SUM(AS7:BA7),0))</f>
        <v>0</v>
      </c>
      <c r="DI7" s="324" t="n">
        <f aca="false">IF($A7="N/A"," ",IF(Option=1,$D7*Inputs!$S$16*SUM(AS7:BA7),0))</f>
        <v>0</v>
      </c>
      <c r="DJ7" s="325" t="n">
        <f aca="false">IF($A7="N/A"," ",SUM(AS7:AT7))</f>
        <v>6.41990707943844E+018</v>
      </c>
      <c r="DK7" s="325" t="n">
        <f aca="false">IF($A7="N/A"," ",SUM(AU7:BA7))</f>
        <v>8.50637688025593E+018</v>
      </c>
      <c r="DL7" s="325" t="e">
        <f aca="false">IF($A7="N/A"," ",SUM(BB7:BC7))</f>
        <v>#N/A</v>
      </c>
      <c r="DM7" s="325" t="e">
        <f aca="false">IF($A7="N/A"," ",SUM(BD7:BJ7))</f>
        <v>#N/A</v>
      </c>
    </row>
    <row r="8" customFormat="false" ht="12.75" hidden="false" customHeight="false" outlineLevel="0" collapsed="false">
      <c r="A8" s="282" t="n">
        <f aca="false">IF(A7="N/A","N/A",IF(EDATE(A7,1)&gt;Inputs!$S$5,"N/A",EDATE(A7,1)))</f>
        <v>37257</v>
      </c>
      <c r="B8" s="283" t="n">
        <f aca="false">IF(A8="N/A"," ",YEAR(A8))</f>
        <v>2002</v>
      </c>
      <c r="C8" s="284" t="e">
        <f aca="false">IF(A8="N/A"," ",VLOOKUP(A8,ScaledPrice,14))</f>
        <v>#N/A</v>
      </c>
      <c r="D8" s="285" t="n">
        <f aca="false">IF(A8="N/A"," ",(VLOOKUP(MONTH($A8),Hrtable,2))/1000)</f>
        <v>9.5</v>
      </c>
      <c r="E8" s="286" t="e">
        <f aca="false">IF($A8="N/A"," ",(C8)*D8)</f>
        <v>#N/A</v>
      </c>
      <c r="F8" s="287" t="n">
        <f aca="false">IF(A8="N/A"," ",VOM*(1+VOMesc)^(YEAR(A8)-YEAR(Today)))</f>
        <v>0</v>
      </c>
      <c r="G8" s="287" t="n">
        <f aca="false">IF(A8="N/A"," ",Perstart/VLOOKUP(Dayrun,'Pricing Inputs'!$AQ$4:$AS$14,3)/(CY8/CX8))</f>
        <v>0</v>
      </c>
      <c r="H8" s="288" t="e">
        <f aca="false">IF(A8="N/A"," ",SUM(E8:G8))</f>
        <v>#N/A</v>
      </c>
      <c r="I8" s="289" t="n">
        <f aca="false">VLOOKUP($A8,ScaledPrice,6)</f>
        <v>32.2166679382324</v>
      </c>
      <c r="J8" s="290" t="n">
        <f aca="false">VLOOKUP($A8,ScaledPrice,10)</f>
        <v>32.2166679382324</v>
      </c>
      <c r="K8" s="290" t="n">
        <f aca="false">VLOOKUP($A8,ScaledPrice,13)</f>
        <v>19.25</v>
      </c>
      <c r="L8" s="290" t="n">
        <f aca="false">VLOOKUP($A8,ScaledPrice,7)</f>
        <v>29.8200016021729</v>
      </c>
      <c r="M8" s="290" t="n">
        <f aca="false">VLOOKUP($A8,ScaledPrice,11)</f>
        <v>29.8200016021729</v>
      </c>
      <c r="N8" s="290" t="n">
        <f aca="false">VLOOKUP($A8,ScaledPrice,13)</f>
        <v>19.25</v>
      </c>
      <c r="O8" s="290" t="n">
        <f aca="false">VLOOKUP($A8,ScaledPrice,8)</f>
        <v>20.3200016021729</v>
      </c>
      <c r="P8" s="290" t="n">
        <f aca="false">VLOOKUP($A8,ScaledPrice,12)</f>
        <v>20.3200016021729</v>
      </c>
      <c r="Q8" s="291" t="n">
        <f aca="false">VLOOKUP($A8,ScaledPrice,13)</f>
        <v>19.25</v>
      </c>
      <c r="R8" s="292" t="e">
        <f aca="false">IF($A8="N/A"," ",IF(Dayrun&gt;=3,IF(Option=1,MAX($I8-$H8,0),IF(Option=2,MAX($H8-$I8,0),0)),0))</f>
        <v>#N/A</v>
      </c>
      <c r="S8" s="286" t="e">
        <f aca="false">IF($A8="N/A"," ",IF(Dayrun&gt;=6,IF(Option=1,MAX($J8-H8,0),IF(Option=2,MAX(H8-$J8,0),0)),0))</f>
        <v>#N/A</v>
      </c>
      <c r="T8" s="286" t="e">
        <f aca="false">IF($A8="N/A"," ",IF(OR(Dayrun&lt;=2,Dayrun&gt;=9),IF(Option=1,MAX($K8-$H8,0),IF(Option=2,MAX($H8-$K8,0),0)),0))</f>
        <v>#N/A</v>
      </c>
      <c r="U8" s="286" t="e">
        <f aca="false">IF($A8="N/A"," ",IF(OR(Dayrun=1,Dayrun=4,Dayrun=5,Dayrun=7,Dayrun=8,Dayrun=10,Dayrun=11),IF(Option=1,MAX($L8-H8,0),IF(Option=2,MAX(H8-$L8,0),0)),0))</f>
        <v>#N/A</v>
      </c>
      <c r="V8" s="286" t="e">
        <f aca="false">IF($A8="N/A"," ",IF(OR(Dayrun=1,Dayrun=7,Dayrun=8,Dayrun=10,Dayrun=11),IF(Option=1,MAX($M8-H8,0),IF(Option=2,MAX(H8-$M8,0),0)),0))</f>
        <v>#N/A</v>
      </c>
      <c r="W8" s="286" t="e">
        <f aca="false">IF($A8="N/A"," ",IF(OR(Dayrun&lt;=2,Dayrun&gt;=10),IF(Option=1,MAX($N8-$H8,0),IF(Option=2,MAX($H8-$N8,0),0)),0))</f>
        <v>#N/A</v>
      </c>
      <c r="X8" s="286" t="e">
        <f aca="false">IF($A8="N/A"," ",IF(OR(Dayrun=1,Dayrun=5,Dayrun=8,Dayrun=11),IF(Option=1,MAX($O8-H8,0),IF(Option=2,MAX(H8-$O8,0),0)),0))</f>
        <v>#N/A</v>
      </c>
      <c r="Y8" s="286" t="e">
        <f aca="false">IF($A8="N/A"," ",IF(OR(Dayrun=1,Dayrun=8,Dayrun=11),IF(Option=1,MAX($P8-H8,0),IF(Option=2,MAX(H8-$P8,0),0)),0))</f>
        <v>#N/A</v>
      </c>
      <c r="Z8" s="293" t="e">
        <f aca="false">IF($A8="N/A"," ",IF(OR(Dayrun&lt;=2,Dayrun&gt;=11),IF(Option=1,MAX($Q8-$H8,0),IF(Option=2,MAX($H8-$Q8,0),0)),0))</f>
        <v>#N/A</v>
      </c>
      <c r="AA8" s="289" t="e">
        <f aca="false">IF($A8="N/A"," ",IF(Dayrun&gt;=3,(MAX(0,(xSPRDOPT(I8,($E8-'Pricing Inputs'!$X43*$D8),$CV8,0,($CN8+IF(Smile=TRUE(),VLOOKUP(MAX(-5,$H8-I8),Volsmile,2),0)),$CT8,$CU8,($A8-DateToday)+15,ABS(Option-2),0)-R8))),0))</f>
        <v>#N/A</v>
      </c>
      <c r="AB8" s="290" t="e">
        <f aca="false">IF($A8="N/A"," ",IF(Dayrun&gt;=6,MAX(0,(xSPRDOPT(J8,($E8-'Pricing Inputs'!$X43*$D8),$CV8,0,($CN8+IF(Smile=TRUE(),VLOOKUP(MAX(-5,$H8-J8),Volsmile,2),0)),$CT8,$CU8,($A8-DateToday)+15,ABS(Option-2),0)-S8)),0))</f>
        <v>#N/A</v>
      </c>
      <c r="AC8" s="290" t="e">
        <f aca="false">IF($A8="N/A"," ",IF(OR(Dayrun&lt;=2,Dayrun&gt;=9),IF(OffPeakEx=TRUE(),MAX(0,(xSPRDOPT(K8,($E8-'Pricing Inputs'!$X43*$D8),$CV8,0,($CQ8+IF(Smile=TRUE(),VLOOKUP(MAX(-5,$H8-K8),Volsmile,2),0)),$CT8,$CU8,($A8-DateToday)+15,ABS(Option-2),0)-T8)),0),0))</f>
        <v>#N/A</v>
      </c>
      <c r="AD8" s="290" t="e">
        <f aca="false">IF($A8="N/A"," ",IF(OR(Dayrun=1,Dayrun=4,Dayrun=5,Dayrun=7,Dayrun=8,Dayrun=10,Dayrun=11),MAX(0,(xSPRDOPT(L8,($E8-'Pricing Inputs'!$X43*$D8),$CV8,0,($CQ8+IF(Smile=TRUE(),VLOOKUP(MAX(-5,$H8-L8),Volsmile,2),0)),$CT8,$CU8,($A8-DateToday)+15,ABS(Option-2),0)-U8)),0))</f>
        <v>#N/A</v>
      </c>
      <c r="AE8" s="290" t="e">
        <f aca="false">IF($A8="N/A"," ",IF(OR(Dayrun=1,Dayrun=7,Dayrun=8,Dayrun=10,Dayrun=11),MAX(0,(xSPRDOPT(M8,($E8-'Pricing Inputs'!$X43*$D8),$CV8,0,($CQ8+IF(Smile=TRUE(),VLOOKUP(MAX(-5,$H8-M8),Volsmile,2),0)),$CT8,$CU8,($A8-DateToday)+15,ABS(Option-2),0)-V8)),0))</f>
        <v>#N/A</v>
      </c>
      <c r="AF8" s="290" t="e">
        <f aca="false">IF($A8="N/A"," ",IF(OR(Dayrun&lt;=2,Dayrun&gt;=10),IF(OffPeakEx=TRUE(),MAX(0,(xSPRDOPT(N8,($E8-'Pricing Inputs'!$X43*$D8),$CV8,0,($CQ8+IF(Smile=TRUE(),VLOOKUP(MAX(-5,$H8-N8),Volsmile,2),0)),$CT8,$CU8,($A8-DateToday)+15,ABS(Option-2),0)-W8)),0),0))</f>
        <v>#N/A</v>
      </c>
      <c r="AG8" s="290" t="e">
        <f aca="false">IF($A8="N/A"," ",IF(OR(Dayrun=1,Dayrun=5,Dayrun=8,Dayrun=11),MAX(0,(xSPRDOPT(O8,($E8-'Pricing Inputs'!$X43*$D8),$CV8,0,($CQ8+IF(Smile=TRUE(),VLOOKUP(MAX(-5,$H8-O8),Volsmile,2),0)),$CT8,$CU8,($A8-DateToday)+15,ABS(Option-2),0)-X8)),0))</f>
        <v>#N/A</v>
      </c>
      <c r="AH8" s="290" t="e">
        <f aca="false">IF($A8="N/A"," ",IF(OR(Dayrun=1,Dayrun=8,Dayrun=11),MAX(0,(xSPRDOPT(P8,($E8-'Pricing Inputs'!$X43*$D8),$CV8,0,($CQ8+IF(Smile=TRUE(),VLOOKUP(MAX(-5,$H8-P8),Volsmile,2),0)),$CT8,$CU8,($A8-DateToday)+15,ABS(Option-2),0)-Y8)),0))</f>
        <v>#N/A</v>
      </c>
      <c r="AI8" s="290" t="e">
        <f aca="false">IF($A8="N/A"," ",IF(OR(Dayrun&lt;=2,Dayrun&gt;=11),IF(OffPeakEx=TRUE(),MAX(0,(xSPRDOPT(Q8,($E8-'Pricing Inputs'!$X43*$D8),$CV8,0,($CQ8+IF(Smile=TRUE(),VLOOKUP(MAX(-5,$H8-Q8),Volsmile,2),0)),$CT8,$CU8,($A8-DateToday)+15,ABS(Option-2),0)-Z8)),0),0))</f>
        <v>#N/A</v>
      </c>
      <c r="AJ8" s="294" t="e">
        <f aca="false">IF($A8="N/A"," ",IF(Dayrun&gt;=3,IF(Option=1,$I8-$H8,IF(Option=2,$H8-$I8)),0))</f>
        <v>#N/A</v>
      </c>
      <c r="AK8" s="295" t="e">
        <f aca="false">IF($A8="N/A"," ",IF(Dayrun&gt;=6,IF(Option=1,$J8-H8,IF(Option=2,H8-$J8)),0))</f>
        <v>#N/A</v>
      </c>
      <c r="AL8" s="295" t="e">
        <f aca="false">IF($A8="N/A"," ",IF(OR(Dayrun&lt;=2,Dayrun&gt;=9),IF(Option=1,$K8-$H8,IF(Option=2,$H8-$K8)),0))</f>
        <v>#N/A</v>
      </c>
      <c r="AM8" s="295" t="e">
        <f aca="false">IF($A8="N/A"," ",IF(OR(Dayrun=1,Dayrun=4,Dayrun=5,Dayrun=7,Dayrun=8,Dayrun=10,Dayrun=11),IF(Option=1,$L8-H8,IF(Option=2,H8-$L8)),0))</f>
        <v>#N/A</v>
      </c>
      <c r="AN8" s="295" t="e">
        <f aca="false">IF($A8="N/A"," ",IF(OR(Dayrun=1,Dayrun=7,Dayrun=8,Dayrun=10,Dayrun=11),IF(Option=1,$M8-H8,IF(Option=2,H8-$M8)),0))</f>
        <v>#N/A</v>
      </c>
      <c r="AO8" s="295" t="e">
        <f aca="false">IF($A8="N/A"," ",IF(OR(Dayrun&lt;=2,Dayrun&gt;=9),IF(Option=1,$N8-$H8,IF(Option=2,$H8-$N8)),0))</f>
        <v>#N/A</v>
      </c>
      <c r="AP8" s="295" t="e">
        <f aca="false">IF($A8="N/A"," ",IF(OR(Dayrun=1,Dayrun=5,Dayrun=8,Dayrun=11),IF(Option=1,$O8-H8,IF(Option=2,H8-$O8)),0))</f>
        <v>#N/A</v>
      </c>
      <c r="AQ8" s="295" t="e">
        <f aca="false">IF($A8="N/A"," ",IF(OR(Dayrun=1,Dayrun=8,Dayrun=11),IF(Option=1,$P8-H8,IF(Option=2,H8-$P8)),0))</f>
        <v>#N/A</v>
      </c>
      <c r="AR8" s="296" t="e">
        <f aca="false">IF($A8="N/A"," ",IF(OR(Dayrun&lt;=2,Dayrun&gt;=9),IF(Option=1,$Q8-H8,IF(Option=2,H8-$Q8)),0))</f>
        <v>#N/A</v>
      </c>
      <c r="AS8" s="297" t="n">
        <f aca="false">IF($A8="N/A"," ",IF(VLOOKUP(MONTH($A8),ManualTable,2)=1,IF(Dayrun&gt;=3,$DE8*8*$CY8,0),0))</f>
        <v>3.13900905613012E+018</v>
      </c>
      <c r="AT8" s="297" t="n">
        <f aca="false">IF($A8="N/A"," ",IF(VLOOKUP(MONTH($A8),ManualTable,3)=1,IF(Dayrun&gt;=6,$DE8*8*$CY8,0),0))</f>
        <v>3.13900905613012E+018</v>
      </c>
      <c r="AU8" s="297" t="n">
        <f aca="false">IF($A8="N/A"," ",IF(VLOOKUP(MONTH($A8),ManualTable,4)=1,IF(OR(Dayrun&lt;=2,Dayrun&gt;=9),$DE8*8*$CY8,0),0))</f>
        <v>3.13900905613012E+018</v>
      </c>
      <c r="AV8" s="297" t="n">
        <f aca="false">IF($A8="N/A"," ",IF(VLOOKUP(MONTH($A8),ManualTable,5)=1,IF(OR(Dayrun=1,Dayrun=4,Dayrun=5,Dayrun=7,Dayrun=8,Dayrun=10,Dayrun=11),$DF8*8*$CY8,0),0))</f>
        <v>5.70728919296386E+017</v>
      </c>
      <c r="AW8" s="297" t="n">
        <f aca="false">IF($A8="N/A"," ",IF(VLOOKUP(MONTH($A8),ManualTable,6)=1,IF(OR(Dayrun=1,Dayrun=7,Dayrun=8,Dayrun=10,Dayrun=11),$DF8*8*$CY8,0),0))</f>
        <v>5.70728919296386E+017</v>
      </c>
      <c r="AX8" s="297" t="n">
        <f aca="false">IF($A8="N/A"," ",IF(VLOOKUP(MONTH($A8),ManualTable,7)=1,IF(OR(Dayrun&lt;=2,Dayrun&gt;=9),$DF8*8*$CY8,0),0))</f>
        <v>5.70728919296386E+017</v>
      </c>
      <c r="AY8" s="297" t="n">
        <f aca="false">IF($A8="N/A"," ",IF(VLOOKUP(MONTH($A8),ManualTable,8)=1,IF(OR(Dayrun=1,Dayrun=5,Dayrun=8,Dayrun=11),$DG8*8*$CY8,0),0))</f>
        <v>7.13411149120483E+017</v>
      </c>
      <c r="AZ8" s="297" t="n">
        <f aca="false">IF($A8="N/A"," ",IF(VLOOKUP(MONTH($A8),ManualTable,9)=1,IF(OR(Dayrun=1,Dayrun=8,Dayrun=11),$DG8*8*$CY8,0),0))</f>
        <v>7.13411149120483E+017</v>
      </c>
      <c r="BA8" s="298" t="n">
        <f aca="false">IF($A8="N/A"," ",IF(VLOOKUP(MONTH($A8),ManualTable,10)=1,IF(OR(Dayrun&lt;=2,Dayrun&gt;=9),$DG8*8*$CY8,0),0))</f>
        <v>7.13411149120483E+017</v>
      </c>
      <c r="BB8" s="299" t="e">
        <f aca="false">IF($A8="N/A"," ",IF(Dayrun&gt;=3,(MAX(0,(xSPRDOPT(I8,($E8-'Pricing Inputs'!$X43*$D8),$CV8,0,($CN8+IF(Smile=TRUE(),VLOOKUP(MAX(-5,$H8-I8),Volsmile,2),0)),$CT8,$CU8,($A8-DateToday)+15,ABS(Option-2),1)*DE8*8))),0))</f>
        <v>#N/A</v>
      </c>
      <c r="BC8" s="300" t="e">
        <f aca="false">IF($A8="N/A"," ",IF(Dayrun&gt;=6,MAX(0,(xSPRDOPT(J8,($E8-'Pricing Inputs'!$X43*$D8),$CV8,0,($CN8+IF(Smile=TRUE(),VLOOKUP(MAX(-5,$H8-J8),Volsmile,2),0)),$CT8,$CU8,($A8-DateToday)+15,ABS(Option-2),1)*DE8*8)),0))</f>
        <v>#N/A</v>
      </c>
      <c r="BD8" s="300" t="e">
        <f aca="false">IF($A8="N/A"," ",IF(OR(Dayrun&lt;=2,Dayrun&gt;=9),IF(OffPeakEx=TRUE(),MAX(0,(xSPRDOPT(K8,($E8-'Pricing Inputs'!$X43*$D8),$CV8,0,($CQ8+IF(Smile=TRUE(),VLOOKUP(MAX(-5,$H8-K8),Volsmile,2),0)),$CT8,$CU8,($A8-DateToday)+15,ABS(Option-2),1)*DE8*8)),0),0))</f>
        <v>#N/A</v>
      </c>
      <c r="BE8" s="300" t="e">
        <f aca="false">IF($A8="N/A"," ",IF(OR(Dayrun=1,Dayrun=4,Dayrun=5,Dayrun=7,Dayrun=8,Dayrun=10,Dayrun=11),MAX(0,(xSPRDOPT(L8,($E8-'Pricing Inputs'!$X43*$D8),$CV8,0,($CQ8+IF(Smile=TRUE(),VLOOKUP(MAX(-5,$H8-L8),Volsmile,2),0)),$CT8,$CU8,($A8-DateToday)+15,ABS(Option-2),1)*DF8*8)),0))</f>
        <v>#N/A</v>
      </c>
      <c r="BF8" s="300" t="e">
        <f aca="false">IF($A8="N/A"," ",IF(OR(Dayrun=1,Dayrun=7,Dayrun=8,Dayrun=10,Dayrun=11),MAX(0,(xSPRDOPT(M8,($E8-'Pricing Inputs'!$X43*$D8),$CV8,0,($CQ8+IF(Smile=TRUE(),VLOOKUP(MAX(-5,$H8-M8),Volsmile,2),0)),$CT8,$CU8,($A8-DateToday)+15,ABS(Option-2),1)*DF8*8)),0))</f>
        <v>#N/A</v>
      </c>
      <c r="BG8" s="300" t="e">
        <f aca="false">IF($A8="N/A"," ",IF(OR(Dayrun&lt;=2,Dayrun&gt;=10),IF(OffPeakEx=TRUE(),MAX(0,(xSPRDOPT(N8,($E8-'Pricing Inputs'!$X43*$D8),$CV8,0,($CQ8+IF(Smile=TRUE(),VLOOKUP(MAX(-5,$H8-N8),Volsmile,2),0)),$CT8,$CU8,($A8-DateToday)+15,ABS(Option-2),1)*DF8*8)),0),0))</f>
        <v>#N/A</v>
      </c>
      <c r="BH8" s="300" t="e">
        <f aca="false">IF($A8="N/A"," ",IF(OR(Dayrun=1,Dayrun=5,Dayrun=8,Dayrun=11),MAX(0,(xSPRDOPT(O8,($E8-'Pricing Inputs'!$X43*$D8),$CV8,0,($CQ8+IF(Smile=TRUE(),VLOOKUP(MAX(-5,$H8-O8),Volsmile,2),0)),$CT8,$CU8,($A8-DateToday)+15,ABS(Option-2),1)*DG8*8)),0))</f>
        <v>#N/A</v>
      </c>
      <c r="BI8" s="300" t="e">
        <f aca="false">IF($A8="N/A"," ",IF(OR(Dayrun=1,Dayrun=8,Dayrun=11),MAX(0,(xSPRDOPT(P8,($E8-'Pricing Inputs'!$X43*$D8),$CV8,0,($CQ8+IF(Smile=TRUE(),VLOOKUP(MAX(-5,$H8-P8),Volsmile,2),0)),$CT8,$CU8,($A8-DateToday)+15,ABS(Option-2),1)*DG8*8)),0))</f>
        <v>#N/A</v>
      </c>
      <c r="BJ8" s="301" t="e">
        <f aca="false">IF($A8="N/A"," ",IF(OR(Dayrun&lt;=2,Dayrun&gt;=11),IF(OffPeakEx=TRUE(),MAX(0,(xSPRDOPT(Q8,($E8-'Pricing Inputs'!$X43*$D8),$CV8,0,($CQ8+IF(Smile=TRUE(),VLOOKUP(MAX(-5,$H8-Q8),Volsmile,2),0)),$CT8,$CU8,($A8-DateToday)+15,ABS(Option-2),1)*DG8*8)),0),0))</f>
        <v>#N/A</v>
      </c>
      <c r="BK8" s="302" t="e">
        <f aca="false">IF($A8="N/A"," ",R8*$AS8)</f>
        <v>#N/A</v>
      </c>
      <c r="BL8" s="303" t="e">
        <f aca="false">IF($A8="N/A"," ",S8*$AT8)</f>
        <v>#N/A</v>
      </c>
      <c r="BM8" s="303" t="e">
        <f aca="false">IF($A8="N/A"," ",T8*$AU8)</f>
        <v>#N/A</v>
      </c>
      <c r="BN8" s="303" t="e">
        <f aca="false">IF($A8="N/A"," ",U8*$AV8)</f>
        <v>#N/A</v>
      </c>
      <c r="BO8" s="303" t="e">
        <f aca="false">IF($A8="N/A"," ",V8*$AW8)</f>
        <v>#N/A</v>
      </c>
      <c r="BP8" s="303" t="e">
        <f aca="false">IF($A8="N/A"," ",W8*$AX8)</f>
        <v>#N/A</v>
      </c>
      <c r="BQ8" s="303" t="e">
        <f aca="false">IF($A8="N/A"," ",X8*$AY8)</f>
        <v>#N/A</v>
      </c>
      <c r="BR8" s="303" t="e">
        <f aca="false">IF($A8="N/A"," ",Y8*$AZ8)</f>
        <v>#N/A</v>
      </c>
      <c r="BS8" s="304" t="e">
        <f aca="false">IF($A8="N/A"," ",Z8*$BA8)</f>
        <v>#N/A</v>
      </c>
      <c r="BT8" s="305" t="e">
        <f aca="false">IF($A8="N/A"," ",AA8*$AS8)</f>
        <v>#N/A</v>
      </c>
      <c r="BU8" s="306" t="e">
        <f aca="false">IF($A8="N/A"," ",AB8*$AT8)</f>
        <v>#N/A</v>
      </c>
      <c r="BV8" s="306" t="e">
        <f aca="false">IF($A8="N/A"," ",AC8*$AU8)</f>
        <v>#N/A</v>
      </c>
      <c r="BW8" s="306" t="e">
        <f aca="false">IF($A8="N/A"," ",AD8*$AV8)</f>
        <v>#N/A</v>
      </c>
      <c r="BX8" s="306" t="e">
        <f aca="false">IF($A8="N/A"," ",AE8*$AW8)</f>
        <v>#N/A</v>
      </c>
      <c r="BY8" s="306" t="e">
        <f aca="false">IF($A8="N/A"," ",AF8*$AX8)</f>
        <v>#N/A</v>
      </c>
      <c r="BZ8" s="306" t="e">
        <f aca="false">IF($A8="N/A"," ",AG8*$AY8)</f>
        <v>#N/A</v>
      </c>
      <c r="CA8" s="306" t="e">
        <f aca="false">IF($A8="N/A"," ",AH8*$AZ8)</f>
        <v>#N/A</v>
      </c>
      <c r="CB8" s="307" t="e">
        <f aca="false">IF($A8="N/A"," ",AI8*$BA8)</f>
        <v>#N/A</v>
      </c>
      <c r="CC8" s="308" t="e">
        <f aca="false">IF($A8="N/A"," ",AJ8*$AS8)</f>
        <v>#N/A</v>
      </c>
      <c r="CD8" s="309" t="e">
        <f aca="false">IF($A8="N/A"," ",AK8*$AT8)</f>
        <v>#N/A</v>
      </c>
      <c r="CE8" s="309" t="e">
        <f aca="false">IF($A8="N/A"," ",AL8*$AU8)</f>
        <v>#N/A</v>
      </c>
      <c r="CF8" s="309" t="e">
        <f aca="false">IF($A8="N/A"," ",AM8*$AV8)</f>
        <v>#N/A</v>
      </c>
      <c r="CG8" s="309" t="e">
        <f aca="false">IF($A8="N/A"," ",AN8*$AW8)</f>
        <v>#N/A</v>
      </c>
      <c r="CH8" s="309" t="e">
        <f aca="false">IF($A8="N/A"," ",AO8*$AX8)</f>
        <v>#N/A</v>
      </c>
      <c r="CI8" s="309" t="e">
        <f aca="false">IF($A8="N/A"," ",AP8*$AY8)</f>
        <v>#N/A</v>
      </c>
      <c r="CJ8" s="309" t="e">
        <f aca="false">IF($A8="N/A"," ",AQ8*$AZ8)</f>
        <v>#N/A</v>
      </c>
      <c r="CK8" s="310" t="e">
        <f aca="false">IF($A8="N/A"," ",AR8*$BA8)</f>
        <v>#N/A</v>
      </c>
      <c r="CL8" s="311" t="n">
        <f aca="false">IF(A8="N/A"," ",(VLOOKUP(A8,PowerVolTable,(IF(VolBMO=2,7,IF(VolBMO=1,6,8))),FALSE())))</f>
        <v>0.39</v>
      </c>
      <c r="CM8" s="312" t="n">
        <f aca="false">IF(A8="N/A"," ",(VLOOKUP(A8,IntraPowerVol,(IF(VolBMO=2,3,IF(VolBMO=1,2,4))),FALSE())*VLOOKUP(MONTH($A8),Volscale,2)))</f>
        <v>0.75</v>
      </c>
      <c r="CN8" s="312" t="n">
        <f aca="false">IF($A8="N/A"," ",IF(VolType=1,CM8,CL8))</f>
        <v>0.75</v>
      </c>
      <c r="CO8" s="312" t="n">
        <f aca="false">IF($A8="N/A"," ",(VLOOKUP($A8,OffPeakVol,(IF(VolBMO=2,7,IF(VolBMO=1,6,8))),FALSE())))</f>
        <v>0.195</v>
      </c>
      <c r="CP8" s="312" t="n">
        <f aca="false">IF($A8="N/A"," ",(VLOOKUP($A8,OffPeakVol,(IF(VolBMO=2,3,IF(VolBMO=1,2,4))),FALSE())*VLOOKUP(MONTH($A8),Volscale,2)))</f>
        <v>0.45</v>
      </c>
      <c r="CQ8" s="312" t="n">
        <f aca="false">IF($A8="N/A"," ",IF(VolType=1,CP8,CO8))</f>
        <v>0.45</v>
      </c>
      <c r="CR8" s="312" t="e">
        <f aca="false">IF($A8="N/A"," ",(VLOOKUP($A8,GasVolTable,(IF(VolBMO=2,6,IF(VolBMO=1,7,5))),FALSE())))</f>
        <v>#N/A</v>
      </c>
      <c r="CS8" s="312" t="e">
        <f aca="false">IF($A8="N/A"," ",(VLOOKUP($A8,OmicronVol,(IF(VolBMO=2,3,IF(VolBMO=1,4,2))),FALSE())))</f>
        <v>#N/A</v>
      </c>
      <c r="CT8" s="312" t="e">
        <f aca="false">IF($A8="N/A"," ",(IF(DateToday&gt;$A8,$CS8,IF(VolType=1,((($CR8^2)*((($A8-1)-DateToday)/((EOMONTH($A8,0)+1)-DateToday-15)))+((($CS8)^2)*((15)/((EOMONTH($A8,0)+1)-DateToday-15))))^0.5,CR8))))</f>
        <v>#N/A</v>
      </c>
      <c r="CU8" s="312" t="n">
        <f aca="false">IF($A8="N/A"," ",IF('Pricing Inputs'!$AR$23=TRUE(),Inputs!$S$22,VLOOKUP($A8,CorrelationTable,2,FALSE())))</f>
        <v>0.75</v>
      </c>
      <c r="CV8" s="313" t="n">
        <f aca="false">IF($A8="N/A"," ",F8+G8+(D8*('Pricing Inputs'!X43)))</f>
        <v>0</v>
      </c>
      <c r="CW8" s="314" t="n">
        <f aca="false">IF($A8="N/A"," ",IF(PV=1,0,'Pricing Inputs'!Y43))</f>
        <v>2</v>
      </c>
      <c r="CX8" s="315" t="n">
        <f aca="false">IF($A8="N/A"," ",(1+CW8/2)^(-2*((EOMONTH(A8,0)+20)-DateToday)/365.25))</f>
        <v>161113628979332</v>
      </c>
      <c r="CY8" s="316" t="n">
        <f aca="false">IF($A8="N/A"," ",(IF(MONTH(A8)&gt;=4,IF(MONTH(A8)&lt;=10,Inputs!$S$26,Inputs!$S$27),Inputs!$S$27))*$CX8)</f>
        <v>19816976364457900</v>
      </c>
      <c r="CZ8" s="317" t="e">
        <f aca="false">IF($A8="N/A"," ",BK8+BL8+BN8+BO8+BQ8+BR8)</f>
        <v>#N/A</v>
      </c>
      <c r="DA8" s="318" t="e">
        <f aca="false">IF($A8="N/A"," ",BM8+BP8+BS8)</f>
        <v>#N/A</v>
      </c>
      <c r="DB8" s="319" t="e">
        <f aca="false">IF($A8="N/A"," ",BT8+BU8+BW8+BX8+BZ8+CA8)</f>
        <v>#N/A</v>
      </c>
      <c r="DC8" s="319" t="e">
        <f aca="false">IF($A8="N/A"," ",BV8+BY8+CB8)</f>
        <v>#N/A</v>
      </c>
      <c r="DD8" s="320" t="e">
        <f aca="false">IF($A8="N/A"," ",SUM(CC8:CK8))</f>
        <v>#N/A</v>
      </c>
      <c r="DE8" s="321" t="n">
        <f aca="false">IF($A8="N/A"," ",VLOOKUP($A8,NumberofDaysTable,2)*Availability)</f>
        <v>19.8</v>
      </c>
      <c r="DF8" s="94" t="n">
        <f aca="false">IF($A8="N/A"," ",VLOOKUP($A8,NumberofDaysTable,3)*Availability)</f>
        <v>3.6</v>
      </c>
      <c r="DG8" s="322" t="n">
        <f aca="false">IF($A8="N/A"," ",VLOOKUP($A8,NumberofDaysTable,4)*Availability)</f>
        <v>4.5</v>
      </c>
      <c r="DH8" s="323" t="n">
        <f aca="false">IF($A8="N/A"," ",IF(Option=1,$D8*Inputs!$S$15*SUM(AS8:BA8),0))</f>
        <v>0</v>
      </c>
      <c r="DI8" s="324" t="n">
        <f aca="false">IF($A8="N/A"," ",IF(Option=1,$D8*Inputs!$S$16*SUM(AS8:BA8),0))</f>
        <v>0</v>
      </c>
      <c r="DJ8" s="325" t="n">
        <f aca="false">IF($A8="N/A"," ",SUM(AS8:AT8))</f>
        <v>6.27801811226025E+018</v>
      </c>
      <c r="DK8" s="325" t="n">
        <f aca="false">IF($A8="N/A"," ",SUM(AU8:BA8))</f>
        <v>6.99142926138073E+018</v>
      </c>
      <c r="DL8" s="325" t="e">
        <f aca="false">IF($A8="N/A"," ",SUM(BB8:BC8))</f>
        <v>#N/A</v>
      </c>
      <c r="DM8" s="325" t="e">
        <f aca="false">IF($A8="N/A"," ",SUM(BD8:BJ8))</f>
        <v>#N/A</v>
      </c>
    </row>
    <row r="9" customFormat="false" ht="12.75" hidden="false" customHeight="false" outlineLevel="0" collapsed="false">
      <c r="A9" s="282" t="n">
        <f aca="false">IF(A8="N/A","N/A",IF(EDATE(A8,1)&gt;Inputs!$S$5,"N/A",EDATE(A8,1)))</f>
        <v>37288</v>
      </c>
      <c r="B9" s="283" t="n">
        <f aca="false">IF(A9="N/A"," ",YEAR(A9))</f>
        <v>2002</v>
      </c>
      <c r="C9" s="284" t="e">
        <f aca="false">IF(A9="N/A"," ",VLOOKUP(A9,ScaledPrice,14))</f>
        <v>#N/A</v>
      </c>
      <c r="D9" s="285" t="n">
        <f aca="false">IF(A9="N/A"," ",(VLOOKUP(MONTH($A9),Hrtable,2))/1000)</f>
        <v>9.5</v>
      </c>
      <c r="E9" s="286" t="e">
        <f aca="false">IF($A9="N/A"," ",(C9)*D9)</f>
        <v>#N/A</v>
      </c>
      <c r="F9" s="287" t="n">
        <f aca="false">IF(A9="N/A"," ",VOM*(1+VOMesc)^(YEAR(A9)-YEAR(Today)))</f>
        <v>0</v>
      </c>
      <c r="G9" s="287" t="n">
        <f aca="false">IF(A9="N/A"," ",Perstart/VLOOKUP(Dayrun,'Pricing Inputs'!$AQ$4:$AS$14,3)/(CY9/CX9))</f>
        <v>0</v>
      </c>
      <c r="H9" s="288" t="e">
        <f aca="false">IF(A9="N/A"," ",SUM(E9:G9))</f>
        <v>#N/A</v>
      </c>
      <c r="I9" s="289" t="n">
        <f aca="false">VLOOKUP($A9,ScaledPrice,6)</f>
        <v>31.8666656494141</v>
      </c>
      <c r="J9" s="290" t="n">
        <f aca="false">VLOOKUP($A9,ScaledPrice,10)</f>
        <v>31.8666656494141</v>
      </c>
      <c r="K9" s="290" t="n">
        <f aca="false">VLOOKUP($A9,ScaledPrice,13)</f>
        <v>17.75</v>
      </c>
      <c r="L9" s="290" t="n">
        <f aca="false">VLOOKUP($A9,ScaledPrice,7)</f>
        <v>27.4160003662109</v>
      </c>
      <c r="M9" s="290" t="n">
        <f aca="false">VLOOKUP($A9,ScaledPrice,11)</f>
        <v>27.4160003662109</v>
      </c>
      <c r="N9" s="290" t="n">
        <f aca="false">VLOOKUP($A9,ScaledPrice,13)</f>
        <v>17.75</v>
      </c>
      <c r="O9" s="290" t="n">
        <f aca="false">VLOOKUP($A9,ScaledPrice,8)</f>
        <v>18.9165000915527</v>
      </c>
      <c r="P9" s="290" t="n">
        <f aca="false">VLOOKUP($A9,ScaledPrice,12)</f>
        <v>18.9165000915527</v>
      </c>
      <c r="Q9" s="291" t="n">
        <f aca="false">VLOOKUP($A9,ScaledPrice,13)</f>
        <v>17.75</v>
      </c>
      <c r="R9" s="292" t="e">
        <f aca="false">IF($A9="N/A"," ",IF(Dayrun&gt;=3,IF(Option=1,MAX($I9-$H9,0),IF(Option=2,MAX($H9-$I9,0),0)),0))</f>
        <v>#N/A</v>
      </c>
      <c r="S9" s="286" t="e">
        <f aca="false">IF($A9="N/A"," ",IF(Dayrun&gt;=6,IF(Option=1,MAX($J9-H9,0),IF(Option=2,MAX(H9-$J9,0),0)),0))</f>
        <v>#N/A</v>
      </c>
      <c r="T9" s="286" t="e">
        <f aca="false">IF($A9="N/A"," ",IF(OR(Dayrun&lt;=2,Dayrun&gt;=9),IF(Option=1,MAX($K9-$H9,0),IF(Option=2,MAX($H9-$K9,0),0)),0))</f>
        <v>#N/A</v>
      </c>
      <c r="U9" s="286" t="e">
        <f aca="false">IF($A9="N/A"," ",IF(OR(Dayrun=1,Dayrun=4,Dayrun=5,Dayrun=7,Dayrun=8,Dayrun=10,Dayrun=11),IF(Option=1,MAX($L9-H9,0),IF(Option=2,MAX(H9-$L9,0),0)),0))</f>
        <v>#N/A</v>
      </c>
      <c r="V9" s="286" t="e">
        <f aca="false">IF($A9="N/A"," ",IF(OR(Dayrun=1,Dayrun=7,Dayrun=8,Dayrun=10,Dayrun=11),IF(Option=1,MAX($M9-H9,0),IF(Option=2,MAX(H9-$M9,0),0)),0))</f>
        <v>#N/A</v>
      </c>
      <c r="W9" s="286" t="e">
        <f aca="false">IF($A9="N/A"," ",IF(OR(Dayrun&lt;=2,Dayrun&gt;=10),IF(Option=1,MAX($N9-$H9,0),IF(Option=2,MAX($H9-$N9,0),0)),0))</f>
        <v>#N/A</v>
      </c>
      <c r="X9" s="286" t="e">
        <f aca="false">IF($A9="N/A"," ",IF(OR(Dayrun=1,Dayrun=5,Dayrun=8,Dayrun=11),IF(Option=1,MAX($O9-H9,0),IF(Option=2,MAX(H9-$O9,0),0)),0))</f>
        <v>#N/A</v>
      </c>
      <c r="Y9" s="286" t="e">
        <f aca="false">IF($A9="N/A"," ",IF(OR(Dayrun=1,Dayrun=8,Dayrun=11),IF(Option=1,MAX($P9-H9,0),IF(Option=2,MAX(H9-$P9,0),0)),0))</f>
        <v>#N/A</v>
      </c>
      <c r="Z9" s="293" t="e">
        <f aca="false">IF($A9="N/A"," ",IF(OR(Dayrun&lt;=2,Dayrun&gt;=11),IF(Option=1,MAX($Q9-$H9,0),IF(Option=2,MAX($H9-$Q9,0),0)),0))</f>
        <v>#N/A</v>
      </c>
      <c r="AA9" s="289" t="e">
        <f aca="false">IF($A9="N/A"," ",IF(Dayrun&gt;=3,(MAX(0,(xSPRDOPT(I9,($E9-'Pricing Inputs'!$X44*$D9),$CV9,0,($CN9+IF(Smile=TRUE(),VLOOKUP(MAX(-5,$H9-I9),Volsmile,2),0)),$CT9,$CU9,($A9-DateToday)+15,ABS(Option-2),0)-R9))),0))</f>
        <v>#N/A</v>
      </c>
      <c r="AB9" s="290" t="e">
        <f aca="false">IF($A9="N/A"," ",IF(Dayrun&gt;=6,MAX(0,(xSPRDOPT(J9,($E9-'Pricing Inputs'!$X44*$D9),$CV9,0,($CN9+IF(Smile=TRUE(),VLOOKUP(MAX(-5,$H9-J9),Volsmile,2),0)),$CT9,$CU9,($A9-DateToday)+15,ABS(Option-2),0)-S9)),0))</f>
        <v>#N/A</v>
      </c>
      <c r="AC9" s="290" t="e">
        <f aca="false">IF($A9="N/A"," ",IF(OR(Dayrun&lt;=2,Dayrun&gt;=9),IF(OffPeakEx=TRUE(),MAX(0,(xSPRDOPT(K9,($E9-'Pricing Inputs'!$X44*$D9),$CV9,0,($CQ9+IF(Smile=TRUE(),VLOOKUP(MAX(-5,$H9-K9),Volsmile,2),0)),$CT9,$CU9,($A9-DateToday)+15,ABS(Option-2),0)-T9)),0),0))</f>
        <v>#N/A</v>
      </c>
      <c r="AD9" s="290" t="e">
        <f aca="false">IF($A9="N/A"," ",IF(OR(Dayrun=1,Dayrun=4,Dayrun=5,Dayrun=7,Dayrun=8,Dayrun=10,Dayrun=11),MAX(0,(xSPRDOPT(L9,($E9-'Pricing Inputs'!$X44*$D9),$CV9,0,($CQ9+IF(Smile=TRUE(),VLOOKUP(MAX(-5,$H9-L9),Volsmile,2),0)),$CT9,$CU9,($A9-DateToday)+15,ABS(Option-2),0)-U9)),0))</f>
        <v>#N/A</v>
      </c>
      <c r="AE9" s="290" t="e">
        <f aca="false">IF($A9="N/A"," ",IF(OR(Dayrun=1,Dayrun=7,Dayrun=8,Dayrun=10,Dayrun=11),MAX(0,(xSPRDOPT(M9,($E9-'Pricing Inputs'!$X44*$D9),$CV9,0,($CQ9+IF(Smile=TRUE(),VLOOKUP(MAX(-5,$H9-M9),Volsmile,2),0)),$CT9,$CU9,($A9-DateToday)+15,ABS(Option-2),0)-V9)),0))</f>
        <v>#N/A</v>
      </c>
      <c r="AF9" s="290" t="e">
        <f aca="false">IF($A9="N/A"," ",IF(OR(Dayrun&lt;=2,Dayrun&gt;=10),IF(OffPeakEx=TRUE(),MAX(0,(xSPRDOPT(N9,($E9-'Pricing Inputs'!$X44*$D9),$CV9,0,($CQ9+IF(Smile=TRUE(),VLOOKUP(MAX(-5,$H9-N9),Volsmile,2),0)),$CT9,$CU9,($A9-DateToday)+15,ABS(Option-2),0)-W9)),0),0))</f>
        <v>#N/A</v>
      </c>
      <c r="AG9" s="290" t="e">
        <f aca="false">IF($A9="N/A"," ",IF(OR(Dayrun=1,Dayrun=5,Dayrun=8,Dayrun=11),MAX(0,(xSPRDOPT(O9,($E9-'Pricing Inputs'!$X44*$D9),$CV9,0,($CQ9+IF(Smile=TRUE(),VLOOKUP(MAX(-5,$H9-O9),Volsmile,2),0)),$CT9,$CU9,($A9-DateToday)+15,ABS(Option-2),0)-X9)),0))</f>
        <v>#N/A</v>
      </c>
      <c r="AH9" s="290" t="e">
        <f aca="false">IF($A9="N/A"," ",IF(OR(Dayrun=1,Dayrun=8,Dayrun=11),MAX(0,(xSPRDOPT(P9,($E9-'Pricing Inputs'!$X44*$D9),$CV9,0,($CQ9+IF(Smile=TRUE(),VLOOKUP(MAX(-5,$H9-P9),Volsmile,2),0)),$CT9,$CU9,($A9-DateToday)+15,ABS(Option-2),0)-Y9)),0))</f>
        <v>#N/A</v>
      </c>
      <c r="AI9" s="290" t="e">
        <f aca="false">IF($A9="N/A"," ",IF(OR(Dayrun&lt;=2,Dayrun&gt;=11),IF(OffPeakEx=TRUE(),MAX(0,(xSPRDOPT(Q9,($E9-'Pricing Inputs'!$X44*$D9),$CV9,0,($CQ9+IF(Smile=TRUE(),VLOOKUP(MAX(-5,$H9-Q9),Volsmile,2),0)),$CT9,$CU9,($A9-DateToday)+15,ABS(Option-2),0)-Z9)),0),0))</f>
        <v>#N/A</v>
      </c>
      <c r="AJ9" s="294" t="e">
        <f aca="false">IF($A9="N/A"," ",IF(Dayrun&gt;=3,IF(Option=1,$I9-$H9,IF(Option=2,$H9-$I9)),0))</f>
        <v>#N/A</v>
      </c>
      <c r="AK9" s="295" t="e">
        <f aca="false">IF($A9="N/A"," ",IF(Dayrun&gt;=6,IF(Option=1,$J9-H9,IF(Option=2,H9-$J9)),0))</f>
        <v>#N/A</v>
      </c>
      <c r="AL9" s="295" t="e">
        <f aca="false">IF($A9="N/A"," ",IF(OR(Dayrun&lt;=2,Dayrun&gt;=9),IF(Option=1,$K9-$H9,IF(Option=2,$H9-$K9)),0))</f>
        <v>#N/A</v>
      </c>
      <c r="AM9" s="295" t="e">
        <f aca="false">IF($A9="N/A"," ",IF(OR(Dayrun=1,Dayrun=4,Dayrun=5,Dayrun=7,Dayrun=8,Dayrun=10,Dayrun=11),IF(Option=1,$L9-H9,IF(Option=2,H9-$L9)),0))</f>
        <v>#N/A</v>
      </c>
      <c r="AN9" s="295" t="e">
        <f aca="false">IF($A9="N/A"," ",IF(OR(Dayrun=1,Dayrun=7,Dayrun=8,Dayrun=10,Dayrun=11),IF(Option=1,$M9-H9,IF(Option=2,H9-$M9)),0))</f>
        <v>#N/A</v>
      </c>
      <c r="AO9" s="295" t="e">
        <f aca="false">IF($A9="N/A"," ",IF(OR(Dayrun&lt;=2,Dayrun&gt;=9),IF(Option=1,$N9-$H9,IF(Option=2,$H9-$N9)),0))</f>
        <v>#N/A</v>
      </c>
      <c r="AP9" s="295" t="e">
        <f aca="false">IF($A9="N/A"," ",IF(OR(Dayrun=1,Dayrun=5,Dayrun=8,Dayrun=11),IF(Option=1,$O9-H9,IF(Option=2,H9-$O9)),0))</f>
        <v>#N/A</v>
      </c>
      <c r="AQ9" s="295" t="e">
        <f aca="false">IF($A9="N/A"," ",IF(OR(Dayrun=1,Dayrun=8,Dayrun=11),IF(Option=1,$P9-H9,IF(Option=2,H9-$P9)),0))</f>
        <v>#N/A</v>
      </c>
      <c r="AR9" s="296" t="e">
        <f aca="false">IF($A9="N/A"," ",IF(OR(Dayrun&lt;=2,Dayrun&gt;=9),IF(Option=1,$Q9-H9,IF(Option=2,H9-$Q9)),0))</f>
        <v>#N/A</v>
      </c>
      <c r="AS9" s="297" t="n">
        <f aca="false">IF($A9="N/A"," ",IF(VLOOKUP(MONTH($A9),ManualTable,2)=1,IF(Dayrun&gt;=3,$DE9*8*$CY9,0),0))</f>
        <v>2.5659374875525E+018</v>
      </c>
      <c r="AT9" s="297" t="n">
        <f aca="false">IF($A9="N/A"," ",IF(VLOOKUP(MONTH($A9),ManualTable,3)=1,IF(Dayrun&gt;=6,$DE9*8*$CY9,0),0))</f>
        <v>2.5659374875525E+018</v>
      </c>
      <c r="AU9" s="297" t="n">
        <f aca="false">IF($A9="N/A"," ",IF(VLOOKUP(MONTH($A9),ManualTable,4)=1,IF(OR(Dayrun&lt;=2,Dayrun&gt;=9),$DE9*8*$CY9,0),0))</f>
        <v>2.5659374875525E+018</v>
      </c>
      <c r="AV9" s="297" t="n">
        <f aca="false">IF($A9="N/A"," ",IF(VLOOKUP(MONTH($A9),ManualTable,5)=1,IF(OR(Dayrun=1,Dayrun=4,Dayrun=5,Dayrun=7,Dayrun=8,Dayrun=10,Dayrun=11),$DF9*8*$CY9,0),0))</f>
        <v>5.131874975105E+017</v>
      </c>
      <c r="AW9" s="297" t="n">
        <f aca="false">IF($A9="N/A"," ",IF(VLOOKUP(MONTH($A9),ManualTable,6)=1,IF(OR(Dayrun=1,Dayrun=7,Dayrun=8,Dayrun=10,Dayrun=11),$DF9*8*$CY9,0),0))</f>
        <v>5.131874975105E+017</v>
      </c>
      <c r="AX9" s="297" t="n">
        <f aca="false">IF($A9="N/A"," ",IF(VLOOKUP(MONTH($A9),ManualTable,7)=1,IF(OR(Dayrun&lt;=2,Dayrun&gt;=9),$DF9*8*$CY9,0),0))</f>
        <v>5.131874975105E+017</v>
      </c>
      <c r="AY9" s="297" t="n">
        <f aca="false">IF($A9="N/A"," ",IF(VLOOKUP(MONTH($A9),ManualTable,8)=1,IF(OR(Dayrun=1,Dayrun=5,Dayrun=8,Dayrun=11),$DG9*8*$CY9,0),0))</f>
        <v>5.131874975105E+017</v>
      </c>
      <c r="AZ9" s="297" t="n">
        <f aca="false">IF($A9="N/A"," ",IF(VLOOKUP(MONTH($A9),ManualTable,9)=1,IF(OR(Dayrun=1,Dayrun=8,Dayrun=11),$DG9*8*$CY9,0),0))</f>
        <v>5.131874975105E+017</v>
      </c>
      <c r="BA9" s="298" t="n">
        <f aca="false">IF($A9="N/A"," ",IF(VLOOKUP(MONTH($A9),ManualTable,10)=1,IF(OR(Dayrun&lt;=2,Dayrun&gt;=9),$DG9*8*$CY9,0),0))</f>
        <v>5.131874975105E+017</v>
      </c>
      <c r="BB9" s="299" t="e">
        <f aca="false">IF($A9="N/A"," ",IF(Dayrun&gt;=3,(MAX(0,(xSPRDOPT(I9,($E9-'Pricing Inputs'!$X44*$D9),$CV9,0,($CN9+IF(Smile=TRUE(),VLOOKUP(MAX(-5,$H9-I9),Volsmile,2),0)),$CT9,$CU9,($A9-DateToday)+15,ABS(Option-2),1)*DE9*8))),0))</f>
        <v>#N/A</v>
      </c>
      <c r="BC9" s="300" t="e">
        <f aca="false">IF($A9="N/A"," ",IF(Dayrun&gt;=6,MAX(0,(xSPRDOPT(J9,($E9-'Pricing Inputs'!$X44*$D9),$CV9,0,($CN9+IF(Smile=TRUE(),VLOOKUP(MAX(-5,$H9-J9),Volsmile,2),0)),$CT9,$CU9,($A9-DateToday)+15,ABS(Option-2),1)*DE9*8)),0))</f>
        <v>#N/A</v>
      </c>
      <c r="BD9" s="300" t="e">
        <f aca="false">IF($A9="N/A"," ",IF(OR(Dayrun&lt;=2,Dayrun&gt;=9),IF(OffPeakEx=TRUE(),MAX(0,(xSPRDOPT(K9,($E9-'Pricing Inputs'!$X44*$D9),$CV9,0,($CQ9+IF(Smile=TRUE(),VLOOKUP(MAX(-5,$H9-K9),Volsmile,2),0)),$CT9,$CU9,($A9-DateToday)+15,ABS(Option-2),1)*DE9*8)),0),0))</f>
        <v>#N/A</v>
      </c>
      <c r="BE9" s="300" t="e">
        <f aca="false">IF($A9="N/A"," ",IF(OR(Dayrun=1,Dayrun=4,Dayrun=5,Dayrun=7,Dayrun=8,Dayrun=10,Dayrun=11),MAX(0,(xSPRDOPT(L9,($E9-'Pricing Inputs'!$X44*$D9),$CV9,0,($CQ9+IF(Smile=TRUE(),VLOOKUP(MAX(-5,$H9-L9),Volsmile,2),0)),$CT9,$CU9,($A9-DateToday)+15,ABS(Option-2),1)*DF9*8)),0))</f>
        <v>#N/A</v>
      </c>
      <c r="BF9" s="300" t="e">
        <f aca="false">IF($A9="N/A"," ",IF(OR(Dayrun=1,Dayrun=7,Dayrun=8,Dayrun=10,Dayrun=11),MAX(0,(xSPRDOPT(M9,($E9-'Pricing Inputs'!$X44*$D9),$CV9,0,($CQ9+IF(Smile=TRUE(),VLOOKUP(MAX(-5,$H9-M9),Volsmile,2),0)),$CT9,$CU9,($A9-DateToday)+15,ABS(Option-2),1)*DF9*8)),0))</f>
        <v>#N/A</v>
      </c>
      <c r="BG9" s="300" t="e">
        <f aca="false">IF($A9="N/A"," ",IF(OR(Dayrun&lt;=2,Dayrun&gt;=10),IF(OffPeakEx=TRUE(),MAX(0,(xSPRDOPT(N9,($E9-'Pricing Inputs'!$X44*$D9),$CV9,0,($CQ9+IF(Smile=TRUE(),VLOOKUP(MAX(-5,$H9-N9),Volsmile,2),0)),$CT9,$CU9,($A9-DateToday)+15,ABS(Option-2),1)*DF9*8)),0),0))</f>
        <v>#N/A</v>
      </c>
      <c r="BH9" s="300" t="e">
        <f aca="false">IF($A9="N/A"," ",IF(OR(Dayrun=1,Dayrun=5,Dayrun=8,Dayrun=11),MAX(0,(xSPRDOPT(O9,($E9-'Pricing Inputs'!$X44*$D9),$CV9,0,($CQ9+IF(Smile=TRUE(),VLOOKUP(MAX(-5,$H9-O9),Volsmile,2),0)),$CT9,$CU9,($A9-DateToday)+15,ABS(Option-2),1)*DG9*8)),0))</f>
        <v>#N/A</v>
      </c>
      <c r="BI9" s="300" t="e">
        <f aca="false">IF($A9="N/A"," ",IF(OR(Dayrun=1,Dayrun=8,Dayrun=11),MAX(0,(xSPRDOPT(P9,($E9-'Pricing Inputs'!$X44*$D9),$CV9,0,($CQ9+IF(Smile=TRUE(),VLOOKUP(MAX(-5,$H9-P9),Volsmile,2),0)),$CT9,$CU9,($A9-DateToday)+15,ABS(Option-2),1)*DG9*8)),0))</f>
        <v>#N/A</v>
      </c>
      <c r="BJ9" s="301" t="e">
        <f aca="false">IF($A9="N/A"," ",IF(OR(Dayrun&lt;=2,Dayrun&gt;=11),IF(OffPeakEx=TRUE(),MAX(0,(xSPRDOPT(Q9,($E9-'Pricing Inputs'!$X44*$D9),$CV9,0,($CQ9+IF(Smile=TRUE(),VLOOKUP(MAX(-5,$H9-Q9),Volsmile,2),0)),$CT9,$CU9,($A9-DateToday)+15,ABS(Option-2),1)*DG9*8)),0),0))</f>
        <v>#N/A</v>
      </c>
      <c r="BK9" s="302" t="e">
        <f aca="false">IF($A9="N/A"," ",R9*$AS9)</f>
        <v>#N/A</v>
      </c>
      <c r="BL9" s="303" t="e">
        <f aca="false">IF($A9="N/A"," ",S9*$AT9)</f>
        <v>#N/A</v>
      </c>
      <c r="BM9" s="303" t="e">
        <f aca="false">IF($A9="N/A"," ",T9*$AU9)</f>
        <v>#N/A</v>
      </c>
      <c r="BN9" s="303" t="e">
        <f aca="false">IF($A9="N/A"," ",U9*$AV9)</f>
        <v>#N/A</v>
      </c>
      <c r="BO9" s="303" t="e">
        <f aca="false">IF($A9="N/A"," ",V9*$AW9)</f>
        <v>#N/A</v>
      </c>
      <c r="BP9" s="303" t="e">
        <f aca="false">IF($A9="N/A"," ",W9*$AX9)</f>
        <v>#N/A</v>
      </c>
      <c r="BQ9" s="303" t="e">
        <f aca="false">IF($A9="N/A"," ",X9*$AY9)</f>
        <v>#N/A</v>
      </c>
      <c r="BR9" s="303" t="e">
        <f aca="false">IF($A9="N/A"," ",Y9*$AZ9)</f>
        <v>#N/A</v>
      </c>
      <c r="BS9" s="304" t="e">
        <f aca="false">IF($A9="N/A"," ",Z9*$BA9)</f>
        <v>#N/A</v>
      </c>
      <c r="BT9" s="305" t="e">
        <f aca="false">IF($A9="N/A"," ",AA9*$AS9)</f>
        <v>#N/A</v>
      </c>
      <c r="BU9" s="306" t="e">
        <f aca="false">IF($A9="N/A"," ",AB9*$AT9)</f>
        <v>#N/A</v>
      </c>
      <c r="BV9" s="306" t="e">
        <f aca="false">IF($A9="N/A"," ",AC9*$AU9)</f>
        <v>#N/A</v>
      </c>
      <c r="BW9" s="306" t="e">
        <f aca="false">IF($A9="N/A"," ",AD9*$AV9)</f>
        <v>#N/A</v>
      </c>
      <c r="BX9" s="306" t="e">
        <f aca="false">IF($A9="N/A"," ",AE9*$AW9)</f>
        <v>#N/A</v>
      </c>
      <c r="BY9" s="306" t="e">
        <f aca="false">IF($A9="N/A"," ",AF9*$AX9)</f>
        <v>#N/A</v>
      </c>
      <c r="BZ9" s="306" t="e">
        <f aca="false">IF($A9="N/A"," ",AG9*$AY9)</f>
        <v>#N/A</v>
      </c>
      <c r="CA9" s="306" t="e">
        <f aca="false">IF($A9="N/A"," ",AH9*$AZ9)</f>
        <v>#N/A</v>
      </c>
      <c r="CB9" s="307" t="e">
        <f aca="false">IF($A9="N/A"," ",AI9*$BA9)</f>
        <v>#N/A</v>
      </c>
      <c r="CC9" s="308" t="e">
        <f aca="false">IF($A9="N/A"," ",AJ9*$AS9)</f>
        <v>#N/A</v>
      </c>
      <c r="CD9" s="309" t="e">
        <f aca="false">IF($A9="N/A"," ",AK9*$AT9)</f>
        <v>#N/A</v>
      </c>
      <c r="CE9" s="309" t="e">
        <f aca="false">IF($A9="N/A"," ",AL9*$AU9)</f>
        <v>#N/A</v>
      </c>
      <c r="CF9" s="309" t="e">
        <f aca="false">IF($A9="N/A"," ",AM9*$AV9)</f>
        <v>#N/A</v>
      </c>
      <c r="CG9" s="309" t="e">
        <f aca="false">IF($A9="N/A"," ",AN9*$AW9)</f>
        <v>#N/A</v>
      </c>
      <c r="CH9" s="309" t="e">
        <f aca="false">IF($A9="N/A"," ",AO9*$AX9)</f>
        <v>#N/A</v>
      </c>
      <c r="CI9" s="309" t="e">
        <f aca="false">IF($A9="N/A"," ",AP9*$AY9)</f>
        <v>#N/A</v>
      </c>
      <c r="CJ9" s="309" t="e">
        <f aca="false">IF($A9="N/A"," ",AQ9*$AZ9)</f>
        <v>#N/A</v>
      </c>
      <c r="CK9" s="310" t="e">
        <f aca="false">IF($A9="N/A"," ",AR9*$BA9)</f>
        <v>#N/A</v>
      </c>
      <c r="CL9" s="311" t="n">
        <f aca="false">IF(A9="N/A"," ",(VLOOKUP(A9,PowerVolTable,(IF(VolBMO=2,7,IF(VolBMO=1,6,8))),FALSE())))</f>
        <v>0.35</v>
      </c>
      <c r="CM9" s="312" t="n">
        <f aca="false">IF(A9="N/A"," ",(VLOOKUP(A9,IntraPowerVol,(IF(VolBMO=2,3,IF(VolBMO=1,2,4))),FALSE())*VLOOKUP(MONTH($A9),Volscale,2)))</f>
        <v>0.75</v>
      </c>
      <c r="CN9" s="312" t="n">
        <f aca="false">IF($A9="N/A"," ",IF(VolType=1,CM9,CL9))</f>
        <v>0.75</v>
      </c>
      <c r="CO9" s="312" t="n">
        <f aca="false">IF($A9="N/A"," ",(VLOOKUP($A9,OffPeakVol,(IF(VolBMO=2,7,IF(VolBMO=1,6,8))),FALSE())))</f>
        <v>0.175</v>
      </c>
      <c r="CP9" s="312" t="n">
        <f aca="false">IF($A9="N/A"," ",(VLOOKUP($A9,OffPeakVol,(IF(VolBMO=2,3,IF(VolBMO=1,2,4))),FALSE())*VLOOKUP(MONTH($A9),Volscale,2)))</f>
        <v>0.45</v>
      </c>
      <c r="CQ9" s="312" t="n">
        <f aca="false">IF($A9="N/A"," ",IF(VolType=1,CP9,CO9))</f>
        <v>0.45</v>
      </c>
      <c r="CR9" s="312" t="e">
        <f aca="false">IF($A9="N/A"," ",(VLOOKUP($A9,GasVolTable,(IF(VolBMO=2,6,IF(VolBMO=1,7,5))),FALSE())))</f>
        <v>#N/A</v>
      </c>
      <c r="CS9" s="312" t="e">
        <f aca="false">IF($A9="N/A"," ",(VLOOKUP($A9,OmicronVol,(IF(VolBMO=2,3,IF(VolBMO=1,4,2))),FALSE())))</f>
        <v>#N/A</v>
      </c>
      <c r="CT9" s="312" t="e">
        <f aca="false">IF($A9="N/A"," ",(IF(DateToday&gt;$A9,$CS9,IF(VolType=1,((($CR9^2)*((($A9-1)-DateToday)/((EOMONTH($A9,0)+1)-DateToday-15)))+((($CS9)^2)*((15)/((EOMONTH($A9,0)+1)-DateToday-15))))^0.5,CR9))))</f>
        <v>#N/A</v>
      </c>
      <c r="CU9" s="312" t="n">
        <f aca="false">IF($A9="N/A"," ",IF('Pricing Inputs'!$AR$23=TRUE(),Inputs!$S$22,VLOOKUP($A9,CorrelationTable,2,FALSE())))</f>
        <v>0.75</v>
      </c>
      <c r="CV9" s="313" t="n">
        <f aca="false">IF($A9="N/A"," ",F9+G9+(D9*('Pricing Inputs'!X44)))</f>
        <v>0</v>
      </c>
      <c r="CW9" s="314" t="n">
        <f aca="false">IF($A9="N/A"," ",IF(PV=1,0,'Pricing Inputs'!Y44))</f>
        <v>2</v>
      </c>
      <c r="CX9" s="315" t="n">
        <f aca="false">IF($A9="N/A"," ",(1+CW9/2)^(-2*((EOMONTH(A9,0)+20)-DateToday)/365.25))</f>
        <v>144870002684762</v>
      </c>
      <c r="CY9" s="316" t="n">
        <f aca="false">IF($A9="N/A"," ",(IF(MONTH(A9)&gt;=4,IF(MONTH(A9)&lt;=10,Inputs!$S$26,Inputs!$S$27),Inputs!$S$27))*$CX9)</f>
        <v>17819010330225700</v>
      </c>
      <c r="CZ9" s="317" t="e">
        <f aca="false">IF($A9="N/A"," ",BK9+BL9+BN9+BO9+BQ9+BR9)</f>
        <v>#N/A</v>
      </c>
      <c r="DA9" s="318" t="e">
        <f aca="false">IF($A9="N/A"," ",BM9+BP9+BS9)</f>
        <v>#N/A</v>
      </c>
      <c r="DB9" s="319" t="e">
        <f aca="false">IF($A9="N/A"," ",BT9+BU9+BW9+BX9+BZ9+CA9)</f>
        <v>#N/A</v>
      </c>
      <c r="DC9" s="319" t="e">
        <f aca="false">IF($A9="N/A"," ",BV9+BY9+CB9)</f>
        <v>#N/A</v>
      </c>
      <c r="DD9" s="320" t="e">
        <f aca="false">IF($A9="N/A"," ",SUM(CC9:CK9))</f>
        <v>#N/A</v>
      </c>
      <c r="DE9" s="321" t="n">
        <f aca="false">IF($A9="N/A"," ",VLOOKUP($A9,NumberofDaysTable,2)*Availability)</f>
        <v>18</v>
      </c>
      <c r="DF9" s="94" t="n">
        <f aca="false">IF($A9="N/A"," ",VLOOKUP($A9,NumberofDaysTable,3)*Availability)</f>
        <v>3.6</v>
      </c>
      <c r="DG9" s="322" t="n">
        <f aca="false">IF($A9="N/A"," ",VLOOKUP($A9,NumberofDaysTable,4)*Availability)</f>
        <v>3.6</v>
      </c>
      <c r="DH9" s="323" t="n">
        <f aca="false">IF($A9="N/A"," ",IF(Option=1,$D9*Inputs!$S$15*SUM(AS9:BA9),0))</f>
        <v>0</v>
      </c>
      <c r="DI9" s="324" t="n">
        <f aca="false">IF($A9="N/A"," ",IF(Option=1,$D9*Inputs!$S$16*SUM(AS9:BA9),0))</f>
        <v>0</v>
      </c>
      <c r="DJ9" s="325" t="n">
        <f aca="false">IF($A9="N/A"," ",SUM(AS9:AT9))</f>
        <v>5.131874975105E+018</v>
      </c>
      <c r="DK9" s="325" t="n">
        <f aca="false">IF($A9="N/A"," ",SUM(AU9:BA9))</f>
        <v>5.6450624726155E+018</v>
      </c>
      <c r="DL9" s="325" t="e">
        <f aca="false">IF($A9="N/A"," ",SUM(BB9:BC9))</f>
        <v>#N/A</v>
      </c>
      <c r="DM9" s="325" t="e">
        <f aca="false">IF($A9="N/A"," ",SUM(BD9:BJ9))</f>
        <v>#N/A</v>
      </c>
    </row>
    <row r="10" customFormat="false" ht="12.75" hidden="false" customHeight="false" outlineLevel="0" collapsed="false">
      <c r="A10" s="282" t="n">
        <f aca="false">IF(A9="N/A","N/A",IF(EDATE(A9,1)&gt;Inputs!$S$5,"N/A",EDATE(A9,1)))</f>
        <v>37316</v>
      </c>
      <c r="B10" s="283" t="n">
        <f aca="false">IF(A10="N/A"," ",YEAR(A10))</f>
        <v>2002</v>
      </c>
      <c r="C10" s="284" t="e">
        <f aca="false">IF(A10="N/A"," ",VLOOKUP(A10,ScaledPrice,14))</f>
        <v>#N/A</v>
      </c>
      <c r="D10" s="285" t="n">
        <f aca="false">IF(A10="N/A"," ",(VLOOKUP(MONTH($A10),Hrtable,2))/1000)</f>
        <v>9.5</v>
      </c>
      <c r="E10" s="286" t="e">
        <f aca="false">IF($A10="N/A"," ",(C10)*D10)</f>
        <v>#N/A</v>
      </c>
      <c r="F10" s="287" t="n">
        <f aca="false">IF(A10="N/A"," ",VOM*(1+VOMesc)^(YEAR(A10)-YEAR(Today)))</f>
        <v>0</v>
      </c>
      <c r="G10" s="287" t="n">
        <f aca="false">IF(A10="N/A"," ",Perstart/VLOOKUP(Dayrun,'Pricing Inputs'!$AQ$4:$AS$14,3)/(CY10/CX10))</f>
        <v>0</v>
      </c>
      <c r="H10" s="288" t="e">
        <f aca="false">IF(A10="N/A"," ",SUM(E10:G10))</f>
        <v>#N/A</v>
      </c>
      <c r="I10" s="289" t="n">
        <f aca="false">VLOOKUP($A10,ScaledPrice,6)</f>
        <v>30.7697677612305</v>
      </c>
      <c r="J10" s="290" t="n">
        <f aca="false">VLOOKUP($A10,ScaledPrice,10)</f>
        <v>30.7697677612305</v>
      </c>
      <c r="K10" s="290" t="n">
        <f aca="false">VLOOKUP($A10,ScaledPrice,13)</f>
        <v>18.75</v>
      </c>
      <c r="L10" s="290" t="n">
        <f aca="false">VLOOKUP($A10,ScaledPrice,7)</f>
        <v>22.4199981689453</v>
      </c>
      <c r="M10" s="290" t="n">
        <f aca="false">VLOOKUP($A10,ScaledPrice,11)</f>
        <v>22.4199981689453</v>
      </c>
      <c r="N10" s="290" t="n">
        <f aca="false">VLOOKUP($A10,ScaledPrice,13)</f>
        <v>18.75</v>
      </c>
      <c r="O10" s="290" t="n">
        <f aca="false">VLOOKUP($A10,ScaledPrice,8)</f>
        <v>16.9200000762939</v>
      </c>
      <c r="P10" s="290" t="n">
        <f aca="false">VLOOKUP($A10,ScaledPrice,12)</f>
        <v>16.9200000762939</v>
      </c>
      <c r="Q10" s="291" t="n">
        <f aca="false">VLOOKUP($A10,ScaledPrice,13)</f>
        <v>18.75</v>
      </c>
      <c r="R10" s="292" t="e">
        <f aca="false">IF($A10="N/A"," ",IF(Dayrun&gt;=3,IF(Option=1,MAX($I10-$H10,0),IF(Option=2,MAX($H10-$I10,0),0)),0))</f>
        <v>#N/A</v>
      </c>
      <c r="S10" s="286" t="e">
        <f aca="false">IF($A10="N/A"," ",IF(Dayrun&gt;=6,IF(Option=1,MAX($J10-H10,0),IF(Option=2,MAX(H10-$J10,0),0)),0))</f>
        <v>#N/A</v>
      </c>
      <c r="T10" s="286" t="e">
        <f aca="false">IF($A10="N/A"," ",IF(OR(Dayrun&lt;=2,Dayrun&gt;=9),IF(Option=1,MAX($K10-$H10,0),IF(Option=2,MAX($H10-$K10,0),0)),0))</f>
        <v>#N/A</v>
      </c>
      <c r="U10" s="286" t="e">
        <f aca="false">IF($A10="N/A"," ",IF(OR(Dayrun=1,Dayrun=4,Dayrun=5,Dayrun=7,Dayrun=8,Dayrun=10,Dayrun=11),IF(Option=1,MAX($L10-H10,0),IF(Option=2,MAX(H10-$L10,0),0)),0))</f>
        <v>#N/A</v>
      </c>
      <c r="V10" s="286" t="e">
        <f aca="false">IF($A10="N/A"," ",IF(OR(Dayrun=1,Dayrun=7,Dayrun=8,Dayrun=10,Dayrun=11),IF(Option=1,MAX($M10-H10,0),IF(Option=2,MAX(H10-$M10,0),0)),0))</f>
        <v>#N/A</v>
      </c>
      <c r="W10" s="286" t="e">
        <f aca="false">IF($A10="N/A"," ",IF(OR(Dayrun&lt;=2,Dayrun&gt;=10),IF(Option=1,MAX($N10-$H10,0),IF(Option=2,MAX($H10-$N10,0),0)),0))</f>
        <v>#N/A</v>
      </c>
      <c r="X10" s="286" t="e">
        <f aca="false">IF($A10="N/A"," ",IF(OR(Dayrun=1,Dayrun=5,Dayrun=8,Dayrun=11),IF(Option=1,MAX($O10-H10,0),IF(Option=2,MAX(H10-$O10,0),0)),0))</f>
        <v>#N/A</v>
      </c>
      <c r="Y10" s="286" t="e">
        <f aca="false">IF($A10="N/A"," ",IF(OR(Dayrun=1,Dayrun=8,Dayrun=11),IF(Option=1,MAX($P10-H10,0),IF(Option=2,MAX(H10-$P10,0),0)),0))</f>
        <v>#N/A</v>
      </c>
      <c r="Z10" s="293" t="e">
        <f aca="false">IF($A10="N/A"," ",IF(OR(Dayrun&lt;=2,Dayrun&gt;=11),IF(Option=1,MAX($Q10-$H10,0),IF(Option=2,MAX($H10-$Q10,0),0)),0))</f>
        <v>#N/A</v>
      </c>
      <c r="AA10" s="289" t="e">
        <f aca="false">IF($A10="N/A"," ",IF(Dayrun&gt;=3,(MAX(0,(xSPRDOPT(I10,($E10-'Pricing Inputs'!$X45*$D10),$CV10,0,($CN10+IF(Smile=TRUE(),VLOOKUP(MAX(-5,$H10-I10),Volsmile,2),0)),$CT10,$CU10,($A10-DateToday)+15,ABS(Option-2),0)-R10))),0))</f>
        <v>#N/A</v>
      </c>
      <c r="AB10" s="290" t="e">
        <f aca="false">IF($A10="N/A"," ",IF(Dayrun&gt;=6,MAX(0,(xSPRDOPT(J10,($E10-'Pricing Inputs'!$X45*$D10),$CV10,0,($CN10+IF(Smile=TRUE(),VLOOKUP(MAX(-5,$H10-J10),Volsmile,2),0)),$CT10,$CU10,($A10-DateToday)+15,ABS(Option-2),0)-S10)),0))</f>
        <v>#N/A</v>
      </c>
      <c r="AC10" s="290" t="e">
        <f aca="false">IF($A10="N/A"," ",IF(OR(Dayrun&lt;=2,Dayrun&gt;=9),IF(OffPeakEx=TRUE(),MAX(0,(xSPRDOPT(K10,($E10-'Pricing Inputs'!$X45*$D10),$CV10,0,($CQ10+IF(Smile=TRUE(),VLOOKUP(MAX(-5,$H10-K10),Volsmile,2),0)),$CT10,$CU10,($A10-DateToday)+15,ABS(Option-2),0)-T10)),0),0))</f>
        <v>#N/A</v>
      </c>
      <c r="AD10" s="290" t="e">
        <f aca="false">IF($A10="N/A"," ",IF(OR(Dayrun=1,Dayrun=4,Dayrun=5,Dayrun=7,Dayrun=8,Dayrun=10,Dayrun=11),MAX(0,(xSPRDOPT(L10,($E10-'Pricing Inputs'!$X45*$D10),$CV10,0,($CQ10+IF(Smile=TRUE(),VLOOKUP(MAX(-5,$H10-L10),Volsmile,2),0)),$CT10,$CU10,($A10-DateToday)+15,ABS(Option-2),0)-U10)),0))</f>
        <v>#N/A</v>
      </c>
      <c r="AE10" s="290" t="e">
        <f aca="false">IF($A10="N/A"," ",IF(OR(Dayrun=1,Dayrun=7,Dayrun=8,Dayrun=10,Dayrun=11),MAX(0,(xSPRDOPT(M10,($E10-'Pricing Inputs'!$X45*$D10),$CV10,0,($CQ10+IF(Smile=TRUE(),VLOOKUP(MAX(-5,$H10-M10),Volsmile,2),0)),$CT10,$CU10,($A10-DateToday)+15,ABS(Option-2),0)-V10)),0))</f>
        <v>#N/A</v>
      </c>
      <c r="AF10" s="290" t="e">
        <f aca="false">IF($A10="N/A"," ",IF(OR(Dayrun&lt;=2,Dayrun&gt;=10),IF(OffPeakEx=TRUE(),MAX(0,(xSPRDOPT(N10,($E10-'Pricing Inputs'!$X45*$D10),$CV10,0,($CQ10+IF(Smile=TRUE(),VLOOKUP(MAX(-5,$H10-N10),Volsmile,2),0)),$CT10,$CU10,($A10-DateToday)+15,ABS(Option-2),0)-W10)),0),0))</f>
        <v>#N/A</v>
      </c>
      <c r="AG10" s="290" t="e">
        <f aca="false">IF($A10="N/A"," ",IF(OR(Dayrun=1,Dayrun=5,Dayrun=8,Dayrun=11),MAX(0,(xSPRDOPT(O10,($E10-'Pricing Inputs'!$X45*$D10),$CV10,0,($CQ10+IF(Smile=TRUE(),VLOOKUP(MAX(-5,$H10-O10),Volsmile,2),0)),$CT10,$CU10,($A10-DateToday)+15,ABS(Option-2),0)-X10)),0))</f>
        <v>#N/A</v>
      </c>
      <c r="AH10" s="290" t="e">
        <f aca="false">IF($A10="N/A"," ",IF(OR(Dayrun=1,Dayrun=8,Dayrun=11),MAX(0,(xSPRDOPT(P10,($E10-'Pricing Inputs'!$X45*$D10),$CV10,0,($CQ10+IF(Smile=TRUE(),VLOOKUP(MAX(-5,$H10-P10),Volsmile,2),0)),$CT10,$CU10,($A10-DateToday)+15,ABS(Option-2),0)-Y10)),0))</f>
        <v>#N/A</v>
      </c>
      <c r="AI10" s="290" t="e">
        <f aca="false">IF($A10="N/A"," ",IF(OR(Dayrun&lt;=2,Dayrun&gt;=11),IF(OffPeakEx=TRUE(),MAX(0,(xSPRDOPT(Q10,($E10-'Pricing Inputs'!$X45*$D10),$CV10,0,($CQ10+IF(Smile=TRUE(),VLOOKUP(MAX(-5,$H10-Q10),Volsmile,2),0)),$CT10,$CU10,($A10-DateToday)+15,ABS(Option-2),0)-Z10)),0),0))</f>
        <v>#N/A</v>
      </c>
      <c r="AJ10" s="294" t="e">
        <f aca="false">IF($A10="N/A"," ",IF(Dayrun&gt;=3,IF(Option=1,$I10-$H10,IF(Option=2,$H10-$I10)),0))</f>
        <v>#N/A</v>
      </c>
      <c r="AK10" s="295" t="e">
        <f aca="false">IF($A10="N/A"," ",IF(Dayrun&gt;=6,IF(Option=1,$J10-H10,IF(Option=2,H10-$J10)),0))</f>
        <v>#N/A</v>
      </c>
      <c r="AL10" s="295" t="e">
        <f aca="false">IF($A10="N/A"," ",IF(OR(Dayrun&lt;=2,Dayrun&gt;=9),IF(Option=1,$K10-$H10,IF(Option=2,$H10-$K10)),0))</f>
        <v>#N/A</v>
      </c>
      <c r="AM10" s="295" t="e">
        <f aca="false">IF($A10="N/A"," ",IF(OR(Dayrun=1,Dayrun=4,Dayrun=5,Dayrun=7,Dayrun=8,Dayrun=10,Dayrun=11),IF(Option=1,$L10-H10,IF(Option=2,H10-$L10)),0))</f>
        <v>#N/A</v>
      </c>
      <c r="AN10" s="295" t="e">
        <f aca="false">IF($A10="N/A"," ",IF(OR(Dayrun=1,Dayrun=7,Dayrun=8,Dayrun=10,Dayrun=11),IF(Option=1,$M10-H10,IF(Option=2,H10-$M10)),0))</f>
        <v>#N/A</v>
      </c>
      <c r="AO10" s="295" t="e">
        <f aca="false">IF($A10="N/A"," ",IF(OR(Dayrun&lt;=2,Dayrun&gt;=9),IF(Option=1,$N10-$H10,IF(Option=2,$H10-$N10)),0))</f>
        <v>#N/A</v>
      </c>
      <c r="AP10" s="295" t="e">
        <f aca="false">IF($A10="N/A"," ",IF(OR(Dayrun=1,Dayrun=5,Dayrun=8,Dayrun=11),IF(Option=1,$O10-H10,IF(Option=2,H10-$O10)),0))</f>
        <v>#N/A</v>
      </c>
      <c r="AQ10" s="295" t="e">
        <f aca="false">IF($A10="N/A"," ",IF(OR(Dayrun=1,Dayrun=8,Dayrun=11),IF(Option=1,$P10-H10,IF(Option=2,H10-$P10)),0))</f>
        <v>#N/A</v>
      </c>
      <c r="AR10" s="296" t="e">
        <f aca="false">IF($A10="N/A"," ",IF(OR(Dayrun&lt;=2,Dayrun&gt;=9),IF(Option=1,$Q10-H10,IF(Option=2,H10-$Q10)),0))</f>
        <v>#N/A</v>
      </c>
      <c r="AS10" s="297" t="n">
        <f aca="false">IF($A10="N/A"," ",IF(VLOOKUP(MONTH($A10),ManualTable,2)=1,IF(Dayrun&gt;=3,$DE10*8*$CY10,0),0))</f>
        <v>2.39517090619647E+018</v>
      </c>
      <c r="AT10" s="297" t="n">
        <f aca="false">IF($A10="N/A"," ",IF(VLOOKUP(MONTH($A10),ManualTable,3)=1,IF(Dayrun&gt;=6,$DE10*8*$CY10,0),0))</f>
        <v>2.39517090619647E+018</v>
      </c>
      <c r="AU10" s="297" t="n">
        <f aca="false">IF($A10="N/A"," ",IF(VLOOKUP(MONTH($A10),ManualTable,4)=1,IF(OR(Dayrun&lt;=2,Dayrun&gt;=9),$DE10*8*$CY10,0),0))</f>
        <v>2.39517090619647E+018</v>
      </c>
      <c r="AV10" s="297" t="n">
        <f aca="false">IF($A10="N/A"," ",IF(VLOOKUP(MONTH($A10),ManualTable,5)=1,IF(OR(Dayrun=1,Dayrun=4,Dayrun=5,Dayrun=7,Dayrun=8,Dayrun=10,Dayrun=11),$DF10*8*$CY10,0),0))</f>
        <v>5.70278787189636E+017</v>
      </c>
      <c r="AW10" s="297" t="n">
        <f aca="false">IF($A10="N/A"," ",IF(VLOOKUP(MONTH($A10),ManualTable,6)=1,IF(OR(Dayrun=1,Dayrun=7,Dayrun=8,Dayrun=10,Dayrun=11),$DF10*8*$CY10,0),0))</f>
        <v>5.70278787189636E+017</v>
      </c>
      <c r="AX10" s="297" t="n">
        <f aca="false">IF($A10="N/A"," ",IF(VLOOKUP(MONTH($A10),ManualTable,7)=1,IF(OR(Dayrun&lt;=2,Dayrun&gt;=9),$DF10*8*$CY10,0),0))</f>
        <v>5.70278787189636E+017</v>
      </c>
      <c r="AY10" s="297" t="n">
        <f aca="false">IF($A10="N/A"," ",IF(VLOOKUP(MONTH($A10),ManualTable,8)=1,IF(OR(Dayrun=1,Dayrun=5,Dayrun=8,Dayrun=11),$DG10*8*$CY10,0),0))</f>
        <v>5.70278787189636E+017</v>
      </c>
      <c r="AZ10" s="297" t="n">
        <f aca="false">IF($A10="N/A"," ",IF(VLOOKUP(MONTH($A10),ManualTable,9)=1,IF(OR(Dayrun=1,Dayrun=8,Dayrun=11),$DG10*8*$CY10,0),0))</f>
        <v>5.70278787189636E+017</v>
      </c>
      <c r="BA10" s="298" t="n">
        <f aca="false">IF($A10="N/A"," ",IF(VLOOKUP(MONTH($A10),ManualTable,10)=1,IF(OR(Dayrun&lt;=2,Dayrun&gt;=9),$DG10*8*$CY10,0),0))</f>
        <v>5.70278787189636E+017</v>
      </c>
      <c r="BB10" s="299" t="e">
        <f aca="false">IF($A10="N/A"," ",IF(Dayrun&gt;=3,(MAX(0,(xSPRDOPT(I10,($E10-'Pricing Inputs'!$X45*$D10),$CV10,0,($CN10+IF(Smile=TRUE(),VLOOKUP(MAX(-5,$H10-I10),Volsmile,2),0)),$CT10,$CU10,($A10-DateToday)+15,ABS(Option-2),1)*DE10*8))),0))</f>
        <v>#N/A</v>
      </c>
      <c r="BC10" s="300" t="e">
        <f aca="false">IF($A10="N/A"," ",IF(Dayrun&gt;=6,MAX(0,(xSPRDOPT(J10,($E10-'Pricing Inputs'!$X45*$D10),$CV10,0,($CN10+IF(Smile=TRUE(),VLOOKUP(MAX(-5,$H10-J10),Volsmile,2),0)),$CT10,$CU10,($A10-DateToday)+15,ABS(Option-2),1)*DE10*8)),0))</f>
        <v>#N/A</v>
      </c>
      <c r="BD10" s="300" t="e">
        <f aca="false">IF($A10="N/A"," ",IF(OR(Dayrun&lt;=2,Dayrun&gt;=9),IF(OffPeakEx=TRUE(),MAX(0,(xSPRDOPT(K10,($E10-'Pricing Inputs'!$X45*$D10),$CV10,0,($CQ10+IF(Smile=TRUE(),VLOOKUP(MAX(-5,$H10-K10),Volsmile,2),0)),$CT10,$CU10,($A10-DateToday)+15,ABS(Option-2),1)*DE10*8)),0),0))</f>
        <v>#N/A</v>
      </c>
      <c r="BE10" s="300" t="e">
        <f aca="false">IF($A10="N/A"," ",IF(OR(Dayrun=1,Dayrun=4,Dayrun=5,Dayrun=7,Dayrun=8,Dayrun=10,Dayrun=11),MAX(0,(xSPRDOPT(L10,($E10-'Pricing Inputs'!$X45*$D10),$CV10,0,($CQ10+IF(Smile=TRUE(),VLOOKUP(MAX(-5,$H10-L10),Volsmile,2),0)),$CT10,$CU10,($A10-DateToday)+15,ABS(Option-2),1)*DF10*8)),0))</f>
        <v>#N/A</v>
      </c>
      <c r="BF10" s="300" t="e">
        <f aca="false">IF($A10="N/A"," ",IF(OR(Dayrun=1,Dayrun=7,Dayrun=8,Dayrun=10,Dayrun=11),MAX(0,(xSPRDOPT(M10,($E10-'Pricing Inputs'!$X45*$D10),$CV10,0,($CQ10+IF(Smile=TRUE(),VLOOKUP(MAX(-5,$H10-M10),Volsmile,2),0)),$CT10,$CU10,($A10-DateToday)+15,ABS(Option-2),1)*DF10*8)),0))</f>
        <v>#N/A</v>
      </c>
      <c r="BG10" s="300" t="e">
        <f aca="false">IF($A10="N/A"," ",IF(OR(Dayrun&lt;=2,Dayrun&gt;=10),IF(OffPeakEx=TRUE(),MAX(0,(xSPRDOPT(N10,($E10-'Pricing Inputs'!$X45*$D10),$CV10,0,($CQ10+IF(Smile=TRUE(),VLOOKUP(MAX(-5,$H10-N10),Volsmile,2),0)),$CT10,$CU10,($A10-DateToday)+15,ABS(Option-2),1)*DF10*8)),0),0))</f>
        <v>#N/A</v>
      </c>
      <c r="BH10" s="300" t="e">
        <f aca="false">IF($A10="N/A"," ",IF(OR(Dayrun=1,Dayrun=5,Dayrun=8,Dayrun=11),MAX(0,(xSPRDOPT(O10,($E10-'Pricing Inputs'!$X45*$D10),$CV10,0,($CQ10+IF(Smile=TRUE(),VLOOKUP(MAX(-5,$H10-O10),Volsmile,2),0)),$CT10,$CU10,($A10-DateToday)+15,ABS(Option-2),1)*DG10*8)),0))</f>
        <v>#N/A</v>
      </c>
      <c r="BI10" s="300" t="e">
        <f aca="false">IF($A10="N/A"," ",IF(OR(Dayrun=1,Dayrun=8,Dayrun=11),MAX(0,(xSPRDOPT(P10,($E10-'Pricing Inputs'!$X45*$D10),$CV10,0,($CQ10+IF(Smile=TRUE(),VLOOKUP(MAX(-5,$H10-P10),Volsmile,2),0)),$CT10,$CU10,($A10-DateToday)+15,ABS(Option-2),1)*DG10*8)),0))</f>
        <v>#N/A</v>
      </c>
      <c r="BJ10" s="301" t="e">
        <f aca="false">IF($A10="N/A"," ",IF(OR(Dayrun&lt;=2,Dayrun&gt;=11),IF(OffPeakEx=TRUE(),MAX(0,(xSPRDOPT(Q10,($E10-'Pricing Inputs'!$X45*$D10),$CV10,0,($CQ10+IF(Smile=TRUE(),VLOOKUP(MAX(-5,$H10-Q10),Volsmile,2),0)),$CT10,$CU10,($A10-DateToday)+15,ABS(Option-2),1)*DG10*8)),0),0))</f>
        <v>#N/A</v>
      </c>
      <c r="BK10" s="302" t="e">
        <f aca="false">IF($A10="N/A"," ",R10*$AS10)</f>
        <v>#N/A</v>
      </c>
      <c r="BL10" s="303" t="e">
        <f aca="false">IF($A10="N/A"," ",S10*$AT10)</f>
        <v>#N/A</v>
      </c>
      <c r="BM10" s="303" t="e">
        <f aca="false">IF($A10="N/A"," ",T10*$AU10)</f>
        <v>#N/A</v>
      </c>
      <c r="BN10" s="303" t="e">
        <f aca="false">IF($A10="N/A"," ",U10*$AV10)</f>
        <v>#N/A</v>
      </c>
      <c r="BO10" s="303" t="e">
        <f aca="false">IF($A10="N/A"," ",V10*$AW10)</f>
        <v>#N/A</v>
      </c>
      <c r="BP10" s="303" t="e">
        <f aca="false">IF($A10="N/A"," ",W10*$AX10)</f>
        <v>#N/A</v>
      </c>
      <c r="BQ10" s="303" t="e">
        <f aca="false">IF($A10="N/A"," ",X10*$AY10)</f>
        <v>#N/A</v>
      </c>
      <c r="BR10" s="303" t="e">
        <f aca="false">IF($A10="N/A"," ",Y10*$AZ10)</f>
        <v>#N/A</v>
      </c>
      <c r="BS10" s="304" t="e">
        <f aca="false">IF($A10="N/A"," ",Z10*$BA10)</f>
        <v>#N/A</v>
      </c>
      <c r="BT10" s="305" t="e">
        <f aca="false">IF($A10="N/A"," ",AA10*$AS10)</f>
        <v>#N/A</v>
      </c>
      <c r="BU10" s="306" t="e">
        <f aca="false">IF($A10="N/A"," ",AB10*$AT10)</f>
        <v>#N/A</v>
      </c>
      <c r="BV10" s="306" t="e">
        <f aca="false">IF($A10="N/A"," ",AC10*$AU10)</f>
        <v>#N/A</v>
      </c>
      <c r="BW10" s="306" t="e">
        <f aca="false">IF($A10="N/A"," ",AD10*$AV10)</f>
        <v>#N/A</v>
      </c>
      <c r="BX10" s="306" t="e">
        <f aca="false">IF($A10="N/A"," ",AE10*$AW10)</f>
        <v>#N/A</v>
      </c>
      <c r="BY10" s="306" t="e">
        <f aca="false">IF($A10="N/A"," ",AF10*$AX10)</f>
        <v>#N/A</v>
      </c>
      <c r="BZ10" s="306" t="e">
        <f aca="false">IF($A10="N/A"," ",AG10*$AY10)</f>
        <v>#N/A</v>
      </c>
      <c r="CA10" s="306" t="e">
        <f aca="false">IF($A10="N/A"," ",AH10*$AZ10)</f>
        <v>#N/A</v>
      </c>
      <c r="CB10" s="307" t="e">
        <f aca="false">IF($A10="N/A"," ",AI10*$BA10)</f>
        <v>#N/A</v>
      </c>
      <c r="CC10" s="308" t="e">
        <f aca="false">IF($A10="N/A"," ",AJ10*$AS10)</f>
        <v>#N/A</v>
      </c>
      <c r="CD10" s="309" t="e">
        <f aca="false">IF($A10="N/A"," ",AK10*$AT10)</f>
        <v>#N/A</v>
      </c>
      <c r="CE10" s="309" t="e">
        <f aca="false">IF($A10="N/A"," ",AL10*$AU10)</f>
        <v>#N/A</v>
      </c>
      <c r="CF10" s="309" t="e">
        <f aca="false">IF($A10="N/A"," ",AM10*$AV10)</f>
        <v>#N/A</v>
      </c>
      <c r="CG10" s="309" t="e">
        <f aca="false">IF($A10="N/A"," ",AN10*$AW10)</f>
        <v>#N/A</v>
      </c>
      <c r="CH10" s="309" t="e">
        <f aca="false">IF($A10="N/A"," ",AO10*$AX10)</f>
        <v>#N/A</v>
      </c>
      <c r="CI10" s="309" t="e">
        <f aca="false">IF($A10="N/A"," ",AP10*$AY10)</f>
        <v>#N/A</v>
      </c>
      <c r="CJ10" s="309" t="e">
        <f aca="false">IF($A10="N/A"," ",AQ10*$AZ10)</f>
        <v>#N/A</v>
      </c>
      <c r="CK10" s="310" t="e">
        <f aca="false">IF($A10="N/A"," ",AR10*$BA10)</f>
        <v>#N/A</v>
      </c>
      <c r="CL10" s="311" t="n">
        <f aca="false">IF(A10="N/A"," ",(VLOOKUP(A10,PowerVolTable,(IF(VolBMO=2,7,IF(VolBMO=1,6,8))),FALSE())))</f>
        <v>0.35</v>
      </c>
      <c r="CM10" s="312" t="n">
        <f aca="false">IF(A10="N/A"," ",(VLOOKUP(A10,IntraPowerVol,(IF(VolBMO=2,3,IF(VolBMO=1,2,4))),FALSE())*VLOOKUP(MONTH($A10),Volscale,2)))</f>
        <v>0.75</v>
      </c>
      <c r="CN10" s="312" t="n">
        <f aca="false">IF($A10="N/A"," ",IF(VolType=1,CM10,CL10))</f>
        <v>0.75</v>
      </c>
      <c r="CO10" s="312" t="n">
        <f aca="false">IF($A10="N/A"," ",(VLOOKUP($A10,OffPeakVol,(IF(VolBMO=2,7,IF(VolBMO=1,6,8))),FALSE())))</f>
        <v>0.175</v>
      </c>
      <c r="CP10" s="312" t="n">
        <f aca="false">IF($A10="N/A"," ",(VLOOKUP($A10,OffPeakVol,(IF(VolBMO=2,3,IF(VolBMO=1,2,4))),FALSE())*VLOOKUP(MONTH($A10),Volscale,2)))</f>
        <v>0.45</v>
      </c>
      <c r="CQ10" s="312" t="n">
        <f aca="false">IF($A10="N/A"," ",IF(VolType=1,CP10,CO10))</f>
        <v>0.45</v>
      </c>
      <c r="CR10" s="312" t="e">
        <f aca="false">IF($A10="N/A"," ",(VLOOKUP($A10,GasVolTable,(IF(VolBMO=2,6,IF(VolBMO=1,7,5))),FALSE())))</f>
        <v>#N/A</v>
      </c>
      <c r="CS10" s="312" t="e">
        <f aca="false">IF($A10="N/A"," ",(VLOOKUP($A10,OmicronVol,(IF(VolBMO=2,3,IF(VolBMO=1,4,2))),FALSE())))</f>
        <v>#N/A</v>
      </c>
      <c r="CT10" s="312" t="e">
        <f aca="false">IF($A10="N/A"," ",(IF(DateToday&gt;$A10,$CS10,IF(VolType=1,((($CR10^2)*((($A10-1)-DateToday)/((EOMONTH($A10,0)+1)-DateToday-15)))+((($CS10)^2)*((15)/((EOMONTH($A10,0)+1)-DateToday-15))))^0.5,CR10))))</f>
        <v>#N/A</v>
      </c>
      <c r="CU10" s="312" t="n">
        <f aca="false">IF($A10="N/A"," ",IF('Pricing Inputs'!$AR$23=TRUE(),Inputs!$S$22,VLOOKUP($A10,CorrelationTable,2,FALSE())))</f>
        <v>0.75</v>
      </c>
      <c r="CV10" s="313" t="n">
        <f aca="false">IF($A10="N/A"," ",F10+G10+(D10*('Pricing Inputs'!X45)))</f>
        <v>0</v>
      </c>
      <c r="CW10" s="314" t="n">
        <f aca="false">IF($A10="N/A"," ",IF(PV=1,0,'Pricing Inputs'!Y45))</f>
        <v>2</v>
      </c>
      <c r="CX10" s="315" t="n">
        <f aca="false">IF($A10="N/A"," ",(1+CW10/2)^(-2*((EOMONTH(A10,0)+20)-DateToday)/365.25))</f>
        <v>128789247332799</v>
      </c>
      <c r="CY10" s="316" t="n">
        <f aca="false">IF($A10="N/A"," ",(IF(MONTH(A10)&gt;=4,IF(MONTH(A10)&lt;=10,Inputs!$S$26,Inputs!$S$27),Inputs!$S$27))*$CX10)</f>
        <v>15841077421934300</v>
      </c>
      <c r="CZ10" s="317" t="e">
        <f aca="false">IF($A10="N/A"," ",BK10+BL10+BN10+BO10+BQ10+BR10)</f>
        <v>#N/A</v>
      </c>
      <c r="DA10" s="318" t="e">
        <f aca="false">IF($A10="N/A"," ",BM10+BP10+BS10)</f>
        <v>#N/A</v>
      </c>
      <c r="DB10" s="319" t="e">
        <f aca="false">IF($A10="N/A"," ",BT10+BU10+BW10+BX10+BZ10+CA10)</f>
        <v>#N/A</v>
      </c>
      <c r="DC10" s="319" t="e">
        <f aca="false">IF($A10="N/A"," ",BV10+BY10+CB10)</f>
        <v>#N/A</v>
      </c>
      <c r="DD10" s="320" t="e">
        <f aca="false">IF($A10="N/A"," ",SUM(CC10:CK10))</f>
        <v>#N/A</v>
      </c>
      <c r="DE10" s="321" t="n">
        <f aca="false">IF($A10="N/A"," ",VLOOKUP($A10,NumberofDaysTable,2)*Availability)</f>
        <v>18.9</v>
      </c>
      <c r="DF10" s="94" t="n">
        <f aca="false">IF($A10="N/A"," ",VLOOKUP($A10,NumberofDaysTable,3)*Availability)</f>
        <v>4.5</v>
      </c>
      <c r="DG10" s="322" t="n">
        <f aca="false">IF($A10="N/A"," ",VLOOKUP($A10,NumberofDaysTable,4)*Availability)</f>
        <v>4.5</v>
      </c>
      <c r="DH10" s="323" t="n">
        <f aca="false">IF($A10="N/A"," ",IF(Option=1,$D10*Inputs!$S$15*SUM(AS10:BA10),0))</f>
        <v>0</v>
      </c>
      <c r="DI10" s="324" t="n">
        <f aca="false">IF($A10="N/A"," ",IF(Option=1,$D10*Inputs!$S$16*SUM(AS10:BA10),0))</f>
        <v>0</v>
      </c>
      <c r="DJ10" s="325" t="n">
        <f aca="false">IF($A10="N/A"," ",SUM(AS10:AT10))</f>
        <v>4.79034181239294E+018</v>
      </c>
      <c r="DK10" s="325" t="n">
        <f aca="false">IF($A10="N/A"," ",SUM(AU10:BA10))</f>
        <v>5.81684362933429E+018</v>
      </c>
      <c r="DL10" s="325" t="e">
        <f aca="false">IF($A10="N/A"," ",SUM(BB10:BC10))</f>
        <v>#N/A</v>
      </c>
      <c r="DM10" s="325" t="e">
        <f aca="false">IF($A10="N/A"," ",SUM(BD10:BJ10))</f>
        <v>#N/A</v>
      </c>
    </row>
    <row r="11" customFormat="false" ht="12.75" hidden="false" customHeight="false" outlineLevel="0" collapsed="false">
      <c r="A11" s="282" t="n">
        <f aca="false">IF(A10="N/A","N/A",IF(EDATE(A10,1)&gt;Inputs!$S$5,"N/A",EDATE(A10,1)))</f>
        <v>37347</v>
      </c>
      <c r="B11" s="283" t="n">
        <f aca="false">IF(A11="N/A"," ",YEAR(A11))</f>
        <v>2002</v>
      </c>
      <c r="C11" s="284" t="e">
        <f aca="false">IF(A11="N/A"," ",VLOOKUP(A11,ScaledPrice,14))</f>
        <v>#N/A</v>
      </c>
      <c r="D11" s="285" t="n">
        <f aca="false">IF(A11="N/A"," ",(VLOOKUP(MONTH($A11),Hrtable,2))/1000)</f>
        <v>9.5</v>
      </c>
      <c r="E11" s="286" t="e">
        <f aca="false">IF($A11="N/A"," ",(C11)*D11)</f>
        <v>#N/A</v>
      </c>
      <c r="F11" s="287" t="n">
        <f aca="false">IF(A11="N/A"," ",VOM*(1+VOMesc)^(YEAR(A11)-YEAR(Today)))</f>
        <v>0</v>
      </c>
      <c r="G11" s="287" t="n">
        <f aca="false">IF(A11="N/A"," ",Perstart/VLOOKUP(Dayrun,'Pricing Inputs'!$AQ$4:$AS$14,3)/(CY11/CX11))</f>
        <v>0</v>
      </c>
      <c r="H11" s="288" t="e">
        <f aca="false">IF(A11="N/A"," ",SUM(E11:G11))</f>
        <v>#N/A</v>
      </c>
      <c r="I11" s="289" t="n">
        <f aca="false">VLOOKUP($A11,ScaledPrice,6)</f>
        <v>31.7197685241699</v>
      </c>
      <c r="J11" s="290" t="n">
        <f aca="false">VLOOKUP($A11,ScaledPrice,10)</f>
        <v>31.7197685241699</v>
      </c>
      <c r="K11" s="290" t="n">
        <f aca="false">VLOOKUP($A11,ScaledPrice,13)</f>
        <v>16.7500009536743</v>
      </c>
      <c r="L11" s="290" t="n">
        <f aca="false">VLOOKUP($A11,ScaledPrice,7)</f>
        <v>22.4199981689453</v>
      </c>
      <c r="M11" s="290" t="n">
        <f aca="false">VLOOKUP($A11,ScaledPrice,11)</f>
        <v>22.4199981689453</v>
      </c>
      <c r="N11" s="290" t="n">
        <f aca="false">VLOOKUP($A11,ScaledPrice,13)</f>
        <v>16.7500009536743</v>
      </c>
      <c r="O11" s="290" t="n">
        <f aca="false">VLOOKUP($A11,ScaledPrice,8)</f>
        <v>16.9150009155273</v>
      </c>
      <c r="P11" s="290" t="n">
        <f aca="false">VLOOKUP($A11,ScaledPrice,12)</f>
        <v>16.9150009155273</v>
      </c>
      <c r="Q11" s="291" t="n">
        <f aca="false">VLOOKUP($A11,ScaledPrice,13)</f>
        <v>16.7500009536743</v>
      </c>
      <c r="R11" s="292" t="e">
        <f aca="false">IF($A11="N/A"," ",IF(Dayrun&gt;=3,IF(Option=1,MAX($I11-$H11,0),IF(Option=2,MAX($H11-$I11,0),0)),0))</f>
        <v>#N/A</v>
      </c>
      <c r="S11" s="286" t="e">
        <f aca="false">IF($A11="N/A"," ",IF(Dayrun&gt;=6,IF(Option=1,MAX($J11-H11,0),IF(Option=2,MAX(H11-$J11,0),0)),0))</f>
        <v>#N/A</v>
      </c>
      <c r="T11" s="286" t="e">
        <f aca="false">IF($A11="N/A"," ",IF(OR(Dayrun&lt;=2,Dayrun&gt;=9),IF(Option=1,MAX($K11-$H11,0),IF(Option=2,MAX($H11-$K11,0),0)),0))</f>
        <v>#N/A</v>
      </c>
      <c r="U11" s="286" t="e">
        <f aca="false">IF($A11="N/A"," ",IF(OR(Dayrun=1,Dayrun=4,Dayrun=5,Dayrun=7,Dayrun=8,Dayrun=10,Dayrun=11),IF(Option=1,MAX($L11-H11,0),IF(Option=2,MAX(H11-$L11,0),0)),0))</f>
        <v>#N/A</v>
      </c>
      <c r="V11" s="286" t="e">
        <f aca="false">IF($A11="N/A"," ",IF(OR(Dayrun=1,Dayrun=7,Dayrun=8,Dayrun=10,Dayrun=11),IF(Option=1,MAX($M11-H11,0),IF(Option=2,MAX(H11-$M11,0),0)),0))</f>
        <v>#N/A</v>
      </c>
      <c r="W11" s="286" t="e">
        <f aca="false">IF($A11="N/A"," ",IF(OR(Dayrun&lt;=2,Dayrun&gt;=10),IF(Option=1,MAX($N11-$H11,0),IF(Option=2,MAX($H11-$N11,0),0)),0))</f>
        <v>#N/A</v>
      </c>
      <c r="X11" s="286" t="e">
        <f aca="false">IF($A11="N/A"," ",IF(OR(Dayrun=1,Dayrun=5,Dayrun=8,Dayrun=11),IF(Option=1,MAX($O11-H11,0),IF(Option=2,MAX(H11-$O11,0),0)),0))</f>
        <v>#N/A</v>
      </c>
      <c r="Y11" s="286" t="e">
        <f aca="false">IF($A11="N/A"," ",IF(OR(Dayrun=1,Dayrun=8,Dayrun=11),IF(Option=1,MAX($P11-H11,0),IF(Option=2,MAX(H11-$P11,0),0)),0))</f>
        <v>#N/A</v>
      </c>
      <c r="Z11" s="293" t="e">
        <f aca="false">IF($A11="N/A"," ",IF(OR(Dayrun&lt;=2,Dayrun&gt;=11),IF(Option=1,MAX($Q11-$H11,0),IF(Option=2,MAX($H11-$Q11,0),0)),0))</f>
        <v>#N/A</v>
      </c>
      <c r="AA11" s="289" t="e">
        <f aca="false">IF($A11="N/A"," ",IF(Dayrun&gt;=3,(MAX(0,(xSPRDOPT(I11,($E11-'Pricing Inputs'!$X46*$D11),$CV11,0,($CN11+IF(Smile=TRUE(),VLOOKUP(MAX(-5,$H11-I11),Volsmile,2),0)),$CT11,$CU11,($A11-DateToday)+15,ABS(Option-2),0)-R11))),0))</f>
        <v>#N/A</v>
      </c>
      <c r="AB11" s="290" t="e">
        <f aca="false">IF($A11="N/A"," ",IF(Dayrun&gt;=6,MAX(0,(xSPRDOPT(J11,($E11-'Pricing Inputs'!$X46*$D11),$CV11,0,($CN11+IF(Smile=TRUE(),VLOOKUP(MAX(-5,$H11-J11),Volsmile,2),0)),$CT11,$CU11,($A11-DateToday)+15,ABS(Option-2),0)-S11)),0))</f>
        <v>#N/A</v>
      </c>
      <c r="AC11" s="290" t="e">
        <f aca="false">IF($A11="N/A"," ",IF(OR(Dayrun&lt;=2,Dayrun&gt;=9),IF(OffPeakEx=TRUE(),MAX(0,(xSPRDOPT(K11,($E11-'Pricing Inputs'!$X46*$D11),$CV11,0,($CQ11+IF(Smile=TRUE(),VLOOKUP(MAX(-5,$H11-K11),Volsmile,2),0)),$CT11,$CU11,($A11-DateToday)+15,ABS(Option-2),0)-T11)),0),0))</f>
        <v>#N/A</v>
      </c>
      <c r="AD11" s="290" t="e">
        <f aca="false">IF($A11="N/A"," ",IF(OR(Dayrun=1,Dayrun=4,Dayrun=5,Dayrun=7,Dayrun=8,Dayrun=10,Dayrun=11),MAX(0,(xSPRDOPT(L11,($E11-'Pricing Inputs'!$X46*$D11),$CV11,0,($CQ11+IF(Smile=TRUE(),VLOOKUP(MAX(-5,$H11-L11),Volsmile,2),0)),$CT11,$CU11,($A11-DateToday)+15,ABS(Option-2),0)-U11)),0))</f>
        <v>#N/A</v>
      </c>
      <c r="AE11" s="290" t="e">
        <f aca="false">IF($A11="N/A"," ",IF(OR(Dayrun=1,Dayrun=7,Dayrun=8,Dayrun=10,Dayrun=11),MAX(0,(xSPRDOPT(M11,($E11-'Pricing Inputs'!$X46*$D11),$CV11,0,($CQ11+IF(Smile=TRUE(),VLOOKUP(MAX(-5,$H11-M11),Volsmile,2),0)),$CT11,$CU11,($A11-DateToday)+15,ABS(Option-2),0)-V11)),0))</f>
        <v>#N/A</v>
      </c>
      <c r="AF11" s="290" t="e">
        <f aca="false">IF($A11="N/A"," ",IF(OR(Dayrun&lt;=2,Dayrun&gt;=10),IF(OffPeakEx=TRUE(),MAX(0,(xSPRDOPT(N11,($E11-'Pricing Inputs'!$X46*$D11),$CV11,0,($CQ11+IF(Smile=TRUE(),VLOOKUP(MAX(-5,$H11-N11),Volsmile,2),0)),$CT11,$CU11,($A11-DateToday)+15,ABS(Option-2),0)-W11)),0),0))</f>
        <v>#N/A</v>
      </c>
      <c r="AG11" s="290" t="e">
        <f aca="false">IF($A11="N/A"," ",IF(OR(Dayrun=1,Dayrun=5,Dayrun=8,Dayrun=11),MAX(0,(xSPRDOPT(O11,($E11-'Pricing Inputs'!$X46*$D11),$CV11,0,($CQ11+IF(Smile=TRUE(),VLOOKUP(MAX(-5,$H11-O11),Volsmile,2),0)),$CT11,$CU11,($A11-DateToday)+15,ABS(Option-2),0)-X11)),0))</f>
        <v>#N/A</v>
      </c>
      <c r="AH11" s="290" t="e">
        <f aca="false">IF($A11="N/A"," ",IF(OR(Dayrun=1,Dayrun=8,Dayrun=11),MAX(0,(xSPRDOPT(P11,($E11-'Pricing Inputs'!$X46*$D11),$CV11,0,($CQ11+IF(Smile=TRUE(),VLOOKUP(MAX(-5,$H11-P11),Volsmile,2),0)),$CT11,$CU11,($A11-DateToday)+15,ABS(Option-2),0)-Y11)),0))</f>
        <v>#N/A</v>
      </c>
      <c r="AI11" s="290" t="e">
        <f aca="false">IF($A11="N/A"," ",IF(OR(Dayrun&lt;=2,Dayrun&gt;=11),IF(OffPeakEx=TRUE(),MAX(0,(xSPRDOPT(Q11,($E11-'Pricing Inputs'!$X46*$D11),$CV11,0,($CQ11+IF(Smile=TRUE(),VLOOKUP(MAX(-5,$H11-Q11),Volsmile,2),0)),$CT11,$CU11,($A11-DateToday)+15,ABS(Option-2),0)-Z11)),0),0))</f>
        <v>#N/A</v>
      </c>
      <c r="AJ11" s="294" t="e">
        <f aca="false">IF($A11="N/A"," ",IF(Dayrun&gt;=3,IF(Option=1,$I11-$H11,IF(Option=2,$H11-$I11)),0))</f>
        <v>#N/A</v>
      </c>
      <c r="AK11" s="295" t="e">
        <f aca="false">IF($A11="N/A"," ",IF(Dayrun&gt;=6,IF(Option=1,$J11-H11,IF(Option=2,H11-$J11)),0))</f>
        <v>#N/A</v>
      </c>
      <c r="AL11" s="295" t="e">
        <f aca="false">IF($A11="N/A"," ",IF(OR(Dayrun&lt;=2,Dayrun&gt;=9),IF(Option=1,$K11-$H11,IF(Option=2,$H11-$K11)),0))</f>
        <v>#N/A</v>
      </c>
      <c r="AM11" s="295" t="e">
        <f aca="false">IF($A11="N/A"," ",IF(OR(Dayrun=1,Dayrun=4,Dayrun=5,Dayrun=7,Dayrun=8,Dayrun=10,Dayrun=11),IF(Option=1,$L11-H11,IF(Option=2,H11-$L11)),0))</f>
        <v>#N/A</v>
      </c>
      <c r="AN11" s="295" t="e">
        <f aca="false">IF($A11="N/A"," ",IF(OR(Dayrun=1,Dayrun=7,Dayrun=8,Dayrun=10,Dayrun=11),IF(Option=1,$M11-H11,IF(Option=2,H11-$M11)),0))</f>
        <v>#N/A</v>
      </c>
      <c r="AO11" s="295" t="e">
        <f aca="false">IF($A11="N/A"," ",IF(OR(Dayrun&lt;=2,Dayrun&gt;=9),IF(Option=1,$N11-$H11,IF(Option=2,$H11-$N11)),0))</f>
        <v>#N/A</v>
      </c>
      <c r="AP11" s="295" t="e">
        <f aca="false">IF($A11="N/A"," ",IF(OR(Dayrun=1,Dayrun=5,Dayrun=8,Dayrun=11),IF(Option=1,$O11-H11,IF(Option=2,H11-$O11)),0))</f>
        <v>#N/A</v>
      </c>
      <c r="AQ11" s="295" t="e">
        <f aca="false">IF($A11="N/A"," ",IF(OR(Dayrun=1,Dayrun=8,Dayrun=11),IF(Option=1,$P11-H11,IF(Option=2,H11-$P11)),0))</f>
        <v>#N/A</v>
      </c>
      <c r="AR11" s="296" t="e">
        <f aca="false">IF($A11="N/A"," ",IF(OR(Dayrun&lt;=2,Dayrun&gt;=9),IF(Option=1,$Q11-H11,IF(Option=2,H11-$Q11)),0))</f>
        <v>#N/A</v>
      </c>
      <c r="AS11" s="297" t="n">
        <f aca="false">IF($A11="N/A"," ",IF(VLOOKUP(MONTH($A11),ManualTable,2)=1,IF(Dayrun&gt;=3,$DE11*8*$CY11,0),0))</f>
        <v>2.23918193214726E+018</v>
      </c>
      <c r="AT11" s="297" t="n">
        <f aca="false">IF($A11="N/A"," ",IF(VLOOKUP(MONTH($A11),ManualTable,3)=1,IF(Dayrun&gt;=6,$DE11*8*$CY11,0),0))</f>
        <v>2.23918193214726E+018</v>
      </c>
      <c r="AU11" s="297" t="n">
        <f aca="false">IF($A11="N/A"," ",IF(VLOOKUP(MONTH($A11),ManualTable,4)=1,IF(OR(Dayrun&lt;=2,Dayrun&gt;=9),$DE11*8*$CY11,0),0))</f>
        <v>2.23918193214726E+018</v>
      </c>
      <c r="AV11" s="297" t="n">
        <f aca="false">IF($A11="N/A"," ",IF(VLOOKUP(MONTH($A11),ManualTable,5)=1,IF(OR(Dayrun=1,Dayrun=4,Dayrun=5,Dayrun=7,Dayrun=8,Dayrun=10,Dayrun=11),$DF11*8*$CY11,0),0))</f>
        <v>4.07123987663138E+017</v>
      </c>
      <c r="AW11" s="297" t="n">
        <f aca="false">IF($A11="N/A"," ",IF(VLOOKUP(MONTH($A11),ManualTable,6)=1,IF(OR(Dayrun=1,Dayrun=7,Dayrun=8,Dayrun=10,Dayrun=11),$DF11*8*$CY11,0),0))</f>
        <v>4.07123987663138E+017</v>
      </c>
      <c r="AX11" s="297" t="n">
        <f aca="false">IF($A11="N/A"," ",IF(VLOOKUP(MONTH($A11),ManualTable,7)=1,IF(OR(Dayrun&lt;=2,Dayrun&gt;=9),$DF11*8*$CY11,0),0))</f>
        <v>4.07123987663138E+017</v>
      </c>
      <c r="AY11" s="297" t="n">
        <f aca="false">IF($A11="N/A"," ",IF(VLOOKUP(MONTH($A11),ManualTable,8)=1,IF(OR(Dayrun=1,Dayrun=5,Dayrun=8,Dayrun=11),$DG11*8*$CY11,0),0))</f>
        <v>4.07123987663138E+017</v>
      </c>
      <c r="AZ11" s="297" t="n">
        <f aca="false">IF($A11="N/A"," ",IF(VLOOKUP(MONTH($A11),ManualTable,9)=1,IF(OR(Dayrun=1,Dayrun=8,Dayrun=11),$DG11*8*$CY11,0),0))</f>
        <v>4.07123987663138E+017</v>
      </c>
      <c r="BA11" s="298" t="n">
        <f aca="false">IF($A11="N/A"," ",IF(VLOOKUP(MONTH($A11),ManualTable,10)=1,IF(OR(Dayrun&lt;=2,Dayrun&gt;=9),$DG11*8*$CY11,0),0))</f>
        <v>4.07123987663138E+017</v>
      </c>
      <c r="BB11" s="299" t="e">
        <f aca="false">IF($A11="N/A"," ",IF(Dayrun&gt;=3,(MAX(0,(xSPRDOPT(I11,($E11-'Pricing Inputs'!$X46*$D11),$CV11,0,($CN11+IF(Smile=TRUE(),VLOOKUP(MAX(-5,$H11-I11),Volsmile,2),0)),$CT11,$CU11,($A11-DateToday)+15,ABS(Option-2),1)*DE11*8))),0))</f>
        <v>#N/A</v>
      </c>
      <c r="BC11" s="300" t="e">
        <f aca="false">IF($A11="N/A"," ",IF(Dayrun&gt;=6,MAX(0,(xSPRDOPT(J11,($E11-'Pricing Inputs'!$X46*$D11),$CV11,0,($CN11+IF(Smile=TRUE(),VLOOKUP(MAX(-5,$H11-J11),Volsmile,2),0)),$CT11,$CU11,($A11-DateToday)+15,ABS(Option-2),1)*DE11*8)),0))</f>
        <v>#N/A</v>
      </c>
      <c r="BD11" s="300" t="e">
        <f aca="false">IF($A11="N/A"," ",IF(OR(Dayrun&lt;=2,Dayrun&gt;=9),IF(OffPeakEx=TRUE(),MAX(0,(xSPRDOPT(K11,($E11-'Pricing Inputs'!$X46*$D11),$CV11,0,($CQ11+IF(Smile=TRUE(),VLOOKUP(MAX(-5,$H11-K11),Volsmile,2),0)),$CT11,$CU11,($A11-DateToday)+15,ABS(Option-2),1)*DE11*8)),0),0))</f>
        <v>#N/A</v>
      </c>
      <c r="BE11" s="300" t="e">
        <f aca="false">IF($A11="N/A"," ",IF(OR(Dayrun=1,Dayrun=4,Dayrun=5,Dayrun=7,Dayrun=8,Dayrun=10,Dayrun=11),MAX(0,(xSPRDOPT(L11,($E11-'Pricing Inputs'!$X46*$D11),$CV11,0,($CQ11+IF(Smile=TRUE(),VLOOKUP(MAX(-5,$H11-L11),Volsmile,2),0)),$CT11,$CU11,($A11-DateToday)+15,ABS(Option-2),1)*DF11*8)),0))</f>
        <v>#N/A</v>
      </c>
      <c r="BF11" s="300" t="e">
        <f aca="false">IF($A11="N/A"," ",IF(OR(Dayrun=1,Dayrun=7,Dayrun=8,Dayrun=10,Dayrun=11),MAX(0,(xSPRDOPT(M11,($E11-'Pricing Inputs'!$X46*$D11),$CV11,0,($CQ11+IF(Smile=TRUE(),VLOOKUP(MAX(-5,$H11-M11),Volsmile,2),0)),$CT11,$CU11,($A11-DateToday)+15,ABS(Option-2),1)*DF11*8)),0))</f>
        <v>#N/A</v>
      </c>
      <c r="BG11" s="300" t="e">
        <f aca="false">IF($A11="N/A"," ",IF(OR(Dayrun&lt;=2,Dayrun&gt;=10),IF(OffPeakEx=TRUE(),MAX(0,(xSPRDOPT(N11,($E11-'Pricing Inputs'!$X46*$D11),$CV11,0,($CQ11+IF(Smile=TRUE(),VLOOKUP(MAX(-5,$H11-N11),Volsmile,2),0)),$CT11,$CU11,($A11-DateToday)+15,ABS(Option-2),1)*DF11*8)),0),0))</f>
        <v>#N/A</v>
      </c>
      <c r="BH11" s="300" t="e">
        <f aca="false">IF($A11="N/A"," ",IF(OR(Dayrun=1,Dayrun=5,Dayrun=8,Dayrun=11),MAX(0,(xSPRDOPT(O11,($E11-'Pricing Inputs'!$X46*$D11),$CV11,0,($CQ11+IF(Smile=TRUE(),VLOOKUP(MAX(-5,$H11-O11),Volsmile,2),0)),$CT11,$CU11,($A11-DateToday)+15,ABS(Option-2),1)*DG11*8)),0))</f>
        <v>#N/A</v>
      </c>
      <c r="BI11" s="300" t="e">
        <f aca="false">IF($A11="N/A"," ",IF(OR(Dayrun=1,Dayrun=8,Dayrun=11),MAX(0,(xSPRDOPT(P11,($E11-'Pricing Inputs'!$X46*$D11),$CV11,0,($CQ11+IF(Smile=TRUE(),VLOOKUP(MAX(-5,$H11-P11),Volsmile,2),0)),$CT11,$CU11,($A11-DateToday)+15,ABS(Option-2),1)*DG11*8)),0))</f>
        <v>#N/A</v>
      </c>
      <c r="BJ11" s="301" t="e">
        <f aca="false">IF($A11="N/A"," ",IF(OR(Dayrun&lt;=2,Dayrun&gt;=11),IF(OffPeakEx=TRUE(),MAX(0,(xSPRDOPT(Q11,($E11-'Pricing Inputs'!$X46*$D11),$CV11,0,($CQ11+IF(Smile=TRUE(),VLOOKUP(MAX(-5,$H11-Q11),Volsmile,2),0)),$CT11,$CU11,($A11-DateToday)+15,ABS(Option-2),1)*DG11*8)),0),0))</f>
        <v>#N/A</v>
      </c>
      <c r="BK11" s="302" t="e">
        <f aca="false">IF($A11="N/A"," ",R11*$AS11)</f>
        <v>#N/A</v>
      </c>
      <c r="BL11" s="303" t="e">
        <f aca="false">IF($A11="N/A"," ",S11*$AT11)</f>
        <v>#N/A</v>
      </c>
      <c r="BM11" s="303" t="e">
        <f aca="false">IF($A11="N/A"," ",T11*$AU11)</f>
        <v>#N/A</v>
      </c>
      <c r="BN11" s="303" t="e">
        <f aca="false">IF($A11="N/A"," ",U11*$AV11)</f>
        <v>#N/A</v>
      </c>
      <c r="BO11" s="303" t="e">
        <f aca="false">IF($A11="N/A"," ",V11*$AW11)</f>
        <v>#N/A</v>
      </c>
      <c r="BP11" s="303" t="e">
        <f aca="false">IF($A11="N/A"," ",W11*$AX11)</f>
        <v>#N/A</v>
      </c>
      <c r="BQ11" s="303" t="e">
        <f aca="false">IF($A11="N/A"," ",X11*$AY11)</f>
        <v>#N/A</v>
      </c>
      <c r="BR11" s="303" t="e">
        <f aca="false">IF($A11="N/A"," ",Y11*$AZ11)</f>
        <v>#N/A</v>
      </c>
      <c r="BS11" s="304" t="e">
        <f aca="false">IF($A11="N/A"," ",Z11*$BA11)</f>
        <v>#N/A</v>
      </c>
      <c r="BT11" s="305" t="e">
        <f aca="false">IF($A11="N/A"," ",AA11*$AS11)</f>
        <v>#N/A</v>
      </c>
      <c r="BU11" s="306" t="e">
        <f aca="false">IF($A11="N/A"," ",AB11*$AT11)</f>
        <v>#N/A</v>
      </c>
      <c r="BV11" s="306" t="e">
        <f aca="false">IF($A11="N/A"," ",AC11*$AU11)</f>
        <v>#N/A</v>
      </c>
      <c r="BW11" s="306" t="e">
        <f aca="false">IF($A11="N/A"," ",AD11*$AV11)</f>
        <v>#N/A</v>
      </c>
      <c r="BX11" s="306" t="e">
        <f aca="false">IF($A11="N/A"," ",AE11*$AW11)</f>
        <v>#N/A</v>
      </c>
      <c r="BY11" s="306" t="e">
        <f aca="false">IF($A11="N/A"," ",AF11*$AX11)</f>
        <v>#N/A</v>
      </c>
      <c r="BZ11" s="306" t="e">
        <f aca="false">IF($A11="N/A"," ",AG11*$AY11)</f>
        <v>#N/A</v>
      </c>
      <c r="CA11" s="306" t="e">
        <f aca="false">IF($A11="N/A"," ",AH11*$AZ11)</f>
        <v>#N/A</v>
      </c>
      <c r="CB11" s="307" t="e">
        <f aca="false">IF($A11="N/A"," ",AI11*$BA11)</f>
        <v>#N/A</v>
      </c>
      <c r="CC11" s="308" t="e">
        <f aca="false">IF($A11="N/A"," ",AJ11*$AS11)</f>
        <v>#N/A</v>
      </c>
      <c r="CD11" s="309" t="e">
        <f aca="false">IF($A11="N/A"," ",AK11*$AT11)</f>
        <v>#N/A</v>
      </c>
      <c r="CE11" s="309" t="e">
        <f aca="false">IF($A11="N/A"," ",AL11*$AU11)</f>
        <v>#N/A</v>
      </c>
      <c r="CF11" s="309" t="e">
        <f aca="false">IF($A11="N/A"," ",AM11*$AV11)</f>
        <v>#N/A</v>
      </c>
      <c r="CG11" s="309" t="e">
        <f aca="false">IF($A11="N/A"," ",AN11*$AW11)</f>
        <v>#N/A</v>
      </c>
      <c r="CH11" s="309" t="e">
        <f aca="false">IF($A11="N/A"," ",AO11*$AX11)</f>
        <v>#N/A</v>
      </c>
      <c r="CI11" s="309" t="e">
        <f aca="false">IF($A11="N/A"," ",AP11*$AY11)</f>
        <v>#N/A</v>
      </c>
      <c r="CJ11" s="309" t="e">
        <f aca="false">IF($A11="N/A"," ",AQ11*$AZ11)</f>
        <v>#N/A</v>
      </c>
      <c r="CK11" s="310" t="e">
        <f aca="false">IF($A11="N/A"," ",AR11*$BA11)</f>
        <v>#N/A</v>
      </c>
      <c r="CL11" s="311" t="n">
        <f aca="false">IF(A11="N/A"," ",(VLOOKUP(A11,PowerVolTable,(IF(VolBMO=2,7,IF(VolBMO=1,6,8))),FALSE())))</f>
        <v>0.35</v>
      </c>
      <c r="CM11" s="312" t="n">
        <f aca="false">IF(A11="N/A"," ",(VLOOKUP(A11,IntraPowerVol,(IF(VolBMO=2,3,IF(VolBMO=1,2,4))),FALSE())*VLOOKUP(MONTH($A11),Volscale,2)))</f>
        <v>0.7</v>
      </c>
      <c r="CN11" s="312" t="n">
        <f aca="false">IF($A11="N/A"," ",IF(VolType=1,CM11,CL11))</f>
        <v>0.7</v>
      </c>
      <c r="CO11" s="312" t="n">
        <f aca="false">IF($A11="N/A"," ",(VLOOKUP($A11,OffPeakVol,(IF(VolBMO=2,7,IF(VolBMO=1,6,8))),FALSE())))</f>
        <v>0.175</v>
      </c>
      <c r="CP11" s="312" t="n">
        <f aca="false">IF($A11="N/A"," ",(VLOOKUP($A11,OffPeakVol,(IF(VolBMO=2,3,IF(VolBMO=1,2,4))),FALSE())*VLOOKUP(MONTH($A11),Volscale,2)))</f>
        <v>0.42</v>
      </c>
      <c r="CQ11" s="312" t="n">
        <f aca="false">IF($A11="N/A"," ",IF(VolType=1,CP11,CO11))</f>
        <v>0.42</v>
      </c>
      <c r="CR11" s="312" t="e">
        <f aca="false">IF($A11="N/A"," ",(VLOOKUP($A11,GasVolTable,(IF(VolBMO=2,6,IF(VolBMO=1,7,5))),FALSE())))</f>
        <v>#N/A</v>
      </c>
      <c r="CS11" s="312" t="e">
        <f aca="false">IF($A11="N/A"," ",(VLOOKUP($A11,OmicronVol,(IF(VolBMO=2,3,IF(VolBMO=1,4,2))),FALSE())))</f>
        <v>#N/A</v>
      </c>
      <c r="CT11" s="312" t="e">
        <f aca="false">IF($A11="N/A"," ",(IF(DateToday&gt;$A11,$CS11,IF(VolType=1,((($CR11^2)*((($A11-1)-DateToday)/((EOMONTH($A11,0)+1)-DateToday-15)))+((($CS11)^2)*((15)/((EOMONTH($A11,0)+1)-DateToday-15))))^0.5,CR11))))</f>
        <v>#N/A</v>
      </c>
      <c r="CU11" s="312" t="n">
        <f aca="false">IF($A11="N/A"," ",IF('Pricing Inputs'!$AR$23=TRUE(),Inputs!$S$22,VLOOKUP($A11,CorrelationTable,2,FALSE())))</f>
        <v>0.75</v>
      </c>
      <c r="CV11" s="313" t="n">
        <f aca="false">IF($A11="N/A"," ",F11+G11+(D11*('Pricing Inputs'!X46)))</f>
        <v>0</v>
      </c>
      <c r="CW11" s="314" t="n">
        <f aca="false">IF($A11="N/A"," ",IF(PV=1,0,'Pricing Inputs'!Y46))</f>
        <v>2</v>
      </c>
      <c r="CX11" s="315" t="n">
        <f aca="false">IF($A11="N/A"," ",(1+CW11/2)^(-2*((EOMONTH(A11,0)+20)-DateToday)/365.25))</f>
        <v>114928858305990</v>
      </c>
      <c r="CY11" s="316" t="n">
        <f aca="false">IF($A11="N/A"," ",(IF(MONTH(A11)&gt;=4,IF(MONTH(A11)&lt;=10,Inputs!$S$26,Inputs!$S$27),Inputs!$S$27))*$CX11)</f>
        <v>14136249571636700</v>
      </c>
      <c r="CZ11" s="317" t="e">
        <f aca="false">IF($A11="N/A"," ",BK11+BL11+BN11+BO11+BQ11+BR11)</f>
        <v>#N/A</v>
      </c>
      <c r="DA11" s="318" t="e">
        <f aca="false">IF($A11="N/A"," ",BM11+BP11+BS11)</f>
        <v>#N/A</v>
      </c>
      <c r="DB11" s="319" t="e">
        <f aca="false">IF($A11="N/A"," ",BT11+BU11+BW11+BX11+BZ11+CA11)</f>
        <v>#N/A</v>
      </c>
      <c r="DC11" s="319" t="e">
        <f aca="false">IF($A11="N/A"," ",BV11+BY11+CB11)</f>
        <v>#N/A</v>
      </c>
      <c r="DD11" s="320" t="e">
        <f aca="false">IF($A11="N/A"," ",SUM(CC11:CK11))</f>
        <v>#N/A</v>
      </c>
      <c r="DE11" s="321" t="n">
        <f aca="false">IF($A11="N/A"," ",VLOOKUP($A11,NumberofDaysTable,2)*Availability)</f>
        <v>19.8</v>
      </c>
      <c r="DF11" s="94" t="n">
        <f aca="false">IF($A11="N/A"," ",VLOOKUP($A11,NumberofDaysTable,3)*Availability)</f>
        <v>3.6</v>
      </c>
      <c r="DG11" s="322" t="n">
        <f aca="false">IF($A11="N/A"," ",VLOOKUP($A11,NumberofDaysTable,4)*Availability)</f>
        <v>3.6</v>
      </c>
      <c r="DH11" s="323" t="n">
        <f aca="false">IF($A11="N/A"," ",IF(Option=1,$D11*Inputs!$S$15*SUM(AS11:BA11),0))</f>
        <v>0</v>
      </c>
      <c r="DI11" s="324" t="n">
        <f aca="false">IF($A11="N/A"," ",IF(Option=1,$D11*Inputs!$S$16*SUM(AS11:BA11),0))</f>
        <v>0</v>
      </c>
      <c r="DJ11" s="325" t="n">
        <f aca="false">IF($A11="N/A"," ",SUM(AS11:AT11))</f>
        <v>4.47836386429452E+018</v>
      </c>
      <c r="DK11" s="325" t="n">
        <f aca="false">IF($A11="N/A"," ",SUM(AU11:BA11))</f>
        <v>4.68192585812609E+018</v>
      </c>
      <c r="DL11" s="325" t="e">
        <f aca="false">IF($A11="N/A"," ",SUM(BB11:BC11))</f>
        <v>#N/A</v>
      </c>
      <c r="DM11" s="325" t="e">
        <f aca="false">IF($A11="N/A"," ",SUM(BD11:BJ11))</f>
        <v>#N/A</v>
      </c>
    </row>
    <row r="12" customFormat="false" ht="12.75" hidden="false" customHeight="false" outlineLevel="0" collapsed="false">
      <c r="A12" s="282" t="n">
        <f aca="false">IF(A11="N/A","N/A",IF(EDATE(A11,1)&gt;Inputs!$S$5,"N/A",EDATE(A11,1)))</f>
        <v>37377</v>
      </c>
      <c r="B12" s="283" t="n">
        <f aca="false">IF(A12="N/A"," ",YEAR(A12))</f>
        <v>2002</v>
      </c>
      <c r="C12" s="284" t="e">
        <f aca="false">IF(A12="N/A"," ",VLOOKUP(A12,ScaledPrice,14))</f>
        <v>#N/A</v>
      </c>
      <c r="D12" s="285" t="n">
        <f aca="false">IF(A12="N/A"," ",(VLOOKUP(MONTH($A12),Hrtable,2))/1000)</f>
        <v>9.5</v>
      </c>
      <c r="E12" s="286" t="e">
        <f aca="false">IF($A12="N/A"," ",(C12)*D12)</f>
        <v>#N/A</v>
      </c>
      <c r="F12" s="287" t="n">
        <f aca="false">IF(A12="N/A"," ",VOM*(1+VOMesc)^(YEAR(A12)-YEAR(Today)))</f>
        <v>0</v>
      </c>
      <c r="G12" s="287" t="n">
        <f aca="false">IF(A12="N/A"," ",Perstart/VLOOKUP(Dayrun,'Pricing Inputs'!$AQ$4:$AS$14,3)/(CY12/CX12))</f>
        <v>0</v>
      </c>
      <c r="H12" s="288" t="e">
        <f aca="false">IF(A12="N/A"," ",SUM(E12:G12))</f>
        <v>#N/A</v>
      </c>
      <c r="I12" s="289" t="n">
        <f aca="false">VLOOKUP($A12,ScaledPrice,6)</f>
        <v>35.625</v>
      </c>
      <c r="J12" s="290" t="n">
        <f aca="false">VLOOKUP($A12,ScaledPrice,10)</f>
        <v>35.625</v>
      </c>
      <c r="K12" s="290" t="n">
        <f aca="false">VLOOKUP($A12,ScaledPrice,13)</f>
        <v>18.75</v>
      </c>
      <c r="L12" s="290" t="n">
        <f aca="false">VLOOKUP($A12,ScaledPrice,7)</f>
        <v>24.4199981689453</v>
      </c>
      <c r="M12" s="290" t="n">
        <f aca="false">VLOOKUP($A12,ScaledPrice,11)</f>
        <v>24.4199981689453</v>
      </c>
      <c r="N12" s="290" t="n">
        <f aca="false">VLOOKUP($A12,ScaledPrice,13)</f>
        <v>18.75</v>
      </c>
      <c r="O12" s="290" t="n">
        <f aca="false">VLOOKUP($A12,ScaledPrice,8)</f>
        <v>17.9249973297119</v>
      </c>
      <c r="P12" s="290" t="n">
        <f aca="false">VLOOKUP($A12,ScaledPrice,12)</f>
        <v>17.9249973297119</v>
      </c>
      <c r="Q12" s="291" t="n">
        <f aca="false">VLOOKUP($A12,ScaledPrice,13)</f>
        <v>18.75</v>
      </c>
      <c r="R12" s="292" t="e">
        <f aca="false">IF($A12="N/A"," ",IF(Dayrun&gt;=3,IF(Option=1,MAX($I12-$H12,0),IF(Option=2,MAX($H12-$I12,0),0)),0))</f>
        <v>#N/A</v>
      </c>
      <c r="S12" s="286" t="e">
        <f aca="false">IF($A12="N/A"," ",IF(Dayrun&gt;=6,IF(Option=1,MAX($J12-H12,0),IF(Option=2,MAX(H12-$J12,0),0)),0))</f>
        <v>#N/A</v>
      </c>
      <c r="T12" s="286" t="e">
        <f aca="false">IF($A12="N/A"," ",IF(OR(Dayrun&lt;=2,Dayrun&gt;=9),IF(Option=1,MAX($K12-$H12,0),IF(Option=2,MAX($H12-$K12,0),0)),0))</f>
        <v>#N/A</v>
      </c>
      <c r="U12" s="286" t="e">
        <f aca="false">IF($A12="N/A"," ",IF(OR(Dayrun=1,Dayrun=4,Dayrun=5,Dayrun=7,Dayrun=8,Dayrun=10,Dayrun=11),IF(Option=1,MAX($L12-H12,0),IF(Option=2,MAX(H12-$L12,0),0)),0))</f>
        <v>#N/A</v>
      </c>
      <c r="V12" s="286" t="e">
        <f aca="false">IF($A12="N/A"," ",IF(OR(Dayrun=1,Dayrun=7,Dayrun=8,Dayrun=10,Dayrun=11),IF(Option=1,MAX($M12-H12,0),IF(Option=2,MAX(H12-$M12,0),0)),0))</f>
        <v>#N/A</v>
      </c>
      <c r="W12" s="286" t="e">
        <f aca="false">IF($A12="N/A"," ",IF(OR(Dayrun&lt;=2,Dayrun&gt;=10),IF(Option=1,MAX($N12-$H12,0),IF(Option=2,MAX($H12-$N12,0),0)),0))</f>
        <v>#N/A</v>
      </c>
      <c r="X12" s="286" t="e">
        <f aca="false">IF($A12="N/A"," ",IF(OR(Dayrun=1,Dayrun=5,Dayrun=8,Dayrun=11),IF(Option=1,MAX($O12-H12,0),IF(Option=2,MAX(H12-$O12,0),0)),0))</f>
        <v>#N/A</v>
      </c>
      <c r="Y12" s="286" t="e">
        <f aca="false">IF($A12="N/A"," ",IF(OR(Dayrun=1,Dayrun=8,Dayrun=11),IF(Option=1,MAX($P12-H12,0),IF(Option=2,MAX(H12-$P12,0),0)),0))</f>
        <v>#N/A</v>
      </c>
      <c r="Z12" s="293" t="e">
        <f aca="false">IF($A12="N/A"," ",IF(OR(Dayrun&lt;=2,Dayrun&gt;=11),IF(Option=1,MAX($Q12-$H12,0),IF(Option=2,MAX($H12-$Q12,0),0)),0))</f>
        <v>#N/A</v>
      </c>
      <c r="AA12" s="289" t="e">
        <f aca="false">IF($A12="N/A"," ",IF(Dayrun&gt;=3,(MAX(0,(xSPRDOPT(I12,($E12-'Pricing Inputs'!$X47*$D12),$CV12,0,($CN12+IF(Smile=TRUE(),VLOOKUP(MAX(-5,$H12-I12),Volsmile,2),0)),$CT12,$CU12,($A12-DateToday)+15,ABS(Option-2),0)-R12))),0))</f>
        <v>#N/A</v>
      </c>
      <c r="AB12" s="290" t="e">
        <f aca="false">IF($A12="N/A"," ",IF(Dayrun&gt;=6,MAX(0,(xSPRDOPT(J12,($E12-'Pricing Inputs'!$X47*$D12),$CV12,0,($CN12+IF(Smile=TRUE(),VLOOKUP(MAX(-5,$H12-J12),Volsmile,2),0)),$CT12,$CU12,($A12-DateToday)+15,ABS(Option-2),0)-S12)),0))</f>
        <v>#N/A</v>
      </c>
      <c r="AC12" s="290" t="e">
        <f aca="false">IF($A12="N/A"," ",IF(OR(Dayrun&lt;=2,Dayrun&gt;=9),IF(OffPeakEx=TRUE(),MAX(0,(xSPRDOPT(K12,($E12-'Pricing Inputs'!$X47*$D12),$CV12,0,($CQ12+IF(Smile=TRUE(),VLOOKUP(MAX(-5,$H12-K12),Volsmile,2),0)),$CT12,$CU12,($A12-DateToday)+15,ABS(Option-2),0)-T12)),0),0))</f>
        <v>#N/A</v>
      </c>
      <c r="AD12" s="290" t="e">
        <f aca="false">IF($A12="N/A"," ",IF(OR(Dayrun=1,Dayrun=4,Dayrun=5,Dayrun=7,Dayrun=8,Dayrun=10,Dayrun=11),MAX(0,(xSPRDOPT(L12,($E12-'Pricing Inputs'!$X47*$D12),$CV12,0,($CQ12+IF(Smile=TRUE(),VLOOKUP(MAX(-5,$H12-L12),Volsmile,2),0)),$CT12,$CU12,($A12-DateToday)+15,ABS(Option-2),0)-U12)),0))</f>
        <v>#N/A</v>
      </c>
      <c r="AE12" s="290" t="e">
        <f aca="false">IF($A12="N/A"," ",IF(OR(Dayrun=1,Dayrun=7,Dayrun=8,Dayrun=10,Dayrun=11),MAX(0,(xSPRDOPT(M12,($E12-'Pricing Inputs'!$X47*$D12),$CV12,0,($CQ12+IF(Smile=TRUE(),VLOOKUP(MAX(-5,$H12-M12),Volsmile,2),0)),$CT12,$CU12,($A12-DateToday)+15,ABS(Option-2),0)-V12)),0))</f>
        <v>#N/A</v>
      </c>
      <c r="AF12" s="290" t="e">
        <f aca="false">IF($A12="N/A"," ",IF(OR(Dayrun&lt;=2,Dayrun&gt;=10),IF(OffPeakEx=TRUE(),MAX(0,(xSPRDOPT(N12,($E12-'Pricing Inputs'!$X47*$D12),$CV12,0,($CQ12+IF(Smile=TRUE(),VLOOKUP(MAX(-5,$H12-N12),Volsmile,2),0)),$CT12,$CU12,($A12-DateToday)+15,ABS(Option-2),0)-W12)),0),0))</f>
        <v>#N/A</v>
      </c>
      <c r="AG12" s="290" t="e">
        <f aca="false">IF($A12="N/A"," ",IF(OR(Dayrun=1,Dayrun=5,Dayrun=8,Dayrun=11),MAX(0,(xSPRDOPT(O12,($E12-'Pricing Inputs'!$X47*$D12),$CV12,0,($CQ12+IF(Smile=TRUE(),VLOOKUP(MAX(-5,$H12-O12),Volsmile,2),0)),$CT12,$CU12,($A12-DateToday)+15,ABS(Option-2),0)-X12)),0))</f>
        <v>#N/A</v>
      </c>
      <c r="AH12" s="290" t="e">
        <f aca="false">IF($A12="N/A"," ",IF(OR(Dayrun=1,Dayrun=8,Dayrun=11),MAX(0,(xSPRDOPT(P12,($E12-'Pricing Inputs'!$X47*$D12),$CV12,0,($CQ12+IF(Smile=TRUE(),VLOOKUP(MAX(-5,$H12-P12),Volsmile,2),0)),$CT12,$CU12,($A12-DateToday)+15,ABS(Option-2),0)-Y12)),0))</f>
        <v>#N/A</v>
      </c>
      <c r="AI12" s="290" t="e">
        <f aca="false">IF($A12="N/A"," ",IF(OR(Dayrun&lt;=2,Dayrun&gt;=11),IF(OffPeakEx=TRUE(),MAX(0,(xSPRDOPT(Q12,($E12-'Pricing Inputs'!$X47*$D12),$CV12,0,($CQ12+IF(Smile=TRUE(),VLOOKUP(MAX(-5,$H12-Q12),Volsmile,2),0)),$CT12,$CU12,($A12-DateToday)+15,ABS(Option-2),0)-Z12)),0),0))</f>
        <v>#N/A</v>
      </c>
      <c r="AJ12" s="294" t="e">
        <f aca="false">IF($A12="N/A"," ",IF(Dayrun&gt;=3,IF(Option=1,$I12-$H12,IF(Option=2,$H12-$I12)),0))</f>
        <v>#N/A</v>
      </c>
      <c r="AK12" s="295" t="e">
        <f aca="false">IF($A12="N/A"," ",IF(Dayrun&gt;=6,IF(Option=1,$J12-H12,IF(Option=2,H12-$J12)),0))</f>
        <v>#N/A</v>
      </c>
      <c r="AL12" s="295" t="e">
        <f aca="false">IF($A12="N/A"," ",IF(OR(Dayrun&lt;=2,Dayrun&gt;=9),IF(Option=1,$K12-$H12,IF(Option=2,$H12-$K12)),0))</f>
        <v>#N/A</v>
      </c>
      <c r="AM12" s="295" t="e">
        <f aca="false">IF($A12="N/A"," ",IF(OR(Dayrun=1,Dayrun=4,Dayrun=5,Dayrun=7,Dayrun=8,Dayrun=10,Dayrun=11),IF(Option=1,$L12-H12,IF(Option=2,H12-$L12)),0))</f>
        <v>#N/A</v>
      </c>
      <c r="AN12" s="295" t="e">
        <f aca="false">IF($A12="N/A"," ",IF(OR(Dayrun=1,Dayrun=7,Dayrun=8,Dayrun=10,Dayrun=11),IF(Option=1,$M12-H12,IF(Option=2,H12-$M12)),0))</f>
        <v>#N/A</v>
      </c>
      <c r="AO12" s="295" t="e">
        <f aca="false">IF($A12="N/A"," ",IF(OR(Dayrun&lt;=2,Dayrun&gt;=9),IF(Option=1,$N12-$H12,IF(Option=2,$H12-$N12)),0))</f>
        <v>#N/A</v>
      </c>
      <c r="AP12" s="295" t="e">
        <f aca="false">IF($A12="N/A"," ",IF(OR(Dayrun=1,Dayrun=5,Dayrun=8,Dayrun=11),IF(Option=1,$O12-H12,IF(Option=2,H12-$O12)),0))</f>
        <v>#N/A</v>
      </c>
      <c r="AQ12" s="295" t="e">
        <f aca="false">IF($A12="N/A"," ",IF(OR(Dayrun=1,Dayrun=8,Dayrun=11),IF(Option=1,$P12-H12,IF(Option=2,H12-$P12)),0))</f>
        <v>#N/A</v>
      </c>
      <c r="AR12" s="296" t="e">
        <f aca="false">IF($A12="N/A"," ",IF(OR(Dayrun&lt;=2,Dayrun&gt;=9),IF(Option=1,$Q12-H12,IF(Option=2,H12-$Q12)),0))</f>
        <v>#N/A</v>
      </c>
      <c r="AS12" s="297" t="n">
        <f aca="false">IF($A12="N/A"," ",IF(VLOOKUP(MONTH($A12),ManualTable,2)=1,IF(Dayrun&gt;=3,$DE12*8*$CY12,0),0))</f>
        <v>1.99062987739409E+018</v>
      </c>
      <c r="AT12" s="297" t="n">
        <f aca="false">IF($A12="N/A"," ",IF(VLOOKUP(MONTH($A12),ManualTable,3)=1,IF(Dayrun&gt;=6,$DE12*8*$CY12,0),0))</f>
        <v>1.99062987739409E+018</v>
      </c>
      <c r="AU12" s="297" t="n">
        <f aca="false">IF($A12="N/A"," ",IF(VLOOKUP(MONTH($A12),ManualTable,4)=1,IF(OR(Dayrun&lt;=2,Dayrun&gt;=9),$DE12*8*$CY12,0),0))</f>
        <v>1.99062987739409E+018</v>
      </c>
      <c r="AV12" s="297" t="n">
        <f aca="false">IF($A12="N/A"," ",IF(VLOOKUP(MONTH($A12),ManualTable,5)=1,IF(OR(Dayrun=1,Dayrun=4,Dayrun=5,Dayrun=7,Dayrun=8,Dayrun=10,Dayrun=11),$DF12*8*$CY12,0),0))</f>
        <v>3.61932704980744E+017</v>
      </c>
      <c r="AW12" s="297" t="n">
        <f aca="false">IF($A12="N/A"," ",IF(VLOOKUP(MONTH($A12),ManualTable,6)=1,IF(OR(Dayrun=1,Dayrun=7,Dayrun=8,Dayrun=10,Dayrun=11),$DF12*8*$CY12,0),0))</f>
        <v>3.61932704980744E+017</v>
      </c>
      <c r="AX12" s="297" t="n">
        <f aca="false">IF($A12="N/A"," ",IF(VLOOKUP(MONTH($A12),ManualTable,7)=1,IF(OR(Dayrun&lt;=2,Dayrun&gt;=9),$DF12*8*$CY12,0),0))</f>
        <v>3.61932704980744E+017</v>
      </c>
      <c r="AY12" s="297" t="n">
        <f aca="false">IF($A12="N/A"," ",IF(VLOOKUP(MONTH($A12),ManualTable,8)=1,IF(OR(Dayrun=1,Dayrun=5,Dayrun=8,Dayrun=11),$DG12*8*$CY12,0),0))</f>
        <v>4.5241588122593E+017</v>
      </c>
      <c r="AZ12" s="297" t="n">
        <f aca="false">IF($A12="N/A"," ",IF(VLOOKUP(MONTH($A12),ManualTable,9)=1,IF(OR(Dayrun=1,Dayrun=8,Dayrun=11),$DG12*8*$CY12,0),0))</f>
        <v>4.5241588122593E+017</v>
      </c>
      <c r="BA12" s="298" t="n">
        <f aca="false">IF($A12="N/A"," ",IF(VLOOKUP(MONTH($A12),ManualTable,10)=1,IF(OR(Dayrun&lt;=2,Dayrun&gt;=9),$DG12*8*$CY12,0),0))</f>
        <v>4.5241588122593E+017</v>
      </c>
      <c r="BB12" s="299" t="e">
        <f aca="false">IF($A12="N/A"," ",IF(Dayrun&gt;=3,(MAX(0,(xSPRDOPT(I12,($E12-'Pricing Inputs'!$X47*$D12),$CV12,0,($CN12+IF(Smile=TRUE(),VLOOKUP(MAX(-5,$H12-I12),Volsmile,2),0)),$CT12,$CU12,($A12-DateToday)+15,ABS(Option-2),1)*DE12*8))),0))</f>
        <v>#N/A</v>
      </c>
      <c r="BC12" s="300" t="e">
        <f aca="false">IF($A12="N/A"," ",IF(Dayrun&gt;=6,MAX(0,(xSPRDOPT(J12,($E12-'Pricing Inputs'!$X47*$D12),$CV12,0,($CN12+IF(Smile=TRUE(),VLOOKUP(MAX(-5,$H12-J12),Volsmile,2),0)),$CT12,$CU12,($A12-DateToday)+15,ABS(Option-2),1)*DE12*8)),0))</f>
        <v>#N/A</v>
      </c>
      <c r="BD12" s="300" t="e">
        <f aca="false">IF($A12="N/A"," ",IF(OR(Dayrun&lt;=2,Dayrun&gt;=9),IF(OffPeakEx=TRUE(),MAX(0,(xSPRDOPT(K12,($E12-'Pricing Inputs'!$X47*$D12),$CV12,0,($CQ12+IF(Smile=TRUE(),VLOOKUP(MAX(-5,$H12-K12),Volsmile,2),0)),$CT12,$CU12,($A12-DateToday)+15,ABS(Option-2),1)*DE12*8)),0),0))</f>
        <v>#N/A</v>
      </c>
      <c r="BE12" s="300" t="e">
        <f aca="false">IF($A12="N/A"," ",IF(OR(Dayrun=1,Dayrun=4,Dayrun=5,Dayrun=7,Dayrun=8,Dayrun=10,Dayrun=11),MAX(0,(xSPRDOPT(L12,($E12-'Pricing Inputs'!$X47*$D12),$CV12,0,($CQ12+IF(Smile=TRUE(),VLOOKUP(MAX(-5,$H12-L12),Volsmile,2),0)),$CT12,$CU12,($A12-DateToday)+15,ABS(Option-2),1)*DF12*8)),0))</f>
        <v>#N/A</v>
      </c>
      <c r="BF12" s="300" t="e">
        <f aca="false">IF($A12="N/A"," ",IF(OR(Dayrun=1,Dayrun=7,Dayrun=8,Dayrun=10,Dayrun=11),MAX(0,(xSPRDOPT(M12,($E12-'Pricing Inputs'!$X47*$D12),$CV12,0,($CQ12+IF(Smile=TRUE(),VLOOKUP(MAX(-5,$H12-M12),Volsmile,2),0)),$CT12,$CU12,($A12-DateToday)+15,ABS(Option-2),1)*DF12*8)),0))</f>
        <v>#N/A</v>
      </c>
      <c r="BG12" s="300" t="e">
        <f aca="false">IF($A12="N/A"," ",IF(OR(Dayrun&lt;=2,Dayrun&gt;=10),IF(OffPeakEx=TRUE(),MAX(0,(xSPRDOPT(N12,($E12-'Pricing Inputs'!$X47*$D12),$CV12,0,($CQ12+IF(Smile=TRUE(),VLOOKUP(MAX(-5,$H12-N12),Volsmile,2),0)),$CT12,$CU12,($A12-DateToday)+15,ABS(Option-2),1)*DF12*8)),0),0))</f>
        <v>#N/A</v>
      </c>
      <c r="BH12" s="300" t="e">
        <f aca="false">IF($A12="N/A"," ",IF(OR(Dayrun=1,Dayrun=5,Dayrun=8,Dayrun=11),MAX(0,(xSPRDOPT(O12,($E12-'Pricing Inputs'!$X47*$D12),$CV12,0,($CQ12+IF(Smile=TRUE(),VLOOKUP(MAX(-5,$H12-O12),Volsmile,2),0)),$CT12,$CU12,($A12-DateToday)+15,ABS(Option-2),1)*DG12*8)),0))</f>
        <v>#N/A</v>
      </c>
      <c r="BI12" s="300" t="e">
        <f aca="false">IF($A12="N/A"," ",IF(OR(Dayrun=1,Dayrun=8,Dayrun=11),MAX(0,(xSPRDOPT(P12,($E12-'Pricing Inputs'!$X47*$D12),$CV12,0,($CQ12+IF(Smile=TRUE(),VLOOKUP(MAX(-5,$H12-P12),Volsmile,2),0)),$CT12,$CU12,($A12-DateToday)+15,ABS(Option-2),1)*DG12*8)),0))</f>
        <v>#N/A</v>
      </c>
      <c r="BJ12" s="301" t="e">
        <f aca="false">IF($A12="N/A"," ",IF(OR(Dayrun&lt;=2,Dayrun&gt;=11),IF(OffPeakEx=TRUE(),MAX(0,(xSPRDOPT(Q12,($E12-'Pricing Inputs'!$X47*$D12),$CV12,0,($CQ12+IF(Smile=TRUE(),VLOOKUP(MAX(-5,$H12-Q12),Volsmile,2),0)),$CT12,$CU12,($A12-DateToday)+15,ABS(Option-2),1)*DG12*8)),0),0))</f>
        <v>#N/A</v>
      </c>
      <c r="BK12" s="302" t="e">
        <f aca="false">IF($A12="N/A"," ",R12*$AS12)</f>
        <v>#N/A</v>
      </c>
      <c r="BL12" s="303" t="e">
        <f aca="false">IF($A12="N/A"," ",S12*$AT12)</f>
        <v>#N/A</v>
      </c>
      <c r="BM12" s="303" t="e">
        <f aca="false">IF($A12="N/A"," ",T12*$AU12)</f>
        <v>#N/A</v>
      </c>
      <c r="BN12" s="303" t="e">
        <f aca="false">IF($A12="N/A"," ",U12*$AV12)</f>
        <v>#N/A</v>
      </c>
      <c r="BO12" s="303" t="e">
        <f aca="false">IF($A12="N/A"," ",V12*$AW12)</f>
        <v>#N/A</v>
      </c>
      <c r="BP12" s="303" t="e">
        <f aca="false">IF($A12="N/A"," ",W12*$AX12)</f>
        <v>#N/A</v>
      </c>
      <c r="BQ12" s="303" t="e">
        <f aca="false">IF($A12="N/A"," ",X12*$AY12)</f>
        <v>#N/A</v>
      </c>
      <c r="BR12" s="303" t="e">
        <f aca="false">IF($A12="N/A"," ",Y12*$AZ12)</f>
        <v>#N/A</v>
      </c>
      <c r="BS12" s="304" t="e">
        <f aca="false">IF($A12="N/A"," ",Z12*$BA12)</f>
        <v>#N/A</v>
      </c>
      <c r="BT12" s="305" t="e">
        <f aca="false">IF($A12="N/A"," ",AA12*$AS12)</f>
        <v>#N/A</v>
      </c>
      <c r="BU12" s="306" t="e">
        <f aca="false">IF($A12="N/A"," ",AB12*$AT12)</f>
        <v>#N/A</v>
      </c>
      <c r="BV12" s="306" t="e">
        <f aca="false">IF($A12="N/A"," ",AC12*$AU12)</f>
        <v>#N/A</v>
      </c>
      <c r="BW12" s="306" t="e">
        <f aca="false">IF($A12="N/A"," ",AD12*$AV12)</f>
        <v>#N/A</v>
      </c>
      <c r="BX12" s="306" t="e">
        <f aca="false">IF($A12="N/A"," ",AE12*$AW12)</f>
        <v>#N/A</v>
      </c>
      <c r="BY12" s="306" t="e">
        <f aca="false">IF($A12="N/A"," ",AF12*$AX12)</f>
        <v>#N/A</v>
      </c>
      <c r="BZ12" s="306" t="e">
        <f aca="false">IF($A12="N/A"," ",AG12*$AY12)</f>
        <v>#N/A</v>
      </c>
      <c r="CA12" s="306" t="e">
        <f aca="false">IF($A12="N/A"," ",AH12*$AZ12)</f>
        <v>#N/A</v>
      </c>
      <c r="CB12" s="307" t="e">
        <f aca="false">IF($A12="N/A"," ",AI12*$BA12)</f>
        <v>#N/A</v>
      </c>
      <c r="CC12" s="308" t="e">
        <f aca="false">IF($A12="N/A"," ",AJ12*$AS12)</f>
        <v>#N/A</v>
      </c>
      <c r="CD12" s="309" t="e">
        <f aca="false">IF($A12="N/A"," ",AK12*$AT12)</f>
        <v>#N/A</v>
      </c>
      <c r="CE12" s="309" t="e">
        <f aca="false">IF($A12="N/A"," ",AL12*$AU12)</f>
        <v>#N/A</v>
      </c>
      <c r="CF12" s="309" t="e">
        <f aca="false">IF($A12="N/A"," ",AM12*$AV12)</f>
        <v>#N/A</v>
      </c>
      <c r="CG12" s="309" t="e">
        <f aca="false">IF($A12="N/A"," ",AN12*$AW12)</f>
        <v>#N/A</v>
      </c>
      <c r="CH12" s="309" t="e">
        <f aca="false">IF($A12="N/A"," ",AO12*$AX12)</f>
        <v>#N/A</v>
      </c>
      <c r="CI12" s="309" t="e">
        <f aca="false">IF($A12="N/A"," ",AP12*$AY12)</f>
        <v>#N/A</v>
      </c>
      <c r="CJ12" s="309" t="e">
        <f aca="false">IF($A12="N/A"," ",AQ12*$AZ12)</f>
        <v>#N/A</v>
      </c>
      <c r="CK12" s="310" t="e">
        <f aca="false">IF($A12="N/A"," ",AR12*$BA12)</f>
        <v>#N/A</v>
      </c>
      <c r="CL12" s="311" t="n">
        <f aca="false">IF(A12="N/A"," ",(VLOOKUP(A12,PowerVolTable,(IF(VolBMO=2,7,IF(VolBMO=1,6,8))),FALSE())))</f>
        <v>0.35</v>
      </c>
      <c r="CM12" s="312" t="n">
        <f aca="false">IF(A12="N/A"," ",(VLOOKUP(A12,IntraPowerVol,(IF(VolBMO=2,3,IF(VolBMO=1,2,4))),FALSE())*VLOOKUP(MONTH($A12),Volscale,2)))</f>
        <v>0.7</v>
      </c>
      <c r="CN12" s="312" t="n">
        <f aca="false">IF($A12="N/A"," ",IF(VolType=1,CM12,CL12))</f>
        <v>0.7</v>
      </c>
      <c r="CO12" s="312" t="n">
        <f aca="false">IF($A12="N/A"," ",(VLOOKUP($A12,OffPeakVol,(IF(VolBMO=2,7,IF(VolBMO=1,6,8))),FALSE())))</f>
        <v>0.175</v>
      </c>
      <c r="CP12" s="312" t="n">
        <f aca="false">IF($A12="N/A"," ",(VLOOKUP($A12,OffPeakVol,(IF(VolBMO=2,3,IF(VolBMO=1,2,4))),FALSE())*VLOOKUP(MONTH($A12),Volscale,2)))</f>
        <v>0.42</v>
      </c>
      <c r="CQ12" s="312" t="n">
        <f aca="false">IF($A12="N/A"," ",IF(VolType=1,CP12,CO12))</f>
        <v>0.42</v>
      </c>
      <c r="CR12" s="312" t="e">
        <f aca="false">IF($A12="N/A"," ",(VLOOKUP($A12,GasVolTable,(IF(VolBMO=2,6,IF(VolBMO=1,7,5))),FALSE())))</f>
        <v>#N/A</v>
      </c>
      <c r="CS12" s="312" t="e">
        <f aca="false">IF($A12="N/A"," ",(VLOOKUP($A12,OmicronVol,(IF(VolBMO=2,3,IF(VolBMO=1,4,2))),FALSE())))</f>
        <v>#N/A</v>
      </c>
      <c r="CT12" s="312" t="e">
        <f aca="false">IF($A12="N/A"," ",(IF(DateToday&gt;$A12,$CS12,IF(VolType=1,((($CR12^2)*((($A12-1)-DateToday)/((EOMONTH($A12,0)+1)-DateToday-15)))+((($CS12)^2)*((15)/((EOMONTH($A12,0)+1)-DateToday-15))))^0.5,CR12))))</f>
        <v>#N/A</v>
      </c>
      <c r="CU12" s="312" t="n">
        <f aca="false">IF($A12="N/A"," ",IF('Pricing Inputs'!$AR$23=TRUE(),Inputs!$S$22,VLOOKUP($A12,CorrelationTable,2,FALSE())))</f>
        <v>0.75</v>
      </c>
      <c r="CV12" s="313" t="n">
        <f aca="false">IF($A12="N/A"," ",F12+G12+(D12*('Pricing Inputs'!X47)))</f>
        <v>0</v>
      </c>
      <c r="CW12" s="314" t="n">
        <f aca="false">IF($A12="N/A"," ",IF(PV=1,0,'Pricing Inputs'!Y47))</f>
        <v>2</v>
      </c>
      <c r="CX12" s="315" t="n">
        <f aca="false">IF($A12="N/A"," ",(1+CW12/2)^(-2*((EOMONTH(A12,0)+20)-DateToday)/365.25))</f>
        <v>102171608226271</v>
      </c>
      <c r="CY12" s="316" t="n">
        <f aca="false">IF($A12="N/A"," ",(IF(MONTH(A12)&gt;=4,IF(MONTH(A12)&lt;=10,Inputs!$S$26,Inputs!$S$27),Inputs!$S$27))*$CX12)</f>
        <v>12567107811831400</v>
      </c>
      <c r="CZ12" s="317" t="e">
        <f aca="false">IF($A12="N/A"," ",BK12+BL12+BN12+BO12+BQ12+BR12)</f>
        <v>#N/A</v>
      </c>
      <c r="DA12" s="318" t="e">
        <f aca="false">IF($A12="N/A"," ",BM12+BP12+BS12)</f>
        <v>#N/A</v>
      </c>
      <c r="DB12" s="319" t="e">
        <f aca="false">IF($A12="N/A"," ",BT12+BU12+BW12+BX12+BZ12+CA12)</f>
        <v>#N/A</v>
      </c>
      <c r="DC12" s="319" t="e">
        <f aca="false">IF($A12="N/A"," ",BV12+BY12+CB12)</f>
        <v>#N/A</v>
      </c>
      <c r="DD12" s="320" t="e">
        <f aca="false">IF($A12="N/A"," ",SUM(CC12:CK12))</f>
        <v>#N/A</v>
      </c>
      <c r="DE12" s="321" t="n">
        <f aca="false">IF($A12="N/A"," ",VLOOKUP($A12,NumberofDaysTable,2)*Availability)</f>
        <v>19.8</v>
      </c>
      <c r="DF12" s="94" t="n">
        <f aca="false">IF($A12="N/A"," ",VLOOKUP($A12,NumberofDaysTable,3)*Availability)</f>
        <v>3.6</v>
      </c>
      <c r="DG12" s="322" t="n">
        <f aca="false">IF($A12="N/A"," ",VLOOKUP($A12,NumberofDaysTable,4)*Availability)</f>
        <v>4.5</v>
      </c>
      <c r="DH12" s="323" t="n">
        <f aca="false">IF($A12="N/A"," ",IF(Option=1,$D12*Inputs!$S$15*SUM(AS12:BA12),0))</f>
        <v>0</v>
      </c>
      <c r="DI12" s="324" t="n">
        <f aca="false">IF($A12="N/A"," ",IF(Option=1,$D12*Inputs!$S$16*SUM(AS12:BA12),0))</f>
        <v>0</v>
      </c>
      <c r="DJ12" s="325" t="n">
        <f aca="false">IF($A12="N/A"," ",SUM(AS12:AT12))</f>
        <v>3.98125975478818E+018</v>
      </c>
      <c r="DK12" s="325" t="n">
        <f aca="false">IF($A12="N/A"," ",SUM(AU12:BA12))</f>
        <v>4.43367563601411E+018</v>
      </c>
      <c r="DL12" s="325" t="e">
        <f aca="false">IF($A12="N/A"," ",SUM(BB12:BC12))</f>
        <v>#N/A</v>
      </c>
      <c r="DM12" s="325" t="e">
        <f aca="false">IF($A12="N/A"," ",SUM(BD12:BJ12))</f>
        <v>#N/A</v>
      </c>
    </row>
    <row r="13" customFormat="false" ht="12.75" hidden="false" customHeight="false" outlineLevel="0" collapsed="false">
      <c r="A13" s="282" t="n">
        <f aca="false">IF(A12="N/A","N/A",IF(EDATE(A12,1)&gt;Inputs!$S$5,"N/A",EDATE(A12,1)))</f>
        <v>37408</v>
      </c>
      <c r="B13" s="283" t="n">
        <f aca="false">IF(A13="N/A"," ",YEAR(A13))</f>
        <v>2002</v>
      </c>
      <c r="C13" s="284" t="e">
        <f aca="false">IF(A13="N/A"," ",VLOOKUP(A13,ScaledPrice,14))</f>
        <v>#N/A</v>
      </c>
      <c r="D13" s="285" t="n">
        <f aca="false">IF(A13="N/A"," ",(VLOOKUP(MONTH($A13),Hrtable,2))/1000)</f>
        <v>9.5</v>
      </c>
      <c r="E13" s="286" t="e">
        <f aca="false">IF($A13="N/A"," ",(C13)*D13)</f>
        <v>#N/A</v>
      </c>
      <c r="F13" s="287" t="n">
        <f aca="false">IF(A13="N/A"," ",VOM*(1+VOMesc)^(YEAR(A13)-YEAR(Today)))</f>
        <v>0</v>
      </c>
      <c r="G13" s="287" t="n">
        <f aca="false">IF(A13="N/A"," ",Perstart/VLOOKUP(Dayrun,'Pricing Inputs'!$AQ$4:$AS$14,3)/(CY13/CX13))</f>
        <v>0</v>
      </c>
      <c r="H13" s="288" t="e">
        <f aca="false">IF(A13="N/A"," ",SUM(E13:G13))</f>
        <v>#N/A</v>
      </c>
      <c r="I13" s="289" t="n">
        <f aca="false">VLOOKUP($A13,ScaledPrice,6)</f>
        <v>47.75</v>
      </c>
      <c r="J13" s="290" t="n">
        <f aca="false">VLOOKUP($A13,ScaledPrice,10)</f>
        <v>47.75</v>
      </c>
      <c r="K13" s="290" t="n">
        <f aca="false">VLOOKUP($A13,ScaledPrice,13)</f>
        <v>21.75</v>
      </c>
      <c r="L13" s="290" t="n">
        <f aca="false">VLOOKUP($A13,ScaledPrice,7)</f>
        <v>31.4199981689453</v>
      </c>
      <c r="M13" s="290" t="n">
        <f aca="false">VLOOKUP($A13,ScaledPrice,11)</f>
        <v>31.4199981689453</v>
      </c>
      <c r="N13" s="290" t="n">
        <f aca="false">VLOOKUP($A13,ScaledPrice,13)</f>
        <v>21.75</v>
      </c>
      <c r="O13" s="290" t="n">
        <f aca="false">VLOOKUP($A13,ScaledPrice,8)</f>
        <v>21.9199981689453</v>
      </c>
      <c r="P13" s="290" t="n">
        <f aca="false">VLOOKUP($A13,ScaledPrice,12)</f>
        <v>21.9199981689453</v>
      </c>
      <c r="Q13" s="291" t="n">
        <f aca="false">VLOOKUP($A13,ScaledPrice,13)</f>
        <v>21.75</v>
      </c>
      <c r="R13" s="292" t="e">
        <f aca="false">IF($A13="N/A"," ",IF(Dayrun&gt;=3,IF(Option=1,MAX($I13-$H13,0),IF(Option=2,MAX($H13-$I13,0),0)),0))</f>
        <v>#N/A</v>
      </c>
      <c r="S13" s="286" t="e">
        <f aca="false">IF($A13="N/A"," ",IF(Dayrun&gt;=6,IF(Option=1,MAX($J13-H13,0),IF(Option=2,MAX(H13-$J13,0),0)),0))</f>
        <v>#N/A</v>
      </c>
      <c r="T13" s="286" t="e">
        <f aca="false">IF($A13="N/A"," ",IF(OR(Dayrun&lt;=2,Dayrun&gt;=9),IF(Option=1,MAX($K13-$H13,0),IF(Option=2,MAX($H13-$K13,0),0)),0))</f>
        <v>#N/A</v>
      </c>
      <c r="U13" s="286" t="e">
        <f aca="false">IF($A13="N/A"," ",IF(OR(Dayrun=1,Dayrun=4,Dayrun=5,Dayrun=7,Dayrun=8,Dayrun=10,Dayrun=11),IF(Option=1,MAX($L13-H13,0),IF(Option=2,MAX(H13-$L13,0),0)),0))</f>
        <v>#N/A</v>
      </c>
      <c r="V13" s="286" t="e">
        <f aca="false">IF($A13="N/A"," ",IF(OR(Dayrun=1,Dayrun=7,Dayrun=8,Dayrun=10,Dayrun=11),IF(Option=1,MAX($M13-H13,0),IF(Option=2,MAX(H13-$M13,0),0)),0))</f>
        <v>#N/A</v>
      </c>
      <c r="W13" s="286" t="e">
        <f aca="false">IF($A13="N/A"," ",IF(OR(Dayrun&lt;=2,Dayrun&gt;=10),IF(Option=1,MAX($N13-$H13,0),IF(Option=2,MAX($H13-$N13,0),0)),0))</f>
        <v>#N/A</v>
      </c>
      <c r="X13" s="286" t="e">
        <f aca="false">IF($A13="N/A"," ",IF(OR(Dayrun=1,Dayrun=5,Dayrun=8,Dayrun=11),IF(Option=1,MAX($O13-H13,0),IF(Option=2,MAX(H13-$O13,0),0)),0))</f>
        <v>#N/A</v>
      </c>
      <c r="Y13" s="286" t="e">
        <f aca="false">IF($A13="N/A"," ",IF(OR(Dayrun=1,Dayrun=8,Dayrun=11),IF(Option=1,MAX($P13-H13,0),IF(Option=2,MAX(H13-$P13,0),0)),0))</f>
        <v>#N/A</v>
      </c>
      <c r="Z13" s="293" t="e">
        <f aca="false">IF($A13="N/A"," ",IF(OR(Dayrun&lt;=2,Dayrun&gt;=11),IF(Option=1,MAX($Q13-$H13,0),IF(Option=2,MAX($H13-$Q13,0),0)),0))</f>
        <v>#N/A</v>
      </c>
      <c r="AA13" s="289" t="e">
        <f aca="false">IF($A13="N/A"," ",IF(Dayrun&gt;=3,(MAX(0,(xSPRDOPT(I13,($E13-'Pricing Inputs'!$X48*$D13),$CV13,0,($CN13+IF(Smile=TRUE(),VLOOKUP(MAX(-5,$H13-I13),Volsmile,2),0)),$CT13,$CU13,($A13-DateToday)+15,ABS(Option-2),0)-R13))),0))</f>
        <v>#N/A</v>
      </c>
      <c r="AB13" s="290" t="e">
        <f aca="false">IF($A13="N/A"," ",IF(Dayrun&gt;=6,MAX(0,(xSPRDOPT(J13,($E13-'Pricing Inputs'!$X48*$D13),$CV13,0,($CN13+IF(Smile=TRUE(),VLOOKUP(MAX(-5,$H13-J13),Volsmile,2),0)),$CT13,$CU13,($A13-DateToday)+15,ABS(Option-2),0)-S13)),0))</f>
        <v>#N/A</v>
      </c>
      <c r="AC13" s="290" t="e">
        <f aca="false">IF($A13="N/A"," ",IF(OR(Dayrun&lt;=2,Dayrun&gt;=9),IF(OffPeakEx=TRUE(),MAX(0,(xSPRDOPT(K13,($E13-'Pricing Inputs'!$X48*$D13),$CV13,0,($CQ13+IF(Smile=TRUE(),VLOOKUP(MAX(-5,$H13-K13),Volsmile,2),0)),$CT13,$CU13,($A13-DateToday)+15,ABS(Option-2),0)-T13)),0),0))</f>
        <v>#N/A</v>
      </c>
      <c r="AD13" s="290" t="e">
        <f aca="false">IF($A13="N/A"," ",IF(OR(Dayrun=1,Dayrun=4,Dayrun=5,Dayrun=7,Dayrun=8,Dayrun=10,Dayrun=11),MAX(0,(xSPRDOPT(L13,($E13-'Pricing Inputs'!$X48*$D13),$CV13,0,($CQ13+IF(Smile=TRUE(),VLOOKUP(MAX(-5,$H13-L13),Volsmile,2),0)),$CT13,$CU13,($A13-DateToday)+15,ABS(Option-2),0)-U13)),0))</f>
        <v>#N/A</v>
      </c>
      <c r="AE13" s="290" t="e">
        <f aca="false">IF($A13="N/A"," ",IF(OR(Dayrun=1,Dayrun=7,Dayrun=8,Dayrun=10,Dayrun=11),MAX(0,(xSPRDOPT(M13,($E13-'Pricing Inputs'!$X48*$D13),$CV13,0,($CQ13+IF(Smile=TRUE(),VLOOKUP(MAX(-5,$H13-M13),Volsmile,2),0)),$CT13,$CU13,($A13-DateToday)+15,ABS(Option-2),0)-V13)),0))</f>
        <v>#N/A</v>
      </c>
      <c r="AF13" s="290" t="e">
        <f aca="false">IF($A13="N/A"," ",IF(OR(Dayrun&lt;=2,Dayrun&gt;=10),IF(OffPeakEx=TRUE(),MAX(0,(xSPRDOPT(N13,($E13-'Pricing Inputs'!$X48*$D13),$CV13,0,($CQ13+IF(Smile=TRUE(),VLOOKUP(MAX(-5,$H13-N13),Volsmile,2),0)),$CT13,$CU13,($A13-DateToday)+15,ABS(Option-2),0)-W13)),0),0))</f>
        <v>#N/A</v>
      </c>
      <c r="AG13" s="290" t="e">
        <f aca="false">IF($A13="N/A"," ",IF(OR(Dayrun=1,Dayrun=5,Dayrun=8,Dayrun=11),MAX(0,(xSPRDOPT(O13,($E13-'Pricing Inputs'!$X48*$D13),$CV13,0,($CQ13+IF(Smile=TRUE(),VLOOKUP(MAX(-5,$H13-O13),Volsmile,2),0)),$CT13,$CU13,($A13-DateToday)+15,ABS(Option-2),0)-X13)),0))</f>
        <v>#N/A</v>
      </c>
      <c r="AH13" s="290" t="e">
        <f aca="false">IF($A13="N/A"," ",IF(OR(Dayrun=1,Dayrun=8,Dayrun=11),MAX(0,(xSPRDOPT(P13,($E13-'Pricing Inputs'!$X48*$D13),$CV13,0,($CQ13+IF(Smile=TRUE(),VLOOKUP(MAX(-5,$H13-P13),Volsmile,2),0)),$CT13,$CU13,($A13-DateToday)+15,ABS(Option-2),0)-Y13)),0))</f>
        <v>#N/A</v>
      </c>
      <c r="AI13" s="290" t="e">
        <f aca="false">IF($A13="N/A"," ",IF(OR(Dayrun&lt;=2,Dayrun&gt;=11),IF(OffPeakEx=TRUE(),MAX(0,(xSPRDOPT(Q13,($E13-'Pricing Inputs'!$X48*$D13),$CV13,0,($CQ13+IF(Smile=TRUE(),VLOOKUP(MAX(-5,$H13-Q13),Volsmile,2),0)),$CT13,$CU13,($A13-DateToday)+15,ABS(Option-2),0)-Z13)),0),0))</f>
        <v>#N/A</v>
      </c>
      <c r="AJ13" s="294" t="e">
        <f aca="false">IF($A13="N/A"," ",IF(Dayrun&gt;=3,IF(Option=1,$I13-$H13,IF(Option=2,$H13-$I13)),0))</f>
        <v>#N/A</v>
      </c>
      <c r="AK13" s="295" t="e">
        <f aca="false">IF($A13="N/A"," ",IF(Dayrun&gt;=6,IF(Option=1,$J13-H13,IF(Option=2,H13-$J13)),0))</f>
        <v>#N/A</v>
      </c>
      <c r="AL13" s="295" t="e">
        <f aca="false">IF($A13="N/A"," ",IF(OR(Dayrun&lt;=2,Dayrun&gt;=9),IF(Option=1,$K13-$H13,IF(Option=2,$H13-$K13)),0))</f>
        <v>#N/A</v>
      </c>
      <c r="AM13" s="295" t="e">
        <f aca="false">IF($A13="N/A"," ",IF(OR(Dayrun=1,Dayrun=4,Dayrun=5,Dayrun=7,Dayrun=8,Dayrun=10,Dayrun=11),IF(Option=1,$L13-H13,IF(Option=2,H13-$L13)),0))</f>
        <v>#N/A</v>
      </c>
      <c r="AN13" s="295" t="e">
        <f aca="false">IF($A13="N/A"," ",IF(OR(Dayrun=1,Dayrun=7,Dayrun=8,Dayrun=10,Dayrun=11),IF(Option=1,$M13-H13,IF(Option=2,H13-$M13)),0))</f>
        <v>#N/A</v>
      </c>
      <c r="AO13" s="295" t="e">
        <f aca="false">IF($A13="N/A"," ",IF(OR(Dayrun&lt;=2,Dayrun&gt;=9),IF(Option=1,$N13-$H13,IF(Option=2,$H13-$N13)),0))</f>
        <v>#N/A</v>
      </c>
      <c r="AP13" s="295" t="e">
        <f aca="false">IF($A13="N/A"," ",IF(OR(Dayrun=1,Dayrun=5,Dayrun=8,Dayrun=11),IF(Option=1,$O13-H13,IF(Option=2,H13-$O13)),0))</f>
        <v>#N/A</v>
      </c>
      <c r="AQ13" s="295" t="e">
        <f aca="false">IF($A13="N/A"," ",IF(OR(Dayrun=1,Dayrun=8,Dayrun=11),IF(Option=1,$P13-H13,IF(Option=2,H13-$P13)),0))</f>
        <v>#N/A</v>
      </c>
      <c r="AR13" s="296" t="e">
        <f aca="false">IF($A13="N/A"," ",IF(OR(Dayrun&lt;=2,Dayrun&gt;=9),IF(Option=1,$Q13-H13,IF(Option=2,H13-$Q13)),0))</f>
        <v>#N/A</v>
      </c>
      <c r="AS13" s="297" t="n">
        <f aca="false">IF($A13="N/A"," ",IF(VLOOKUP(MONTH($A13),ManualTable,2)=1,IF(Dayrun&gt;=3,$DE13*8*$CY13,0),0))</f>
        <v>1.61490626851586E+018</v>
      </c>
      <c r="AT13" s="297" t="n">
        <f aca="false">IF($A13="N/A"," ",IF(VLOOKUP(MONTH($A13),ManualTable,3)=1,IF(Dayrun&gt;=6,$DE13*8*$CY13,0),0))</f>
        <v>1.61490626851586E+018</v>
      </c>
      <c r="AU13" s="297" t="n">
        <f aca="false">IF($A13="N/A"," ",IF(VLOOKUP(MONTH($A13),ManualTable,4)=1,IF(OR(Dayrun&lt;=2,Dayrun&gt;=9),$DE13*8*$CY13,0),0))</f>
        <v>1.61490626851586E+018</v>
      </c>
      <c r="AV13" s="297" t="n">
        <f aca="false">IF($A13="N/A"," ",IF(VLOOKUP(MONTH($A13),ManualTable,5)=1,IF(OR(Dayrun=1,Dayrun=4,Dayrun=5,Dayrun=7,Dayrun=8,Dayrun=10,Dayrun=11),$DF13*8*$CY13,0),0))</f>
        <v>4.03726567128965E+017</v>
      </c>
      <c r="AW13" s="297" t="n">
        <f aca="false">IF($A13="N/A"," ",IF(VLOOKUP(MONTH($A13),ManualTable,6)=1,IF(OR(Dayrun=1,Dayrun=7,Dayrun=8,Dayrun=10,Dayrun=11),$DF13*8*$CY13,0),0))</f>
        <v>4.03726567128965E+017</v>
      </c>
      <c r="AX13" s="297" t="n">
        <f aca="false">IF($A13="N/A"," ",IF(VLOOKUP(MONTH($A13),ManualTable,7)=1,IF(OR(Dayrun&lt;=2,Dayrun&gt;=9),$DF13*8*$CY13,0),0))</f>
        <v>4.03726567128965E+017</v>
      </c>
      <c r="AY13" s="297" t="n">
        <f aca="false">IF($A13="N/A"," ",IF(VLOOKUP(MONTH($A13),ManualTable,8)=1,IF(OR(Dayrun=1,Dayrun=5,Dayrun=8,Dayrun=11),$DG13*8*$CY13,0),0))</f>
        <v>4.03726567128965E+017</v>
      </c>
      <c r="AZ13" s="297" t="n">
        <f aca="false">IF($A13="N/A"," ",IF(VLOOKUP(MONTH($A13),ManualTable,9)=1,IF(OR(Dayrun=1,Dayrun=8,Dayrun=11),$DG13*8*$CY13,0),0))</f>
        <v>4.03726567128965E+017</v>
      </c>
      <c r="BA13" s="298" t="n">
        <f aca="false">IF($A13="N/A"," ",IF(VLOOKUP(MONTH($A13),ManualTable,10)=1,IF(OR(Dayrun&lt;=2,Dayrun&gt;=9),$DG13*8*$CY13,0),0))</f>
        <v>4.03726567128965E+017</v>
      </c>
      <c r="BB13" s="299" t="e">
        <f aca="false">IF($A13="N/A"," ",IF(Dayrun&gt;=3,(MAX(0,(xSPRDOPT(I13,($E13-'Pricing Inputs'!$X48*$D13),$CV13,0,($CN13+IF(Smile=TRUE(),VLOOKUP(MAX(-5,$H13-I13),Volsmile,2),0)),$CT13,$CU13,($A13-DateToday)+15,ABS(Option-2),1)*DE13*8))),0))</f>
        <v>#N/A</v>
      </c>
      <c r="BC13" s="300" t="e">
        <f aca="false">IF($A13="N/A"," ",IF(Dayrun&gt;=6,MAX(0,(xSPRDOPT(J13,($E13-'Pricing Inputs'!$X48*$D13),$CV13,0,($CN13+IF(Smile=TRUE(),VLOOKUP(MAX(-5,$H13-J13),Volsmile,2),0)),$CT13,$CU13,($A13-DateToday)+15,ABS(Option-2),1)*DE13*8)),0))</f>
        <v>#N/A</v>
      </c>
      <c r="BD13" s="300" t="e">
        <f aca="false">IF($A13="N/A"," ",IF(OR(Dayrun&lt;=2,Dayrun&gt;=9),IF(OffPeakEx=TRUE(),MAX(0,(xSPRDOPT(K13,($E13-'Pricing Inputs'!$X48*$D13),$CV13,0,($CQ13+IF(Smile=TRUE(),VLOOKUP(MAX(-5,$H13-K13),Volsmile,2),0)),$CT13,$CU13,($A13-DateToday)+15,ABS(Option-2),1)*DE13*8)),0),0))</f>
        <v>#N/A</v>
      </c>
      <c r="BE13" s="300" t="e">
        <f aca="false">IF($A13="N/A"," ",IF(OR(Dayrun=1,Dayrun=4,Dayrun=5,Dayrun=7,Dayrun=8,Dayrun=10,Dayrun=11),MAX(0,(xSPRDOPT(L13,($E13-'Pricing Inputs'!$X48*$D13),$CV13,0,($CQ13+IF(Smile=TRUE(),VLOOKUP(MAX(-5,$H13-L13),Volsmile,2),0)),$CT13,$CU13,($A13-DateToday)+15,ABS(Option-2),1)*DF13*8)),0))</f>
        <v>#N/A</v>
      </c>
      <c r="BF13" s="300" t="e">
        <f aca="false">IF($A13="N/A"," ",IF(OR(Dayrun=1,Dayrun=7,Dayrun=8,Dayrun=10,Dayrun=11),MAX(0,(xSPRDOPT(M13,($E13-'Pricing Inputs'!$X48*$D13),$CV13,0,($CQ13+IF(Smile=TRUE(),VLOOKUP(MAX(-5,$H13-M13),Volsmile,2),0)),$CT13,$CU13,($A13-DateToday)+15,ABS(Option-2),1)*DF13*8)),0))</f>
        <v>#N/A</v>
      </c>
      <c r="BG13" s="300" t="e">
        <f aca="false">IF($A13="N/A"," ",IF(OR(Dayrun&lt;=2,Dayrun&gt;=10),IF(OffPeakEx=TRUE(),MAX(0,(xSPRDOPT(N13,($E13-'Pricing Inputs'!$X48*$D13),$CV13,0,($CQ13+IF(Smile=TRUE(),VLOOKUP(MAX(-5,$H13-N13),Volsmile,2),0)),$CT13,$CU13,($A13-DateToday)+15,ABS(Option-2),1)*DF13*8)),0),0))</f>
        <v>#N/A</v>
      </c>
      <c r="BH13" s="300" t="e">
        <f aca="false">IF($A13="N/A"," ",IF(OR(Dayrun=1,Dayrun=5,Dayrun=8,Dayrun=11),MAX(0,(xSPRDOPT(O13,($E13-'Pricing Inputs'!$X48*$D13),$CV13,0,($CQ13+IF(Smile=TRUE(),VLOOKUP(MAX(-5,$H13-O13),Volsmile,2),0)),$CT13,$CU13,($A13-DateToday)+15,ABS(Option-2),1)*DG13*8)),0))</f>
        <v>#N/A</v>
      </c>
      <c r="BI13" s="300" t="e">
        <f aca="false">IF($A13="N/A"," ",IF(OR(Dayrun=1,Dayrun=8,Dayrun=11),MAX(0,(xSPRDOPT(P13,($E13-'Pricing Inputs'!$X48*$D13),$CV13,0,($CQ13+IF(Smile=TRUE(),VLOOKUP(MAX(-5,$H13-P13),Volsmile,2),0)),$CT13,$CU13,($A13-DateToday)+15,ABS(Option-2),1)*DG13*8)),0))</f>
        <v>#N/A</v>
      </c>
      <c r="BJ13" s="301" t="e">
        <f aca="false">IF($A13="N/A"," ",IF(OR(Dayrun&lt;=2,Dayrun&gt;=11),IF(OffPeakEx=TRUE(),MAX(0,(xSPRDOPT(Q13,($E13-'Pricing Inputs'!$X48*$D13),$CV13,0,($CQ13+IF(Smile=TRUE(),VLOOKUP(MAX(-5,$H13-Q13),Volsmile,2),0)),$CT13,$CU13,($A13-DateToday)+15,ABS(Option-2),1)*DG13*8)),0),0))</f>
        <v>#N/A</v>
      </c>
      <c r="BK13" s="302" t="e">
        <f aca="false">IF($A13="N/A"," ",R13*$AS13)</f>
        <v>#N/A</v>
      </c>
      <c r="BL13" s="303" t="e">
        <f aca="false">IF($A13="N/A"," ",S13*$AT13)</f>
        <v>#N/A</v>
      </c>
      <c r="BM13" s="303" t="e">
        <f aca="false">IF($A13="N/A"," ",T13*$AU13)</f>
        <v>#N/A</v>
      </c>
      <c r="BN13" s="303" t="e">
        <f aca="false">IF($A13="N/A"," ",U13*$AV13)</f>
        <v>#N/A</v>
      </c>
      <c r="BO13" s="303" t="e">
        <f aca="false">IF($A13="N/A"," ",V13*$AW13)</f>
        <v>#N/A</v>
      </c>
      <c r="BP13" s="303" t="e">
        <f aca="false">IF($A13="N/A"," ",W13*$AX13)</f>
        <v>#N/A</v>
      </c>
      <c r="BQ13" s="303" t="e">
        <f aca="false">IF($A13="N/A"," ",X13*$AY13)</f>
        <v>#N/A</v>
      </c>
      <c r="BR13" s="303" t="e">
        <f aca="false">IF($A13="N/A"," ",Y13*$AZ13)</f>
        <v>#N/A</v>
      </c>
      <c r="BS13" s="304" t="e">
        <f aca="false">IF($A13="N/A"," ",Z13*$BA13)</f>
        <v>#N/A</v>
      </c>
      <c r="BT13" s="305" t="e">
        <f aca="false">IF($A13="N/A"," ",AA13*$AS13)</f>
        <v>#N/A</v>
      </c>
      <c r="BU13" s="306" t="e">
        <f aca="false">IF($A13="N/A"," ",AB13*$AT13)</f>
        <v>#N/A</v>
      </c>
      <c r="BV13" s="306" t="e">
        <f aca="false">IF($A13="N/A"," ",AC13*$AU13)</f>
        <v>#N/A</v>
      </c>
      <c r="BW13" s="306" t="e">
        <f aca="false">IF($A13="N/A"," ",AD13*$AV13)</f>
        <v>#N/A</v>
      </c>
      <c r="BX13" s="306" t="e">
        <f aca="false">IF($A13="N/A"," ",AE13*$AW13)</f>
        <v>#N/A</v>
      </c>
      <c r="BY13" s="306" t="e">
        <f aca="false">IF($A13="N/A"," ",AF13*$AX13)</f>
        <v>#N/A</v>
      </c>
      <c r="BZ13" s="306" t="e">
        <f aca="false">IF($A13="N/A"," ",AG13*$AY13)</f>
        <v>#N/A</v>
      </c>
      <c r="CA13" s="306" t="e">
        <f aca="false">IF($A13="N/A"," ",AH13*$AZ13)</f>
        <v>#N/A</v>
      </c>
      <c r="CB13" s="307" t="e">
        <f aca="false">IF($A13="N/A"," ",AI13*$BA13)</f>
        <v>#N/A</v>
      </c>
      <c r="CC13" s="308" t="e">
        <f aca="false">IF($A13="N/A"," ",AJ13*$AS13)</f>
        <v>#N/A</v>
      </c>
      <c r="CD13" s="309" t="e">
        <f aca="false">IF($A13="N/A"," ",AK13*$AT13)</f>
        <v>#N/A</v>
      </c>
      <c r="CE13" s="309" t="e">
        <f aca="false">IF($A13="N/A"," ",AL13*$AU13)</f>
        <v>#N/A</v>
      </c>
      <c r="CF13" s="309" t="e">
        <f aca="false">IF($A13="N/A"," ",AM13*$AV13)</f>
        <v>#N/A</v>
      </c>
      <c r="CG13" s="309" t="e">
        <f aca="false">IF($A13="N/A"," ",AN13*$AW13)</f>
        <v>#N/A</v>
      </c>
      <c r="CH13" s="309" t="e">
        <f aca="false">IF($A13="N/A"," ",AO13*$AX13)</f>
        <v>#N/A</v>
      </c>
      <c r="CI13" s="309" t="e">
        <f aca="false">IF($A13="N/A"," ",AP13*$AY13)</f>
        <v>#N/A</v>
      </c>
      <c r="CJ13" s="309" t="e">
        <f aca="false">IF($A13="N/A"," ",AQ13*$AZ13)</f>
        <v>#N/A</v>
      </c>
      <c r="CK13" s="310" t="e">
        <f aca="false">IF($A13="N/A"," ",AR13*$BA13)</f>
        <v>#N/A</v>
      </c>
      <c r="CL13" s="311" t="n">
        <f aca="false">IF(A13="N/A"," ",(VLOOKUP(A13,PowerVolTable,(IF(VolBMO=2,7,IF(VolBMO=1,6,8))),FALSE())))</f>
        <v>0.35</v>
      </c>
      <c r="CM13" s="312" t="n">
        <f aca="false">IF(A13="N/A"," ",(VLOOKUP(A13,IntraPowerVol,(IF(VolBMO=2,3,IF(VolBMO=1,2,4))),FALSE())*VLOOKUP(MONTH($A13),Volscale,2)))</f>
        <v>0.7</v>
      </c>
      <c r="CN13" s="312" t="n">
        <f aca="false">IF($A13="N/A"," ",IF(VolType=1,CM13,CL13))</f>
        <v>0.7</v>
      </c>
      <c r="CO13" s="312" t="n">
        <f aca="false">IF($A13="N/A"," ",(VLOOKUP($A13,OffPeakVol,(IF(VolBMO=2,7,IF(VolBMO=1,6,8))),FALSE())))</f>
        <v>0.175</v>
      </c>
      <c r="CP13" s="312" t="n">
        <f aca="false">IF($A13="N/A"," ",(VLOOKUP($A13,OffPeakVol,(IF(VolBMO=2,3,IF(VolBMO=1,2,4))),FALSE())*VLOOKUP(MONTH($A13),Volscale,2)))</f>
        <v>0.42</v>
      </c>
      <c r="CQ13" s="312" t="n">
        <f aca="false">IF($A13="N/A"," ",IF(VolType=1,CP13,CO13))</f>
        <v>0.42</v>
      </c>
      <c r="CR13" s="312" t="e">
        <f aca="false">IF($A13="N/A"," ",(VLOOKUP($A13,GasVolTable,(IF(VolBMO=2,6,IF(VolBMO=1,7,5))),FALSE())))</f>
        <v>#N/A</v>
      </c>
      <c r="CS13" s="312" t="e">
        <f aca="false">IF($A13="N/A"," ",(VLOOKUP($A13,OmicronVol,(IF(VolBMO=2,3,IF(VolBMO=1,4,2))),FALSE())))</f>
        <v>#N/A</v>
      </c>
      <c r="CT13" s="312" t="e">
        <f aca="false">IF($A13="N/A"," ",(IF(DateToday&gt;$A13,$CS13,IF(VolType=1,((($CR13^2)*((($A13-1)-DateToday)/((EOMONTH($A13,0)+1)-DateToday-15)))+((($CS13)^2)*((15)/((EOMONTH($A13,0)+1)-DateToday-15))))^0.5,CR13))))</f>
        <v>#N/A</v>
      </c>
      <c r="CU13" s="312" t="n">
        <f aca="false">IF($A13="N/A"," ",IF('Pricing Inputs'!$AR$23=TRUE(),Inputs!$S$22,VLOOKUP($A13,CorrelationTable,2,FALSE())))</f>
        <v>0.75</v>
      </c>
      <c r="CV13" s="313" t="n">
        <f aca="false">IF($A13="N/A"," ",F13+G13+(D13*('Pricing Inputs'!X48)))</f>
        <v>0</v>
      </c>
      <c r="CW13" s="314" t="n">
        <f aca="false">IF($A13="N/A"," ",IF(PV=1,0,'Pricing Inputs'!Y48))</f>
        <v>2</v>
      </c>
      <c r="CX13" s="315" t="n">
        <f aca="false">IF($A13="N/A"," ",(1+CW13/2)^(-2*((EOMONTH(A13,0)+20)-DateToday)/365.25))</f>
        <v>91175828168239.7</v>
      </c>
      <c r="CY13" s="316" t="n">
        <f aca="false">IF($A13="N/A"," ",(IF(MONTH(A13)&gt;=4,IF(MONTH(A13)&lt;=10,Inputs!$S$26,Inputs!$S$27),Inputs!$S$27))*$CX13)</f>
        <v>11214626864693500</v>
      </c>
      <c r="CZ13" s="317" t="e">
        <f aca="false">IF($A13="N/A"," ",BK13+BL13+BN13+BO13+BQ13+BR13)</f>
        <v>#N/A</v>
      </c>
      <c r="DA13" s="318" t="e">
        <f aca="false">IF($A13="N/A"," ",BM13+BP13+BS13)</f>
        <v>#N/A</v>
      </c>
      <c r="DB13" s="319" t="e">
        <f aca="false">IF($A13="N/A"," ",BT13+BU13+BW13+BX13+BZ13+CA13)</f>
        <v>#N/A</v>
      </c>
      <c r="DC13" s="319" t="e">
        <f aca="false">IF($A13="N/A"," ",BV13+BY13+CB13)</f>
        <v>#N/A</v>
      </c>
      <c r="DD13" s="320" t="e">
        <f aca="false">IF($A13="N/A"," ",SUM(CC13:CK13))</f>
        <v>#N/A</v>
      </c>
      <c r="DE13" s="321" t="n">
        <f aca="false">IF($A13="N/A"," ",VLOOKUP($A13,NumberofDaysTable,2)*Availability)</f>
        <v>18</v>
      </c>
      <c r="DF13" s="94" t="n">
        <f aca="false">IF($A13="N/A"," ",VLOOKUP($A13,NumberofDaysTable,3)*Availability)</f>
        <v>4.5</v>
      </c>
      <c r="DG13" s="322" t="n">
        <f aca="false">IF($A13="N/A"," ",VLOOKUP($A13,NumberofDaysTable,4)*Availability)</f>
        <v>4.5</v>
      </c>
      <c r="DH13" s="323" t="n">
        <f aca="false">IF($A13="N/A"," ",IF(Option=1,$D13*Inputs!$S$15*SUM(AS13:BA13),0))</f>
        <v>0</v>
      </c>
      <c r="DI13" s="324" t="n">
        <f aca="false">IF($A13="N/A"," ",IF(Option=1,$D13*Inputs!$S$16*SUM(AS13:BA13),0))</f>
        <v>0</v>
      </c>
      <c r="DJ13" s="325" t="n">
        <f aca="false">IF($A13="N/A"," ",SUM(AS13:AT13))</f>
        <v>3.22981253703172E+018</v>
      </c>
      <c r="DK13" s="325" t="n">
        <f aca="false">IF($A13="N/A"," ",SUM(AU13:BA13))</f>
        <v>4.03726567128965E+018</v>
      </c>
      <c r="DL13" s="325" t="e">
        <f aca="false">IF($A13="N/A"," ",SUM(BB13:BC13))</f>
        <v>#N/A</v>
      </c>
      <c r="DM13" s="325" t="e">
        <f aca="false">IF($A13="N/A"," ",SUM(BD13:BJ13))</f>
        <v>#N/A</v>
      </c>
    </row>
    <row r="14" customFormat="false" ht="12.75" hidden="false" customHeight="false" outlineLevel="0" collapsed="false">
      <c r="A14" s="282" t="n">
        <f aca="false">IF(A13="N/A","N/A",IF(EDATE(A13,1)&gt;Inputs!$S$5,"N/A",EDATE(A13,1)))</f>
        <v>37438</v>
      </c>
      <c r="B14" s="283" t="n">
        <f aca="false">IF(A14="N/A"," ",YEAR(A14))</f>
        <v>2002</v>
      </c>
      <c r="C14" s="284" t="e">
        <f aca="false">IF(A14="N/A"," ",VLOOKUP(A14,ScaledPrice,14))</f>
        <v>#N/A</v>
      </c>
      <c r="D14" s="285" t="n">
        <f aca="false">IF(A14="N/A"," ",(VLOOKUP(MONTH($A14),Hrtable,2))/1000)</f>
        <v>9.5</v>
      </c>
      <c r="E14" s="286" t="e">
        <f aca="false">IF($A14="N/A"," ",(C14)*D14)</f>
        <v>#N/A</v>
      </c>
      <c r="F14" s="287" t="n">
        <f aca="false">IF(A14="N/A"," ",VOM*(1+VOMesc)^(YEAR(A14)-YEAR(Today)))</f>
        <v>0</v>
      </c>
      <c r="G14" s="287" t="n">
        <f aca="false">IF(A14="N/A"," ",Perstart/VLOOKUP(Dayrun,'Pricing Inputs'!$AQ$4:$AS$14,3)/(CY14/CX14))</f>
        <v>0</v>
      </c>
      <c r="H14" s="288" t="e">
        <f aca="false">IF(A14="N/A"," ",SUM(E14:G14))</f>
        <v>#N/A</v>
      </c>
      <c r="I14" s="289" t="n">
        <f aca="false">VLOOKUP($A14,ScaledPrice,6)</f>
        <v>64.5</v>
      </c>
      <c r="J14" s="290" t="n">
        <f aca="false">VLOOKUP($A14,ScaledPrice,10)</f>
        <v>64.5</v>
      </c>
      <c r="K14" s="290" t="n">
        <f aca="false">VLOOKUP($A14,ScaledPrice,13)</f>
        <v>22.25</v>
      </c>
      <c r="L14" s="290" t="n">
        <f aca="false">VLOOKUP($A14,ScaledPrice,7)</f>
        <v>37.4199981689453</v>
      </c>
      <c r="M14" s="290" t="n">
        <f aca="false">VLOOKUP($A14,ScaledPrice,11)</f>
        <v>37.4199981689453</v>
      </c>
      <c r="N14" s="290" t="n">
        <f aca="false">VLOOKUP($A14,ScaledPrice,13)</f>
        <v>22.25</v>
      </c>
      <c r="O14" s="290" t="n">
        <f aca="false">VLOOKUP($A14,ScaledPrice,8)</f>
        <v>27.9199981689453</v>
      </c>
      <c r="P14" s="290" t="n">
        <f aca="false">VLOOKUP($A14,ScaledPrice,12)</f>
        <v>27.9199981689453</v>
      </c>
      <c r="Q14" s="291" t="n">
        <f aca="false">VLOOKUP($A14,ScaledPrice,13)</f>
        <v>22.25</v>
      </c>
      <c r="R14" s="292" t="e">
        <f aca="false">IF($A14="N/A"," ",IF(Dayrun&gt;=3,IF(Option=1,MAX($I14-$H14,0),IF(Option=2,MAX($H14-$I14,0),0)),0))</f>
        <v>#N/A</v>
      </c>
      <c r="S14" s="286" t="e">
        <f aca="false">IF($A14="N/A"," ",IF(Dayrun&gt;=6,IF(Option=1,MAX($J14-H14,0),IF(Option=2,MAX(H14-$J14,0),0)),0))</f>
        <v>#N/A</v>
      </c>
      <c r="T14" s="286" t="e">
        <f aca="false">IF($A14="N/A"," ",IF(OR(Dayrun&lt;=2,Dayrun&gt;=9),IF(Option=1,MAX($K14-$H14,0),IF(Option=2,MAX($H14-$K14,0),0)),0))</f>
        <v>#N/A</v>
      </c>
      <c r="U14" s="286" t="e">
        <f aca="false">IF($A14="N/A"," ",IF(OR(Dayrun=1,Dayrun=4,Dayrun=5,Dayrun=7,Dayrun=8,Dayrun=10,Dayrun=11),IF(Option=1,MAX($L14-H14,0),IF(Option=2,MAX(H14-$L14,0),0)),0))</f>
        <v>#N/A</v>
      </c>
      <c r="V14" s="286" t="e">
        <f aca="false">IF($A14="N/A"," ",IF(OR(Dayrun=1,Dayrun=7,Dayrun=8,Dayrun=10,Dayrun=11),IF(Option=1,MAX($M14-H14,0),IF(Option=2,MAX(H14-$M14,0),0)),0))</f>
        <v>#N/A</v>
      </c>
      <c r="W14" s="286" t="e">
        <f aca="false">IF($A14="N/A"," ",IF(OR(Dayrun&lt;=2,Dayrun&gt;=10),IF(Option=1,MAX($N14-$H14,0),IF(Option=2,MAX($H14-$N14,0),0)),0))</f>
        <v>#N/A</v>
      </c>
      <c r="X14" s="286" t="e">
        <f aca="false">IF($A14="N/A"," ",IF(OR(Dayrun=1,Dayrun=5,Dayrun=8,Dayrun=11),IF(Option=1,MAX($O14-H14,0),IF(Option=2,MAX(H14-$O14,0),0)),0))</f>
        <v>#N/A</v>
      </c>
      <c r="Y14" s="286" t="e">
        <f aca="false">IF($A14="N/A"," ",IF(OR(Dayrun=1,Dayrun=8,Dayrun=11),IF(Option=1,MAX($P14-H14,0),IF(Option=2,MAX(H14-$P14,0),0)),0))</f>
        <v>#N/A</v>
      </c>
      <c r="Z14" s="293" t="e">
        <f aca="false">IF($A14="N/A"," ",IF(OR(Dayrun&lt;=2,Dayrun&gt;=11),IF(Option=1,MAX($Q14-$H14,0),IF(Option=2,MAX($H14-$Q14,0),0)),0))</f>
        <v>#N/A</v>
      </c>
      <c r="AA14" s="289" t="e">
        <f aca="false">IF($A14="N/A"," ",IF(Dayrun&gt;=3,(MAX(0,(xSPRDOPT(I14,($E14-'Pricing Inputs'!$X49*$D14),$CV14,0,($CN14+IF(Smile=TRUE(),VLOOKUP(MAX(-5,$H14-I14),Volsmile,2),0)),$CT14,$CU14,($A14-DateToday)+15,ABS(Option-2),0)-R14))),0))</f>
        <v>#N/A</v>
      </c>
      <c r="AB14" s="290" t="e">
        <f aca="false">IF($A14="N/A"," ",IF(Dayrun&gt;=6,MAX(0,(xSPRDOPT(J14,($E14-'Pricing Inputs'!$X49*$D14),$CV14,0,($CN14+IF(Smile=TRUE(),VLOOKUP(MAX(-5,$H14-J14),Volsmile,2),0)),$CT14,$CU14,($A14-DateToday)+15,ABS(Option-2),0)-S14)),0))</f>
        <v>#N/A</v>
      </c>
      <c r="AC14" s="290" t="e">
        <f aca="false">IF($A14="N/A"," ",IF(OR(Dayrun&lt;=2,Dayrun&gt;=9),IF(OffPeakEx=TRUE(),MAX(0,(xSPRDOPT(K14,($E14-'Pricing Inputs'!$X49*$D14),$CV14,0,($CQ14+IF(Smile=TRUE(),VLOOKUP(MAX(-5,$H14-K14),Volsmile,2),0)),$CT14,$CU14,($A14-DateToday)+15,ABS(Option-2),0)-T14)),0),0))</f>
        <v>#N/A</v>
      </c>
      <c r="AD14" s="290" t="e">
        <f aca="false">IF($A14="N/A"," ",IF(OR(Dayrun=1,Dayrun=4,Dayrun=5,Dayrun=7,Dayrun=8,Dayrun=10,Dayrun=11),MAX(0,(xSPRDOPT(L14,($E14-'Pricing Inputs'!$X49*$D14),$CV14,0,($CQ14+IF(Smile=TRUE(),VLOOKUP(MAX(-5,$H14-L14),Volsmile,2),0)),$CT14,$CU14,($A14-DateToday)+15,ABS(Option-2),0)-U14)),0))</f>
        <v>#N/A</v>
      </c>
      <c r="AE14" s="290" t="e">
        <f aca="false">IF($A14="N/A"," ",IF(OR(Dayrun=1,Dayrun=7,Dayrun=8,Dayrun=10,Dayrun=11),MAX(0,(xSPRDOPT(M14,($E14-'Pricing Inputs'!$X49*$D14),$CV14,0,($CQ14+IF(Smile=TRUE(),VLOOKUP(MAX(-5,$H14-M14),Volsmile,2),0)),$CT14,$CU14,($A14-DateToday)+15,ABS(Option-2),0)-V14)),0))</f>
        <v>#N/A</v>
      </c>
      <c r="AF14" s="290" t="e">
        <f aca="false">IF($A14="N/A"," ",IF(OR(Dayrun&lt;=2,Dayrun&gt;=10),IF(OffPeakEx=TRUE(),MAX(0,(xSPRDOPT(N14,($E14-'Pricing Inputs'!$X49*$D14),$CV14,0,($CQ14+IF(Smile=TRUE(),VLOOKUP(MAX(-5,$H14-N14),Volsmile,2),0)),$CT14,$CU14,($A14-DateToday)+15,ABS(Option-2),0)-W14)),0),0))</f>
        <v>#N/A</v>
      </c>
      <c r="AG14" s="290" t="e">
        <f aca="false">IF($A14="N/A"," ",IF(OR(Dayrun=1,Dayrun=5,Dayrun=8,Dayrun=11),MAX(0,(xSPRDOPT(O14,($E14-'Pricing Inputs'!$X49*$D14),$CV14,0,($CQ14+IF(Smile=TRUE(),VLOOKUP(MAX(-5,$H14-O14),Volsmile,2),0)),$CT14,$CU14,($A14-DateToday)+15,ABS(Option-2),0)-X14)),0))</f>
        <v>#N/A</v>
      </c>
      <c r="AH14" s="290" t="e">
        <f aca="false">IF($A14="N/A"," ",IF(OR(Dayrun=1,Dayrun=8,Dayrun=11),MAX(0,(xSPRDOPT(P14,($E14-'Pricing Inputs'!$X49*$D14),$CV14,0,($CQ14+IF(Smile=TRUE(),VLOOKUP(MAX(-5,$H14-P14),Volsmile,2),0)),$CT14,$CU14,($A14-DateToday)+15,ABS(Option-2),0)-Y14)),0))</f>
        <v>#N/A</v>
      </c>
      <c r="AI14" s="290" t="e">
        <f aca="false">IF($A14="N/A"," ",IF(OR(Dayrun&lt;=2,Dayrun&gt;=11),IF(OffPeakEx=TRUE(),MAX(0,(xSPRDOPT(Q14,($E14-'Pricing Inputs'!$X49*$D14),$CV14,0,($CQ14+IF(Smile=TRUE(),VLOOKUP(MAX(-5,$H14-Q14),Volsmile,2),0)),$CT14,$CU14,($A14-DateToday)+15,ABS(Option-2),0)-Z14)),0),0))</f>
        <v>#N/A</v>
      </c>
      <c r="AJ14" s="294" t="e">
        <f aca="false">IF($A14="N/A"," ",IF(Dayrun&gt;=3,IF(Option=1,$I14-$H14,IF(Option=2,$H14-$I14)),0))</f>
        <v>#N/A</v>
      </c>
      <c r="AK14" s="295" t="e">
        <f aca="false">IF($A14="N/A"," ",IF(Dayrun&gt;=6,IF(Option=1,$J14-H14,IF(Option=2,H14-$J14)),0))</f>
        <v>#N/A</v>
      </c>
      <c r="AL14" s="295" t="e">
        <f aca="false">IF($A14="N/A"," ",IF(OR(Dayrun&lt;=2,Dayrun&gt;=9),IF(Option=1,$K14-$H14,IF(Option=2,$H14-$K14)),0))</f>
        <v>#N/A</v>
      </c>
      <c r="AM14" s="295" t="e">
        <f aca="false">IF($A14="N/A"," ",IF(OR(Dayrun=1,Dayrun=4,Dayrun=5,Dayrun=7,Dayrun=8,Dayrun=10,Dayrun=11),IF(Option=1,$L14-H14,IF(Option=2,H14-$L14)),0))</f>
        <v>#N/A</v>
      </c>
      <c r="AN14" s="295" t="e">
        <f aca="false">IF($A14="N/A"," ",IF(OR(Dayrun=1,Dayrun=7,Dayrun=8,Dayrun=10,Dayrun=11),IF(Option=1,$M14-H14,IF(Option=2,H14-$M14)),0))</f>
        <v>#N/A</v>
      </c>
      <c r="AO14" s="295" t="e">
        <f aca="false">IF($A14="N/A"," ",IF(OR(Dayrun&lt;=2,Dayrun&gt;=9),IF(Option=1,$N14-$H14,IF(Option=2,$H14-$N14)),0))</f>
        <v>#N/A</v>
      </c>
      <c r="AP14" s="295" t="e">
        <f aca="false">IF($A14="N/A"," ",IF(OR(Dayrun=1,Dayrun=5,Dayrun=8,Dayrun=11),IF(Option=1,$O14-H14,IF(Option=2,H14-$O14)),0))</f>
        <v>#N/A</v>
      </c>
      <c r="AQ14" s="295" t="e">
        <f aca="false">IF($A14="N/A"," ",IF(OR(Dayrun=1,Dayrun=8,Dayrun=11),IF(Option=1,$P14-H14,IF(Option=2,H14-$P14)),0))</f>
        <v>#N/A</v>
      </c>
      <c r="AR14" s="296" t="e">
        <f aca="false">IF($A14="N/A"," ",IF(OR(Dayrun&lt;=2,Dayrun&gt;=9),IF(Option=1,$Q14-H14,IF(Option=2,H14-$Q14)),0))</f>
        <v>#N/A</v>
      </c>
      <c r="AS14" s="297" t="n">
        <f aca="false">IF($A14="N/A"," ",IF(VLOOKUP(MONTH($A14),ManualTable,2)=1,IF(Dayrun&gt;=3,$DE14*8*$CY14,0),0))</f>
        <v>1.5792145708489E+018</v>
      </c>
      <c r="AT14" s="297" t="n">
        <f aca="false">IF($A14="N/A"," ",IF(VLOOKUP(MONTH($A14),ManualTable,3)=1,IF(Dayrun&gt;=6,$DE14*8*$CY14,0),0))</f>
        <v>1.5792145708489E+018</v>
      </c>
      <c r="AU14" s="297" t="n">
        <f aca="false">IF($A14="N/A"," ",IF(VLOOKUP(MONTH($A14),ManualTable,4)=1,IF(OR(Dayrun&lt;=2,Dayrun&gt;=9),$DE14*8*$CY14,0),0))</f>
        <v>1.5792145708489E+018</v>
      </c>
      <c r="AV14" s="297" t="n">
        <f aca="false">IF($A14="N/A"," ",IF(VLOOKUP(MONTH($A14),ManualTable,5)=1,IF(OR(Dayrun=1,Dayrun=4,Dayrun=5,Dayrun=7,Dayrun=8,Dayrun=10,Dayrun=11),$DF14*8*$CY14,0),0))</f>
        <v>2.87129921972527E+017</v>
      </c>
      <c r="AW14" s="297" t="n">
        <f aca="false">IF($A14="N/A"," ",IF(VLOOKUP(MONTH($A14),ManualTable,6)=1,IF(OR(Dayrun=1,Dayrun=7,Dayrun=8,Dayrun=10,Dayrun=11),$DF14*8*$CY14,0),0))</f>
        <v>2.87129921972527E+017</v>
      </c>
      <c r="AX14" s="297" t="n">
        <f aca="false">IF($A14="N/A"," ",IF(VLOOKUP(MONTH($A14),ManualTable,7)=1,IF(OR(Dayrun&lt;=2,Dayrun&gt;=9),$DF14*8*$CY14,0),0))</f>
        <v>2.87129921972527E+017</v>
      </c>
      <c r="AY14" s="297" t="n">
        <f aca="false">IF($A14="N/A"," ",IF(VLOOKUP(MONTH($A14),ManualTable,8)=1,IF(OR(Dayrun=1,Dayrun=5,Dayrun=8,Dayrun=11),$DG14*8*$CY14,0),0))</f>
        <v>3.58912402465659E+017</v>
      </c>
      <c r="AZ14" s="297" t="n">
        <f aca="false">IF($A14="N/A"," ",IF(VLOOKUP(MONTH($A14),ManualTable,9)=1,IF(OR(Dayrun=1,Dayrun=8,Dayrun=11),$DG14*8*$CY14,0),0))</f>
        <v>3.58912402465659E+017</v>
      </c>
      <c r="BA14" s="298" t="n">
        <f aca="false">IF($A14="N/A"," ",IF(VLOOKUP(MONTH($A14),ManualTable,10)=1,IF(OR(Dayrun&lt;=2,Dayrun&gt;=9),$DG14*8*$CY14,0),0))</f>
        <v>3.58912402465659E+017</v>
      </c>
      <c r="BB14" s="299" t="e">
        <f aca="false">IF($A14="N/A"," ",IF(Dayrun&gt;=3,(MAX(0,(xSPRDOPT(I14,($E14-'Pricing Inputs'!$X49*$D14),$CV14,0,($CN14+IF(Smile=TRUE(),VLOOKUP(MAX(-5,$H14-I14),Volsmile,2),0)),$CT14,$CU14,($A14-DateToday)+15,ABS(Option-2),1)*DE14*8))),0))</f>
        <v>#N/A</v>
      </c>
      <c r="BC14" s="300" t="e">
        <f aca="false">IF($A14="N/A"," ",IF(Dayrun&gt;=6,MAX(0,(xSPRDOPT(J14,($E14-'Pricing Inputs'!$X49*$D14),$CV14,0,($CN14+IF(Smile=TRUE(),VLOOKUP(MAX(-5,$H14-J14),Volsmile,2),0)),$CT14,$CU14,($A14-DateToday)+15,ABS(Option-2),1)*DE14*8)),0))</f>
        <v>#N/A</v>
      </c>
      <c r="BD14" s="300" t="e">
        <f aca="false">IF($A14="N/A"," ",IF(OR(Dayrun&lt;=2,Dayrun&gt;=9),IF(OffPeakEx=TRUE(),MAX(0,(xSPRDOPT(K14,($E14-'Pricing Inputs'!$X49*$D14),$CV14,0,($CQ14+IF(Smile=TRUE(),VLOOKUP(MAX(-5,$H14-K14),Volsmile,2),0)),$CT14,$CU14,($A14-DateToday)+15,ABS(Option-2),1)*DE14*8)),0),0))</f>
        <v>#N/A</v>
      </c>
      <c r="BE14" s="300" t="e">
        <f aca="false">IF($A14="N/A"," ",IF(OR(Dayrun=1,Dayrun=4,Dayrun=5,Dayrun=7,Dayrun=8,Dayrun=10,Dayrun=11),MAX(0,(xSPRDOPT(L14,($E14-'Pricing Inputs'!$X49*$D14),$CV14,0,($CQ14+IF(Smile=TRUE(),VLOOKUP(MAX(-5,$H14-L14),Volsmile,2),0)),$CT14,$CU14,($A14-DateToday)+15,ABS(Option-2),1)*DF14*8)),0))</f>
        <v>#N/A</v>
      </c>
      <c r="BF14" s="300" t="e">
        <f aca="false">IF($A14="N/A"," ",IF(OR(Dayrun=1,Dayrun=7,Dayrun=8,Dayrun=10,Dayrun=11),MAX(0,(xSPRDOPT(M14,($E14-'Pricing Inputs'!$X49*$D14),$CV14,0,($CQ14+IF(Smile=TRUE(),VLOOKUP(MAX(-5,$H14-M14),Volsmile,2),0)),$CT14,$CU14,($A14-DateToday)+15,ABS(Option-2),1)*DF14*8)),0))</f>
        <v>#N/A</v>
      </c>
      <c r="BG14" s="300" t="e">
        <f aca="false">IF($A14="N/A"," ",IF(OR(Dayrun&lt;=2,Dayrun&gt;=10),IF(OffPeakEx=TRUE(),MAX(0,(xSPRDOPT(N14,($E14-'Pricing Inputs'!$X49*$D14),$CV14,0,($CQ14+IF(Smile=TRUE(),VLOOKUP(MAX(-5,$H14-N14),Volsmile,2),0)),$CT14,$CU14,($A14-DateToday)+15,ABS(Option-2),1)*DF14*8)),0),0))</f>
        <v>#N/A</v>
      </c>
      <c r="BH14" s="300" t="e">
        <f aca="false">IF($A14="N/A"," ",IF(OR(Dayrun=1,Dayrun=5,Dayrun=8,Dayrun=11),MAX(0,(xSPRDOPT(O14,($E14-'Pricing Inputs'!$X49*$D14),$CV14,0,($CQ14+IF(Smile=TRUE(),VLOOKUP(MAX(-5,$H14-O14),Volsmile,2),0)),$CT14,$CU14,($A14-DateToday)+15,ABS(Option-2),1)*DG14*8)),0))</f>
        <v>#N/A</v>
      </c>
      <c r="BI14" s="300" t="e">
        <f aca="false">IF($A14="N/A"," ",IF(OR(Dayrun=1,Dayrun=8,Dayrun=11),MAX(0,(xSPRDOPT(P14,($E14-'Pricing Inputs'!$X49*$D14),$CV14,0,($CQ14+IF(Smile=TRUE(),VLOOKUP(MAX(-5,$H14-P14),Volsmile,2),0)),$CT14,$CU14,($A14-DateToday)+15,ABS(Option-2),1)*DG14*8)),0))</f>
        <v>#N/A</v>
      </c>
      <c r="BJ14" s="301" t="e">
        <f aca="false">IF($A14="N/A"," ",IF(OR(Dayrun&lt;=2,Dayrun&gt;=11),IF(OffPeakEx=TRUE(),MAX(0,(xSPRDOPT(Q14,($E14-'Pricing Inputs'!$X49*$D14),$CV14,0,($CQ14+IF(Smile=TRUE(),VLOOKUP(MAX(-5,$H14-Q14),Volsmile,2),0)),$CT14,$CU14,($A14-DateToday)+15,ABS(Option-2),1)*DG14*8)),0),0))</f>
        <v>#N/A</v>
      </c>
      <c r="BK14" s="302" t="e">
        <f aca="false">IF($A14="N/A"," ",R14*$AS14)</f>
        <v>#N/A</v>
      </c>
      <c r="BL14" s="303" t="e">
        <f aca="false">IF($A14="N/A"," ",S14*$AT14)</f>
        <v>#N/A</v>
      </c>
      <c r="BM14" s="303" t="e">
        <f aca="false">IF($A14="N/A"," ",T14*$AU14)</f>
        <v>#N/A</v>
      </c>
      <c r="BN14" s="303" t="e">
        <f aca="false">IF($A14="N/A"," ",U14*$AV14)</f>
        <v>#N/A</v>
      </c>
      <c r="BO14" s="303" t="e">
        <f aca="false">IF($A14="N/A"," ",V14*$AW14)</f>
        <v>#N/A</v>
      </c>
      <c r="BP14" s="303" t="e">
        <f aca="false">IF($A14="N/A"," ",W14*$AX14)</f>
        <v>#N/A</v>
      </c>
      <c r="BQ14" s="303" t="e">
        <f aca="false">IF($A14="N/A"," ",X14*$AY14)</f>
        <v>#N/A</v>
      </c>
      <c r="BR14" s="303" t="e">
        <f aca="false">IF($A14="N/A"," ",Y14*$AZ14)</f>
        <v>#N/A</v>
      </c>
      <c r="BS14" s="304" t="e">
        <f aca="false">IF($A14="N/A"," ",Z14*$BA14)</f>
        <v>#N/A</v>
      </c>
      <c r="BT14" s="305" t="e">
        <f aca="false">IF($A14="N/A"," ",AA14*$AS14)</f>
        <v>#N/A</v>
      </c>
      <c r="BU14" s="306" t="e">
        <f aca="false">IF($A14="N/A"," ",AB14*$AT14)</f>
        <v>#N/A</v>
      </c>
      <c r="BV14" s="306" t="e">
        <f aca="false">IF($A14="N/A"," ",AC14*$AU14)</f>
        <v>#N/A</v>
      </c>
      <c r="BW14" s="306" t="e">
        <f aca="false">IF($A14="N/A"," ",AD14*$AV14)</f>
        <v>#N/A</v>
      </c>
      <c r="BX14" s="306" t="e">
        <f aca="false">IF($A14="N/A"," ",AE14*$AW14)</f>
        <v>#N/A</v>
      </c>
      <c r="BY14" s="306" t="e">
        <f aca="false">IF($A14="N/A"," ",AF14*$AX14)</f>
        <v>#N/A</v>
      </c>
      <c r="BZ14" s="306" t="e">
        <f aca="false">IF($A14="N/A"," ",AG14*$AY14)</f>
        <v>#N/A</v>
      </c>
      <c r="CA14" s="306" t="e">
        <f aca="false">IF($A14="N/A"," ",AH14*$AZ14)</f>
        <v>#N/A</v>
      </c>
      <c r="CB14" s="307" t="e">
        <f aca="false">IF($A14="N/A"," ",AI14*$BA14)</f>
        <v>#N/A</v>
      </c>
      <c r="CC14" s="308" t="e">
        <f aca="false">IF($A14="N/A"," ",AJ14*$AS14)</f>
        <v>#N/A</v>
      </c>
      <c r="CD14" s="309" t="e">
        <f aca="false">IF($A14="N/A"," ",AK14*$AT14)</f>
        <v>#N/A</v>
      </c>
      <c r="CE14" s="309" t="e">
        <f aca="false">IF($A14="N/A"," ",AL14*$AU14)</f>
        <v>#N/A</v>
      </c>
      <c r="CF14" s="309" t="e">
        <f aca="false">IF($A14="N/A"," ",AM14*$AV14)</f>
        <v>#N/A</v>
      </c>
      <c r="CG14" s="309" t="e">
        <f aca="false">IF($A14="N/A"," ",AN14*$AW14)</f>
        <v>#N/A</v>
      </c>
      <c r="CH14" s="309" t="e">
        <f aca="false">IF($A14="N/A"," ",AO14*$AX14)</f>
        <v>#N/A</v>
      </c>
      <c r="CI14" s="309" t="e">
        <f aca="false">IF($A14="N/A"," ",AP14*$AY14)</f>
        <v>#N/A</v>
      </c>
      <c r="CJ14" s="309" t="e">
        <f aca="false">IF($A14="N/A"," ",AQ14*$AZ14)</f>
        <v>#N/A</v>
      </c>
      <c r="CK14" s="310" t="e">
        <f aca="false">IF($A14="N/A"," ",AR14*$BA14)</f>
        <v>#N/A</v>
      </c>
      <c r="CL14" s="311" t="n">
        <f aca="false">IF(A14="N/A"," ",(VLOOKUP(A14,PowerVolTable,(IF(VolBMO=2,7,IF(VolBMO=1,6,8))),FALSE())))</f>
        <v>0.35</v>
      </c>
      <c r="CM14" s="312" t="n">
        <f aca="false">IF(A14="N/A"," ",(VLOOKUP(A14,IntraPowerVol,(IF(VolBMO=2,3,IF(VolBMO=1,2,4))),FALSE())*VLOOKUP(MONTH($A14),Volscale,2)))</f>
        <v>0.75</v>
      </c>
      <c r="CN14" s="312" t="n">
        <f aca="false">IF($A14="N/A"," ",IF(VolType=1,CM14,CL14))</f>
        <v>0.75</v>
      </c>
      <c r="CO14" s="312" t="n">
        <f aca="false">IF($A14="N/A"," ",(VLOOKUP($A14,OffPeakVol,(IF(VolBMO=2,7,IF(VolBMO=1,6,8))),FALSE())))</f>
        <v>0.175</v>
      </c>
      <c r="CP14" s="312" t="n">
        <f aca="false">IF($A14="N/A"," ",(VLOOKUP($A14,OffPeakVol,(IF(VolBMO=2,3,IF(VolBMO=1,2,4))),FALSE())*VLOOKUP(MONTH($A14),Volscale,2)))</f>
        <v>0.45</v>
      </c>
      <c r="CQ14" s="312" t="n">
        <f aca="false">IF($A14="N/A"," ",IF(VolType=1,CP14,CO14))</f>
        <v>0.45</v>
      </c>
      <c r="CR14" s="312" t="e">
        <f aca="false">IF($A14="N/A"," ",(VLOOKUP($A14,GasVolTable,(IF(VolBMO=2,6,IF(VolBMO=1,7,5))),FALSE())))</f>
        <v>#N/A</v>
      </c>
      <c r="CS14" s="312" t="e">
        <f aca="false">IF($A14="N/A"," ",(VLOOKUP($A14,OmicronVol,(IF(VolBMO=2,3,IF(VolBMO=1,4,2))),FALSE())))</f>
        <v>#N/A</v>
      </c>
      <c r="CT14" s="312" t="e">
        <f aca="false">IF($A14="N/A"," ",(IF(DateToday&gt;$A14,$CS14,IF(VolType=1,((($CR14^2)*((($A14-1)-DateToday)/((EOMONTH($A14,0)+1)-DateToday-15)))+((($CS14)^2)*((15)/((EOMONTH($A14,0)+1)-DateToday-15))))^0.5,CR14))))</f>
        <v>#N/A</v>
      </c>
      <c r="CU14" s="312" t="n">
        <f aca="false">IF($A14="N/A"," ",IF('Pricing Inputs'!$AR$23=TRUE(),Inputs!$S$22,VLOOKUP($A14,CorrelationTable,2,FALSE())))</f>
        <v>0.75</v>
      </c>
      <c r="CV14" s="313" t="n">
        <f aca="false">IF($A14="N/A"," ",F14+G14+(D14*('Pricing Inputs'!X49)))</f>
        <v>0</v>
      </c>
      <c r="CW14" s="314" t="n">
        <f aca="false">IF($A14="N/A"," ",IF(PV=1,0,'Pricing Inputs'!Y49))</f>
        <v>2</v>
      </c>
      <c r="CX14" s="315" t="n">
        <f aca="false">IF($A14="N/A"," ",(1+CW14/2)^(-2*((EOMONTH(A14,0)+20)-DateToday)/365.25))</f>
        <v>81055194775442.5</v>
      </c>
      <c r="CY14" s="316" t="n">
        <f aca="false">IF($A14="N/A"," ",(IF(MONTH(A14)&gt;=4,IF(MONTH(A14)&lt;=10,Inputs!$S$26,Inputs!$S$27),Inputs!$S$27))*$CX14)</f>
        <v>9969788957379420</v>
      </c>
      <c r="CZ14" s="317" t="e">
        <f aca="false">IF($A14="N/A"," ",BK14+BL14+BN14+BO14+BQ14+BR14)</f>
        <v>#N/A</v>
      </c>
      <c r="DA14" s="318" t="e">
        <f aca="false">IF($A14="N/A"," ",BM14+BP14+BS14)</f>
        <v>#N/A</v>
      </c>
      <c r="DB14" s="319" t="e">
        <f aca="false">IF($A14="N/A"," ",BT14+BU14+BW14+BX14+BZ14+CA14)</f>
        <v>#N/A</v>
      </c>
      <c r="DC14" s="319" t="e">
        <f aca="false">IF($A14="N/A"," ",BV14+BY14+CB14)</f>
        <v>#N/A</v>
      </c>
      <c r="DD14" s="320" t="e">
        <f aca="false">IF($A14="N/A"," ",SUM(CC14:CK14))</f>
        <v>#N/A</v>
      </c>
      <c r="DE14" s="321" t="n">
        <f aca="false">IF($A14="N/A"," ",VLOOKUP($A14,NumberofDaysTable,2)*Availability)</f>
        <v>19.8</v>
      </c>
      <c r="DF14" s="94" t="n">
        <f aca="false">IF($A14="N/A"," ",VLOOKUP($A14,NumberofDaysTable,3)*Availability)</f>
        <v>3.6</v>
      </c>
      <c r="DG14" s="322" t="n">
        <f aca="false">IF($A14="N/A"," ",VLOOKUP($A14,NumberofDaysTable,4)*Availability)</f>
        <v>4.5</v>
      </c>
      <c r="DH14" s="323" t="n">
        <f aca="false">IF($A14="N/A"," ",IF(Option=1,$D14*Inputs!$S$15*SUM(AS14:BA14),0))</f>
        <v>0</v>
      </c>
      <c r="DI14" s="324" t="n">
        <f aca="false">IF($A14="N/A"," ",IF(Option=1,$D14*Inputs!$S$16*SUM(AS14:BA14),0))</f>
        <v>0</v>
      </c>
      <c r="DJ14" s="325" t="n">
        <f aca="false">IF($A14="N/A"," ",SUM(AS14:AT14))</f>
        <v>3.1584291416978E+018</v>
      </c>
      <c r="DK14" s="325" t="n">
        <f aca="false">IF($A14="N/A"," ",SUM(AU14:BA14))</f>
        <v>3.51734154416346E+018</v>
      </c>
      <c r="DL14" s="325" t="e">
        <f aca="false">IF($A14="N/A"," ",SUM(BB14:BC14))</f>
        <v>#N/A</v>
      </c>
      <c r="DM14" s="325" t="e">
        <f aca="false">IF($A14="N/A"," ",SUM(BD14:BJ14))</f>
        <v>#N/A</v>
      </c>
    </row>
    <row r="15" customFormat="false" ht="12.75" hidden="false" customHeight="false" outlineLevel="0" collapsed="false">
      <c r="A15" s="282" t="n">
        <f aca="false">IF(A14="N/A","N/A",IF(EDATE(A14,1)&gt;Inputs!$S$5,"N/A",EDATE(A14,1)))</f>
        <v>37469</v>
      </c>
      <c r="B15" s="283" t="n">
        <f aca="false">IF(A15="N/A"," ",YEAR(A15))</f>
        <v>2002</v>
      </c>
      <c r="C15" s="284" t="e">
        <f aca="false">IF(A15="N/A"," ",VLOOKUP(A15,ScaledPrice,14))</f>
        <v>#N/A</v>
      </c>
      <c r="D15" s="285" t="n">
        <f aca="false">IF(A15="N/A"," ",(VLOOKUP(MONTH($A15),Hrtable,2))/1000)</f>
        <v>9.5</v>
      </c>
      <c r="E15" s="286" t="e">
        <f aca="false">IF($A15="N/A"," ",(C15)*D15)</f>
        <v>#N/A</v>
      </c>
      <c r="F15" s="287" t="n">
        <f aca="false">IF(A15="N/A"," ",VOM*(1+VOMesc)^(YEAR(A15)-YEAR(Today)))</f>
        <v>0</v>
      </c>
      <c r="G15" s="287" t="n">
        <f aca="false">IF(A15="N/A"," ",Perstart/VLOOKUP(Dayrun,'Pricing Inputs'!$AQ$4:$AS$14,3)/(CY15/CX15))</f>
        <v>0</v>
      </c>
      <c r="H15" s="288" t="e">
        <f aca="false">IF(A15="N/A"," ",SUM(E15:G15))</f>
        <v>#N/A</v>
      </c>
      <c r="I15" s="289" t="n">
        <f aca="false">VLOOKUP($A15,ScaledPrice,6)</f>
        <v>64.5</v>
      </c>
      <c r="J15" s="290" t="n">
        <f aca="false">VLOOKUP($A15,ScaledPrice,10)</f>
        <v>64.5</v>
      </c>
      <c r="K15" s="290" t="n">
        <f aca="false">VLOOKUP($A15,ScaledPrice,13)</f>
        <v>23.25</v>
      </c>
      <c r="L15" s="290" t="n">
        <f aca="false">VLOOKUP($A15,ScaledPrice,7)</f>
        <v>35.4200019836426</v>
      </c>
      <c r="M15" s="290" t="n">
        <f aca="false">VLOOKUP($A15,ScaledPrice,11)</f>
        <v>35.4200019836426</v>
      </c>
      <c r="N15" s="290" t="n">
        <f aca="false">VLOOKUP($A15,ScaledPrice,13)</f>
        <v>23.25</v>
      </c>
      <c r="O15" s="290" t="n">
        <f aca="false">VLOOKUP($A15,ScaledPrice,8)</f>
        <v>27.9199981689453</v>
      </c>
      <c r="P15" s="290" t="n">
        <f aca="false">VLOOKUP($A15,ScaledPrice,12)</f>
        <v>27.9199981689453</v>
      </c>
      <c r="Q15" s="291" t="n">
        <f aca="false">VLOOKUP($A15,ScaledPrice,13)</f>
        <v>23.25</v>
      </c>
      <c r="R15" s="292" t="e">
        <f aca="false">IF($A15="N/A"," ",IF(Dayrun&gt;=3,IF(Option=1,MAX($I15-$H15,0),IF(Option=2,MAX($H15-$I15,0),0)),0))</f>
        <v>#N/A</v>
      </c>
      <c r="S15" s="286" t="e">
        <f aca="false">IF($A15="N/A"," ",IF(Dayrun&gt;=6,IF(Option=1,MAX($J15-H15,0),IF(Option=2,MAX(H15-$J15,0),0)),0))</f>
        <v>#N/A</v>
      </c>
      <c r="T15" s="286" t="e">
        <f aca="false">IF($A15="N/A"," ",IF(OR(Dayrun&lt;=2,Dayrun&gt;=9),IF(Option=1,MAX($K15-$H15,0),IF(Option=2,MAX($H15-$K15,0),0)),0))</f>
        <v>#N/A</v>
      </c>
      <c r="U15" s="286" t="e">
        <f aca="false">IF($A15="N/A"," ",IF(OR(Dayrun=1,Dayrun=4,Dayrun=5,Dayrun=7,Dayrun=8,Dayrun=10,Dayrun=11),IF(Option=1,MAX($L15-H15,0),IF(Option=2,MAX(H15-$L15,0),0)),0))</f>
        <v>#N/A</v>
      </c>
      <c r="V15" s="286" t="e">
        <f aca="false">IF($A15="N/A"," ",IF(OR(Dayrun=1,Dayrun=7,Dayrun=8,Dayrun=10,Dayrun=11),IF(Option=1,MAX($M15-H15,0),IF(Option=2,MAX(H15-$M15,0),0)),0))</f>
        <v>#N/A</v>
      </c>
      <c r="W15" s="286" t="e">
        <f aca="false">IF($A15="N/A"," ",IF(OR(Dayrun&lt;=2,Dayrun&gt;=10),IF(Option=1,MAX($N15-$H15,0),IF(Option=2,MAX($H15-$N15,0),0)),0))</f>
        <v>#N/A</v>
      </c>
      <c r="X15" s="286" t="e">
        <f aca="false">IF($A15="N/A"," ",IF(OR(Dayrun=1,Dayrun=5,Dayrun=8,Dayrun=11),IF(Option=1,MAX($O15-H15,0),IF(Option=2,MAX(H15-$O15,0),0)),0))</f>
        <v>#N/A</v>
      </c>
      <c r="Y15" s="286" t="e">
        <f aca="false">IF($A15="N/A"," ",IF(OR(Dayrun=1,Dayrun=8,Dayrun=11),IF(Option=1,MAX($P15-H15,0),IF(Option=2,MAX(H15-$P15,0),0)),0))</f>
        <v>#N/A</v>
      </c>
      <c r="Z15" s="293" t="e">
        <f aca="false">IF($A15="N/A"," ",IF(OR(Dayrun&lt;=2,Dayrun&gt;=11),IF(Option=1,MAX($Q15-$H15,0),IF(Option=2,MAX($H15-$Q15,0),0)),0))</f>
        <v>#N/A</v>
      </c>
      <c r="AA15" s="289" t="e">
        <f aca="false">IF($A15="N/A"," ",IF(Dayrun&gt;=3,(MAX(0,(xSPRDOPT(I15,($E15-'Pricing Inputs'!$X50*$D15),$CV15,0,($CN15+IF(Smile=TRUE(),VLOOKUP(MAX(-5,$H15-I15),Volsmile,2),0)),$CT15,$CU15,($A15-DateToday)+15,ABS(Option-2),0)-R15))),0))</f>
        <v>#N/A</v>
      </c>
      <c r="AB15" s="290" t="e">
        <f aca="false">IF($A15="N/A"," ",IF(Dayrun&gt;=6,MAX(0,(xSPRDOPT(J15,($E15-'Pricing Inputs'!$X50*$D15),$CV15,0,($CN15+IF(Smile=TRUE(),VLOOKUP(MAX(-5,$H15-J15),Volsmile,2),0)),$CT15,$CU15,($A15-DateToday)+15,ABS(Option-2),0)-S15)),0))</f>
        <v>#N/A</v>
      </c>
      <c r="AC15" s="290" t="e">
        <f aca="false">IF($A15="N/A"," ",IF(OR(Dayrun&lt;=2,Dayrun&gt;=9),IF(OffPeakEx=TRUE(),MAX(0,(xSPRDOPT(K15,($E15-'Pricing Inputs'!$X50*$D15),$CV15,0,($CQ15+IF(Smile=TRUE(),VLOOKUP(MAX(-5,$H15-K15),Volsmile,2),0)),$CT15,$CU15,($A15-DateToday)+15,ABS(Option-2),0)-T15)),0),0))</f>
        <v>#N/A</v>
      </c>
      <c r="AD15" s="290" t="e">
        <f aca="false">IF($A15="N/A"," ",IF(OR(Dayrun=1,Dayrun=4,Dayrun=5,Dayrun=7,Dayrun=8,Dayrun=10,Dayrun=11),MAX(0,(xSPRDOPT(L15,($E15-'Pricing Inputs'!$X50*$D15),$CV15,0,($CQ15+IF(Smile=TRUE(),VLOOKUP(MAX(-5,$H15-L15),Volsmile,2),0)),$CT15,$CU15,($A15-DateToday)+15,ABS(Option-2),0)-U15)),0))</f>
        <v>#N/A</v>
      </c>
      <c r="AE15" s="290" t="e">
        <f aca="false">IF($A15="N/A"," ",IF(OR(Dayrun=1,Dayrun=7,Dayrun=8,Dayrun=10,Dayrun=11),MAX(0,(xSPRDOPT(M15,($E15-'Pricing Inputs'!$X50*$D15),$CV15,0,($CQ15+IF(Smile=TRUE(),VLOOKUP(MAX(-5,$H15-M15),Volsmile,2),0)),$CT15,$CU15,($A15-DateToday)+15,ABS(Option-2),0)-V15)),0))</f>
        <v>#N/A</v>
      </c>
      <c r="AF15" s="290" t="e">
        <f aca="false">IF($A15="N/A"," ",IF(OR(Dayrun&lt;=2,Dayrun&gt;=10),IF(OffPeakEx=TRUE(),MAX(0,(xSPRDOPT(N15,($E15-'Pricing Inputs'!$X50*$D15),$CV15,0,($CQ15+IF(Smile=TRUE(),VLOOKUP(MAX(-5,$H15-N15),Volsmile,2),0)),$CT15,$CU15,($A15-DateToday)+15,ABS(Option-2),0)-W15)),0),0))</f>
        <v>#N/A</v>
      </c>
      <c r="AG15" s="290" t="e">
        <f aca="false">IF($A15="N/A"," ",IF(OR(Dayrun=1,Dayrun=5,Dayrun=8,Dayrun=11),MAX(0,(xSPRDOPT(O15,($E15-'Pricing Inputs'!$X50*$D15),$CV15,0,($CQ15+IF(Smile=TRUE(),VLOOKUP(MAX(-5,$H15-O15),Volsmile,2),0)),$CT15,$CU15,($A15-DateToday)+15,ABS(Option-2),0)-X15)),0))</f>
        <v>#N/A</v>
      </c>
      <c r="AH15" s="290" t="e">
        <f aca="false">IF($A15="N/A"," ",IF(OR(Dayrun=1,Dayrun=8,Dayrun=11),MAX(0,(xSPRDOPT(P15,($E15-'Pricing Inputs'!$X50*$D15),$CV15,0,($CQ15+IF(Smile=TRUE(),VLOOKUP(MAX(-5,$H15-P15),Volsmile,2),0)),$CT15,$CU15,($A15-DateToday)+15,ABS(Option-2),0)-Y15)),0))</f>
        <v>#N/A</v>
      </c>
      <c r="AI15" s="290" t="e">
        <f aca="false">IF($A15="N/A"," ",IF(OR(Dayrun&lt;=2,Dayrun&gt;=11),IF(OffPeakEx=TRUE(),MAX(0,(xSPRDOPT(Q15,($E15-'Pricing Inputs'!$X50*$D15),$CV15,0,($CQ15+IF(Smile=TRUE(),VLOOKUP(MAX(-5,$H15-Q15),Volsmile,2),0)),$CT15,$CU15,($A15-DateToday)+15,ABS(Option-2),0)-Z15)),0),0))</f>
        <v>#N/A</v>
      </c>
      <c r="AJ15" s="294" t="e">
        <f aca="false">IF($A15="N/A"," ",IF(Dayrun&gt;=3,IF(Option=1,$I15-$H15,IF(Option=2,$H15-$I15)),0))</f>
        <v>#N/A</v>
      </c>
      <c r="AK15" s="295" t="e">
        <f aca="false">IF($A15="N/A"," ",IF(Dayrun&gt;=6,IF(Option=1,$J15-H15,IF(Option=2,H15-$J15)),0))</f>
        <v>#N/A</v>
      </c>
      <c r="AL15" s="295" t="e">
        <f aca="false">IF($A15="N/A"," ",IF(OR(Dayrun&lt;=2,Dayrun&gt;=9),IF(Option=1,$K15-$H15,IF(Option=2,$H15-$K15)),0))</f>
        <v>#N/A</v>
      </c>
      <c r="AM15" s="295" t="e">
        <f aca="false">IF($A15="N/A"," ",IF(OR(Dayrun=1,Dayrun=4,Dayrun=5,Dayrun=7,Dayrun=8,Dayrun=10,Dayrun=11),IF(Option=1,$L15-H15,IF(Option=2,H15-$L15)),0))</f>
        <v>#N/A</v>
      </c>
      <c r="AN15" s="295" t="e">
        <f aca="false">IF($A15="N/A"," ",IF(OR(Dayrun=1,Dayrun=7,Dayrun=8,Dayrun=10,Dayrun=11),IF(Option=1,$M15-H15,IF(Option=2,H15-$M15)),0))</f>
        <v>#N/A</v>
      </c>
      <c r="AO15" s="295" t="e">
        <f aca="false">IF($A15="N/A"," ",IF(OR(Dayrun&lt;=2,Dayrun&gt;=9),IF(Option=1,$N15-$H15,IF(Option=2,$H15-$N15)),0))</f>
        <v>#N/A</v>
      </c>
      <c r="AP15" s="295" t="e">
        <f aca="false">IF($A15="N/A"," ",IF(OR(Dayrun=1,Dayrun=5,Dayrun=8,Dayrun=11),IF(Option=1,$O15-H15,IF(Option=2,H15-$O15)),0))</f>
        <v>#N/A</v>
      </c>
      <c r="AQ15" s="295" t="e">
        <f aca="false">IF($A15="N/A"," ",IF(OR(Dayrun=1,Dayrun=8,Dayrun=11),IF(Option=1,$P15-H15,IF(Option=2,H15-$P15)),0))</f>
        <v>#N/A</v>
      </c>
      <c r="AR15" s="296" t="e">
        <f aca="false">IF($A15="N/A"," ",IF(OR(Dayrun&lt;=2,Dayrun&gt;=9),IF(Option=1,$Q15-H15,IF(Option=2,H15-$Q15)),0))</f>
        <v>#N/A</v>
      </c>
      <c r="AS15" s="297" t="n">
        <f aca="false">IF($A15="N/A"," ",IF(VLOOKUP(MONTH($A15),ManualTable,2)=1,IF(Dayrun&gt;=3,$DE15*8*$CY15,0),0))</f>
        <v>1.40391973622855E+018</v>
      </c>
      <c r="AT15" s="297" t="n">
        <f aca="false">IF($A15="N/A"," ",IF(VLOOKUP(MONTH($A15),ManualTable,3)=1,IF(Dayrun&gt;=6,$DE15*8*$CY15,0),0))</f>
        <v>1.40391973622855E+018</v>
      </c>
      <c r="AU15" s="297" t="n">
        <f aca="false">IF($A15="N/A"," ",IF(VLOOKUP(MONTH($A15),ManualTable,4)=1,IF(OR(Dayrun&lt;=2,Dayrun&gt;=9),$DE15*8*$CY15,0),0))</f>
        <v>1.40391973622855E+018</v>
      </c>
      <c r="AV15" s="297" t="n">
        <f aca="false">IF($A15="N/A"," ",IF(VLOOKUP(MONTH($A15),ManualTable,5)=1,IF(OR(Dayrun=1,Dayrun=4,Dayrun=5,Dayrun=7,Dayrun=8,Dayrun=10,Dayrun=11),$DF15*8*$CY15,0),0))</f>
        <v>3.1907266732467E+017</v>
      </c>
      <c r="AW15" s="297" t="n">
        <f aca="false">IF($A15="N/A"," ",IF(VLOOKUP(MONTH($A15),ManualTable,6)=1,IF(OR(Dayrun=1,Dayrun=7,Dayrun=8,Dayrun=10,Dayrun=11),$DF15*8*$CY15,0),0))</f>
        <v>3.1907266732467E+017</v>
      </c>
      <c r="AX15" s="297" t="n">
        <f aca="false">IF($A15="N/A"," ",IF(VLOOKUP(MONTH($A15),ManualTable,7)=1,IF(OR(Dayrun&lt;=2,Dayrun&gt;=9),$DF15*8*$CY15,0),0))</f>
        <v>3.1907266732467E+017</v>
      </c>
      <c r="AY15" s="297" t="n">
        <f aca="false">IF($A15="N/A"," ",IF(VLOOKUP(MONTH($A15),ManualTable,8)=1,IF(OR(Dayrun=1,Dayrun=5,Dayrun=8,Dayrun=11),$DG15*8*$CY15,0),0))</f>
        <v>2.55258133859736E+017</v>
      </c>
      <c r="AZ15" s="297" t="n">
        <f aca="false">IF($A15="N/A"," ",IF(VLOOKUP(MONTH($A15),ManualTable,9)=1,IF(OR(Dayrun=1,Dayrun=8,Dayrun=11),$DG15*8*$CY15,0),0))</f>
        <v>2.55258133859736E+017</v>
      </c>
      <c r="BA15" s="298" t="n">
        <f aca="false">IF($A15="N/A"," ",IF(VLOOKUP(MONTH($A15),ManualTable,10)=1,IF(OR(Dayrun&lt;=2,Dayrun&gt;=9),$DG15*8*$CY15,0),0))</f>
        <v>2.55258133859736E+017</v>
      </c>
      <c r="BB15" s="299" t="e">
        <f aca="false">IF($A15="N/A"," ",IF(Dayrun&gt;=3,(MAX(0,(xSPRDOPT(I15,($E15-'Pricing Inputs'!$X50*$D15),$CV15,0,($CN15+IF(Smile=TRUE(),VLOOKUP(MAX(-5,$H15-I15),Volsmile,2),0)),$CT15,$CU15,($A15-DateToday)+15,ABS(Option-2),1)*DE15*8))),0))</f>
        <v>#N/A</v>
      </c>
      <c r="BC15" s="300" t="e">
        <f aca="false">IF($A15="N/A"," ",IF(Dayrun&gt;=6,MAX(0,(xSPRDOPT(J15,($E15-'Pricing Inputs'!$X50*$D15),$CV15,0,($CN15+IF(Smile=TRUE(),VLOOKUP(MAX(-5,$H15-J15),Volsmile,2),0)),$CT15,$CU15,($A15-DateToday)+15,ABS(Option-2),1)*DE15*8)),0))</f>
        <v>#N/A</v>
      </c>
      <c r="BD15" s="300" t="e">
        <f aca="false">IF($A15="N/A"," ",IF(OR(Dayrun&lt;=2,Dayrun&gt;=9),IF(OffPeakEx=TRUE(),MAX(0,(xSPRDOPT(K15,($E15-'Pricing Inputs'!$X50*$D15),$CV15,0,($CQ15+IF(Smile=TRUE(),VLOOKUP(MAX(-5,$H15-K15),Volsmile,2),0)),$CT15,$CU15,($A15-DateToday)+15,ABS(Option-2),1)*DE15*8)),0),0))</f>
        <v>#N/A</v>
      </c>
      <c r="BE15" s="300" t="e">
        <f aca="false">IF($A15="N/A"," ",IF(OR(Dayrun=1,Dayrun=4,Dayrun=5,Dayrun=7,Dayrun=8,Dayrun=10,Dayrun=11),MAX(0,(xSPRDOPT(L15,($E15-'Pricing Inputs'!$X50*$D15),$CV15,0,($CQ15+IF(Smile=TRUE(),VLOOKUP(MAX(-5,$H15-L15),Volsmile,2),0)),$CT15,$CU15,($A15-DateToday)+15,ABS(Option-2),1)*DF15*8)),0))</f>
        <v>#N/A</v>
      </c>
      <c r="BF15" s="300" t="e">
        <f aca="false">IF($A15="N/A"," ",IF(OR(Dayrun=1,Dayrun=7,Dayrun=8,Dayrun=10,Dayrun=11),MAX(0,(xSPRDOPT(M15,($E15-'Pricing Inputs'!$X50*$D15),$CV15,0,($CQ15+IF(Smile=TRUE(),VLOOKUP(MAX(-5,$H15-M15),Volsmile,2),0)),$CT15,$CU15,($A15-DateToday)+15,ABS(Option-2),1)*DF15*8)),0))</f>
        <v>#N/A</v>
      </c>
      <c r="BG15" s="300" t="e">
        <f aca="false">IF($A15="N/A"," ",IF(OR(Dayrun&lt;=2,Dayrun&gt;=10),IF(OffPeakEx=TRUE(),MAX(0,(xSPRDOPT(N15,($E15-'Pricing Inputs'!$X50*$D15),$CV15,0,($CQ15+IF(Smile=TRUE(),VLOOKUP(MAX(-5,$H15-N15),Volsmile,2),0)),$CT15,$CU15,($A15-DateToday)+15,ABS(Option-2),1)*DF15*8)),0),0))</f>
        <v>#N/A</v>
      </c>
      <c r="BH15" s="300" t="e">
        <f aca="false">IF($A15="N/A"," ",IF(OR(Dayrun=1,Dayrun=5,Dayrun=8,Dayrun=11),MAX(0,(xSPRDOPT(O15,($E15-'Pricing Inputs'!$X50*$D15),$CV15,0,($CQ15+IF(Smile=TRUE(),VLOOKUP(MAX(-5,$H15-O15),Volsmile,2),0)),$CT15,$CU15,($A15-DateToday)+15,ABS(Option-2),1)*DG15*8)),0))</f>
        <v>#N/A</v>
      </c>
      <c r="BI15" s="300" t="e">
        <f aca="false">IF($A15="N/A"," ",IF(OR(Dayrun=1,Dayrun=8,Dayrun=11),MAX(0,(xSPRDOPT(P15,($E15-'Pricing Inputs'!$X50*$D15),$CV15,0,($CQ15+IF(Smile=TRUE(),VLOOKUP(MAX(-5,$H15-P15),Volsmile,2),0)),$CT15,$CU15,($A15-DateToday)+15,ABS(Option-2),1)*DG15*8)),0))</f>
        <v>#N/A</v>
      </c>
      <c r="BJ15" s="301" t="e">
        <f aca="false">IF($A15="N/A"," ",IF(OR(Dayrun&lt;=2,Dayrun&gt;=11),IF(OffPeakEx=TRUE(),MAX(0,(xSPRDOPT(Q15,($E15-'Pricing Inputs'!$X50*$D15),$CV15,0,($CQ15+IF(Smile=TRUE(),VLOOKUP(MAX(-5,$H15-Q15),Volsmile,2),0)),$CT15,$CU15,($A15-DateToday)+15,ABS(Option-2),1)*DG15*8)),0),0))</f>
        <v>#N/A</v>
      </c>
      <c r="BK15" s="302" t="e">
        <f aca="false">IF($A15="N/A"," ",R15*$AS15)</f>
        <v>#N/A</v>
      </c>
      <c r="BL15" s="303" t="e">
        <f aca="false">IF($A15="N/A"," ",S15*$AT15)</f>
        <v>#N/A</v>
      </c>
      <c r="BM15" s="303" t="e">
        <f aca="false">IF($A15="N/A"," ",T15*$AU15)</f>
        <v>#N/A</v>
      </c>
      <c r="BN15" s="303" t="e">
        <f aca="false">IF($A15="N/A"," ",U15*$AV15)</f>
        <v>#N/A</v>
      </c>
      <c r="BO15" s="303" t="e">
        <f aca="false">IF($A15="N/A"," ",V15*$AW15)</f>
        <v>#N/A</v>
      </c>
      <c r="BP15" s="303" t="e">
        <f aca="false">IF($A15="N/A"," ",W15*$AX15)</f>
        <v>#N/A</v>
      </c>
      <c r="BQ15" s="303" t="e">
        <f aca="false">IF($A15="N/A"," ",X15*$AY15)</f>
        <v>#N/A</v>
      </c>
      <c r="BR15" s="303" t="e">
        <f aca="false">IF($A15="N/A"," ",Y15*$AZ15)</f>
        <v>#N/A</v>
      </c>
      <c r="BS15" s="304" t="e">
        <f aca="false">IF($A15="N/A"," ",Z15*$BA15)</f>
        <v>#N/A</v>
      </c>
      <c r="BT15" s="305" t="e">
        <f aca="false">IF($A15="N/A"," ",AA15*$AS15)</f>
        <v>#N/A</v>
      </c>
      <c r="BU15" s="306" t="e">
        <f aca="false">IF($A15="N/A"," ",AB15*$AT15)</f>
        <v>#N/A</v>
      </c>
      <c r="BV15" s="306" t="e">
        <f aca="false">IF($A15="N/A"," ",AC15*$AU15)</f>
        <v>#N/A</v>
      </c>
      <c r="BW15" s="306" t="e">
        <f aca="false">IF($A15="N/A"," ",AD15*$AV15)</f>
        <v>#N/A</v>
      </c>
      <c r="BX15" s="306" t="e">
        <f aca="false">IF($A15="N/A"," ",AE15*$AW15)</f>
        <v>#N/A</v>
      </c>
      <c r="BY15" s="306" t="e">
        <f aca="false">IF($A15="N/A"," ",AF15*$AX15)</f>
        <v>#N/A</v>
      </c>
      <c r="BZ15" s="306" t="e">
        <f aca="false">IF($A15="N/A"," ",AG15*$AY15)</f>
        <v>#N/A</v>
      </c>
      <c r="CA15" s="306" t="e">
        <f aca="false">IF($A15="N/A"," ",AH15*$AZ15)</f>
        <v>#N/A</v>
      </c>
      <c r="CB15" s="307" t="e">
        <f aca="false">IF($A15="N/A"," ",AI15*$BA15)</f>
        <v>#N/A</v>
      </c>
      <c r="CC15" s="308" t="e">
        <f aca="false">IF($A15="N/A"," ",AJ15*$AS15)</f>
        <v>#N/A</v>
      </c>
      <c r="CD15" s="309" t="e">
        <f aca="false">IF($A15="N/A"," ",AK15*$AT15)</f>
        <v>#N/A</v>
      </c>
      <c r="CE15" s="309" t="e">
        <f aca="false">IF($A15="N/A"," ",AL15*$AU15)</f>
        <v>#N/A</v>
      </c>
      <c r="CF15" s="309" t="e">
        <f aca="false">IF($A15="N/A"," ",AM15*$AV15)</f>
        <v>#N/A</v>
      </c>
      <c r="CG15" s="309" t="e">
        <f aca="false">IF($A15="N/A"," ",AN15*$AW15)</f>
        <v>#N/A</v>
      </c>
      <c r="CH15" s="309" t="e">
        <f aca="false">IF($A15="N/A"," ",AO15*$AX15)</f>
        <v>#N/A</v>
      </c>
      <c r="CI15" s="309" t="e">
        <f aca="false">IF($A15="N/A"," ",AP15*$AY15)</f>
        <v>#N/A</v>
      </c>
      <c r="CJ15" s="309" t="e">
        <f aca="false">IF($A15="N/A"," ",AQ15*$AZ15)</f>
        <v>#N/A</v>
      </c>
      <c r="CK15" s="310" t="e">
        <f aca="false">IF($A15="N/A"," ",AR15*$BA15)</f>
        <v>#N/A</v>
      </c>
      <c r="CL15" s="311" t="n">
        <f aca="false">IF(A15="N/A"," ",(VLOOKUP(A15,PowerVolTable,(IF(VolBMO=2,7,IF(VolBMO=1,6,8))),FALSE())))</f>
        <v>0.45</v>
      </c>
      <c r="CM15" s="312" t="n">
        <f aca="false">IF(A15="N/A"," ",(VLOOKUP(A15,IntraPowerVol,(IF(VolBMO=2,3,IF(VolBMO=1,2,4))),FALSE())*VLOOKUP(MONTH($A15),Volscale,2)))</f>
        <v>0.9</v>
      </c>
      <c r="CN15" s="312" t="n">
        <f aca="false">IF($A15="N/A"," ",IF(VolType=1,CM15,CL15))</f>
        <v>0.9</v>
      </c>
      <c r="CO15" s="312" t="n">
        <f aca="false">IF($A15="N/A"," ",(VLOOKUP($A15,OffPeakVol,(IF(VolBMO=2,7,IF(VolBMO=1,6,8))),FALSE())))</f>
        <v>0.225</v>
      </c>
      <c r="CP15" s="312" t="n">
        <f aca="false">IF($A15="N/A"," ",(VLOOKUP($A15,OffPeakVol,(IF(VolBMO=2,3,IF(VolBMO=1,2,4))),FALSE())*VLOOKUP(MONTH($A15),Volscale,2)))</f>
        <v>0.54</v>
      </c>
      <c r="CQ15" s="312" t="n">
        <f aca="false">IF($A15="N/A"," ",IF(VolType=1,CP15,CO15))</f>
        <v>0.54</v>
      </c>
      <c r="CR15" s="312" t="e">
        <f aca="false">IF($A15="N/A"," ",(VLOOKUP($A15,GasVolTable,(IF(VolBMO=2,6,IF(VolBMO=1,7,5))),FALSE())))</f>
        <v>#N/A</v>
      </c>
      <c r="CS15" s="312" t="e">
        <f aca="false">IF($A15="N/A"," ",(VLOOKUP($A15,OmicronVol,(IF(VolBMO=2,3,IF(VolBMO=1,4,2))),FALSE())))</f>
        <v>#N/A</v>
      </c>
      <c r="CT15" s="312" t="e">
        <f aca="false">IF($A15="N/A"," ",(IF(DateToday&gt;$A15,$CS15,IF(VolType=1,((($CR15^2)*((($A15-1)-DateToday)/((EOMONTH($A15,0)+1)-DateToday-15)))+((($CS15)^2)*((15)/((EOMONTH($A15,0)+1)-DateToday-15))))^0.5,CR15))))</f>
        <v>#N/A</v>
      </c>
      <c r="CU15" s="312" t="n">
        <f aca="false">IF($A15="N/A"," ",IF('Pricing Inputs'!$AR$23=TRUE(),Inputs!$S$22,VLOOKUP($A15,CorrelationTable,2,FALSE())))</f>
        <v>0.75</v>
      </c>
      <c r="CV15" s="313" t="n">
        <f aca="false">IF($A15="N/A"," ",F15+G15+(D15*('Pricing Inputs'!X50)))</f>
        <v>0</v>
      </c>
      <c r="CW15" s="314" t="n">
        <f aca="false">IF($A15="N/A"," ",IF(PV=1,0,'Pricing Inputs'!Y50))</f>
        <v>2</v>
      </c>
      <c r="CX15" s="315" t="n">
        <f aca="false">IF($A15="N/A"," ",(1+CW15/2)^(-2*((EOMONTH(A15,0)+20)-DateToday)/365.25))</f>
        <v>72057964617134.1</v>
      </c>
      <c r="CY15" s="316" t="n">
        <f aca="false">IF($A15="N/A"," ",(IF(MONTH(A15)&gt;=4,IF(MONTH(A15)&lt;=10,Inputs!$S$26,Inputs!$S$27),Inputs!$S$27))*$CX15)</f>
        <v>8863129647907497</v>
      </c>
      <c r="CZ15" s="317" t="e">
        <f aca="false">IF($A15="N/A"," ",BK15+BL15+BN15+BO15+BQ15+BR15)</f>
        <v>#N/A</v>
      </c>
      <c r="DA15" s="318" t="e">
        <f aca="false">IF($A15="N/A"," ",BM15+BP15+BS15)</f>
        <v>#N/A</v>
      </c>
      <c r="DB15" s="319" t="e">
        <f aca="false">IF($A15="N/A"," ",BT15+BU15+BW15+BX15+BZ15+CA15)</f>
        <v>#N/A</v>
      </c>
      <c r="DC15" s="319" t="e">
        <f aca="false">IF($A15="N/A"," ",BV15+BY15+CB15)</f>
        <v>#N/A</v>
      </c>
      <c r="DD15" s="320" t="e">
        <f aca="false">IF($A15="N/A"," ",SUM(CC15:CK15))</f>
        <v>#N/A</v>
      </c>
      <c r="DE15" s="321" t="n">
        <f aca="false">IF($A15="N/A"," ",VLOOKUP($A15,NumberofDaysTable,2)*Availability)</f>
        <v>19.8</v>
      </c>
      <c r="DF15" s="94" t="n">
        <f aca="false">IF($A15="N/A"," ",VLOOKUP($A15,NumberofDaysTable,3)*Availability)</f>
        <v>4.5</v>
      </c>
      <c r="DG15" s="322" t="n">
        <f aca="false">IF($A15="N/A"," ",VLOOKUP($A15,NumberofDaysTable,4)*Availability)</f>
        <v>3.6</v>
      </c>
      <c r="DH15" s="323" t="n">
        <f aca="false">IF($A15="N/A"," ",IF(Option=1,$D15*Inputs!$S$15*SUM(AS15:BA15),0))</f>
        <v>0</v>
      </c>
      <c r="DI15" s="324" t="n">
        <f aca="false">IF($A15="N/A"," ",IF(Option=1,$D15*Inputs!$S$16*SUM(AS15:BA15),0))</f>
        <v>0</v>
      </c>
      <c r="DJ15" s="325" t="n">
        <f aca="false">IF($A15="N/A"," ",SUM(AS15:AT15))</f>
        <v>2.8078394724571E+018</v>
      </c>
      <c r="DK15" s="325" t="n">
        <f aca="false">IF($A15="N/A"," ",SUM(AU15:BA15))</f>
        <v>3.12691213978177E+018</v>
      </c>
      <c r="DL15" s="325" t="e">
        <f aca="false">IF($A15="N/A"," ",SUM(BB15:BC15))</f>
        <v>#N/A</v>
      </c>
      <c r="DM15" s="325" t="e">
        <f aca="false">IF($A15="N/A"," ",SUM(BD15:BJ15))</f>
        <v>#N/A</v>
      </c>
    </row>
    <row r="16" customFormat="false" ht="12.75" hidden="false" customHeight="false" outlineLevel="0" collapsed="false">
      <c r="A16" s="282" t="n">
        <f aca="false">IF(A15="N/A","N/A",IF(EDATE(A15,1)&gt;Inputs!$S$5,"N/A",EDATE(A15,1)))</f>
        <v>37500</v>
      </c>
      <c r="B16" s="283" t="n">
        <f aca="false">IF(A16="N/A"," ",YEAR(A16))</f>
        <v>2002</v>
      </c>
      <c r="C16" s="284" t="e">
        <f aca="false">IF(A16="N/A"," ",VLOOKUP(A16,ScaledPrice,14))</f>
        <v>#N/A</v>
      </c>
      <c r="D16" s="285" t="n">
        <f aca="false">IF(A16="N/A"," ",(VLOOKUP(MONTH($A16),Hrtable,2))/1000)</f>
        <v>9.5</v>
      </c>
      <c r="E16" s="286" t="e">
        <f aca="false">IF($A16="N/A"," ",(C16)*D16)</f>
        <v>#N/A</v>
      </c>
      <c r="F16" s="287" t="n">
        <f aca="false">IF(A16="N/A"," ",VOM*(1+VOMesc)^(YEAR(A16)-YEAR(Today)))</f>
        <v>0</v>
      </c>
      <c r="G16" s="287" t="n">
        <f aca="false">IF(A16="N/A"," ",Perstart/VLOOKUP(Dayrun,'Pricing Inputs'!$AQ$4:$AS$14,3)/(CY16/CX16))</f>
        <v>0</v>
      </c>
      <c r="H16" s="288" t="e">
        <f aca="false">IF(A16="N/A"," ",SUM(E16:G16))</f>
        <v>#N/A</v>
      </c>
      <c r="I16" s="289" t="n">
        <f aca="false">VLOOKUP($A16,ScaledPrice,6)</f>
        <v>31.3</v>
      </c>
      <c r="J16" s="290" t="n">
        <f aca="false">VLOOKUP($A16,ScaledPrice,10)</f>
        <v>31.3</v>
      </c>
      <c r="K16" s="290" t="n">
        <f aca="false">VLOOKUP($A16,ScaledPrice,13)</f>
        <v>17.25</v>
      </c>
      <c r="L16" s="290" t="n">
        <f aca="false">VLOOKUP($A16,ScaledPrice,7)</f>
        <v>27.4199981689453</v>
      </c>
      <c r="M16" s="290" t="n">
        <f aca="false">VLOOKUP($A16,ScaledPrice,11)</f>
        <v>27.4199981689453</v>
      </c>
      <c r="N16" s="290" t="n">
        <f aca="false">VLOOKUP($A16,ScaledPrice,13)</f>
        <v>17.25</v>
      </c>
      <c r="O16" s="290" t="n">
        <f aca="false">VLOOKUP($A16,ScaledPrice,8)</f>
        <v>21.9199981689453</v>
      </c>
      <c r="P16" s="290" t="n">
        <f aca="false">VLOOKUP($A16,ScaledPrice,12)</f>
        <v>21.9199981689453</v>
      </c>
      <c r="Q16" s="291" t="n">
        <f aca="false">VLOOKUP($A16,ScaledPrice,13)</f>
        <v>17.25</v>
      </c>
      <c r="R16" s="292" t="e">
        <f aca="false">IF($A16="N/A"," ",IF(Dayrun&gt;=3,IF(Option=1,MAX($I16-$H16,0),IF(Option=2,MAX($H16-$I16,0),0)),0))</f>
        <v>#N/A</v>
      </c>
      <c r="S16" s="286" t="e">
        <f aca="false">IF($A16="N/A"," ",IF(Dayrun&gt;=6,IF(Option=1,MAX($J16-H16,0),IF(Option=2,MAX(H16-$J16,0),0)),0))</f>
        <v>#N/A</v>
      </c>
      <c r="T16" s="286" t="e">
        <f aca="false">IF($A16="N/A"," ",IF(OR(Dayrun&lt;=2,Dayrun&gt;=9),IF(Option=1,MAX($K16-$H16,0),IF(Option=2,MAX($H16-$K16,0),0)),0))</f>
        <v>#N/A</v>
      </c>
      <c r="U16" s="286" t="e">
        <f aca="false">IF($A16="N/A"," ",IF(OR(Dayrun=1,Dayrun=4,Dayrun=5,Dayrun=7,Dayrun=8,Dayrun=10,Dayrun=11),IF(Option=1,MAX($L16-H16,0),IF(Option=2,MAX(H16-$L16,0),0)),0))</f>
        <v>#N/A</v>
      </c>
      <c r="V16" s="286" t="e">
        <f aca="false">IF($A16="N/A"," ",IF(OR(Dayrun=1,Dayrun=7,Dayrun=8,Dayrun=10,Dayrun=11),IF(Option=1,MAX($M16-H16,0),IF(Option=2,MAX(H16-$M16,0),0)),0))</f>
        <v>#N/A</v>
      </c>
      <c r="W16" s="286" t="e">
        <f aca="false">IF($A16="N/A"," ",IF(OR(Dayrun&lt;=2,Dayrun&gt;=10),IF(Option=1,MAX($N16-$H16,0),IF(Option=2,MAX($H16-$N16,0),0)),0))</f>
        <v>#N/A</v>
      </c>
      <c r="X16" s="286" t="e">
        <f aca="false">IF($A16="N/A"," ",IF(OR(Dayrun=1,Dayrun=5,Dayrun=8,Dayrun=11),IF(Option=1,MAX($O16-H16,0),IF(Option=2,MAX(H16-$O16,0),0)),0))</f>
        <v>#N/A</v>
      </c>
      <c r="Y16" s="286" t="e">
        <f aca="false">IF($A16="N/A"," ",IF(OR(Dayrun=1,Dayrun=8,Dayrun=11),IF(Option=1,MAX($P16-H16,0),IF(Option=2,MAX(H16-$P16,0),0)),0))</f>
        <v>#N/A</v>
      </c>
      <c r="Z16" s="293" t="e">
        <f aca="false">IF($A16="N/A"," ",IF(OR(Dayrun&lt;=2,Dayrun&gt;=11),IF(Option=1,MAX($Q16-$H16,0),IF(Option=2,MAX($H16-$Q16,0),0)),0))</f>
        <v>#N/A</v>
      </c>
      <c r="AA16" s="289" t="e">
        <f aca="false">IF($A16="N/A"," ",IF(Dayrun&gt;=3,(MAX(0,(xSPRDOPT(I16,($E16-'Pricing Inputs'!$X51*$D16),$CV16,0,($CN16+IF(Smile=TRUE(),VLOOKUP(MAX(-5,$H16-I16),Volsmile,2),0)),$CT16,$CU16,($A16-DateToday)+15,ABS(Option-2),0)-R16))),0))</f>
        <v>#N/A</v>
      </c>
      <c r="AB16" s="290" t="e">
        <f aca="false">IF($A16="N/A"," ",IF(Dayrun&gt;=6,MAX(0,(xSPRDOPT(J16,($E16-'Pricing Inputs'!$X51*$D16),$CV16,0,($CN16+IF(Smile=TRUE(),VLOOKUP(MAX(-5,$H16-J16),Volsmile,2),0)),$CT16,$CU16,($A16-DateToday)+15,ABS(Option-2),0)-S16)),0))</f>
        <v>#N/A</v>
      </c>
      <c r="AC16" s="290" t="e">
        <f aca="false">IF($A16="N/A"," ",IF(OR(Dayrun&lt;=2,Dayrun&gt;=9),IF(OffPeakEx=TRUE(),MAX(0,(xSPRDOPT(K16,($E16-'Pricing Inputs'!$X51*$D16),$CV16,0,($CQ16+IF(Smile=TRUE(),VLOOKUP(MAX(-5,$H16-K16),Volsmile,2),0)),$CT16,$CU16,($A16-DateToday)+15,ABS(Option-2),0)-T16)),0),0))</f>
        <v>#N/A</v>
      </c>
      <c r="AD16" s="290" t="e">
        <f aca="false">IF($A16="N/A"," ",IF(OR(Dayrun=1,Dayrun=4,Dayrun=5,Dayrun=7,Dayrun=8,Dayrun=10,Dayrun=11),MAX(0,(xSPRDOPT(L16,($E16-'Pricing Inputs'!$X51*$D16),$CV16,0,($CQ16+IF(Smile=TRUE(),VLOOKUP(MAX(-5,$H16-L16),Volsmile,2),0)),$CT16,$CU16,($A16-DateToday)+15,ABS(Option-2),0)-U16)),0))</f>
        <v>#N/A</v>
      </c>
      <c r="AE16" s="290" t="e">
        <f aca="false">IF($A16="N/A"," ",IF(OR(Dayrun=1,Dayrun=7,Dayrun=8,Dayrun=10,Dayrun=11),MAX(0,(xSPRDOPT(M16,($E16-'Pricing Inputs'!$X51*$D16),$CV16,0,($CQ16+IF(Smile=TRUE(),VLOOKUP(MAX(-5,$H16-M16),Volsmile,2),0)),$CT16,$CU16,($A16-DateToday)+15,ABS(Option-2),0)-V16)),0))</f>
        <v>#N/A</v>
      </c>
      <c r="AF16" s="290" t="e">
        <f aca="false">IF($A16="N/A"," ",IF(OR(Dayrun&lt;=2,Dayrun&gt;=10),IF(OffPeakEx=TRUE(),MAX(0,(xSPRDOPT(N16,($E16-'Pricing Inputs'!$X51*$D16),$CV16,0,($CQ16+IF(Smile=TRUE(),VLOOKUP(MAX(-5,$H16-N16),Volsmile,2),0)),$CT16,$CU16,($A16-DateToday)+15,ABS(Option-2),0)-W16)),0),0))</f>
        <v>#N/A</v>
      </c>
      <c r="AG16" s="290" t="e">
        <f aca="false">IF($A16="N/A"," ",IF(OR(Dayrun=1,Dayrun=5,Dayrun=8,Dayrun=11),MAX(0,(xSPRDOPT(O16,($E16-'Pricing Inputs'!$X51*$D16),$CV16,0,($CQ16+IF(Smile=TRUE(),VLOOKUP(MAX(-5,$H16-O16),Volsmile,2),0)),$CT16,$CU16,($A16-DateToday)+15,ABS(Option-2),0)-X16)),0))</f>
        <v>#N/A</v>
      </c>
      <c r="AH16" s="290" t="e">
        <f aca="false">IF($A16="N/A"," ",IF(OR(Dayrun=1,Dayrun=8,Dayrun=11),MAX(0,(xSPRDOPT(P16,($E16-'Pricing Inputs'!$X51*$D16),$CV16,0,($CQ16+IF(Smile=TRUE(),VLOOKUP(MAX(-5,$H16-P16),Volsmile,2),0)),$CT16,$CU16,($A16-DateToday)+15,ABS(Option-2),0)-Y16)),0))</f>
        <v>#N/A</v>
      </c>
      <c r="AI16" s="290" t="e">
        <f aca="false">IF($A16="N/A"," ",IF(OR(Dayrun&lt;=2,Dayrun&gt;=11),IF(OffPeakEx=TRUE(),MAX(0,(xSPRDOPT(Q16,($E16-'Pricing Inputs'!$X51*$D16),$CV16,0,($CQ16+IF(Smile=TRUE(),VLOOKUP(MAX(-5,$H16-Q16),Volsmile,2),0)),$CT16,$CU16,($A16-DateToday)+15,ABS(Option-2),0)-Z16)),0),0))</f>
        <v>#N/A</v>
      </c>
      <c r="AJ16" s="294" t="e">
        <f aca="false">IF($A16="N/A"," ",IF(Dayrun&gt;=3,IF(Option=1,$I16-$H16,IF(Option=2,$H16-$I16)),0))</f>
        <v>#N/A</v>
      </c>
      <c r="AK16" s="295" t="e">
        <f aca="false">IF($A16="N/A"," ",IF(Dayrun&gt;=6,IF(Option=1,$J16-H16,IF(Option=2,H16-$J16)),0))</f>
        <v>#N/A</v>
      </c>
      <c r="AL16" s="295" t="e">
        <f aca="false">IF($A16="N/A"," ",IF(OR(Dayrun&lt;=2,Dayrun&gt;=9),IF(Option=1,$K16-$H16,IF(Option=2,$H16-$K16)),0))</f>
        <v>#N/A</v>
      </c>
      <c r="AM16" s="295" t="e">
        <f aca="false">IF($A16="N/A"," ",IF(OR(Dayrun=1,Dayrun=4,Dayrun=5,Dayrun=7,Dayrun=8,Dayrun=10,Dayrun=11),IF(Option=1,$L16-H16,IF(Option=2,H16-$L16)),0))</f>
        <v>#N/A</v>
      </c>
      <c r="AN16" s="295" t="e">
        <f aca="false">IF($A16="N/A"," ",IF(OR(Dayrun=1,Dayrun=7,Dayrun=8,Dayrun=10,Dayrun=11),IF(Option=1,$M16-H16,IF(Option=2,H16-$M16)),0))</f>
        <v>#N/A</v>
      </c>
      <c r="AO16" s="295" t="e">
        <f aca="false">IF($A16="N/A"," ",IF(OR(Dayrun&lt;=2,Dayrun&gt;=9),IF(Option=1,$N16-$H16,IF(Option=2,$H16-$N16)),0))</f>
        <v>#N/A</v>
      </c>
      <c r="AP16" s="295" t="e">
        <f aca="false">IF($A16="N/A"," ",IF(OR(Dayrun=1,Dayrun=5,Dayrun=8,Dayrun=11),IF(Option=1,$O16-H16,IF(Option=2,H16-$O16)),0))</f>
        <v>#N/A</v>
      </c>
      <c r="AQ16" s="295" t="e">
        <f aca="false">IF($A16="N/A"," ",IF(OR(Dayrun=1,Dayrun=8,Dayrun=11),IF(Option=1,$P16-H16,IF(Option=2,H16-$P16)),0))</f>
        <v>#N/A</v>
      </c>
      <c r="AR16" s="296" t="e">
        <f aca="false">IF($A16="N/A"," ",IF(OR(Dayrun&lt;=2,Dayrun&gt;=9),IF(Option=1,$Q16-H16,IF(Option=2,H16-$Q16)),0))</f>
        <v>#N/A</v>
      </c>
      <c r="AS16" s="297" t="n">
        <f aca="false">IF($A16="N/A"," ",IF(VLOOKUP(MONTH($A16),ManualTable,2)=1,IF(Dayrun&gt;=3,$DE16*8*$CY16,0),0))</f>
        <v>1.13893537330836E+018</v>
      </c>
      <c r="AT16" s="297" t="n">
        <f aca="false">IF($A16="N/A"," ",IF(VLOOKUP(MONTH($A16),ManualTable,3)=1,IF(Dayrun&gt;=6,$DE16*8*$CY16,0),0))</f>
        <v>1.13893537330836E+018</v>
      </c>
      <c r="AU16" s="297" t="n">
        <f aca="false">IF($A16="N/A"," ",IF(VLOOKUP(MONTH($A16),ManualTable,4)=1,IF(OR(Dayrun&lt;=2,Dayrun&gt;=9),$DE16*8*$CY16,0),0))</f>
        <v>1.13893537330836E+018</v>
      </c>
      <c r="AV16" s="297" t="n">
        <f aca="false">IF($A16="N/A"," ",IF(VLOOKUP(MONTH($A16),ManualTable,5)=1,IF(OR(Dayrun=1,Dayrun=4,Dayrun=5,Dayrun=7,Dayrun=8,Dayrun=10,Dayrun=11),$DF16*8*$CY16,0),0))</f>
        <v>2.27787074661672E+017</v>
      </c>
      <c r="AW16" s="297" t="n">
        <f aca="false">IF($A16="N/A"," ",IF(VLOOKUP(MONTH($A16),ManualTable,6)=1,IF(OR(Dayrun=1,Dayrun=7,Dayrun=8,Dayrun=10,Dayrun=11),$DF16*8*$CY16,0),0))</f>
        <v>2.27787074661672E+017</v>
      </c>
      <c r="AX16" s="297" t="n">
        <f aca="false">IF($A16="N/A"," ",IF(VLOOKUP(MONTH($A16),ManualTable,7)=1,IF(OR(Dayrun&lt;=2,Dayrun&gt;=9),$DF16*8*$CY16,0),0))</f>
        <v>2.27787074661672E+017</v>
      </c>
      <c r="AY16" s="297" t="n">
        <f aca="false">IF($A16="N/A"," ",IF(VLOOKUP(MONTH($A16),ManualTable,8)=1,IF(OR(Dayrun=1,Dayrun=5,Dayrun=8,Dayrun=11),$DG16*8*$CY16,0),0))</f>
        <v>3.41680611992508E+017</v>
      </c>
      <c r="AZ16" s="297" t="n">
        <f aca="false">IF($A16="N/A"," ",IF(VLOOKUP(MONTH($A16),ManualTable,9)=1,IF(OR(Dayrun=1,Dayrun=8,Dayrun=11),$DG16*8*$CY16,0),0))</f>
        <v>3.41680611992508E+017</v>
      </c>
      <c r="BA16" s="298" t="n">
        <f aca="false">IF($A16="N/A"," ",IF(VLOOKUP(MONTH($A16),ManualTable,10)=1,IF(OR(Dayrun&lt;=2,Dayrun&gt;=9),$DG16*8*$CY16,0),0))</f>
        <v>3.41680611992508E+017</v>
      </c>
      <c r="BB16" s="299" t="e">
        <f aca="false">IF($A16="N/A"," ",IF(Dayrun&gt;=3,(MAX(0,(xSPRDOPT(I16,($E16-'Pricing Inputs'!$X51*$D16),$CV16,0,($CN16+IF(Smile=TRUE(),VLOOKUP(MAX(-5,$H16-I16),Volsmile,2),0)),$CT16,$CU16,($A16-DateToday)+15,ABS(Option-2),1)*DE16*8))),0))</f>
        <v>#N/A</v>
      </c>
      <c r="BC16" s="300" t="e">
        <f aca="false">IF($A16="N/A"," ",IF(Dayrun&gt;=6,MAX(0,(xSPRDOPT(J16,($E16-'Pricing Inputs'!$X51*$D16),$CV16,0,($CN16+IF(Smile=TRUE(),VLOOKUP(MAX(-5,$H16-J16),Volsmile,2),0)),$CT16,$CU16,($A16-DateToday)+15,ABS(Option-2),1)*DE16*8)),0))</f>
        <v>#N/A</v>
      </c>
      <c r="BD16" s="300" t="e">
        <f aca="false">IF($A16="N/A"," ",IF(OR(Dayrun&lt;=2,Dayrun&gt;=9),IF(OffPeakEx=TRUE(),MAX(0,(xSPRDOPT(K16,($E16-'Pricing Inputs'!$X51*$D16),$CV16,0,($CQ16+IF(Smile=TRUE(),VLOOKUP(MAX(-5,$H16-K16),Volsmile,2),0)),$CT16,$CU16,($A16-DateToday)+15,ABS(Option-2),1)*DE16*8)),0),0))</f>
        <v>#N/A</v>
      </c>
      <c r="BE16" s="300" t="e">
        <f aca="false">IF($A16="N/A"," ",IF(OR(Dayrun=1,Dayrun=4,Dayrun=5,Dayrun=7,Dayrun=8,Dayrun=10,Dayrun=11),MAX(0,(xSPRDOPT(L16,($E16-'Pricing Inputs'!$X51*$D16),$CV16,0,($CQ16+IF(Smile=TRUE(),VLOOKUP(MAX(-5,$H16-L16),Volsmile,2),0)),$CT16,$CU16,($A16-DateToday)+15,ABS(Option-2),1)*DF16*8)),0))</f>
        <v>#N/A</v>
      </c>
      <c r="BF16" s="300" t="e">
        <f aca="false">IF($A16="N/A"," ",IF(OR(Dayrun=1,Dayrun=7,Dayrun=8,Dayrun=10,Dayrun=11),MAX(0,(xSPRDOPT(M16,($E16-'Pricing Inputs'!$X51*$D16),$CV16,0,($CQ16+IF(Smile=TRUE(),VLOOKUP(MAX(-5,$H16-M16),Volsmile,2),0)),$CT16,$CU16,($A16-DateToday)+15,ABS(Option-2),1)*DF16*8)),0))</f>
        <v>#N/A</v>
      </c>
      <c r="BG16" s="300" t="e">
        <f aca="false">IF($A16="N/A"," ",IF(OR(Dayrun&lt;=2,Dayrun&gt;=10),IF(OffPeakEx=TRUE(),MAX(0,(xSPRDOPT(N16,($E16-'Pricing Inputs'!$X51*$D16),$CV16,0,($CQ16+IF(Smile=TRUE(),VLOOKUP(MAX(-5,$H16-N16),Volsmile,2),0)),$CT16,$CU16,($A16-DateToday)+15,ABS(Option-2),1)*DF16*8)),0),0))</f>
        <v>#N/A</v>
      </c>
      <c r="BH16" s="300" t="e">
        <f aca="false">IF($A16="N/A"," ",IF(OR(Dayrun=1,Dayrun=5,Dayrun=8,Dayrun=11),MAX(0,(xSPRDOPT(O16,($E16-'Pricing Inputs'!$X51*$D16),$CV16,0,($CQ16+IF(Smile=TRUE(),VLOOKUP(MAX(-5,$H16-O16),Volsmile,2),0)),$CT16,$CU16,($A16-DateToday)+15,ABS(Option-2),1)*DG16*8)),0))</f>
        <v>#N/A</v>
      </c>
      <c r="BI16" s="300" t="e">
        <f aca="false">IF($A16="N/A"," ",IF(OR(Dayrun=1,Dayrun=8,Dayrun=11),MAX(0,(xSPRDOPT(P16,($E16-'Pricing Inputs'!$X51*$D16),$CV16,0,($CQ16+IF(Smile=TRUE(),VLOOKUP(MAX(-5,$H16-P16),Volsmile,2),0)),$CT16,$CU16,($A16-DateToday)+15,ABS(Option-2),1)*DG16*8)),0))</f>
        <v>#N/A</v>
      </c>
      <c r="BJ16" s="301" t="e">
        <f aca="false">IF($A16="N/A"," ",IF(OR(Dayrun&lt;=2,Dayrun&gt;=11),IF(OffPeakEx=TRUE(),MAX(0,(xSPRDOPT(Q16,($E16-'Pricing Inputs'!$X51*$D16),$CV16,0,($CQ16+IF(Smile=TRUE(),VLOOKUP(MAX(-5,$H16-Q16),Volsmile,2),0)),$CT16,$CU16,($A16-DateToday)+15,ABS(Option-2),1)*DG16*8)),0),0))</f>
        <v>#N/A</v>
      </c>
      <c r="BK16" s="302" t="e">
        <f aca="false">IF($A16="N/A"," ",R16*$AS16)</f>
        <v>#N/A</v>
      </c>
      <c r="BL16" s="303" t="e">
        <f aca="false">IF($A16="N/A"," ",S16*$AT16)</f>
        <v>#N/A</v>
      </c>
      <c r="BM16" s="303" t="e">
        <f aca="false">IF($A16="N/A"," ",T16*$AU16)</f>
        <v>#N/A</v>
      </c>
      <c r="BN16" s="303" t="e">
        <f aca="false">IF($A16="N/A"," ",U16*$AV16)</f>
        <v>#N/A</v>
      </c>
      <c r="BO16" s="303" t="e">
        <f aca="false">IF($A16="N/A"," ",V16*$AW16)</f>
        <v>#N/A</v>
      </c>
      <c r="BP16" s="303" t="e">
        <f aca="false">IF($A16="N/A"," ",W16*$AX16)</f>
        <v>#N/A</v>
      </c>
      <c r="BQ16" s="303" t="e">
        <f aca="false">IF($A16="N/A"," ",X16*$AY16)</f>
        <v>#N/A</v>
      </c>
      <c r="BR16" s="303" t="e">
        <f aca="false">IF($A16="N/A"," ",Y16*$AZ16)</f>
        <v>#N/A</v>
      </c>
      <c r="BS16" s="304" t="e">
        <f aca="false">IF($A16="N/A"," ",Z16*$BA16)</f>
        <v>#N/A</v>
      </c>
      <c r="BT16" s="305" t="e">
        <f aca="false">IF($A16="N/A"," ",AA16*$AS16)</f>
        <v>#N/A</v>
      </c>
      <c r="BU16" s="306" t="e">
        <f aca="false">IF($A16="N/A"," ",AB16*$AT16)</f>
        <v>#N/A</v>
      </c>
      <c r="BV16" s="306" t="e">
        <f aca="false">IF($A16="N/A"," ",AC16*$AU16)</f>
        <v>#N/A</v>
      </c>
      <c r="BW16" s="306" t="e">
        <f aca="false">IF($A16="N/A"," ",AD16*$AV16)</f>
        <v>#N/A</v>
      </c>
      <c r="BX16" s="306" t="e">
        <f aca="false">IF($A16="N/A"," ",AE16*$AW16)</f>
        <v>#N/A</v>
      </c>
      <c r="BY16" s="306" t="e">
        <f aca="false">IF($A16="N/A"," ",AF16*$AX16)</f>
        <v>#N/A</v>
      </c>
      <c r="BZ16" s="306" t="e">
        <f aca="false">IF($A16="N/A"," ",AG16*$AY16)</f>
        <v>#N/A</v>
      </c>
      <c r="CA16" s="306" t="e">
        <f aca="false">IF($A16="N/A"," ",AH16*$AZ16)</f>
        <v>#N/A</v>
      </c>
      <c r="CB16" s="307" t="e">
        <f aca="false">IF($A16="N/A"," ",AI16*$BA16)</f>
        <v>#N/A</v>
      </c>
      <c r="CC16" s="308" t="e">
        <f aca="false">IF($A16="N/A"," ",AJ16*$AS16)</f>
        <v>#N/A</v>
      </c>
      <c r="CD16" s="309" t="e">
        <f aca="false">IF($A16="N/A"," ",AK16*$AT16)</f>
        <v>#N/A</v>
      </c>
      <c r="CE16" s="309" t="e">
        <f aca="false">IF($A16="N/A"," ",AL16*$AU16)</f>
        <v>#N/A</v>
      </c>
      <c r="CF16" s="309" t="e">
        <f aca="false">IF($A16="N/A"," ",AM16*$AV16)</f>
        <v>#N/A</v>
      </c>
      <c r="CG16" s="309" t="e">
        <f aca="false">IF($A16="N/A"," ",AN16*$AW16)</f>
        <v>#N/A</v>
      </c>
      <c r="CH16" s="309" t="e">
        <f aca="false">IF($A16="N/A"," ",AO16*$AX16)</f>
        <v>#N/A</v>
      </c>
      <c r="CI16" s="309" t="e">
        <f aca="false">IF($A16="N/A"," ",AP16*$AY16)</f>
        <v>#N/A</v>
      </c>
      <c r="CJ16" s="309" t="e">
        <f aca="false">IF($A16="N/A"," ",AQ16*$AZ16)</f>
        <v>#N/A</v>
      </c>
      <c r="CK16" s="310" t="e">
        <f aca="false">IF($A16="N/A"," ",AR16*$BA16)</f>
        <v>#N/A</v>
      </c>
      <c r="CL16" s="311" t="n">
        <f aca="false">IF(A16="N/A"," ",(VLOOKUP(A16,PowerVolTable,(IF(VolBMO=2,7,IF(VolBMO=1,6,8))),FALSE())))</f>
        <v>0.45</v>
      </c>
      <c r="CM16" s="312" t="n">
        <f aca="false">IF(A16="N/A"," ",(VLOOKUP(A16,IntraPowerVol,(IF(VolBMO=2,3,IF(VolBMO=1,2,4))),FALSE())*VLOOKUP(MONTH($A16),Volscale,2)))</f>
        <v>0.9</v>
      </c>
      <c r="CN16" s="312" t="n">
        <f aca="false">IF($A16="N/A"," ",IF(VolType=1,CM16,CL16))</f>
        <v>0.9</v>
      </c>
      <c r="CO16" s="312" t="n">
        <f aca="false">IF($A16="N/A"," ",(VLOOKUP($A16,OffPeakVol,(IF(VolBMO=2,7,IF(VolBMO=1,6,8))),FALSE())))</f>
        <v>0.225</v>
      </c>
      <c r="CP16" s="312" t="n">
        <f aca="false">IF($A16="N/A"," ",(VLOOKUP($A16,OffPeakVol,(IF(VolBMO=2,3,IF(VolBMO=1,2,4))),FALSE())*VLOOKUP(MONTH($A16),Volscale,2)))</f>
        <v>0.54</v>
      </c>
      <c r="CQ16" s="312" t="n">
        <f aca="false">IF($A16="N/A"," ",IF(VolType=1,CP16,CO16))</f>
        <v>0.54</v>
      </c>
      <c r="CR16" s="312" t="e">
        <f aca="false">IF($A16="N/A"," ",(VLOOKUP($A16,GasVolTable,(IF(VolBMO=2,6,IF(VolBMO=1,7,5))),FALSE())))</f>
        <v>#N/A</v>
      </c>
      <c r="CS16" s="312" t="e">
        <f aca="false">IF($A16="N/A"," ",(VLOOKUP($A16,OmicronVol,(IF(VolBMO=2,3,IF(VolBMO=1,4,2))),FALSE())))</f>
        <v>#N/A</v>
      </c>
      <c r="CT16" s="312" t="e">
        <f aca="false">IF($A16="N/A"," ",(IF(DateToday&gt;$A16,$CS16,IF(VolType=1,((($CR16^2)*((($A16-1)-DateToday)/((EOMONTH($A16,0)+1)-DateToday-15)))+((($CS16)^2)*((15)/((EOMONTH($A16,0)+1)-DateToday-15))))^0.5,CR16))))</f>
        <v>#N/A</v>
      </c>
      <c r="CU16" s="312" t="n">
        <f aca="false">IF($A16="N/A"," ",IF('Pricing Inputs'!$AR$23=TRUE(),Inputs!$S$22,VLOOKUP($A16,CorrelationTable,2,FALSE())))</f>
        <v>0.75</v>
      </c>
      <c r="CV16" s="313" t="n">
        <f aca="false">IF($A16="N/A"," ",F16+G16+(D16*('Pricing Inputs'!X51)))</f>
        <v>0</v>
      </c>
      <c r="CW16" s="314" t="n">
        <f aca="false">IF($A16="N/A"," ",IF(PV=1,0,'Pricing Inputs'!Y51))</f>
        <v>2</v>
      </c>
      <c r="CX16" s="315" t="n">
        <f aca="false">IF($A16="N/A"," ",(1+CW16/2)^(-2*((EOMONTH(A16,0)+20)-DateToday)/365.25))</f>
        <v>64303035981727.7</v>
      </c>
      <c r="CY16" s="316" t="n">
        <f aca="false">IF($A16="N/A"," ",(IF(MONTH(A16)&gt;=4,IF(MONTH(A16)&lt;=10,Inputs!$S$26,Inputs!$S$27),Inputs!$S$27))*$CX16)</f>
        <v>7909273425752507</v>
      </c>
      <c r="CZ16" s="317" t="e">
        <f aca="false">IF($A16="N/A"," ",BK16+BL16+BN16+BO16+BQ16+BR16)</f>
        <v>#N/A</v>
      </c>
      <c r="DA16" s="318" t="e">
        <f aca="false">IF($A16="N/A"," ",BM16+BP16+BS16)</f>
        <v>#N/A</v>
      </c>
      <c r="DB16" s="319" t="e">
        <f aca="false">IF($A16="N/A"," ",BT16+BU16+BW16+BX16+BZ16+CA16)</f>
        <v>#N/A</v>
      </c>
      <c r="DC16" s="319" t="e">
        <f aca="false">IF($A16="N/A"," ",BV16+BY16+CB16)</f>
        <v>#N/A</v>
      </c>
      <c r="DD16" s="320" t="e">
        <f aca="false">IF($A16="N/A"," ",SUM(CC16:CK16))</f>
        <v>#N/A</v>
      </c>
      <c r="DE16" s="321" t="n">
        <f aca="false">IF($A16="N/A"," ",VLOOKUP($A16,NumberofDaysTable,2)*Availability)</f>
        <v>18</v>
      </c>
      <c r="DF16" s="94" t="n">
        <f aca="false">IF($A16="N/A"," ",VLOOKUP($A16,NumberofDaysTable,3)*Availability)</f>
        <v>3.6</v>
      </c>
      <c r="DG16" s="322" t="n">
        <f aca="false">IF($A16="N/A"," ",VLOOKUP($A16,NumberofDaysTable,4)*Availability)</f>
        <v>5.4</v>
      </c>
      <c r="DH16" s="323" t="n">
        <f aca="false">IF($A16="N/A"," ",IF(Option=1,$D16*Inputs!$S$15*SUM(AS16:BA16),0))</f>
        <v>0</v>
      </c>
      <c r="DI16" s="324" t="n">
        <f aca="false">IF($A16="N/A"," ",IF(Option=1,$D16*Inputs!$S$16*SUM(AS16:BA16),0))</f>
        <v>0</v>
      </c>
      <c r="DJ16" s="325" t="n">
        <f aca="false">IF($A16="N/A"," ",SUM(AS16:AT16))</f>
        <v>2.27787074661672E+018</v>
      </c>
      <c r="DK16" s="325" t="n">
        <f aca="false">IF($A16="N/A"," ",SUM(AU16:BA16))</f>
        <v>2.8473384332709E+018</v>
      </c>
      <c r="DL16" s="325" t="e">
        <f aca="false">IF($A16="N/A"," ",SUM(BB16:BC16))</f>
        <v>#N/A</v>
      </c>
      <c r="DM16" s="325" t="e">
        <f aca="false">IF($A16="N/A"," ",SUM(BD16:BJ16))</f>
        <v>#N/A</v>
      </c>
    </row>
    <row r="17" customFormat="false" ht="12.75" hidden="false" customHeight="false" outlineLevel="0" collapsed="false">
      <c r="A17" s="282" t="n">
        <f aca="false">IF(A16="N/A","N/A",IF(EDATE(A16,1)&gt;Inputs!$S$5,"N/A",EDATE(A16,1)))</f>
        <v>37530</v>
      </c>
      <c r="B17" s="283" t="n">
        <f aca="false">IF(A17="N/A"," ",YEAR(A17))</f>
        <v>2002</v>
      </c>
      <c r="C17" s="284" t="e">
        <f aca="false">IF(A17="N/A"," ",VLOOKUP(A17,ScaledPrice,14))</f>
        <v>#N/A</v>
      </c>
      <c r="D17" s="285" t="n">
        <f aca="false">IF(A17="N/A"," ",(VLOOKUP(MONTH($A17),Hrtable,2))/1000)</f>
        <v>9.5</v>
      </c>
      <c r="E17" s="286" t="e">
        <f aca="false">IF($A17="N/A"," ",(C17)*D17)</f>
        <v>#N/A</v>
      </c>
      <c r="F17" s="287" t="n">
        <f aca="false">IF(A17="N/A"," ",VOM*(1+VOMesc)^(YEAR(A17)-YEAR(Today)))</f>
        <v>0</v>
      </c>
      <c r="G17" s="287" t="n">
        <f aca="false">IF(A17="N/A"," ",Perstart/VLOOKUP(Dayrun,'Pricing Inputs'!$AQ$4:$AS$14,3)/(CY17/CX17))</f>
        <v>0</v>
      </c>
      <c r="H17" s="288" t="e">
        <f aca="false">IF(A17="N/A"," ",SUM(E17:G17))</f>
        <v>#N/A</v>
      </c>
      <c r="I17" s="289" t="n">
        <f aca="false">VLOOKUP($A17,ScaledPrice,6)</f>
        <v>30.3562496185303</v>
      </c>
      <c r="J17" s="290" t="n">
        <f aca="false">VLOOKUP($A17,ScaledPrice,10)</f>
        <v>30.3562496185303</v>
      </c>
      <c r="K17" s="290" t="n">
        <f aca="false">VLOOKUP($A17,ScaledPrice,13)</f>
        <v>16.750002861023</v>
      </c>
      <c r="L17" s="290" t="n">
        <f aca="false">VLOOKUP($A17,ScaledPrice,7)</f>
        <v>22.4159984588623</v>
      </c>
      <c r="M17" s="290" t="n">
        <f aca="false">VLOOKUP($A17,ScaledPrice,11)</f>
        <v>22.4159984588623</v>
      </c>
      <c r="N17" s="290" t="n">
        <f aca="false">VLOOKUP($A17,ScaledPrice,13)</f>
        <v>16.750002861023</v>
      </c>
      <c r="O17" s="290" t="n">
        <f aca="false">VLOOKUP($A17,ScaledPrice,8)</f>
        <v>16.9165000915527</v>
      </c>
      <c r="P17" s="290" t="n">
        <f aca="false">VLOOKUP($A17,ScaledPrice,12)</f>
        <v>16.9165000915527</v>
      </c>
      <c r="Q17" s="291" t="n">
        <f aca="false">VLOOKUP($A17,ScaledPrice,13)</f>
        <v>16.750002861023</v>
      </c>
      <c r="R17" s="292" t="e">
        <f aca="false">IF($A17="N/A"," ",IF(Dayrun&gt;=3,IF(Option=1,MAX($I17-$H17,0),IF(Option=2,MAX($H17-$I17,0),0)),0))</f>
        <v>#N/A</v>
      </c>
      <c r="S17" s="286" t="e">
        <f aca="false">IF($A17="N/A"," ",IF(Dayrun&gt;=6,IF(Option=1,MAX($J17-H17,0),IF(Option=2,MAX(H17-$J17,0),0)),0))</f>
        <v>#N/A</v>
      </c>
      <c r="T17" s="286" t="e">
        <f aca="false">IF($A17="N/A"," ",IF(OR(Dayrun&lt;=2,Dayrun&gt;=9),IF(Option=1,MAX($K17-$H17,0),IF(Option=2,MAX($H17-$K17,0),0)),0))</f>
        <v>#N/A</v>
      </c>
      <c r="U17" s="286" t="e">
        <f aca="false">IF($A17="N/A"," ",IF(OR(Dayrun=1,Dayrun=4,Dayrun=5,Dayrun=7,Dayrun=8,Dayrun=10,Dayrun=11),IF(Option=1,MAX($L17-H17,0),IF(Option=2,MAX(H17-$L17,0),0)),0))</f>
        <v>#N/A</v>
      </c>
      <c r="V17" s="286" t="e">
        <f aca="false">IF($A17="N/A"," ",IF(OR(Dayrun=1,Dayrun=7,Dayrun=8,Dayrun=10,Dayrun=11),IF(Option=1,MAX($M17-H17,0),IF(Option=2,MAX(H17-$M17,0),0)),0))</f>
        <v>#N/A</v>
      </c>
      <c r="W17" s="286" t="e">
        <f aca="false">IF($A17="N/A"," ",IF(OR(Dayrun&lt;=2,Dayrun&gt;=10),IF(Option=1,MAX($N17-$H17,0),IF(Option=2,MAX($H17-$N17,0),0)),0))</f>
        <v>#N/A</v>
      </c>
      <c r="X17" s="286" t="e">
        <f aca="false">IF($A17="N/A"," ",IF(OR(Dayrun=1,Dayrun=5,Dayrun=8,Dayrun=11),IF(Option=1,MAX($O17-H17,0),IF(Option=2,MAX(H17-$O17,0),0)),0))</f>
        <v>#N/A</v>
      </c>
      <c r="Y17" s="286" t="e">
        <f aca="false">IF($A17="N/A"," ",IF(OR(Dayrun=1,Dayrun=8,Dayrun=11),IF(Option=1,MAX($P17-H17,0),IF(Option=2,MAX(H17-$P17,0),0)),0))</f>
        <v>#N/A</v>
      </c>
      <c r="Z17" s="293" t="e">
        <f aca="false">IF($A17="N/A"," ",IF(OR(Dayrun&lt;=2,Dayrun&gt;=11),IF(Option=1,MAX($Q17-$H17,0),IF(Option=2,MAX($H17-$Q17,0),0)),0))</f>
        <v>#N/A</v>
      </c>
      <c r="AA17" s="289" t="e">
        <f aca="false">IF($A17="N/A"," ",IF(Dayrun&gt;=3,(MAX(0,(xSPRDOPT(I17,($E17-'Pricing Inputs'!$X52*$D17),$CV17,0,($CN17+IF(Smile=TRUE(),VLOOKUP(MAX(-5,$H17-I17),Volsmile,2),0)),$CT17,$CU17,($A17-DateToday)+15,ABS(Option-2),0)-R17))),0))</f>
        <v>#N/A</v>
      </c>
      <c r="AB17" s="290" t="e">
        <f aca="false">IF($A17="N/A"," ",IF(Dayrun&gt;=6,MAX(0,(xSPRDOPT(J17,($E17-'Pricing Inputs'!$X52*$D17),$CV17,0,($CN17+IF(Smile=TRUE(),VLOOKUP(MAX(-5,$H17-J17),Volsmile,2),0)),$CT17,$CU17,($A17-DateToday)+15,ABS(Option-2),0)-S17)),0))</f>
        <v>#N/A</v>
      </c>
      <c r="AC17" s="290" t="e">
        <f aca="false">IF($A17="N/A"," ",IF(OR(Dayrun&lt;=2,Dayrun&gt;=9),IF(OffPeakEx=TRUE(),MAX(0,(xSPRDOPT(K17,($E17-'Pricing Inputs'!$X52*$D17),$CV17,0,($CQ17+IF(Smile=TRUE(),VLOOKUP(MAX(-5,$H17-K17),Volsmile,2),0)),$CT17,$CU17,($A17-DateToday)+15,ABS(Option-2),0)-T17)),0),0))</f>
        <v>#N/A</v>
      </c>
      <c r="AD17" s="290" t="e">
        <f aca="false">IF($A17="N/A"," ",IF(OR(Dayrun=1,Dayrun=4,Dayrun=5,Dayrun=7,Dayrun=8,Dayrun=10,Dayrun=11),MAX(0,(xSPRDOPT(L17,($E17-'Pricing Inputs'!$X52*$D17),$CV17,0,($CQ17+IF(Smile=TRUE(),VLOOKUP(MAX(-5,$H17-L17),Volsmile,2),0)),$CT17,$CU17,($A17-DateToday)+15,ABS(Option-2),0)-U17)),0))</f>
        <v>#N/A</v>
      </c>
      <c r="AE17" s="290" t="e">
        <f aca="false">IF($A17="N/A"," ",IF(OR(Dayrun=1,Dayrun=7,Dayrun=8,Dayrun=10,Dayrun=11),MAX(0,(xSPRDOPT(M17,($E17-'Pricing Inputs'!$X52*$D17),$CV17,0,($CQ17+IF(Smile=TRUE(),VLOOKUP(MAX(-5,$H17-M17),Volsmile,2),0)),$CT17,$CU17,($A17-DateToday)+15,ABS(Option-2),0)-V17)),0))</f>
        <v>#N/A</v>
      </c>
      <c r="AF17" s="290" t="e">
        <f aca="false">IF($A17="N/A"," ",IF(OR(Dayrun&lt;=2,Dayrun&gt;=10),IF(OffPeakEx=TRUE(),MAX(0,(xSPRDOPT(N17,($E17-'Pricing Inputs'!$X52*$D17),$CV17,0,($CQ17+IF(Smile=TRUE(),VLOOKUP(MAX(-5,$H17-N17),Volsmile,2),0)),$CT17,$CU17,($A17-DateToday)+15,ABS(Option-2),0)-W17)),0),0))</f>
        <v>#N/A</v>
      </c>
      <c r="AG17" s="290" t="e">
        <f aca="false">IF($A17="N/A"," ",IF(OR(Dayrun=1,Dayrun=5,Dayrun=8,Dayrun=11),MAX(0,(xSPRDOPT(O17,($E17-'Pricing Inputs'!$X52*$D17),$CV17,0,($CQ17+IF(Smile=TRUE(),VLOOKUP(MAX(-5,$H17-O17),Volsmile,2),0)),$CT17,$CU17,($A17-DateToday)+15,ABS(Option-2),0)-X17)),0))</f>
        <v>#N/A</v>
      </c>
      <c r="AH17" s="290" t="e">
        <f aca="false">IF($A17="N/A"," ",IF(OR(Dayrun=1,Dayrun=8,Dayrun=11),MAX(0,(xSPRDOPT(P17,($E17-'Pricing Inputs'!$X52*$D17),$CV17,0,($CQ17+IF(Smile=TRUE(),VLOOKUP(MAX(-5,$H17-P17),Volsmile,2),0)),$CT17,$CU17,($A17-DateToday)+15,ABS(Option-2),0)-Y17)),0))</f>
        <v>#N/A</v>
      </c>
      <c r="AI17" s="290" t="e">
        <f aca="false">IF($A17="N/A"," ",IF(OR(Dayrun&lt;=2,Dayrun&gt;=11),IF(OffPeakEx=TRUE(),MAX(0,(xSPRDOPT(Q17,($E17-'Pricing Inputs'!$X52*$D17),$CV17,0,($CQ17+IF(Smile=TRUE(),VLOOKUP(MAX(-5,$H17-Q17),Volsmile,2),0)),$CT17,$CU17,($A17-DateToday)+15,ABS(Option-2),0)-Z17)),0),0))</f>
        <v>#N/A</v>
      </c>
      <c r="AJ17" s="294" t="e">
        <f aca="false">IF($A17="N/A"," ",IF(Dayrun&gt;=3,IF(Option=1,$I17-$H17,IF(Option=2,$H17-$I17)),0))</f>
        <v>#N/A</v>
      </c>
      <c r="AK17" s="295" t="e">
        <f aca="false">IF($A17="N/A"," ",IF(Dayrun&gt;=6,IF(Option=1,$J17-H17,IF(Option=2,H17-$J17)),0))</f>
        <v>#N/A</v>
      </c>
      <c r="AL17" s="295" t="e">
        <f aca="false">IF($A17="N/A"," ",IF(OR(Dayrun&lt;=2,Dayrun&gt;=9),IF(Option=1,$K17-$H17,IF(Option=2,$H17-$K17)),0))</f>
        <v>#N/A</v>
      </c>
      <c r="AM17" s="295" t="e">
        <f aca="false">IF($A17="N/A"," ",IF(OR(Dayrun=1,Dayrun=4,Dayrun=5,Dayrun=7,Dayrun=8,Dayrun=10,Dayrun=11),IF(Option=1,$L17-H17,IF(Option=2,H17-$L17)),0))</f>
        <v>#N/A</v>
      </c>
      <c r="AN17" s="295" t="e">
        <f aca="false">IF($A17="N/A"," ",IF(OR(Dayrun=1,Dayrun=7,Dayrun=8,Dayrun=10,Dayrun=11),IF(Option=1,$M17-H17,IF(Option=2,H17-$M17)),0))</f>
        <v>#N/A</v>
      </c>
      <c r="AO17" s="295" t="e">
        <f aca="false">IF($A17="N/A"," ",IF(OR(Dayrun&lt;=2,Dayrun&gt;=9),IF(Option=1,$N17-$H17,IF(Option=2,$H17-$N17)),0))</f>
        <v>#N/A</v>
      </c>
      <c r="AP17" s="295" t="e">
        <f aca="false">IF($A17="N/A"," ",IF(OR(Dayrun=1,Dayrun=5,Dayrun=8,Dayrun=11),IF(Option=1,$O17-H17,IF(Option=2,H17-$O17)),0))</f>
        <v>#N/A</v>
      </c>
      <c r="AQ17" s="295" t="e">
        <f aca="false">IF($A17="N/A"," ",IF(OR(Dayrun=1,Dayrun=8,Dayrun=11),IF(Option=1,$P17-H17,IF(Option=2,H17-$P17)),0))</f>
        <v>#N/A</v>
      </c>
      <c r="AR17" s="296" t="e">
        <f aca="false">IF($A17="N/A"," ",IF(OR(Dayrun&lt;=2,Dayrun&gt;=9),IF(Option=1,$Q17-H17,IF(Option=2,H17-$Q17)),0))</f>
        <v>#N/A</v>
      </c>
      <c r="AS17" s="297" t="n">
        <f aca="false">IF($A17="N/A"," ",IF(VLOOKUP(MONTH($A17),ManualTable,2)=1,IF(Dayrun&gt;=3,$DE17*8*$CY17,0),0))</f>
        <v>1.16438890582136E+018</v>
      </c>
      <c r="AT17" s="297" t="n">
        <f aca="false">IF($A17="N/A"," ",IF(VLOOKUP(MONTH($A17),ManualTable,3)=1,IF(Dayrun&gt;=6,$DE17*8*$CY17,0),0))</f>
        <v>1.16438890582136E+018</v>
      </c>
      <c r="AU17" s="297" t="n">
        <f aca="false">IF($A17="N/A"," ",IF(VLOOKUP(MONTH($A17),ManualTable,4)=1,IF(OR(Dayrun&lt;=2,Dayrun&gt;=9),$DE17*8*$CY17,0),0))</f>
        <v>1.16438890582136E+018</v>
      </c>
      <c r="AV17" s="297" t="n">
        <f aca="false">IF($A17="N/A"," ",IF(VLOOKUP(MONTH($A17),ManualTable,5)=1,IF(OR(Dayrun=1,Dayrun=4,Dayrun=5,Dayrun=7,Dayrun=8,Dayrun=10,Dayrun=11),$DF17*8*$CY17,0),0))</f>
        <v>2.02502418403715E+017</v>
      </c>
      <c r="AW17" s="297" t="n">
        <f aca="false">IF($A17="N/A"," ",IF(VLOOKUP(MONTH($A17),ManualTable,6)=1,IF(OR(Dayrun=1,Dayrun=7,Dayrun=8,Dayrun=10,Dayrun=11),$DF17*8*$CY17,0),0))</f>
        <v>2.02502418403715E+017</v>
      </c>
      <c r="AX17" s="297" t="n">
        <f aca="false">IF($A17="N/A"," ",IF(VLOOKUP(MONTH($A17),ManualTable,7)=1,IF(OR(Dayrun&lt;=2,Dayrun&gt;=9),$DF17*8*$CY17,0),0))</f>
        <v>2.02502418403715E+017</v>
      </c>
      <c r="AY17" s="297" t="n">
        <f aca="false">IF($A17="N/A"," ",IF(VLOOKUP(MONTH($A17),ManualTable,8)=1,IF(OR(Dayrun=1,Dayrun=5,Dayrun=8,Dayrun=11),$DG17*8*$CY17,0),0))</f>
        <v>2.02502418403715E+017</v>
      </c>
      <c r="AZ17" s="297" t="n">
        <f aca="false">IF($A17="N/A"," ",IF(VLOOKUP(MONTH($A17),ManualTable,9)=1,IF(OR(Dayrun=1,Dayrun=8,Dayrun=11),$DG17*8*$CY17,0),0))</f>
        <v>2.02502418403715E+017</v>
      </c>
      <c r="BA17" s="298" t="n">
        <f aca="false">IF($A17="N/A"," ",IF(VLOOKUP(MONTH($A17),ManualTable,10)=1,IF(OR(Dayrun&lt;=2,Dayrun&gt;=9),$DG17*8*$CY17,0),0))</f>
        <v>2.02502418403715E+017</v>
      </c>
      <c r="BB17" s="299" t="e">
        <f aca="false">IF($A17="N/A"," ",IF(Dayrun&gt;=3,(MAX(0,(xSPRDOPT(I17,($E17-'Pricing Inputs'!$X52*$D17),$CV17,0,($CN17+IF(Smile=TRUE(),VLOOKUP(MAX(-5,$H17-I17),Volsmile,2),0)),$CT17,$CU17,($A17-DateToday)+15,ABS(Option-2),1)*DE17*8))),0))</f>
        <v>#N/A</v>
      </c>
      <c r="BC17" s="300" t="e">
        <f aca="false">IF($A17="N/A"," ",IF(Dayrun&gt;=6,MAX(0,(xSPRDOPT(J17,($E17-'Pricing Inputs'!$X52*$D17),$CV17,0,($CN17+IF(Smile=TRUE(),VLOOKUP(MAX(-5,$H17-J17),Volsmile,2),0)),$CT17,$CU17,($A17-DateToday)+15,ABS(Option-2),1)*DE17*8)),0))</f>
        <v>#N/A</v>
      </c>
      <c r="BD17" s="300" t="e">
        <f aca="false">IF($A17="N/A"," ",IF(OR(Dayrun&lt;=2,Dayrun&gt;=9),IF(OffPeakEx=TRUE(),MAX(0,(xSPRDOPT(K17,($E17-'Pricing Inputs'!$X52*$D17),$CV17,0,($CQ17+IF(Smile=TRUE(),VLOOKUP(MAX(-5,$H17-K17),Volsmile,2),0)),$CT17,$CU17,($A17-DateToday)+15,ABS(Option-2),1)*DE17*8)),0),0))</f>
        <v>#N/A</v>
      </c>
      <c r="BE17" s="300" t="e">
        <f aca="false">IF($A17="N/A"," ",IF(OR(Dayrun=1,Dayrun=4,Dayrun=5,Dayrun=7,Dayrun=8,Dayrun=10,Dayrun=11),MAX(0,(xSPRDOPT(L17,($E17-'Pricing Inputs'!$X52*$D17),$CV17,0,($CQ17+IF(Smile=TRUE(),VLOOKUP(MAX(-5,$H17-L17),Volsmile,2),0)),$CT17,$CU17,($A17-DateToday)+15,ABS(Option-2),1)*DF17*8)),0))</f>
        <v>#N/A</v>
      </c>
      <c r="BF17" s="300" t="e">
        <f aca="false">IF($A17="N/A"," ",IF(OR(Dayrun=1,Dayrun=7,Dayrun=8,Dayrun=10,Dayrun=11),MAX(0,(xSPRDOPT(M17,($E17-'Pricing Inputs'!$X52*$D17),$CV17,0,($CQ17+IF(Smile=TRUE(),VLOOKUP(MAX(-5,$H17-M17),Volsmile,2),0)),$CT17,$CU17,($A17-DateToday)+15,ABS(Option-2),1)*DF17*8)),0))</f>
        <v>#N/A</v>
      </c>
      <c r="BG17" s="300" t="e">
        <f aca="false">IF($A17="N/A"," ",IF(OR(Dayrun&lt;=2,Dayrun&gt;=10),IF(OffPeakEx=TRUE(),MAX(0,(xSPRDOPT(N17,($E17-'Pricing Inputs'!$X52*$D17),$CV17,0,($CQ17+IF(Smile=TRUE(),VLOOKUP(MAX(-5,$H17-N17),Volsmile,2),0)),$CT17,$CU17,($A17-DateToday)+15,ABS(Option-2),1)*DF17*8)),0),0))</f>
        <v>#N/A</v>
      </c>
      <c r="BH17" s="300" t="e">
        <f aca="false">IF($A17="N/A"," ",IF(OR(Dayrun=1,Dayrun=5,Dayrun=8,Dayrun=11),MAX(0,(xSPRDOPT(O17,($E17-'Pricing Inputs'!$X52*$D17),$CV17,0,($CQ17+IF(Smile=TRUE(),VLOOKUP(MAX(-5,$H17-O17),Volsmile,2),0)),$CT17,$CU17,($A17-DateToday)+15,ABS(Option-2),1)*DG17*8)),0))</f>
        <v>#N/A</v>
      </c>
      <c r="BI17" s="300" t="e">
        <f aca="false">IF($A17="N/A"," ",IF(OR(Dayrun=1,Dayrun=8,Dayrun=11),MAX(0,(xSPRDOPT(P17,($E17-'Pricing Inputs'!$X52*$D17),$CV17,0,($CQ17+IF(Smile=TRUE(),VLOOKUP(MAX(-5,$H17-P17),Volsmile,2),0)),$CT17,$CU17,($A17-DateToday)+15,ABS(Option-2),1)*DG17*8)),0))</f>
        <v>#N/A</v>
      </c>
      <c r="BJ17" s="301" t="e">
        <f aca="false">IF($A17="N/A"," ",IF(OR(Dayrun&lt;=2,Dayrun&gt;=11),IF(OffPeakEx=TRUE(),MAX(0,(xSPRDOPT(Q17,($E17-'Pricing Inputs'!$X52*$D17),$CV17,0,($CQ17+IF(Smile=TRUE(),VLOOKUP(MAX(-5,$H17-Q17),Volsmile,2),0)),$CT17,$CU17,($A17-DateToday)+15,ABS(Option-2),1)*DG17*8)),0),0))</f>
        <v>#N/A</v>
      </c>
      <c r="BK17" s="302" t="e">
        <f aca="false">IF($A17="N/A"," ",R17*$AS17)</f>
        <v>#N/A</v>
      </c>
      <c r="BL17" s="303" t="e">
        <f aca="false">IF($A17="N/A"," ",S17*$AT17)</f>
        <v>#N/A</v>
      </c>
      <c r="BM17" s="303" t="e">
        <f aca="false">IF($A17="N/A"," ",T17*$AU17)</f>
        <v>#N/A</v>
      </c>
      <c r="BN17" s="303" t="e">
        <f aca="false">IF($A17="N/A"," ",U17*$AV17)</f>
        <v>#N/A</v>
      </c>
      <c r="BO17" s="303" t="e">
        <f aca="false">IF($A17="N/A"," ",V17*$AW17)</f>
        <v>#N/A</v>
      </c>
      <c r="BP17" s="303" t="e">
        <f aca="false">IF($A17="N/A"," ",W17*$AX17)</f>
        <v>#N/A</v>
      </c>
      <c r="BQ17" s="303" t="e">
        <f aca="false">IF($A17="N/A"," ",X17*$AY17)</f>
        <v>#N/A</v>
      </c>
      <c r="BR17" s="303" t="e">
        <f aca="false">IF($A17="N/A"," ",Y17*$AZ17)</f>
        <v>#N/A</v>
      </c>
      <c r="BS17" s="304" t="e">
        <f aca="false">IF($A17="N/A"," ",Z17*$BA17)</f>
        <v>#N/A</v>
      </c>
      <c r="BT17" s="305" t="e">
        <f aca="false">IF($A17="N/A"," ",AA17*$AS17)</f>
        <v>#N/A</v>
      </c>
      <c r="BU17" s="306" t="e">
        <f aca="false">IF($A17="N/A"," ",AB17*$AT17)</f>
        <v>#N/A</v>
      </c>
      <c r="BV17" s="306" t="e">
        <f aca="false">IF($A17="N/A"," ",AC17*$AU17)</f>
        <v>#N/A</v>
      </c>
      <c r="BW17" s="306" t="e">
        <f aca="false">IF($A17="N/A"," ",AD17*$AV17)</f>
        <v>#N/A</v>
      </c>
      <c r="BX17" s="306" t="e">
        <f aca="false">IF($A17="N/A"," ",AE17*$AW17)</f>
        <v>#N/A</v>
      </c>
      <c r="BY17" s="306" t="e">
        <f aca="false">IF($A17="N/A"," ",AF17*$AX17)</f>
        <v>#N/A</v>
      </c>
      <c r="BZ17" s="306" t="e">
        <f aca="false">IF($A17="N/A"," ",AG17*$AY17)</f>
        <v>#N/A</v>
      </c>
      <c r="CA17" s="306" t="e">
        <f aca="false">IF($A17="N/A"," ",AH17*$AZ17)</f>
        <v>#N/A</v>
      </c>
      <c r="CB17" s="307" t="e">
        <f aca="false">IF($A17="N/A"," ",AI17*$BA17)</f>
        <v>#N/A</v>
      </c>
      <c r="CC17" s="308" t="e">
        <f aca="false">IF($A17="N/A"," ",AJ17*$AS17)</f>
        <v>#N/A</v>
      </c>
      <c r="CD17" s="309" t="e">
        <f aca="false">IF($A17="N/A"," ",AK17*$AT17)</f>
        <v>#N/A</v>
      </c>
      <c r="CE17" s="309" t="e">
        <f aca="false">IF($A17="N/A"," ",AL17*$AU17)</f>
        <v>#N/A</v>
      </c>
      <c r="CF17" s="309" t="e">
        <f aca="false">IF($A17="N/A"," ",AM17*$AV17)</f>
        <v>#N/A</v>
      </c>
      <c r="CG17" s="309" t="e">
        <f aca="false">IF($A17="N/A"," ",AN17*$AW17)</f>
        <v>#N/A</v>
      </c>
      <c r="CH17" s="309" t="e">
        <f aca="false">IF($A17="N/A"," ",AO17*$AX17)</f>
        <v>#N/A</v>
      </c>
      <c r="CI17" s="309" t="e">
        <f aca="false">IF($A17="N/A"," ",AP17*$AY17)</f>
        <v>#N/A</v>
      </c>
      <c r="CJ17" s="309" t="e">
        <f aca="false">IF($A17="N/A"," ",AQ17*$AZ17)</f>
        <v>#N/A</v>
      </c>
      <c r="CK17" s="310" t="e">
        <f aca="false">IF($A17="N/A"," ",AR17*$BA17)</f>
        <v>#N/A</v>
      </c>
      <c r="CL17" s="311" t="n">
        <f aca="false">IF(A17="N/A"," ",(VLOOKUP(A17,PowerVolTable,(IF(VolBMO=2,7,IF(VolBMO=1,6,8))),FALSE())))</f>
        <v>0.3</v>
      </c>
      <c r="CM17" s="312" t="n">
        <f aca="false">IF(A17="N/A"," ",(VLOOKUP(A17,IntraPowerVol,(IF(VolBMO=2,3,IF(VolBMO=1,2,4))),FALSE())*VLOOKUP(MONTH($A17),Volscale,2)))</f>
        <v>0.5</v>
      </c>
      <c r="CN17" s="312" t="n">
        <f aca="false">IF($A17="N/A"," ",IF(VolType=1,CM17,CL17))</f>
        <v>0.5</v>
      </c>
      <c r="CO17" s="312" t="n">
        <f aca="false">IF($A17="N/A"," ",(VLOOKUP($A17,OffPeakVol,(IF(VolBMO=2,7,IF(VolBMO=1,6,8))),FALSE())))</f>
        <v>0.15</v>
      </c>
      <c r="CP17" s="312" t="n">
        <f aca="false">IF($A17="N/A"," ",(VLOOKUP($A17,OffPeakVol,(IF(VolBMO=2,3,IF(VolBMO=1,2,4))),FALSE())*VLOOKUP(MONTH($A17),Volscale,2)))</f>
        <v>0.3</v>
      </c>
      <c r="CQ17" s="312" t="n">
        <f aca="false">IF($A17="N/A"," ",IF(VolType=1,CP17,CO17))</f>
        <v>0.3</v>
      </c>
      <c r="CR17" s="312" t="e">
        <f aca="false">IF($A17="N/A"," ",(VLOOKUP($A17,GasVolTable,(IF(VolBMO=2,6,IF(VolBMO=1,7,5))),FALSE())))</f>
        <v>#N/A</v>
      </c>
      <c r="CS17" s="312" t="e">
        <f aca="false">IF($A17="N/A"," ",(VLOOKUP($A17,OmicronVol,(IF(VolBMO=2,3,IF(VolBMO=1,4,2))),FALSE())))</f>
        <v>#N/A</v>
      </c>
      <c r="CT17" s="312" t="e">
        <f aca="false">IF($A17="N/A"," ",(IF(DateToday&gt;$A17,$CS17,IF(VolType=1,((($CR17^2)*((($A17-1)-DateToday)/((EOMONTH($A17,0)+1)-DateToday-15)))+((($CS17)^2)*((15)/((EOMONTH($A17,0)+1)-DateToday-15))))^0.5,CR17))))</f>
        <v>#N/A</v>
      </c>
      <c r="CU17" s="312" t="n">
        <f aca="false">IF($A17="N/A"," ",IF('Pricing Inputs'!$AR$23=TRUE(),Inputs!$S$22,VLOOKUP($A17,CorrelationTable,2,FALSE())))</f>
        <v>0.75</v>
      </c>
      <c r="CV17" s="313" t="n">
        <f aca="false">IF($A17="N/A"," ",F17+G17+(D17*('Pricing Inputs'!X52)))</f>
        <v>0</v>
      </c>
      <c r="CW17" s="314" t="n">
        <f aca="false">IF($A17="N/A"," ",IF(PV=1,0,'Pricing Inputs'!Y52))</f>
        <v>2</v>
      </c>
      <c r="CX17" s="315" t="n">
        <f aca="false">IF($A17="N/A"," ",(1+CW17/2)^(-2*((EOMONTH(A17,0)+20)-DateToday)/365.25))</f>
        <v>57165316848383.9</v>
      </c>
      <c r="CY17" s="316" t="n">
        <f aca="false">IF($A17="N/A"," ",(IF(MONTH(A17)&gt;=4,IF(MONTH(A17)&lt;=10,Inputs!$S$26,Inputs!$S$27),Inputs!$S$27))*$CX17)</f>
        <v>7031333972351215</v>
      </c>
      <c r="CZ17" s="317" t="e">
        <f aca="false">IF($A17="N/A"," ",BK17+BL17+BN17+BO17+BQ17+BR17)</f>
        <v>#N/A</v>
      </c>
      <c r="DA17" s="318" t="e">
        <f aca="false">IF($A17="N/A"," ",BM17+BP17+BS17)</f>
        <v>#N/A</v>
      </c>
      <c r="DB17" s="319" t="e">
        <f aca="false">IF($A17="N/A"," ",BT17+BU17+BW17+BX17+BZ17+CA17)</f>
        <v>#N/A</v>
      </c>
      <c r="DC17" s="319" t="e">
        <f aca="false">IF($A17="N/A"," ",BV17+BY17+CB17)</f>
        <v>#N/A</v>
      </c>
      <c r="DD17" s="320" t="e">
        <f aca="false">IF($A17="N/A"," ",SUM(CC17:CK17))</f>
        <v>#N/A</v>
      </c>
      <c r="DE17" s="321" t="n">
        <f aca="false">IF($A17="N/A"," ",VLOOKUP($A17,NumberofDaysTable,2)*Availability)</f>
        <v>20.7</v>
      </c>
      <c r="DF17" s="94" t="n">
        <f aca="false">IF($A17="N/A"," ",VLOOKUP($A17,NumberofDaysTable,3)*Availability)</f>
        <v>3.6</v>
      </c>
      <c r="DG17" s="322" t="n">
        <f aca="false">IF($A17="N/A"," ",VLOOKUP($A17,NumberofDaysTable,4)*Availability)</f>
        <v>3.6</v>
      </c>
      <c r="DH17" s="323" t="n">
        <f aca="false">IF($A17="N/A"," ",IF(Option=1,$D17*Inputs!$S$15*SUM(AS17:BA17),0))</f>
        <v>0</v>
      </c>
      <c r="DI17" s="324" t="n">
        <f aca="false">IF($A17="N/A"," ",IF(Option=1,$D17*Inputs!$S$16*SUM(AS17:BA17),0))</f>
        <v>0</v>
      </c>
      <c r="DJ17" s="325" t="n">
        <f aca="false">IF($A17="N/A"," ",SUM(AS17:AT17))</f>
        <v>2.32877781164272E+018</v>
      </c>
      <c r="DK17" s="325" t="n">
        <f aca="false">IF($A17="N/A"," ",SUM(AU17:BA17))</f>
        <v>2.37940341624365E+018</v>
      </c>
      <c r="DL17" s="325" t="e">
        <f aca="false">IF($A17="N/A"," ",SUM(BB17:BC17))</f>
        <v>#N/A</v>
      </c>
      <c r="DM17" s="325" t="e">
        <f aca="false">IF($A17="N/A"," ",SUM(BD17:BJ17))</f>
        <v>#N/A</v>
      </c>
    </row>
    <row r="18" customFormat="false" ht="12.75" hidden="false" customHeight="false" outlineLevel="0" collapsed="false">
      <c r="A18" s="282" t="n">
        <f aca="false">IF(A17="N/A","N/A",IF(EDATE(A17,1)&gt;Inputs!$S$5,"N/A",EDATE(A17,1)))</f>
        <v>37561</v>
      </c>
      <c r="B18" s="283" t="n">
        <f aca="false">IF(A18="N/A"," ",YEAR(A18))</f>
        <v>2002</v>
      </c>
      <c r="C18" s="284" t="e">
        <f aca="false">IF(A18="N/A"," ",VLOOKUP(A18,ScaledPrice,14))</f>
        <v>#N/A</v>
      </c>
      <c r="D18" s="285" t="n">
        <f aca="false">IF(A18="N/A"," ",(VLOOKUP(MONTH($A18),Hrtable,2))/1000)</f>
        <v>9.5</v>
      </c>
      <c r="E18" s="286" t="e">
        <f aca="false">IF($A18="N/A"," ",(C18)*D18)</f>
        <v>#N/A</v>
      </c>
      <c r="F18" s="287" t="n">
        <f aca="false">IF(A18="N/A"," ",VOM*(1+VOMesc)^(YEAR(A18)-YEAR(Today)))</f>
        <v>0</v>
      </c>
      <c r="G18" s="287" t="n">
        <f aca="false">IF(A18="N/A"," ",Perstart/VLOOKUP(Dayrun,'Pricing Inputs'!$AQ$4:$AS$14,3)/(CY18/CX18))</f>
        <v>0</v>
      </c>
      <c r="H18" s="288" t="e">
        <f aca="false">IF(A18="N/A"," ",SUM(E18:G18))</f>
        <v>#N/A</v>
      </c>
      <c r="I18" s="289" t="n">
        <f aca="false">VLOOKUP($A18,ScaledPrice,6)</f>
        <v>30.5562522888184</v>
      </c>
      <c r="J18" s="290" t="n">
        <f aca="false">VLOOKUP($A18,ScaledPrice,10)</f>
        <v>30.5562522888184</v>
      </c>
      <c r="K18" s="290" t="n">
        <f aca="false">VLOOKUP($A18,ScaledPrice,13)</f>
        <v>17.75</v>
      </c>
      <c r="L18" s="290" t="n">
        <f aca="false">VLOOKUP($A18,ScaledPrice,7)</f>
        <v>24.4199981689453</v>
      </c>
      <c r="M18" s="290" t="n">
        <f aca="false">VLOOKUP($A18,ScaledPrice,11)</f>
        <v>24.4199981689453</v>
      </c>
      <c r="N18" s="290" t="n">
        <f aca="false">VLOOKUP($A18,ScaledPrice,13)</f>
        <v>17.75</v>
      </c>
      <c r="O18" s="290" t="n">
        <f aca="false">VLOOKUP($A18,ScaledPrice,8)</f>
        <v>16.9200000762939</v>
      </c>
      <c r="P18" s="290" t="n">
        <f aca="false">VLOOKUP($A18,ScaledPrice,12)</f>
        <v>16.9200000762939</v>
      </c>
      <c r="Q18" s="291" t="n">
        <f aca="false">VLOOKUP($A18,ScaledPrice,13)</f>
        <v>17.75</v>
      </c>
      <c r="R18" s="292" t="e">
        <f aca="false">IF($A18="N/A"," ",IF(Dayrun&gt;=3,IF(Option=1,MAX($I18-$H18,0),IF(Option=2,MAX($H18-$I18,0),0)),0))</f>
        <v>#N/A</v>
      </c>
      <c r="S18" s="286" t="e">
        <f aca="false">IF($A18="N/A"," ",IF(Dayrun&gt;=6,IF(Option=1,MAX($J18-H18,0),IF(Option=2,MAX(H18-$J18,0),0)),0))</f>
        <v>#N/A</v>
      </c>
      <c r="T18" s="286" t="e">
        <f aca="false">IF($A18="N/A"," ",IF(OR(Dayrun&lt;=2,Dayrun&gt;=9),IF(Option=1,MAX($K18-$H18,0),IF(Option=2,MAX($H18-$K18,0),0)),0))</f>
        <v>#N/A</v>
      </c>
      <c r="U18" s="286" t="e">
        <f aca="false">IF($A18="N/A"," ",IF(OR(Dayrun=1,Dayrun=4,Dayrun=5,Dayrun=7,Dayrun=8,Dayrun=10,Dayrun=11),IF(Option=1,MAX($L18-H18,0),IF(Option=2,MAX(H18-$L18,0),0)),0))</f>
        <v>#N/A</v>
      </c>
      <c r="V18" s="286" t="e">
        <f aca="false">IF($A18="N/A"," ",IF(OR(Dayrun=1,Dayrun=7,Dayrun=8,Dayrun=10,Dayrun=11),IF(Option=1,MAX($M18-H18,0),IF(Option=2,MAX(H18-$M18,0),0)),0))</f>
        <v>#N/A</v>
      </c>
      <c r="W18" s="286" t="e">
        <f aca="false">IF($A18="N/A"," ",IF(OR(Dayrun&lt;=2,Dayrun&gt;=10),IF(Option=1,MAX($N18-$H18,0),IF(Option=2,MAX($H18-$N18,0),0)),0))</f>
        <v>#N/A</v>
      </c>
      <c r="X18" s="286" t="e">
        <f aca="false">IF($A18="N/A"," ",IF(OR(Dayrun=1,Dayrun=5,Dayrun=8,Dayrun=11),IF(Option=1,MAX($O18-H18,0),IF(Option=2,MAX(H18-$O18,0),0)),0))</f>
        <v>#N/A</v>
      </c>
      <c r="Y18" s="286" t="e">
        <f aca="false">IF($A18="N/A"," ",IF(OR(Dayrun=1,Dayrun=8,Dayrun=11),IF(Option=1,MAX($P18-H18,0),IF(Option=2,MAX(H18-$P18,0),0)),0))</f>
        <v>#N/A</v>
      </c>
      <c r="Z18" s="293" t="e">
        <f aca="false">IF($A18="N/A"," ",IF(OR(Dayrun&lt;=2,Dayrun&gt;=11),IF(Option=1,MAX($Q18-$H18,0),IF(Option=2,MAX($H18-$Q18,0),0)),0))</f>
        <v>#N/A</v>
      </c>
      <c r="AA18" s="289" t="e">
        <f aca="false">IF($A18="N/A"," ",IF(Dayrun&gt;=3,(MAX(0,(xSPRDOPT(I18,($E18-'Pricing Inputs'!$X53*$D18),$CV18,0,($CN18+IF(Smile=TRUE(),VLOOKUP(MAX(-5,$H18-I18),Volsmile,2),0)),$CT18,$CU18,($A18-DateToday)+15,ABS(Option-2),0)-R18))),0))</f>
        <v>#N/A</v>
      </c>
      <c r="AB18" s="290" t="e">
        <f aca="false">IF($A18="N/A"," ",IF(Dayrun&gt;=6,MAX(0,(xSPRDOPT(J18,($E18-'Pricing Inputs'!$X53*$D18),$CV18,0,($CN18+IF(Smile=TRUE(),VLOOKUP(MAX(-5,$H18-J18),Volsmile,2),0)),$CT18,$CU18,($A18-DateToday)+15,ABS(Option-2),0)-S18)),0))</f>
        <v>#N/A</v>
      </c>
      <c r="AC18" s="290" t="e">
        <f aca="false">IF($A18="N/A"," ",IF(OR(Dayrun&lt;=2,Dayrun&gt;=9),IF(OffPeakEx=TRUE(),MAX(0,(xSPRDOPT(K18,($E18-'Pricing Inputs'!$X53*$D18),$CV18,0,($CQ18+IF(Smile=TRUE(),VLOOKUP(MAX(-5,$H18-K18),Volsmile,2),0)),$CT18,$CU18,($A18-DateToday)+15,ABS(Option-2),0)-T18)),0),0))</f>
        <v>#N/A</v>
      </c>
      <c r="AD18" s="290" t="e">
        <f aca="false">IF($A18="N/A"," ",IF(OR(Dayrun=1,Dayrun=4,Dayrun=5,Dayrun=7,Dayrun=8,Dayrun=10,Dayrun=11),MAX(0,(xSPRDOPT(L18,($E18-'Pricing Inputs'!$X53*$D18),$CV18,0,($CQ18+IF(Smile=TRUE(),VLOOKUP(MAX(-5,$H18-L18),Volsmile,2),0)),$CT18,$CU18,($A18-DateToday)+15,ABS(Option-2),0)-U18)),0))</f>
        <v>#N/A</v>
      </c>
      <c r="AE18" s="290" t="e">
        <f aca="false">IF($A18="N/A"," ",IF(OR(Dayrun=1,Dayrun=7,Dayrun=8,Dayrun=10,Dayrun=11),MAX(0,(xSPRDOPT(M18,($E18-'Pricing Inputs'!$X53*$D18),$CV18,0,($CQ18+IF(Smile=TRUE(),VLOOKUP(MAX(-5,$H18-M18),Volsmile,2),0)),$CT18,$CU18,($A18-DateToday)+15,ABS(Option-2),0)-V18)),0))</f>
        <v>#N/A</v>
      </c>
      <c r="AF18" s="290" t="e">
        <f aca="false">IF($A18="N/A"," ",IF(OR(Dayrun&lt;=2,Dayrun&gt;=10),IF(OffPeakEx=TRUE(),MAX(0,(xSPRDOPT(N18,($E18-'Pricing Inputs'!$X53*$D18),$CV18,0,($CQ18+IF(Smile=TRUE(),VLOOKUP(MAX(-5,$H18-N18),Volsmile,2),0)),$CT18,$CU18,($A18-DateToday)+15,ABS(Option-2),0)-W18)),0),0))</f>
        <v>#N/A</v>
      </c>
      <c r="AG18" s="290" t="e">
        <f aca="false">IF($A18="N/A"," ",IF(OR(Dayrun=1,Dayrun=5,Dayrun=8,Dayrun=11),MAX(0,(xSPRDOPT(O18,($E18-'Pricing Inputs'!$X53*$D18),$CV18,0,($CQ18+IF(Smile=TRUE(),VLOOKUP(MAX(-5,$H18-O18),Volsmile,2),0)),$CT18,$CU18,($A18-DateToday)+15,ABS(Option-2),0)-X18)),0))</f>
        <v>#N/A</v>
      </c>
      <c r="AH18" s="290" t="e">
        <f aca="false">IF($A18="N/A"," ",IF(OR(Dayrun=1,Dayrun=8,Dayrun=11),MAX(0,(xSPRDOPT(P18,($E18-'Pricing Inputs'!$X53*$D18),$CV18,0,($CQ18+IF(Smile=TRUE(),VLOOKUP(MAX(-5,$H18-P18),Volsmile,2),0)),$CT18,$CU18,($A18-DateToday)+15,ABS(Option-2),0)-Y18)),0))</f>
        <v>#N/A</v>
      </c>
      <c r="AI18" s="290" t="e">
        <f aca="false">IF($A18="N/A"," ",IF(OR(Dayrun&lt;=2,Dayrun&gt;=11),IF(OffPeakEx=TRUE(),MAX(0,(xSPRDOPT(Q18,($E18-'Pricing Inputs'!$X53*$D18),$CV18,0,($CQ18+IF(Smile=TRUE(),VLOOKUP(MAX(-5,$H18-Q18),Volsmile,2),0)),$CT18,$CU18,($A18-DateToday)+15,ABS(Option-2),0)-Z18)),0),0))</f>
        <v>#N/A</v>
      </c>
      <c r="AJ18" s="294" t="e">
        <f aca="false">IF($A18="N/A"," ",IF(Dayrun&gt;=3,IF(Option=1,$I18-$H18,IF(Option=2,$H18-$I18)),0))</f>
        <v>#N/A</v>
      </c>
      <c r="AK18" s="295" t="e">
        <f aca="false">IF($A18="N/A"," ",IF(Dayrun&gt;=6,IF(Option=1,$J18-H18,IF(Option=2,H18-$J18)),0))</f>
        <v>#N/A</v>
      </c>
      <c r="AL18" s="295" t="e">
        <f aca="false">IF($A18="N/A"," ",IF(OR(Dayrun&lt;=2,Dayrun&gt;=9),IF(Option=1,$K18-$H18,IF(Option=2,$H18-$K18)),0))</f>
        <v>#N/A</v>
      </c>
      <c r="AM18" s="295" t="e">
        <f aca="false">IF($A18="N/A"," ",IF(OR(Dayrun=1,Dayrun=4,Dayrun=5,Dayrun=7,Dayrun=8,Dayrun=10,Dayrun=11),IF(Option=1,$L18-H18,IF(Option=2,H18-$L18)),0))</f>
        <v>#N/A</v>
      </c>
      <c r="AN18" s="295" t="e">
        <f aca="false">IF($A18="N/A"," ",IF(OR(Dayrun=1,Dayrun=7,Dayrun=8,Dayrun=10,Dayrun=11),IF(Option=1,$M18-H18,IF(Option=2,H18-$M18)),0))</f>
        <v>#N/A</v>
      </c>
      <c r="AO18" s="295" t="e">
        <f aca="false">IF($A18="N/A"," ",IF(OR(Dayrun&lt;=2,Dayrun&gt;=9),IF(Option=1,$N18-$H18,IF(Option=2,$H18-$N18)),0))</f>
        <v>#N/A</v>
      </c>
      <c r="AP18" s="295" t="e">
        <f aca="false">IF($A18="N/A"," ",IF(OR(Dayrun=1,Dayrun=5,Dayrun=8,Dayrun=11),IF(Option=1,$O18-H18,IF(Option=2,H18-$O18)),0))</f>
        <v>#N/A</v>
      </c>
      <c r="AQ18" s="295" t="e">
        <f aca="false">IF($A18="N/A"," ",IF(OR(Dayrun=1,Dayrun=8,Dayrun=11),IF(Option=1,$P18-H18,IF(Option=2,H18-$P18)),0))</f>
        <v>#N/A</v>
      </c>
      <c r="AR18" s="296" t="e">
        <f aca="false">IF($A18="N/A"," ",IF(OR(Dayrun&lt;=2,Dayrun&gt;=9),IF(Option=1,$Q18-H18,IF(Option=2,H18-$Q18)),0))</f>
        <v>#N/A</v>
      </c>
      <c r="AS18" s="297" t="n">
        <f aca="false">IF($A18="N/A"," ",IF(VLOOKUP(MONTH($A18),ManualTable,2)=1,IF(Dayrun&gt;=3,$DE18*8*$CY18,0),0))</f>
        <v>9.03544831316584E+017</v>
      </c>
      <c r="AT18" s="297" t="n">
        <f aca="false">IF($A18="N/A"," ",IF(VLOOKUP(MONTH($A18),ManualTable,3)=1,IF(Dayrun&gt;=6,$DE18*8*$CY18,0),0))</f>
        <v>9.03544831316584E+017</v>
      </c>
      <c r="AU18" s="297" t="n">
        <f aca="false">IF($A18="N/A"," ",IF(VLOOKUP(MONTH($A18),ManualTable,4)=1,IF(OR(Dayrun&lt;=2,Dayrun&gt;=9),$DE18*8*$CY18,0),0))</f>
        <v>9.03544831316584E+017</v>
      </c>
      <c r="AV18" s="297" t="n">
        <f aca="false">IF($A18="N/A"," ",IF(VLOOKUP(MONTH($A18),ManualTable,5)=1,IF(OR(Dayrun=1,Dayrun=4,Dayrun=5,Dayrun=7,Dayrun=8,Dayrun=10,Dayrun=11),$DF18*8*$CY18,0),0))</f>
        <v>2.25886207829146E+017</v>
      </c>
      <c r="AW18" s="297" t="n">
        <f aca="false">IF($A18="N/A"," ",IF(VLOOKUP(MONTH($A18),ManualTable,6)=1,IF(OR(Dayrun=1,Dayrun=7,Dayrun=8,Dayrun=10,Dayrun=11),$DF18*8*$CY18,0),0))</f>
        <v>2.25886207829146E+017</v>
      </c>
      <c r="AX18" s="297" t="n">
        <f aca="false">IF($A18="N/A"," ",IF(VLOOKUP(MONTH($A18),ManualTable,7)=1,IF(OR(Dayrun&lt;=2,Dayrun&gt;=9),$DF18*8*$CY18,0),0))</f>
        <v>2.25886207829146E+017</v>
      </c>
      <c r="AY18" s="297" t="n">
        <f aca="false">IF($A18="N/A"," ",IF(VLOOKUP(MONTH($A18),ManualTable,8)=1,IF(OR(Dayrun=1,Dayrun=5,Dayrun=8,Dayrun=11),$DG18*8*$CY18,0),0))</f>
        <v>2.25886207829146E+017</v>
      </c>
      <c r="AZ18" s="297" t="n">
        <f aca="false">IF($A18="N/A"," ",IF(VLOOKUP(MONTH($A18),ManualTable,9)=1,IF(OR(Dayrun=1,Dayrun=8,Dayrun=11),$DG18*8*$CY18,0),0))</f>
        <v>2.25886207829146E+017</v>
      </c>
      <c r="BA18" s="298" t="n">
        <f aca="false">IF($A18="N/A"," ",IF(VLOOKUP(MONTH($A18),ManualTable,10)=1,IF(OR(Dayrun&lt;=2,Dayrun&gt;=9),$DG18*8*$CY18,0),0))</f>
        <v>2.25886207829146E+017</v>
      </c>
      <c r="BB18" s="299" t="e">
        <f aca="false">IF($A18="N/A"," ",IF(Dayrun&gt;=3,(MAX(0,(xSPRDOPT(I18,($E18-'Pricing Inputs'!$X53*$D18),$CV18,0,($CN18+IF(Smile=TRUE(),VLOOKUP(MAX(-5,$H18-I18),Volsmile,2),0)),$CT18,$CU18,($A18-DateToday)+15,ABS(Option-2),1)*DE18*8))),0))</f>
        <v>#N/A</v>
      </c>
      <c r="BC18" s="300" t="e">
        <f aca="false">IF($A18="N/A"," ",IF(Dayrun&gt;=6,MAX(0,(xSPRDOPT(J18,($E18-'Pricing Inputs'!$X53*$D18),$CV18,0,($CN18+IF(Smile=TRUE(),VLOOKUP(MAX(-5,$H18-J18),Volsmile,2),0)),$CT18,$CU18,($A18-DateToday)+15,ABS(Option-2),1)*DE18*8)),0))</f>
        <v>#N/A</v>
      </c>
      <c r="BD18" s="300" t="e">
        <f aca="false">IF($A18="N/A"," ",IF(OR(Dayrun&lt;=2,Dayrun&gt;=9),IF(OffPeakEx=TRUE(),MAX(0,(xSPRDOPT(K18,($E18-'Pricing Inputs'!$X53*$D18),$CV18,0,($CQ18+IF(Smile=TRUE(),VLOOKUP(MAX(-5,$H18-K18),Volsmile,2),0)),$CT18,$CU18,($A18-DateToday)+15,ABS(Option-2),1)*DE18*8)),0),0))</f>
        <v>#N/A</v>
      </c>
      <c r="BE18" s="300" t="e">
        <f aca="false">IF($A18="N/A"," ",IF(OR(Dayrun=1,Dayrun=4,Dayrun=5,Dayrun=7,Dayrun=8,Dayrun=10,Dayrun=11),MAX(0,(xSPRDOPT(L18,($E18-'Pricing Inputs'!$X53*$D18),$CV18,0,($CQ18+IF(Smile=TRUE(),VLOOKUP(MAX(-5,$H18-L18),Volsmile,2),0)),$CT18,$CU18,($A18-DateToday)+15,ABS(Option-2),1)*DF18*8)),0))</f>
        <v>#N/A</v>
      </c>
      <c r="BF18" s="300" t="e">
        <f aca="false">IF($A18="N/A"," ",IF(OR(Dayrun=1,Dayrun=7,Dayrun=8,Dayrun=10,Dayrun=11),MAX(0,(xSPRDOPT(M18,($E18-'Pricing Inputs'!$X53*$D18),$CV18,0,($CQ18+IF(Smile=TRUE(),VLOOKUP(MAX(-5,$H18-M18),Volsmile,2),0)),$CT18,$CU18,($A18-DateToday)+15,ABS(Option-2),1)*DF18*8)),0))</f>
        <v>#N/A</v>
      </c>
      <c r="BG18" s="300" t="e">
        <f aca="false">IF($A18="N/A"," ",IF(OR(Dayrun&lt;=2,Dayrun&gt;=10),IF(OffPeakEx=TRUE(),MAX(0,(xSPRDOPT(N18,($E18-'Pricing Inputs'!$X53*$D18),$CV18,0,($CQ18+IF(Smile=TRUE(),VLOOKUP(MAX(-5,$H18-N18),Volsmile,2),0)),$CT18,$CU18,($A18-DateToday)+15,ABS(Option-2),1)*DF18*8)),0),0))</f>
        <v>#N/A</v>
      </c>
      <c r="BH18" s="300" t="e">
        <f aca="false">IF($A18="N/A"," ",IF(OR(Dayrun=1,Dayrun=5,Dayrun=8,Dayrun=11),MAX(0,(xSPRDOPT(O18,($E18-'Pricing Inputs'!$X53*$D18),$CV18,0,($CQ18+IF(Smile=TRUE(),VLOOKUP(MAX(-5,$H18-O18),Volsmile,2),0)),$CT18,$CU18,($A18-DateToday)+15,ABS(Option-2),1)*DG18*8)),0))</f>
        <v>#N/A</v>
      </c>
      <c r="BI18" s="300" t="e">
        <f aca="false">IF($A18="N/A"," ",IF(OR(Dayrun=1,Dayrun=8,Dayrun=11),MAX(0,(xSPRDOPT(P18,($E18-'Pricing Inputs'!$X53*$D18),$CV18,0,($CQ18+IF(Smile=TRUE(),VLOOKUP(MAX(-5,$H18-P18),Volsmile,2),0)),$CT18,$CU18,($A18-DateToday)+15,ABS(Option-2),1)*DG18*8)),0))</f>
        <v>#N/A</v>
      </c>
      <c r="BJ18" s="301" t="e">
        <f aca="false">IF($A18="N/A"," ",IF(OR(Dayrun&lt;=2,Dayrun&gt;=11),IF(OffPeakEx=TRUE(),MAX(0,(xSPRDOPT(Q18,($E18-'Pricing Inputs'!$X53*$D18),$CV18,0,($CQ18+IF(Smile=TRUE(),VLOOKUP(MAX(-5,$H18-Q18),Volsmile,2),0)),$CT18,$CU18,($A18-DateToday)+15,ABS(Option-2),1)*DG18*8)),0),0))</f>
        <v>#N/A</v>
      </c>
      <c r="BK18" s="302" t="e">
        <f aca="false">IF($A18="N/A"," ",R18*$AS18)</f>
        <v>#N/A</v>
      </c>
      <c r="BL18" s="303" t="e">
        <f aca="false">IF($A18="N/A"," ",S18*$AT18)</f>
        <v>#N/A</v>
      </c>
      <c r="BM18" s="303" t="e">
        <f aca="false">IF($A18="N/A"," ",T18*$AU18)</f>
        <v>#N/A</v>
      </c>
      <c r="BN18" s="303" t="e">
        <f aca="false">IF($A18="N/A"," ",U18*$AV18)</f>
        <v>#N/A</v>
      </c>
      <c r="BO18" s="303" t="e">
        <f aca="false">IF($A18="N/A"," ",V18*$AW18)</f>
        <v>#N/A</v>
      </c>
      <c r="BP18" s="303" t="e">
        <f aca="false">IF($A18="N/A"," ",W18*$AX18)</f>
        <v>#N/A</v>
      </c>
      <c r="BQ18" s="303" t="e">
        <f aca="false">IF($A18="N/A"," ",X18*$AY18)</f>
        <v>#N/A</v>
      </c>
      <c r="BR18" s="303" t="e">
        <f aca="false">IF($A18="N/A"," ",Y18*$AZ18)</f>
        <v>#N/A</v>
      </c>
      <c r="BS18" s="304" t="e">
        <f aca="false">IF($A18="N/A"," ",Z18*$BA18)</f>
        <v>#N/A</v>
      </c>
      <c r="BT18" s="305" t="e">
        <f aca="false">IF($A18="N/A"," ",AA18*$AS18)</f>
        <v>#N/A</v>
      </c>
      <c r="BU18" s="306" t="e">
        <f aca="false">IF($A18="N/A"," ",AB18*$AT18)</f>
        <v>#N/A</v>
      </c>
      <c r="BV18" s="306" t="e">
        <f aca="false">IF($A18="N/A"," ",AC18*$AU18)</f>
        <v>#N/A</v>
      </c>
      <c r="BW18" s="306" t="e">
        <f aca="false">IF($A18="N/A"," ",AD18*$AV18)</f>
        <v>#N/A</v>
      </c>
      <c r="BX18" s="306" t="e">
        <f aca="false">IF($A18="N/A"," ",AE18*$AW18)</f>
        <v>#N/A</v>
      </c>
      <c r="BY18" s="306" t="e">
        <f aca="false">IF($A18="N/A"," ",AF18*$AX18)</f>
        <v>#N/A</v>
      </c>
      <c r="BZ18" s="306" t="e">
        <f aca="false">IF($A18="N/A"," ",AG18*$AY18)</f>
        <v>#N/A</v>
      </c>
      <c r="CA18" s="306" t="e">
        <f aca="false">IF($A18="N/A"," ",AH18*$AZ18)</f>
        <v>#N/A</v>
      </c>
      <c r="CB18" s="307" t="e">
        <f aca="false">IF($A18="N/A"," ",AI18*$BA18)</f>
        <v>#N/A</v>
      </c>
      <c r="CC18" s="308" t="e">
        <f aca="false">IF($A18="N/A"," ",AJ18*$AS18)</f>
        <v>#N/A</v>
      </c>
      <c r="CD18" s="309" t="e">
        <f aca="false">IF($A18="N/A"," ",AK18*$AT18)</f>
        <v>#N/A</v>
      </c>
      <c r="CE18" s="309" t="e">
        <f aca="false">IF($A18="N/A"," ",AL18*$AU18)</f>
        <v>#N/A</v>
      </c>
      <c r="CF18" s="309" t="e">
        <f aca="false">IF($A18="N/A"," ",AM18*$AV18)</f>
        <v>#N/A</v>
      </c>
      <c r="CG18" s="309" t="e">
        <f aca="false">IF($A18="N/A"," ",AN18*$AW18)</f>
        <v>#N/A</v>
      </c>
      <c r="CH18" s="309" t="e">
        <f aca="false">IF($A18="N/A"," ",AO18*$AX18)</f>
        <v>#N/A</v>
      </c>
      <c r="CI18" s="309" t="e">
        <f aca="false">IF($A18="N/A"," ",AP18*$AY18)</f>
        <v>#N/A</v>
      </c>
      <c r="CJ18" s="309" t="e">
        <f aca="false">IF($A18="N/A"," ",AQ18*$AZ18)</f>
        <v>#N/A</v>
      </c>
      <c r="CK18" s="310" t="e">
        <f aca="false">IF($A18="N/A"," ",AR18*$BA18)</f>
        <v>#N/A</v>
      </c>
      <c r="CL18" s="311" t="n">
        <f aca="false">IF(A18="N/A"," ",(VLOOKUP(A18,PowerVolTable,(IF(VolBMO=2,7,IF(VolBMO=1,6,8))),FALSE())))</f>
        <v>0.3</v>
      </c>
      <c r="CM18" s="312" t="n">
        <f aca="false">IF(A18="N/A"," ",(VLOOKUP(A18,IntraPowerVol,(IF(VolBMO=2,3,IF(VolBMO=1,2,4))),FALSE())*VLOOKUP(MONTH($A18),Volscale,2)))</f>
        <v>0.5</v>
      </c>
      <c r="CN18" s="312" t="n">
        <f aca="false">IF($A18="N/A"," ",IF(VolType=1,CM18,CL18))</f>
        <v>0.5</v>
      </c>
      <c r="CO18" s="312" t="n">
        <f aca="false">IF($A18="N/A"," ",(VLOOKUP($A18,OffPeakVol,(IF(VolBMO=2,7,IF(VolBMO=1,6,8))),FALSE())))</f>
        <v>0.15</v>
      </c>
      <c r="CP18" s="312" t="n">
        <f aca="false">IF($A18="N/A"," ",(VLOOKUP($A18,OffPeakVol,(IF(VolBMO=2,3,IF(VolBMO=1,2,4))),FALSE())*VLOOKUP(MONTH($A18),Volscale,2)))</f>
        <v>0.3</v>
      </c>
      <c r="CQ18" s="312" t="n">
        <f aca="false">IF($A18="N/A"," ",IF(VolType=1,CP18,CO18))</f>
        <v>0.3</v>
      </c>
      <c r="CR18" s="312" t="e">
        <f aca="false">IF($A18="N/A"," ",(VLOOKUP($A18,GasVolTable,(IF(VolBMO=2,6,IF(VolBMO=1,7,5))),FALSE())))</f>
        <v>#N/A</v>
      </c>
      <c r="CS18" s="312" t="e">
        <f aca="false">IF($A18="N/A"," ",(VLOOKUP($A18,OmicronVol,(IF(VolBMO=2,3,IF(VolBMO=1,4,2))),FALSE())))</f>
        <v>#N/A</v>
      </c>
      <c r="CT18" s="312" t="e">
        <f aca="false">IF($A18="N/A"," ",(IF(DateToday&gt;$A18,$CS18,IF(VolType=1,((($CR18^2)*((($A18-1)-DateToday)/((EOMONTH($A18,0)+1)-DateToday-15)))+((($CS18)^2)*((15)/((EOMONTH($A18,0)+1)-DateToday-15))))^0.5,CR18))))</f>
        <v>#N/A</v>
      </c>
      <c r="CU18" s="312" t="n">
        <f aca="false">IF($A18="N/A"," ",IF('Pricing Inputs'!$AR$23=TRUE(),Inputs!$S$22,VLOOKUP($A18,CorrelationTable,2,FALSE())))</f>
        <v>0.75</v>
      </c>
      <c r="CV18" s="313" t="n">
        <f aca="false">IF($A18="N/A"," ",F18+G18+(D18*('Pricing Inputs'!X53)))</f>
        <v>0</v>
      </c>
      <c r="CW18" s="314" t="n">
        <f aca="false">IF($A18="N/A"," ",IF(PV=1,0,'Pricing Inputs'!Y53))</f>
        <v>2</v>
      </c>
      <c r="CX18" s="315" t="n">
        <f aca="false">IF($A18="N/A"," ",(1+CW18/2)^(-2*((EOMONTH(A18,0)+20)-DateToday)/365.25))</f>
        <v>51013145399536.1</v>
      </c>
      <c r="CY18" s="316" t="n">
        <f aca="false">IF($A18="N/A"," ",(IF(MONTH(A18)&gt;=4,IF(MONTH(A18)&lt;=10,Inputs!$S$26,Inputs!$S$27),Inputs!$S$27))*$CX18)</f>
        <v>6274616884142943</v>
      </c>
      <c r="CZ18" s="317" t="e">
        <f aca="false">IF($A18="N/A"," ",BK18+BL18+BN18+BO18+BQ18+BR18)</f>
        <v>#N/A</v>
      </c>
      <c r="DA18" s="318" t="e">
        <f aca="false">IF($A18="N/A"," ",BM18+BP18+BS18)</f>
        <v>#N/A</v>
      </c>
      <c r="DB18" s="319" t="e">
        <f aca="false">IF($A18="N/A"," ",BT18+BU18+BW18+BX18+BZ18+CA18)</f>
        <v>#N/A</v>
      </c>
      <c r="DC18" s="319" t="e">
        <f aca="false">IF($A18="N/A"," ",BV18+BY18+CB18)</f>
        <v>#N/A</v>
      </c>
      <c r="DD18" s="320" t="e">
        <f aca="false">IF($A18="N/A"," ",SUM(CC18:CK18))</f>
        <v>#N/A</v>
      </c>
      <c r="DE18" s="321" t="n">
        <f aca="false">IF($A18="N/A"," ",VLOOKUP($A18,NumberofDaysTable,2)*Availability)</f>
        <v>18</v>
      </c>
      <c r="DF18" s="94" t="n">
        <f aca="false">IF($A18="N/A"," ",VLOOKUP($A18,NumberofDaysTable,3)*Availability)</f>
        <v>4.5</v>
      </c>
      <c r="DG18" s="322" t="n">
        <f aca="false">IF($A18="N/A"," ",VLOOKUP($A18,NumberofDaysTable,4)*Availability)</f>
        <v>4.5</v>
      </c>
      <c r="DH18" s="323" t="n">
        <f aca="false">IF($A18="N/A"," ",IF(Option=1,$D18*Inputs!$S$15*SUM(AS18:BA18),0))</f>
        <v>0</v>
      </c>
      <c r="DI18" s="324" t="n">
        <f aca="false">IF($A18="N/A"," ",IF(Option=1,$D18*Inputs!$S$16*SUM(AS18:BA18),0))</f>
        <v>0</v>
      </c>
      <c r="DJ18" s="325" t="n">
        <f aca="false">IF($A18="N/A"," ",SUM(AS18:AT18))</f>
        <v>1.80708966263317E+018</v>
      </c>
      <c r="DK18" s="325" t="n">
        <f aca="false">IF($A18="N/A"," ",SUM(AU18:BA18))</f>
        <v>2.25886207829146E+018</v>
      </c>
      <c r="DL18" s="325" t="e">
        <f aca="false">IF($A18="N/A"," ",SUM(BB18:BC18))</f>
        <v>#N/A</v>
      </c>
      <c r="DM18" s="325" t="e">
        <f aca="false">IF($A18="N/A"," ",SUM(BD18:BJ18))</f>
        <v>#N/A</v>
      </c>
    </row>
    <row r="19" customFormat="false" ht="12.75" hidden="false" customHeight="false" outlineLevel="0" collapsed="false">
      <c r="A19" s="282" t="n">
        <f aca="false">IF(A18="N/A","N/A",IF(EDATE(A18,1)&gt;Inputs!$S$5,"N/A",EDATE(A18,1)))</f>
        <v>37591</v>
      </c>
      <c r="B19" s="283" t="n">
        <f aca="false">IF(A19="N/A"," ",YEAR(A19))</f>
        <v>2002</v>
      </c>
      <c r="C19" s="284" t="e">
        <f aca="false">IF(A19="N/A"," ",VLOOKUP(A19,ScaledPrice,14))</f>
        <v>#N/A</v>
      </c>
      <c r="D19" s="285" t="n">
        <f aca="false">IF(A19="N/A"," ",(VLOOKUP(MONTH($A19),Hrtable,2))/1000)</f>
        <v>9.5</v>
      </c>
      <c r="E19" s="286" t="e">
        <f aca="false">IF($A19="N/A"," ",(C19)*D19)</f>
        <v>#N/A</v>
      </c>
      <c r="F19" s="287" t="n">
        <f aca="false">IF(A19="N/A"," ",VOM*(1+VOMesc)^(YEAR(A19)-YEAR(Today)))</f>
        <v>0</v>
      </c>
      <c r="G19" s="287" t="n">
        <f aca="false">IF(A19="N/A"," ",Perstart/VLOOKUP(Dayrun,'Pricing Inputs'!$AQ$4:$AS$14,3)/(CY19/CX19))</f>
        <v>0</v>
      </c>
      <c r="H19" s="288" t="e">
        <f aca="false">IF(A19="N/A"," ",SUM(E19:G19))</f>
        <v>#N/A</v>
      </c>
      <c r="I19" s="289" t="n">
        <f aca="false">VLOOKUP($A19,ScaledPrice,6)</f>
        <v>30.7562492370605</v>
      </c>
      <c r="J19" s="290" t="n">
        <f aca="false">VLOOKUP($A19,ScaledPrice,10)</f>
        <v>30.7562492370605</v>
      </c>
      <c r="K19" s="290" t="n">
        <f aca="false">VLOOKUP($A19,ScaledPrice,13)</f>
        <v>20</v>
      </c>
      <c r="L19" s="290" t="n">
        <f aca="false">VLOOKUP($A19,ScaledPrice,7)</f>
        <v>29.4199981689453</v>
      </c>
      <c r="M19" s="290" t="n">
        <f aca="false">VLOOKUP($A19,ScaledPrice,11)</f>
        <v>29.4199981689453</v>
      </c>
      <c r="N19" s="290" t="n">
        <f aca="false">VLOOKUP($A19,ScaledPrice,13)</f>
        <v>20</v>
      </c>
      <c r="O19" s="290" t="n">
        <f aca="false">VLOOKUP($A19,ScaledPrice,8)</f>
        <v>23.9199981689453</v>
      </c>
      <c r="P19" s="290" t="n">
        <f aca="false">VLOOKUP($A19,ScaledPrice,12)</f>
        <v>23.9199981689453</v>
      </c>
      <c r="Q19" s="291" t="n">
        <f aca="false">VLOOKUP($A19,ScaledPrice,13)</f>
        <v>20</v>
      </c>
      <c r="R19" s="292" t="e">
        <f aca="false">IF($A19="N/A"," ",IF(Dayrun&gt;=3,IF(Option=1,MAX($I19-$H19,0),IF(Option=2,MAX($H19-$I19,0),0)),0))</f>
        <v>#N/A</v>
      </c>
      <c r="S19" s="286" t="e">
        <f aca="false">IF($A19="N/A"," ",IF(Dayrun&gt;=6,IF(Option=1,MAX($J19-H19,0),IF(Option=2,MAX(H19-$J19,0),0)),0))</f>
        <v>#N/A</v>
      </c>
      <c r="T19" s="286" t="e">
        <f aca="false">IF($A19="N/A"," ",IF(OR(Dayrun&lt;=2,Dayrun&gt;=9),IF(Option=1,MAX($K19-$H19,0),IF(Option=2,MAX($H19-$K19,0),0)),0))</f>
        <v>#N/A</v>
      </c>
      <c r="U19" s="286" t="e">
        <f aca="false">IF($A19="N/A"," ",IF(OR(Dayrun=1,Dayrun=4,Dayrun=5,Dayrun=7,Dayrun=8,Dayrun=10,Dayrun=11),IF(Option=1,MAX($L19-H19,0),IF(Option=2,MAX(H19-$L19,0),0)),0))</f>
        <v>#N/A</v>
      </c>
      <c r="V19" s="286" t="e">
        <f aca="false">IF($A19="N/A"," ",IF(OR(Dayrun=1,Dayrun=7,Dayrun=8,Dayrun=10,Dayrun=11),IF(Option=1,MAX($M19-H19,0),IF(Option=2,MAX(H19-$M19,0),0)),0))</f>
        <v>#N/A</v>
      </c>
      <c r="W19" s="286" t="e">
        <f aca="false">IF($A19="N/A"," ",IF(OR(Dayrun&lt;=2,Dayrun&gt;=10),IF(Option=1,MAX($N19-$H19,0),IF(Option=2,MAX($H19-$N19,0),0)),0))</f>
        <v>#N/A</v>
      </c>
      <c r="X19" s="286" t="e">
        <f aca="false">IF($A19="N/A"," ",IF(OR(Dayrun=1,Dayrun=5,Dayrun=8,Dayrun=11),IF(Option=1,MAX($O19-H19,0),IF(Option=2,MAX(H19-$O19,0),0)),0))</f>
        <v>#N/A</v>
      </c>
      <c r="Y19" s="286" t="e">
        <f aca="false">IF($A19="N/A"," ",IF(OR(Dayrun=1,Dayrun=8,Dayrun=11),IF(Option=1,MAX($P19-H19,0),IF(Option=2,MAX(H19-$P19,0),0)),0))</f>
        <v>#N/A</v>
      </c>
      <c r="Z19" s="293" t="e">
        <f aca="false">IF($A19="N/A"," ",IF(OR(Dayrun&lt;=2,Dayrun&gt;=11),IF(Option=1,MAX($Q19-$H19,0),IF(Option=2,MAX($H19-$Q19,0),0)),0))</f>
        <v>#N/A</v>
      </c>
      <c r="AA19" s="289" t="e">
        <f aca="false">IF($A19="N/A"," ",IF(Dayrun&gt;=3,(MAX(0,(xSPRDOPT(I19,($E19-'Pricing Inputs'!$X54*$D19),$CV19,0,($CN19+IF(Smile=TRUE(),VLOOKUP(MAX(-5,$H19-I19),Volsmile,2),0)),$CT19,$CU19,($A19-DateToday)+15,ABS(Option-2),0)-R19))),0))</f>
        <v>#N/A</v>
      </c>
      <c r="AB19" s="290" t="e">
        <f aca="false">IF($A19="N/A"," ",IF(Dayrun&gt;=6,MAX(0,(xSPRDOPT(J19,($E19-'Pricing Inputs'!$X54*$D19),$CV19,0,($CN19+IF(Smile=TRUE(),VLOOKUP(MAX(-5,$H19-J19),Volsmile,2),0)),$CT19,$CU19,($A19-DateToday)+15,ABS(Option-2),0)-S19)),0))</f>
        <v>#N/A</v>
      </c>
      <c r="AC19" s="290" t="e">
        <f aca="false">IF($A19="N/A"," ",IF(OR(Dayrun&lt;=2,Dayrun&gt;=9),IF(OffPeakEx=TRUE(),MAX(0,(xSPRDOPT(K19,($E19-'Pricing Inputs'!$X54*$D19),$CV19,0,($CQ19+IF(Smile=TRUE(),VLOOKUP(MAX(-5,$H19-K19),Volsmile,2),0)),$CT19,$CU19,($A19-DateToday)+15,ABS(Option-2),0)-T19)),0),0))</f>
        <v>#N/A</v>
      </c>
      <c r="AD19" s="290" t="e">
        <f aca="false">IF($A19="N/A"," ",IF(OR(Dayrun=1,Dayrun=4,Dayrun=5,Dayrun=7,Dayrun=8,Dayrun=10,Dayrun=11),MAX(0,(xSPRDOPT(L19,($E19-'Pricing Inputs'!$X54*$D19),$CV19,0,($CQ19+IF(Smile=TRUE(),VLOOKUP(MAX(-5,$H19-L19),Volsmile,2),0)),$CT19,$CU19,($A19-DateToday)+15,ABS(Option-2),0)-U19)),0))</f>
        <v>#N/A</v>
      </c>
      <c r="AE19" s="290" t="e">
        <f aca="false">IF($A19="N/A"," ",IF(OR(Dayrun=1,Dayrun=7,Dayrun=8,Dayrun=10,Dayrun=11),MAX(0,(xSPRDOPT(M19,($E19-'Pricing Inputs'!$X54*$D19),$CV19,0,($CQ19+IF(Smile=TRUE(),VLOOKUP(MAX(-5,$H19-M19),Volsmile,2),0)),$CT19,$CU19,($A19-DateToday)+15,ABS(Option-2),0)-V19)),0))</f>
        <v>#N/A</v>
      </c>
      <c r="AF19" s="290" t="e">
        <f aca="false">IF($A19="N/A"," ",IF(OR(Dayrun&lt;=2,Dayrun&gt;=10),IF(OffPeakEx=TRUE(),MAX(0,(xSPRDOPT(N19,($E19-'Pricing Inputs'!$X54*$D19),$CV19,0,($CQ19+IF(Smile=TRUE(),VLOOKUP(MAX(-5,$H19-N19),Volsmile,2),0)),$CT19,$CU19,($A19-DateToday)+15,ABS(Option-2),0)-W19)),0),0))</f>
        <v>#N/A</v>
      </c>
      <c r="AG19" s="290" t="e">
        <f aca="false">IF($A19="N/A"," ",IF(OR(Dayrun=1,Dayrun=5,Dayrun=8,Dayrun=11),MAX(0,(xSPRDOPT(O19,($E19-'Pricing Inputs'!$X54*$D19),$CV19,0,($CQ19+IF(Smile=TRUE(),VLOOKUP(MAX(-5,$H19-O19),Volsmile,2),0)),$CT19,$CU19,($A19-DateToday)+15,ABS(Option-2),0)-X19)),0))</f>
        <v>#N/A</v>
      </c>
      <c r="AH19" s="290" t="e">
        <f aca="false">IF($A19="N/A"," ",IF(OR(Dayrun=1,Dayrun=8,Dayrun=11),MAX(0,(xSPRDOPT(P19,($E19-'Pricing Inputs'!$X54*$D19),$CV19,0,($CQ19+IF(Smile=TRUE(),VLOOKUP(MAX(-5,$H19-P19),Volsmile,2),0)),$CT19,$CU19,($A19-DateToday)+15,ABS(Option-2),0)-Y19)),0))</f>
        <v>#N/A</v>
      </c>
      <c r="AI19" s="290" t="e">
        <f aca="false">IF($A19="N/A"," ",IF(OR(Dayrun&lt;=2,Dayrun&gt;=11),IF(OffPeakEx=TRUE(),MAX(0,(xSPRDOPT(Q19,($E19-'Pricing Inputs'!$X54*$D19),$CV19,0,($CQ19+IF(Smile=TRUE(),VLOOKUP(MAX(-5,$H19-Q19),Volsmile,2),0)),$CT19,$CU19,($A19-DateToday)+15,ABS(Option-2),0)-Z19)),0),0))</f>
        <v>#N/A</v>
      </c>
      <c r="AJ19" s="294" t="e">
        <f aca="false">IF($A19="N/A"," ",IF(Dayrun&gt;=3,IF(Option=1,$I19-$H19,IF(Option=2,$H19-$I19)),0))</f>
        <v>#N/A</v>
      </c>
      <c r="AK19" s="295" t="e">
        <f aca="false">IF($A19="N/A"," ",IF(Dayrun&gt;=6,IF(Option=1,$J19-H19,IF(Option=2,H19-$J19)),0))</f>
        <v>#N/A</v>
      </c>
      <c r="AL19" s="295" t="e">
        <f aca="false">IF($A19="N/A"," ",IF(OR(Dayrun&lt;=2,Dayrun&gt;=9),IF(Option=1,$K19-$H19,IF(Option=2,$H19-$K19)),0))</f>
        <v>#N/A</v>
      </c>
      <c r="AM19" s="295" t="e">
        <f aca="false">IF($A19="N/A"," ",IF(OR(Dayrun=1,Dayrun=4,Dayrun=5,Dayrun=7,Dayrun=8,Dayrun=10,Dayrun=11),IF(Option=1,$L19-H19,IF(Option=2,H19-$L19)),0))</f>
        <v>#N/A</v>
      </c>
      <c r="AN19" s="295" t="e">
        <f aca="false">IF($A19="N/A"," ",IF(OR(Dayrun=1,Dayrun=7,Dayrun=8,Dayrun=10,Dayrun=11),IF(Option=1,$M19-H19,IF(Option=2,H19-$M19)),0))</f>
        <v>#N/A</v>
      </c>
      <c r="AO19" s="295" t="e">
        <f aca="false">IF($A19="N/A"," ",IF(OR(Dayrun&lt;=2,Dayrun&gt;=9),IF(Option=1,$N19-$H19,IF(Option=2,$H19-$N19)),0))</f>
        <v>#N/A</v>
      </c>
      <c r="AP19" s="295" t="e">
        <f aca="false">IF($A19="N/A"," ",IF(OR(Dayrun=1,Dayrun=5,Dayrun=8,Dayrun=11),IF(Option=1,$O19-H19,IF(Option=2,H19-$O19)),0))</f>
        <v>#N/A</v>
      </c>
      <c r="AQ19" s="295" t="e">
        <f aca="false">IF($A19="N/A"," ",IF(OR(Dayrun=1,Dayrun=8,Dayrun=11),IF(Option=1,$P19-H19,IF(Option=2,H19-$P19)),0))</f>
        <v>#N/A</v>
      </c>
      <c r="AR19" s="296" t="e">
        <f aca="false">IF($A19="N/A"," ",IF(OR(Dayrun&lt;=2,Dayrun&gt;=9),IF(Option=1,$Q19-H19,IF(Option=2,H19-$Q19)),0))</f>
        <v>#N/A</v>
      </c>
      <c r="AS19" s="297" t="n">
        <f aca="false">IF($A19="N/A"," ",IF(VLOOKUP(MONTH($A19),ManualTable,2)=1,IF(Dayrun&gt;=3,$DE19*8*$CY19,0),0))</f>
        <v>8.43412710914455E+017</v>
      </c>
      <c r="AT19" s="297" t="n">
        <f aca="false">IF($A19="N/A"," ",IF(VLOOKUP(MONTH($A19),ManualTable,3)=1,IF(Dayrun&gt;=6,$DE19*8*$CY19,0),0))</f>
        <v>8.43412710914455E+017</v>
      </c>
      <c r="AU19" s="297" t="n">
        <f aca="false">IF($A19="N/A"," ",IF(VLOOKUP(MONTH($A19),ManualTable,4)=1,IF(OR(Dayrun&lt;=2,Dayrun&gt;=9),$DE19*8*$CY19,0),0))</f>
        <v>8.43412710914455E+017</v>
      </c>
      <c r="AV19" s="297" t="n">
        <f aca="false">IF($A19="N/A"," ",IF(VLOOKUP(MONTH($A19),ManualTable,5)=1,IF(OR(Dayrun=1,Dayrun=4,Dayrun=5,Dayrun=7,Dayrun=8,Dayrun=10,Dayrun=11),$DF19*8*$CY19,0),0))</f>
        <v>1.60650040174182E+017</v>
      </c>
      <c r="AW19" s="297" t="n">
        <f aca="false">IF($A19="N/A"," ",IF(VLOOKUP(MONTH($A19),ManualTable,6)=1,IF(OR(Dayrun=1,Dayrun=7,Dayrun=8,Dayrun=10,Dayrun=11),$DF19*8*$CY19,0),0))</f>
        <v>1.60650040174182E+017</v>
      </c>
      <c r="AX19" s="297" t="n">
        <f aca="false">IF($A19="N/A"," ",IF(VLOOKUP(MONTH($A19),ManualTable,7)=1,IF(OR(Dayrun&lt;=2,Dayrun&gt;=9),$DF19*8*$CY19,0),0))</f>
        <v>1.60650040174182E+017</v>
      </c>
      <c r="AY19" s="297" t="n">
        <f aca="false">IF($A19="N/A"," ",IF(VLOOKUP(MONTH($A19),ManualTable,8)=1,IF(OR(Dayrun=1,Dayrun=5,Dayrun=8,Dayrun=11),$DG19*8*$CY19,0),0))</f>
        <v>2.40975060261273E+017</v>
      </c>
      <c r="AZ19" s="297" t="n">
        <f aca="false">IF($A19="N/A"," ",IF(VLOOKUP(MONTH($A19),ManualTable,9)=1,IF(OR(Dayrun=1,Dayrun=8,Dayrun=11),$DG19*8*$CY19,0),0))</f>
        <v>2.40975060261273E+017</v>
      </c>
      <c r="BA19" s="298" t="n">
        <f aca="false">IF($A19="N/A"," ",IF(VLOOKUP(MONTH($A19),ManualTable,10)=1,IF(OR(Dayrun&lt;=2,Dayrun&gt;=9),$DG19*8*$CY19,0),0))</f>
        <v>2.40975060261273E+017</v>
      </c>
      <c r="BB19" s="299" t="e">
        <f aca="false">IF($A19="N/A"," ",IF(Dayrun&gt;=3,(MAX(0,(xSPRDOPT(I19,($E19-'Pricing Inputs'!$X54*$D19),$CV19,0,($CN19+IF(Smile=TRUE(),VLOOKUP(MAX(-5,$H19-I19),Volsmile,2),0)),$CT19,$CU19,($A19-DateToday)+15,ABS(Option-2),1)*DE19*8))),0))</f>
        <v>#N/A</v>
      </c>
      <c r="BC19" s="300" t="e">
        <f aca="false">IF($A19="N/A"," ",IF(Dayrun&gt;=6,MAX(0,(xSPRDOPT(J19,($E19-'Pricing Inputs'!$X54*$D19),$CV19,0,($CN19+IF(Smile=TRUE(),VLOOKUP(MAX(-5,$H19-J19),Volsmile,2),0)),$CT19,$CU19,($A19-DateToday)+15,ABS(Option-2),1)*DE19*8)),0))</f>
        <v>#N/A</v>
      </c>
      <c r="BD19" s="300" t="e">
        <f aca="false">IF($A19="N/A"," ",IF(OR(Dayrun&lt;=2,Dayrun&gt;=9),IF(OffPeakEx=TRUE(),MAX(0,(xSPRDOPT(K19,($E19-'Pricing Inputs'!$X54*$D19),$CV19,0,($CQ19+IF(Smile=TRUE(),VLOOKUP(MAX(-5,$H19-K19),Volsmile,2),0)),$CT19,$CU19,($A19-DateToday)+15,ABS(Option-2),1)*DE19*8)),0),0))</f>
        <v>#N/A</v>
      </c>
      <c r="BE19" s="300" t="e">
        <f aca="false">IF($A19="N/A"," ",IF(OR(Dayrun=1,Dayrun=4,Dayrun=5,Dayrun=7,Dayrun=8,Dayrun=10,Dayrun=11),MAX(0,(xSPRDOPT(L19,($E19-'Pricing Inputs'!$X54*$D19),$CV19,0,($CQ19+IF(Smile=TRUE(),VLOOKUP(MAX(-5,$H19-L19),Volsmile,2),0)),$CT19,$CU19,($A19-DateToday)+15,ABS(Option-2),1)*DF19*8)),0))</f>
        <v>#N/A</v>
      </c>
      <c r="BF19" s="300" t="e">
        <f aca="false">IF($A19="N/A"," ",IF(OR(Dayrun=1,Dayrun=7,Dayrun=8,Dayrun=10,Dayrun=11),MAX(0,(xSPRDOPT(M19,($E19-'Pricing Inputs'!$X54*$D19),$CV19,0,($CQ19+IF(Smile=TRUE(),VLOOKUP(MAX(-5,$H19-M19),Volsmile,2),0)),$CT19,$CU19,($A19-DateToday)+15,ABS(Option-2),1)*DF19*8)),0))</f>
        <v>#N/A</v>
      </c>
      <c r="BG19" s="300" t="e">
        <f aca="false">IF($A19="N/A"," ",IF(OR(Dayrun&lt;=2,Dayrun&gt;=10),IF(OffPeakEx=TRUE(),MAX(0,(xSPRDOPT(N19,($E19-'Pricing Inputs'!$X54*$D19),$CV19,0,($CQ19+IF(Smile=TRUE(),VLOOKUP(MAX(-5,$H19-N19),Volsmile,2),0)),$CT19,$CU19,($A19-DateToday)+15,ABS(Option-2),1)*DF19*8)),0),0))</f>
        <v>#N/A</v>
      </c>
      <c r="BH19" s="300" t="e">
        <f aca="false">IF($A19="N/A"," ",IF(OR(Dayrun=1,Dayrun=5,Dayrun=8,Dayrun=11),MAX(0,(xSPRDOPT(O19,($E19-'Pricing Inputs'!$X54*$D19),$CV19,0,($CQ19+IF(Smile=TRUE(),VLOOKUP(MAX(-5,$H19-O19),Volsmile,2),0)),$CT19,$CU19,($A19-DateToday)+15,ABS(Option-2),1)*DG19*8)),0))</f>
        <v>#N/A</v>
      </c>
      <c r="BI19" s="300" t="e">
        <f aca="false">IF($A19="N/A"," ",IF(OR(Dayrun=1,Dayrun=8,Dayrun=11),MAX(0,(xSPRDOPT(P19,($E19-'Pricing Inputs'!$X54*$D19),$CV19,0,($CQ19+IF(Smile=TRUE(),VLOOKUP(MAX(-5,$H19-P19),Volsmile,2),0)),$CT19,$CU19,($A19-DateToday)+15,ABS(Option-2),1)*DG19*8)),0))</f>
        <v>#N/A</v>
      </c>
      <c r="BJ19" s="301" t="e">
        <f aca="false">IF($A19="N/A"," ",IF(OR(Dayrun&lt;=2,Dayrun&gt;=11),IF(OffPeakEx=TRUE(),MAX(0,(xSPRDOPT(Q19,($E19-'Pricing Inputs'!$X54*$D19),$CV19,0,($CQ19+IF(Smile=TRUE(),VLOOKUP(MAX(-5,$H19-Q19),Volsmile,2),0)),$CT19,$CU19,($A19-DateToday)+15,ABS(Option-2),1)*DG19*8)),0),0))</f>
        <v>#N/A</v>
      </c>
      <c r="BK19" s="302" t="e">
        <f aca="false">IF($A19="N/A"," ",R19*$AS19)</f>
        <v>#N/A</v>
      </c>
      <c r="BL19" s="303" t="e">
        <f aca="false">IF($A19="N/A"," ",S19*$AT19)</f>
        <v>#N/A</v>
      </c>
      <c r="BM19" s="303" t="e">
        <f aca="false">IF($A19="N/A"," ",T19*$AU19)</f>
        <v>#N/A</v>
      </c>
      <c r="BN19" s="303" t="e">
        <f aca="false">IF($A19="N/A"," ",U19*$AV19)</f>
        <v>#N/A</v>
      </c>
      <c r="BO19" s="303" t="e">
        <f aca="false">IF($A19="N/A"," ",V19*$AW19)</f>
        <v>#N/A</v>
      </c>
      <c r="BP19" s="303" t="e">
        <f aca="false">IF($A19="N/A"," ",W19*$AX19)</f>
        <v>#N/A</v>
      </c>
      <c r="BQ19" s="303" t="e">
        <f aca="false">IF($A19="N/A"," ",X19*$AY19)</f>
        <v>#N/A</v>
      </c>
      <c r="BR19" s="303" t="e">
        <f aca="false">IF($A19="N/A"," ",Y19*$AZ19)</f>
        <v>#N/A</v>
      </c>
      <c r="BS19" s="304" t="e">
        <f aca="false">IF($A19="N/A"," ",Z19*$BA19)</f>
        <v>#N/A</v>
      </c>
      <c r="BT19" s="305" t="e">
        <f aca="false">IF($A19="N/A"," ",AA19*$AS19)</f>
        <v>#N/A</v>
      </c>
      <c r="BU19" s="306" t="e">
        <f aca="false">IF($A19="N/A"," ",AB19*$AT19)</f>
        <v>#N/A</v>
      </c>
      <c r="BV19" s="306" t="e">
        <f aca="false">IF($A19="N/A"," ",AC19*$AU19)</f>
        <v>#N/A</v>
      </c>
      <c r="BW19" s="306" t="e">
        <f aca="false">IF($A19="N/A"," ",AD19*$AV19)</f>
        <v>#N/A</v>
      </c>
      <c r="BX19" s="306" t="e">
        <f aca="false">IF($A19="N/A"," ",AE19*$AW19)</f>
        <v>#N/A</v>
      </c>
      <c r="BY19" s="306" t="e">
        <f aca="false">IF($A19="N/A"," ",AF19*$AX19)</f>
        <v>#N/A</v>
      </c>
      <c r="BZ19" s="306" t="e">
        <f aca="false">IF($A19="N/A"," ",AG19*$AY19)</f>
        <v>#N/A</v>
      </c>
      <c r="CA19" s="306" t="e">
        <f aca="false">IF($A19="N/A"," ",AH19*$AZ19)</f>
        <v>#N/A</v>
      </c>
      <c r="CB19" s="307" t="e">
        <f aca="false">IF($A19="N/A"," ",AI19*$BA19)</f>
        <v>#N/A</v>
      </c>
      <c r="CC19" s="308" t="e">
        <f aca="false">IF($A19="N/A"," ",AJ19*$AS19)</f>
        <v>#N/A</v>
      </c>
      <c r="CD19" s="309" t="e">
        <f aca="false">IF($A19="N/A"," ",AK19*$AT19)</f>
        <v>#N/A</v>
      </c>
      <c r="CE19" s="309" t="e">
        <f aca="false">IF($A19="N/A"," ",AL19*$AU19)</f>
        <v>#N/A</v>
      </c>
      <c r="CF19" s="309" t="e">
        <f aca="false">IF($A19="N/A"," ",AM19*$AV19)</f>
        <v>#N/A</v>
      </c>
      <c r="CG19" s="309" t="e">
        <f aca="false">IF($A19="N/A"," ",AN19*$AW19)</f>
        <v>#N/A</v>
      </c>
      <c r="CH19" s="309" t="e">
        <f aca="false">IF($A19="N/A"," ",AO19*$AX19)</f>
        <v>#N/A</v>
      </c>
      <c r="CI19" s="309" t="e">
        <f aca="false">IF($A19="N/A"," ",AP19*$AY19)</f>
        <v>#N/A</v>
      </c>
      <c r="CJ19" s="309" t="e">
        <f aca="false">IF($A19="N/A"," ",AQ19*$AZ19)</f>
        <v>#N/A</v>
      </c>
      <c r="CK19" s="310" t="e">
        <f aca="false">IF($A19="N/A"," ",AR19*$BA19)</f>
        <v>#N/A</v>
      </c>
      <c r="CL19" s="311" t="n">
        <f aca="false">IF(A19="N/A"," ",(VLOOKUP(A19,PowerVolTable,(IF(VolBMO=2,7,IF(VolBMO=1,6,8))),FALSE())))</f>
        <v>0.3</v>
      </c>
      <c r="CM19" s="312" t="n">
        <f aca="false">IF(A19="N/A"," ",(VLOOKUP(A19,IntraPowerVol,(IF(VolBMO=2,3,IF(VolBMO=1,2,4))),FALSE())*VLOOKUP(MONTH($A19),Volscale,2)))</f>
        <v>0.5</v>
      </c>
      <c r="CN19" s="312" t="n">
        <f aca="false">IF($A19="N/A"," ",IF(VolType=1,CM19,CL19))</f>
        <v>0.5</v>
      </c>
      <c r="CO19" s="312" t="n">
        <f aca="false">IF($A19="N/A"," ",(VLOOKUP($A19,OffPeakVol,(IF(VolBMO=2,7,IF(VolBMO=1,6,8))),FALSE())))</f>
        <v>0.15</v>
      </c>
      <c r="CP19" s="312" t="n">
        <f aca="false">IF($A19="N/A"," ",(VLOOKUP($A19,OffPeakVol,(IF(VolBMO=2,3,IF(VolBMO=1,2,4))),FALSE())*VLOOKUP(MONTH($A19),Volscale,2)))</f>
        <v>0.3</v>
      </c>
      <c r="CQ19" s="312" t="n">
        <f aca="false">IF($A19="N/A"," ",IF(VolType=1,CP19,CO19))</f>
        <v>0.3</v>
      </c>
      <c r="CR19" s="312" t="e">
        <f aca="false">IF($A19="N/A"," ",(VLOOKUP($A19,GasVolTable,(IF(VolBMO=2,6,IF(VolBMO=1,7,5))),FALSE())))</f>
        <v>#N/A</v>
      </c>
      <c r="CS19" s="312" t="e">
        <f aca="false">IF($A19="N/A"," ",(VLOOKUP($A19,OmicronVol,(IF(VolBMO=2,3,IF(VolBMO=1,4,2))),FALSE())))</f>
        <v>#N/A</v>
      </c>
      <c r="CT19" s="312" t="e">
        <f aca="false">IF($A19="N/A"," ",(IF(DateToday&gt;$A19,$CS19,IF(VolType=1,((($CR19^2)*((($A19-1)-DateToday)/((EOMONTH($A19,0)+1)-DateToday-15)))+((($CS19)^2)*((15)/((EOMONTH($A19,0)+1)-DateToday-15))))^0.5,CR19))))</f>
        <v>#N/A</v>
      </c>
      <c r="CU19" s="312" t="n">
        <f aca="false">IF($A19="N/A"," ",IF('Pricing Inputs'!$AR$23=TRUE(),Inputs!$S$22,VLOOKUP($A19,CorrelationTable,2,FALSE())))</f>
        <v>0.75</v>
      </c>
      <c r="CV19" s="313" t="n">
        <f aca="false">IF($A19="N/A"," ",F19+G19+(D19*('Pricing Inputs'!X54)))</f>
        <v>0</v>
      </c>
      <c r="CW19" s="314" t="n">
        <f aca="false">IF($A19="N/A"," ",IF(PV=1,0,'Pricing Inputs'!Y54))</f>
        <v>2</v>
      </c>
      <c r="CX19" s="315" t="n">
        <f aca="false">IF($A19="N/A"," ",(1+CW19/2)^(-2*((EOMONTH(A19,0)+20)-DateToday)/365.25))</f>
        <v>45350621097047.7</v>
      </c>
      <c r="CY19" s="316" t="n">
        <f aca="false">IF($A19="N/A"," ",(IF(MONTH(A19)&gt;=4,IF(MONTH(A19)&lt;=10,Inputs!$S$26,Inputs!$S$27),Inputs!$S$27))*$CX19)</f>
        <v>5578126394936868</v>
      </c>
      <c r="CZ19" s="317" t="e">
        <f aca="false">IF($A19="N/A"," ",BK19+BL19+BN19+BO19+BQ19+BR19)</f>
        <v>#N/A</v>
      </c>
      <c r="DA19" s="318" t="e">
        <f aca="false">IF($A19="N/A"," ",BM19+BP19+BS19)</f>
        <v>#N/A</v>
      </c>
      <c r="DB19" s="319" t="e">
        <f aca="false">IF($A19="N/A"," ",BT19+BU19+BW19+BX19+BZ19+CA19)</f>
        <v>#N/A</v>
      </c>
      <c r="DC19" s="319" t="e">
        <f aca="false">IF($A19="N/A"," ",BV19+BY19+CB19)</f>
        <v>#N/A</v>
      </c>
      <c r="DD19" s="320" t="e">
        <f aca="false">IF($A19="N/A"," ",SUM(CC19:CK19))</f>
        <v>#N/A</v>
      </c>
      <c r="DE19" s="321" t="n">
        <f aca="false">IF($A19="N/A"," ",VLOOKUP($A19,NumberofDaysTable,2)*Availability)</f>
        <v>18.9</v>
      </c>
      <c r="DF19" s="94" t="n">
        <f aca="false">IF($A19="N/A"," ",VLOOKUP($A19,NumberofDaysTable,3)*Availability)</f>
        <v>3.6</v>
      </c>
      <c r="DG19" s="322" t="n">
        <f aca="false">IF($A19="N/A"," ",VLOOKUP($A19,NumberofDaysTable,4)*Availability)</f>
        <v>5.4</v>
      </c>
      <c r="DH19" s="323" t="n">
        <f aca="false">IF($A19="N/A"," ",IF(Option=1,$D19*Inputs!$S$15*SUM(AS19:BA19),0))</f>
        <v>0</v>
      </c>
      <c r="DI19" s="324" t="n">
        <f aca="false">IF($A19="N/A"," ",IF(Option=1,$D19*Inputs!$S$16*SUM(AS19:BA19),0))</f>
        <v>0</v>
      </c>
      <c r="DJ19" s="325" t="n">
        <f aca="false">IF($A19="N/A"," ",SUM(AS19:AT19))</f>
        <v>1.68682542182891E+018</v>
      </c>
      <c r="DK19" s="325" t="n">
        <f aca="false">IF($A19="N/A"," ",SUM(AU19:BA19))</f>
        <v>2.04828801222082E+018</v>
      </c>
      <c r="DL19" s="325" t="e">
        <f aca="false">IF($A19="N/A"," ",SUM(BB19:BC19))</f>
        <v>#N/A</v>
      </c>
      <c r="DM19" s="325" t="e">
        <f aca="false">IF($A19="N/A"," ",SUM(BD19:BJ19))</f>
        <v>#N/A</v>
      </c>
    </row>
    <row r="20" customFormat="false" ht="12.75" hidden="false" customHeight="false" outlineLevel="0" collapsed="false">
      <c r="A20" s="282" t="n">
        <f aca="false">IF(A19="N/A","N/A",IF(EDATE(A19,1)&gt;Inputs!$S$5,"N/A",EDATE(A19,1)))</f>
        <v>37622</v>
      </c>
      <c r="B20" s="283" t="n">
        <f aca="false">IF(A20="N/A"," ",YEAR(A20))</f>
        <v>2003</v>
      </c>
      <c r="C20" s="284" t="e">
        <f aca="false">IF(A20="N/A"," ",VLOOKUP(A20,ScaledPrice,14))</f>
        <v>#N/A</v>
      </c>
      <c r="D20" s="285" t="n">
        <f aca="false">IF(A20="N/A"," ",(VLOOKUP(MONTH($A20),Hrtable,2))/1000)</f>
        <v>9.5</v>
      </c>
      <c r="E20" s="286" t="e">
        <f aca="false">IF($A20="N/A"," ",(C20)*D20)</f>
        <v>#N/A</v>
      </c>
      <c r="F20" s="287" t="n">
        <f aca="false">IF(A20="N/A"," ",VOM*(1+VOMesc)^(YEAR(A20)-YEAR(Today)))</f>
        <v>0</v>
      </c>
      <c r="G20" s="287" t="n">
        <f aca="false">IF(A20="N/A"," ",Perstart/VLOOKUP(Dayrun,'Pricing Inputs'!$AQ$4:$AS$14,3)/(CY20/CX20))</f>
        <v>0</v>
      </c>
      <c r="H20" s="288" t="e">
        <f aca="false">IF(A20="N/A"," ",SUM(E20:G20))</f>
        <v>#N/A</v>
      </c>
      <c r="I20" s="289" t="n">
        <f aca="false">VLOOKUP($A20,ScaledPrice,6)</f>
        <v>33.6357170104981</v>
      </c>
      <c r="J20" s="290" t="n">
        <f aca="false">VLOOKUP($A20,ScaledPrice,10)</f>
        <v>33.6357170104981</v>
      </c>
      <c r="K20" s="290" t="n">
        <f aca="false">VLOOKUP($A20,ScaledPrice,13)</f>
        <v>21.8899993896484</v>
      </c>
      <c r="L20" s="290" t="n">
        <f aca="false">VLOOKUP($A20,ScaledPrice,7)</f>
        <v>36.2699966430664</v>
      </c>
      <c r="M20" s="290" t="n">
        <f aca="false">VLOOKUP($A20,ScaledPrice,11)</f>
        <v>36.2699966430664</v>
      </c>
      <c r="N20" s="290" t="n">
        <f aca="false">VLOOKUP($A20,ScaledPrice,13)</f>
        <v>21.8899993896484</v>
      </c>
      <c r="O20" s="290" t="n">
        <f aca="false">VLOOKUP($A20,ScaledPrice,8)</f>
        <v>25.7699966430664</v>
      </c>
      <c r="P20" s="290" t="n">
        <f aca="false">VLOOKUP($A20,ScaledPrice,12)</f>
        <v>25.7699966430664</v>
      </c>
      <c r="Q20" s="291" t="n">
        <f aca="false">VLOOKUP($A20,ScaledPrice,13)</f>
        <v>21.8899993896484</v>
      </c>
      <c r="R20" s="292" t="e">
        <f aca="false">IF($A20="N/A"," ",IF(Dayrun&gt;=3,IF(Option=1,MAX($I20-$H20,0),IF(Option=2,MAX($H20-$I20,0),0)),0))</f>
        <v>#N/A</v>
      </c>
      <c r="S20" s="286" t="e">
        <f aca="false">IF($A20="N/A"," ",IF(Dayrun&gt;=6,IF(Option=1,MAX($J20-H20,0),IF(Option=2,MAX(H20-$J20,0),0)),0))</f>
        <v>#N/A</v>
      </c>
      <c r="T20" s="286" t="e">
        <f aca="false">IF($A20="N/A"," ",IF(OR(Dayrun&lt;=2,Dayrun&gt;=9),IF(Option=1,MAX($K20-$H20,0),IF(Option=2,MAX($H20-$K20,0),0)),0))</f>
        <v>#N/A</v>
      </c>
      <c r="U20" s="286" t="e">
        <f aca="false">IF($A20="N/A"," ",IF(OR(Dayrun=1,Dayrun=4,Dayrun=5,Dayrun=7,Dayrun=8,Dayrun=10,Dayrun=11),IF(Option=1,MAX($L20-H20,0),IF(Option=2,MAX(H20-$L20,0),0)),0))</f>
        <v>#N/A</v>
      </c>
      <c r="V20" s="286" t="e">
        <f aca="false">IF($A20="N/A"," ",IF(OR(Dayrun=1,Dayrun=7,Dayrun=8,Dayrun=10,Dayrun=11),IF(Option=1,MAX($M20-H20,0),IF(Option=2,MAX(H20-$M20,0),0)),0))</f>
        <v>#N/A</v>
      </c>
      <c r="W20" s="286" t="e">
        <f aca="false">IF($A20="N/A"," ",IF(OR(Dayrun&lt;=2,Dayrun&gt;=10),IF(Option=1,MAX($N20-$H20,0),IF(Option=2,MAX($H20-$N20,0),0)),0))</f>
        <v>#N/A</v>
      </c>
      <c r="X20" s="286" t="e">
        <f aca="false">IF($A20="N/A"," ",IF(OR(Dayrun=1,Dayrun=5,Dayrun=8,Dayrun=11),IF(Option=1,MAX($O20-H20,0),IF(Option=2,MAX(H20-$O20,0),0)),0))</f>
        <v>#N/A</v>
      </c>
      <c r="Y20" s="286" t="e">
        <f aca="false">IF($A20="N/A"," ",IF(OR(Dayrun=1,Dayrun=8,Dayrun=11),IF(Option=1,MAX($P20-H20,0),IF(Option=2,MAX(H20-$P20,0),0)),0))</f>
        <v>#N/A</v>
      </c>
      <c r="Z20" s="293" t="e">
        <f aca="false">IF($A20="N/A"," ",IF(OR(Dayrun&lt;=2,Dayrun&gt;=11),IF(Option=1,MAX($Q20-$H20,0),IF(Option=2,MAX($H20-$Q20,0),0)),0))</f>
        <v>#N/A</v>
      </c>
      <c r="AA20" s="289" t="e">
        <f aca="false">IF($A20="N/A"," ",IF(Dayrun&gt;=3,(MAX(0,(xSPRDOPT(I20,($E20-'Pricing Inputs'!$X55*$D20),$CV20,0,($CN20+IF(Smile=TRUE(),VLOOKUP(MAX(-5,$H20-I20),Volsmile,2),0)),$CT20,$CU20,($A20-DateToday)+15,ABS(Option-2),0)-R20))),0))</f>
        <v>#N/A</v>
      </c>
      <c r="AB20" s="290" t="e">
        <f aca="false">IF($A20="N/A"," ",IF(Dayrun&gt;=6,MAX(0,(xSPRDOPT(J20,($E20-'Pricing Inputs'!$X55*$D20),$CV20,0,($CN20+IF(Smile=TRUE(),VLOOKUP(MAX(-5,$H20-J20),Volsmile,2),0)),$CT20,$CU20,($A20-DateToday)+15,ABS(Option-2),0)-S20)),0))</f>
        <v>#N/A</v>
      </c>
      <c r="AC20" s="290" t="e">
        <f aca="false">IF($A20="N/A"," ",IF(OR(Dayrun&lt;=2,Dayrun&gt;=9),IF(OffPeakEx=TRUE(),MAX(0,(xSPRDOPT(K20,($E20-'Pricing Inputs'!$X55*$D20),$CV20,0,($CQ20+IF(Smile=TRUE(),VLOOKUP(MAX(-5,$H20-K20),Volsmile,2),0)),$CT20,$CU20,($A20-DateToday)+15,ABS(Option-2),0)-T20)),0),0))</f>
        <v>#N/A</v>
      </c>
      <c r="AD20" s="290" t="e">
        <f aca="false">IF($A20="N/A"," ",IF(OR(Dayrun=1,Dayrun=4,Dayrun=5,Dayrun=7,Dayrun=8,Dayrun=10,Dayrun=11),MAX(0,(xSPRDOPT(L20,($E20-'Pricing Inputs'!$X55*$D20),$CV20,0,($CQ20+IF(Smile=TRUE(),VLOOKUP(MAX(-5,$H20-L20),Volsmile,2),0)),$CT20,$CU20,($A20-DateToday)+15,ABS(Option-2),0)-U20)),0))</f>
        <v>#N/A</v>
      </c>
      <c r="AE20" s="290" t="e">
        <f aca="false">IF($A20="N/A"," ",IF(OR(Dayrun=1,Dayrun=7,Dayrun=8,Dayrun=10,Dayrun=11),MAX(0,(xSPRDOPT(M20,($E20-'Pricing Inputs'!$X55*$D20),$CV20,0,($CQ20+IF(Smile=TRUE(),VLOOKUP(MAX(-5,$H20-M20),Volsmile,2),0)),$CT20,$CU20,($A20-DateToday)+15,ABS(Option-2),0)-V20)),0))</f>
        <v>#N/A</v>
      </c>
      <c r="AF20" s="290" t="e">
        <f aca="false">IF($A20="N/A"," ",IF(OR(Dayrun&lt;=2,Dayrun&gt;=10),IF(OffPeakEx=TRUE(),MAX(0,(xSPRDOPT(N20,($E20-'Pricing Inputs'!$X55*$D20),$CV20,0,($CQ20+IF(Smile=TRUE(),VLOOKUP(MAX(-5,$H20-N20),Volsmile,2),0)),$CT20,$CU20,($A20-DateToday)+15,ABS(Option-2),0)-W20)),0),0))</f>
        <v>#N/A</v>
      </c>
      <c r="AG20" s="290" t="e">
        <f aca="false">IF($A20="N/A"," ",IF(OR(Dayrun=1,Dayrun=5,Dayrun=8,Dayrun=11),MAX(0,(xSPRDOPT(O20,($E20-'Pricing Inputs'!$X55*$D20),$CV20,0,($CQ20+IF(Smile=TRUE(),VLOOKUP(MAX(-5,$H20-O20),Volsmile,2),0)),$CT20,$CU20,($A20-DateToday)+15,ABS(Option-2),0)-X20)),0))</f>
        <v>#N/A</v>
      </c>
      <c r="AH20" s="290" t="e">
        <f aca="false">IF($A20="N/A"," ",IF(OR(Dayrun=1,Dayrun=8,Dayrun=11),MAX(0,(xSPRDOPT(P20,($E20-'Pricing Inputs'!$X55*$D20),$CV20,0,($CQ20+IF(Smile=TRUE(),VLOOKUP(MAX(-5,$H20-P20),Volsmile,2),0)),$CT20,$CU20,($A20-DateToday)+15,ABS(Option-2),0)-Y20)),0))</f>
        <v>#N/A</v>
      </c>
      <c r="AI20" s="290" t="e">
        <f aca="false">IF($A20="N/A"," ",IF(OR(Dayrun&lt;=2,Dayrun&gt;=11),IF(OffPeakEx=TRUE(),MAX(0,(xSPRDOPT(Q20,($E20-'Pricing Inputs'!$X55*$D20),$CV20,0,($CQ20+IF(Smile=TRUE(),VLOOKUP(MAX(-5,$H20-Q20),Volsmile,2),0)),$CT20,$CU20,($A20-DateToday)+15,ABS(Option-2),0)-Z20)),0),0))</f>
        <v>#N/A</v>
      </c>
      <c r="AJ20" s="294" t="e">
        <f aca="false">IF($A20="N/A"," ",IF(Dayrun&gt;=3,IF(Option=1,$I20-$H20,IF(Option=2,$H20-$I20)),0))</f>
        <v>#N/A</v>
      </c>
      <c r="AK20" s="295" t="e">
        <f aca="false">IF($A20="N/A"," ",IF(Dayrun&gt;=6,IF(Option=1,$J20-H20,IF(Option=2,H20-$J20)),0))</f>
        <v>#N/A</v>
      </c>
      <c r="AL20" s="295" t="e">
        <f aca="false">IF($A20="N/A"," ",IF(OR(Dayrun&lt;=2,Dayrun&gt;=9),IF(Option=1,$K20-$H20,IF(Option=2,$H20-$K20)),0))</f>
        <v>#N/A</v>
      </c>
      <c r="AM20" s="295" t="e">
        <f aca="false">IF($A20="N/A"," ",IF(OR(Dayrun=1,Dayrun=4,Dayrun=5,Dayrun=7,Dayrun=8,Dayrun=10,Dayrun=11),IF(Option=1,$L20-H20,IF(Option=2,H20-$L20)),0))</f>
        <v>#N/A</v>
      </c>
      <c r="AN20" s="295" t="e">
        <f aca="false">IF($A20="N/A"," ",IF(OR(Dayrun=1,Dayrun=7,Dayrun=8,Dayrun=10,Dayrun=11),IF(Option=1,$M20-H20,IF(Option=2,H20-$M20)),0))</f>
        <v>#N/A</v>
      </c>
      <c r="AO20" s="295" t="e">
        <f aca="false">IF($A20="N/A"," ",IF(OR(Dayrun&lt;=2,Dayrun&gt;=9),IF(Option=1,$N20-$H20,IF(Option=2,$H20-$N20)),0))</f>
        <v>#N/A</v>
      </c>
      <c r="AP20" s="295" t="e">
        <f aca="false">IF($A20="N/A"," ",IF(OR(Dayrun=1,Dayrun=5,Dayrun=8,Dayrun=11),IF(Option=1,$O20-H20,IF(Option=2,H20-$O20)),0))</f>
        <v>#N/A</v>
      </c>
      <c r="AQ20" s="295" t="e">
        <f aca="false">IF($A20="N/A"," ",IF(OR(Dayrun=1,Dayrun=8,Dayrun=11),IF(Option=1,$P20-H20,IF(Option=2,H20-$P20)),0))</f>
        <v>#N/A</v>
      </c>
      <c r="AR20" s="296" t="e">
        <f aca="false">IF($A20="N/A"," ",IF(OR(Dayrun&lt;=2,Dayrun&gt;=9),IF(Option=1,$Q20-H20,IF(Option=2,H20-$Q20)),0))</f>
        <v>#N/A</v>
      </c>
      <c r="AS20" s="297" t="n">
        <f aca="false">IF($A20="N/A"," ",IF(VLOOKUP(MONTH($A20),ManualTable,2)=1,IF(Dayrun&gt;=3,$DE20*8*$CY20,0),0))</f>
        <v>7.85497242770896E+017</v>
      </c>
      <c r="AT20" s="297" t="n">
        <f aca="false">IF($A20="N/A"," ",IF(VLOOKUP(MONTH($A20),ManualTable,3)=1,IF(Dayrun&gt;=6,$DE20*8*$CY20,0),0))</f>
        <v>7.85497242770896E+017</v>
      </c>
      <c r="AU20" s="297" t="n">
        <f aca="false">IF($A20="N/A"," ",IF(VLOOKUP(MONTH($A20),ManualTable,4)=1,IF(OR(Dayrun&lt;=2,Dayrun&gt;=9),$DE20*8*$CY20,0),0))</f>
        <v>7.85497242770896E+017</v>
      </c>
      <c r="AV20" s="297" t="n">
        <f aca="false">IF($A20="N/A"," ",IF(VLOOKUP(MONTH($A20),ManualTable,5)=1,IF(OR(Dayrun=1,Dayrun=4,Dayrun=5,Dayrun=7,Dayrun=8,Dayrun=10,Dayrun=11),$DF20*8*$CY20,0),0))</f>
        <v>1.42817680503799E+017</v>
      </c>
      <c r="AW20" s="297" t="n">
        <f aca="false">IF($A20="N/A"," ",IF(VLOOKUP(MONTH($A20),ManualTable,6)=1,IF(OR(Dayrun=1,Dayrun=7,Dayrun=8,Dayrun=10,Dayrun=11),$DF20*8*$CY20,0),0))</f>
        <v>1.42817680503799E+017</v>
      </c>
      <c r="AX20" s="297" t="n">
        <f aca="false">IF($A20="N/A"," ",IF(VLOOKUP(MONTH($A20),ManualTable,7)=1,IF(OR(Dayrun&lt;=2,Dayrun&gt;=9),$DF20*8*$CY20,0),0))</f>
        <v>1.42817680503799E+017</v>
      </c>
      <c r="AY20" s="297" t="n">
        <f aca="false">IF($A20="N/A"," ",IF(VLOOKUP(MONTH($A20),ManualTable,8)=1,IF(OR(Dayrun=1,Dayrun=5,Dayrun=8,Dayrun=11),$DG20*8*$CY20,0),0))</f>
        <v>1.78522100629749E+017</v>
      </c>
      <c r="AZ20" s="297" t="n">
        <f aca="false">IF($A20="N/A"," ",IF(VLOOKUP(MONTH($A20),ManualTable,9)=1,IF(OR(Dayrun=1,Dayrun=8,Dayrun=11),$DG20*8*$CY20,0),0))</f>
        <v>1.78522100629749E+017</v>
      </c>
      <c r="BA20" s="298" t="n">
        <f aca="false">IF($A20="N/A"," ",IF(VLOOKUP(MONTH($A20),ManualTable,10)=1,IF(OR(Dayrun&lt;=2,Dayrun&gt;=9),$DG20*8*$CY20,0),0))</f>
        <v>1.78522100629749E+017</v>
      </c>
      <c r="BB20" s="299" t="e">
        <f aca="false">IF($A20="N/A"," ",IF(Dayrun&gt;=3,(MAX(0,(xSPRDOPT(I20,($E20-'Pricing Inputs'!$X55*$D20),$CV20,0,($CN20+IF(Smile=TRUE(),VLOOKUP(MAX(-5,$H20-I20),Volsmile,2),0)),$CT20,$CU20,($A20-DateToday)+15,ABS(Option-2),1)*DE20*8))),0))</f>
        <v>#N/A</v>
      </c>
      <c r="BC20" s="300" t="e">
        <f aca="false">IF($A20="N/A"," ",IF(Dayrun&gt;=6,MAX(0,(xSPRDOPT(J20,($E20-'Pricing Inputs'!$X55*$D20),$CV20,0,($CN20+IF(Smile=TRUE(),VLOOKUP(MAX(-5,$H20-J20),Volsmile,2),0)),$CT20,$CU20,($A20-DateToday)+15,ABS(Option-2),1)*DE20*8)),0))</f>
        <v>#N/A</v>
      </c>
      <c r="BD20" s="300" t="e">
        <f aca="false">IF($A20="N/A"," ",IF(OR(Dayrun&lt;=2,Dayrun&gt;=9),IF(OffPeakEx=TRUE(),MAX(0,(xSPRDOPT(K20,($E20-'Pricing Inputs'!$X55*$D20),$CV20,0,($CQ20+IF(Smile=TRUE(),VLOOKUP(MAX(-5,$H20-K20),Volsmile,2),0)),$CT20,$CU20,($A20-DateToday)+15,ABS(Option-2),1)*DE20*8)),0),0))</f>
        <v>#N/A</v>
      </c>
      <c r="BE20" s="300" t="e">
        <f aca="false">IF($A20="N/A"," ",IF(OR(Dayrun=1,Dayrun=4,Dayrun=5,Dayrun=7,Dayrun=8,Dayrun=10,Dayrun=11),MAX(0,(xSPRDOPT(L20,($E20-'Pricing Inputs'!$X55*$D20),$CV20,0,($CQ20+IF(Smile=TRUE(),VLOOKUP(MAX(-5,$H20-L20),Volsmile,2),0)),$CT20,$CU20,($A20-DateToday)+15,ABS(Option-2),1)*DF20*8)),0))</f>
        <v>#N/A</v>
      </c>
      <c r="BF20" s="300" t="e">
        <f aca="false">IF($A20="N/A"," ",IF(OR(Dayrun=1,Dayrun=7,Dayrun=8,Dayrun=10,Dayrun=11),MAX(0,(xSPRDOPT(M20,($E20-'Pricing Inputs'!$X55*$D20),$CV20,0,($CQ20+IF(Smile=TRUE(),VLOOKUP(MAX(-5,$H20-M20),Volsmile,2),0)),$CT20,$CU20,($A20-DateToday)+15,ABS(Option-2),1)*DF20*8)),0))</f>
        <v>#N/A</v>
      </c>
      <c r="BG20" s="300" t="e">
        <f aca="false">IF($A20="N/A"," ",IF(OR(Dayrun&lt;=2,Dayrun&gt;=10),IF(OffPeakEx=TRUE(),MAX(0,(xSPRDOPT(N20,($E20-'Pricing Inputs'!$X55*$D20),$CV20,0,($CQ20+IF(Smile=TRUE(),VLOOKUP(MAX(-5,$H20-N20),Volsmile,2),0)),$CT20,$CU20,($A20-DateToday)+15,ABS(Option-2),1)*DF20*8)),0),0))</f>
        <v>#N/A</v>
      </c>
      <c r="BH20" s="300" t="e">
        <f aca="false">IF($A20="N/A"," ",IF(OR(Dayrun=1,Dayrun=5,Dayrun=8,Dayrun=11),MAX(0,(xSPRDOPT(O20,($E20-'Pricing Inputs'!$X55*$D20),$CV20,0,($CQ20+IF(Smile=TRUE(),VLOOKUP(MAX(-5,$H20-O20),Volsmile,2),0)),$CT20,$CU20,($A20-DateToday)+15,ABS(Option-2),1)*DG20*8)),0))</f>
        <v>#N/A</v>
      </c>
      <c r="BI20" s="300" t="e">
        <f aca="false">IF($A20="N/A"," ",IF(OR(Dayrun=1,Dayrun=8,Dayrun=11),MAX(0,(xSPRDOPT(P20,($E20-'Pricing Inputs'!$X55*$D20),$CV20,0,($CQ20+IF(Smile=TRUE(),VLOOKUP(MAX(-5,$H20-P20),Volsmile,2),0)),$CT20,$CU20,($A20-DateToday)+15,ABS(Option-2),1)*DG20*8)),0))</f>
        <v>#N/A</v>
      </c>
      <c r="BJ20" s="301" t="e">
        <f aca="false">IF($A20="N/A"," ",IF(OR(Dayrun&lt;=2,Dayrun&gt;=11),IF(OffPeakEx=TRUE(),MAX(0,(xSPRDOPT(Q20,($E20-'Pricing Inputs'!$X55*$D20),$CV20,0,($CQ20+IF(Smile=TRUE(),VLOOKUP(MAX(-5,$H20-Q20),Volsmile,2),0)),$CT20,$CU20,($A20-DateToday)+15,ABS(Option-2),1)*DG20*8)),0),0))</f>
        <v>#N/A</v>
      </c>
      <c r="BK20" s="302" t="e">
        <f aca="false">IF($A20="N/A"," ",R20*$AS20)</f>
        <v>#N/A</v>
      </c>
      <c r="BL20" s="303" t="e">
        <f aca="false">IF($A20="N/A"," ",S20*$AT20)</f>
        <v>#N/A</v>
      </c>
      <c r="BM20" s="303" t="e">
        <f aca="false">IF($A20="N/A"," ",T20*$AU20)</f>
        <v>#N/A</v>
      </c>
      <c r="BN20" s="303" t="e">
        <f aca="false">IF($A20="N/A"," ",U20*$AV20)</f>
        <v>#N/A</v>
      </c>
      <c r="BO20" s="303" t="e">
        <f aca="false">IF($A20="N/A"," ",V20*$AW20)</f>
        <v>#N/A</v>
      </c>
      <c r="BP20" s="303" t="e">
        <f aca="false">IF($A20="N/A"," ",W20*$AX20)</f>
        <v>#N/A</v>
      </c>
      <c r="BQ20" s="303" t="e">
        <f aca="false">IF($A20="N/A"," ",X20*$AY20)</f>
        <v>#N/A</v>
      </c>
      <c r="BR20" s="303" t="e">
        <f aca="false">IF($A20="N/A"," ",Y20*$AZ20)</f>
        <v>#N/A</v>
      </c>
      <c r="BS20" s="304" t="e">
        <f aca="false">IF($A20="N/A"," ",Z20*$BA20)</f>
        <v>#N/A</v>
      </c>
      <c r="BT20" s="305" t="e">
        <f aca="false">IF($A20="N/A"," ",AA20*$AS20)</f>
        <v>#N/A</v>
      </c>
      <c r="BU20" s="306" t="e">
        <f aca="false">IF($A20="N/A"," ",AB20*$AT20)</f>
        <v>#N/A</v>
      </c>
      <c r="BV20" s="306" t="e">
        <f aca="false">IF($A20="N/A"," ",AC20*$AU20)</f>
        <v>#N/A</v>
      </c>
      <c r="BW20" s="306" t="e">
        <f aca="false">IF($A20="N/A"," ",AD20*$AV20)</f>
        <v>#N/A</v>
      </c>
      <c r="BX20" s="306" t="e">
        <f aca="false">IF($A20="N/A"," ",AE20*$AW20)</f>
        <v>#N/A</v>
      </c>
      <c r="BY20" s="306" t="e">
        <f aca="false">IF($A20="N/A"," ",AF20*$AX20)</f>
        <v>#N/A</v>
      </c>
      <c r="BZ20" s="306" t="e">
        <f aca="false">IF($A20="N/A"," ",AG20*$AY20)</f>
        <v>#N/A</v>
      </c>
      <c r="CA20" s="306" t="e">
        <f aca="false">IF($A20="N/A"," ",AH20*$AZ20)</f>
        <v>#N/A</v>
      </c>
      <c r="CB20" s="307" t="e">
        <f aca="false">IF($A20="N/A"," ",AI20*$BA20)</f>
        <v>#N/A</v>
      </c>
      <c r="CC20" s="308" t="e">
        <f aca="false">IF($A20="N/A"," ",AJ20*$AS20)</f>
        <v>#N/A</v>
      </c>
      <c r="CD20" s="309" t="e">
        <f aca="false">IF($A20="N/A"," ",AK20*$AT20)</f>
        <v>#N/A</v>
      </c>
      <c r="CE20" s="309" t="e">
        <f aca="false">IF($A20="N/A"," ",AL20*$AU20)</f>
        <v>#N/A</v>
      </c>
      <c r="CF20" s="309" t="e">
        <f aca="false">IF($A20="N/A"," ",AM20*$AV20)</f>
        <v>#N/A</v>
      </c>
      <c r="CG20" s="309" t="e">
        <f aca="false">IF($A20="N/A"," ",AN20*$AW20)</f>
        <v>#N/A</v>
      </c>
      <c r="CH20" s="309" t="e">
        <f aca="false">IF($A20="N/A"," ",AO20*$AX20)</f>
        <v>#N/A</v>
      </c>
      <c r="CI20" s="309" t="e">
        <f aca="false">IF($A20="N/A"," ",AP20*$AY20)</f>
        <v>#N/A</v>
      </c>
      <c r="CJ20" s="309" t="e">
        <f aca="false">IF($A20="N/A"," ",AQ20*$AZ20)</f>
        <v>#N/A</v>
      </c>
      <c r="CK20" s="310" t="e">
        <f aca="false">IF($A20="N/A"," ",AR20*$BA20)</f>
        <v>#N/A</v>
      </c>
      <c r="CL20" s="311" t="n">
        <f aca="false">IF(A20="N/A"," ",(VLOOKUP(A20,PowerVolTable,(IF(VolBMO=2,7,IF(VolBMO=1,6,8))),FALSE())))</f>
        <v>0.3</v>
      </c>
      <c r="CM20" s="312" t="n">
        <f aca="false">IF(A20="N/A"," ",(VLOOKUP(A20,IntraPowerVol,(IF(VolBMO=2,3,IF(VolBMO=1,2,4))),FALSE())*VLOOKUP(MONTH($A20),Volscale,2)))</f>
        <v>0.5</v>
      </c>
      <c r="CN20" s="312" t="n">
        <f aca="false">IF($A20="N/A"," ",IF(VolType=1,CM20,CL20))</f>
        <v>0.5</v>
      </c>
      <c r="CO20" s="312" t="n">
        <f aca="false">IF($A20="N/A"," ",(VLOOKUP($A20,OffPeakVol,(IF(VolBMO=2,7,IF(VolBMO=1,6,8))),FALSE())))</f>
        <v>0.15</v>
      </c>
      <c r="CP20" s="312" t="n">
        <f aca="false">IF($A20="N/A"," ",(VLOOKUP($A20,OffPeakVol,(IF(VolBMO=2,3,IF(VolBMO=1,2,4))),FALSE())*VLOOKUP(MONTH($A20),Volscale,2)))</f>
        <v>0.3</v>
      </c>
      <c r="CQ20" s="312" t="n">
        <f aca="false">IF($A20="N/A"," ",IF(VolType=1,CP20,CO20))</f>
        <v>0.3</v>
      </c>
      <c r="CR20" s="312" t="e">
        <f aca="false">IF($A20="N/A"," ",(VLOOKUP($A20,GasVolTable,(IF(VolBMO=2,6,IF(VolBMO=1,7,5))),FALSE())))</f>
        <v>#N/A</v>
      </c>
      <c r="CS20" s="312" t="e">
        <f aca="false">IF($A20="N/A"," ",(VLOOKUP($A20,OmicronVol,(IF(VolBMO=2,3,IF(VolBMO=1,4,2))),FALSE())))</f>
        <v>#N/A</v>
      </c>
      <c r="CT20" s="312" t="e">
        <f aca="false">IF($A20="N/A"," ",(IF(DateToday&gt;$A20,$CS20,IF(VolType=1,((($CR20^2)*((($A20-1)-DateToday)/((EOMONTH($A20,0)+1)-DateToday-15)))+((($CS20)^2)*((15)/((EOMONTH($A20,0)+1)-DateToday-15))))^0.5,CR20))))</f>
        <v>#N/A</v>
      </c>
      <c r="CU20" s="312" t="n">
        <f aca="false">IF($A20="N/A"," ",IF('Pricing Inputs'!$AR$23=TRUE(),Inputs!$S$22,VLOOKUP($A20,CorrelationTable,2,FALSE())))</f>
        <v>0.75</v>
      </c>
      <c r="CV20" s="313" t="n">
        <f aca="false">IF($A20="N/A"," ",F20+G20+(D20*('Pricing Inputs'!X55)))</f>
        <v>0</v>
      </c>
      <c r="CW20" s="314" t="n">
        <f aca="false">IF($A20="N/A"," ",IF(PV=1,0,'Pricing Inputs'!Y55))</f>
        <v>2</v>
      </c>
      <c r="CX20" s="315" t="n">
        <f aca="false">IF($A20="N/A"," ",(1+CW20/2)^(-2*((EOMONTH(A20,0)+20)-DateToday)/365.25))</f>
        <v>40316644225327.3</v>
      </c>
      <c r="CY20" s="316" t="n">
        <f aca="false">IF($A20="N/A"," ",(IF(MONTH(A20)&gt;=4,IF(MONTH(A20)&lt;=10,Inputs!$S$26,Inputs!$S$27),Inputs!$S$27))*$CX20)</f>
        <v>4958947239715255</v>
      </c>
      <c r="CZ20" s="317" t="e">
        <f aca="false">IF($A20="N/A"," ",BK20+BL20+BN20+BO20+BQ20+BR20)</f>
        <v>#N/A</v>
      </c>
      <c r="DA20" s="318" t="e">
        <f aca="false">IF($A20="N/A"," ",BM20+BP20+BS20)</f>
        <v>#N/A</v>
      </c>
      <c r="DB20" s="319" t="e">
        <f aca="false">IF($A20="N/A"," ",BT20+BU20+BW20+BX20+BZ20+CA20)</f>
        <v>#N/A</v>
      </c>
      <c r="DC20" s="319" t="e">
        <f aca="false">IF($A20="N/A"," ",BV20+BY20+CB20)</f>
        <v>#N/A</v>
      </c>
      <c r="DD20" s="320" t="e">
        <f aca="false">IF($A20="N/A"," ",SUM(CC20:CK20))</f>
        <v>#N/A</v>
      </c>
      <c r="DE20" s="321" t="n">
        <f aca="false">IF($A20="N/A"," ",VLOOKUP($A20,NumberofDaysTable,2)*Availability)</f>
        <v>19.8</v>
      </c>
      <c r="DF20" s="94" t="n">
        <f aca="false">IF($A20="N/A"," ",VLOOKUP($A20,NumberofDaysTable,3)*Availability)</f>
        <v>3.6</v>
      </c>
      <c r="DG20" s="322" t="n">
        <f aca="false">IF($A20="N/A"," ",VLOOKUP($A20,NumberofDaysTable,4)*Availability)</f>
        <v>4.5</v>
      </c>
      <c r="DH20" s="323" t="n">
        <f aca="false">IF($A20="N/A"," ",IF(Option=1,$D20*Inputs!$S$15*SUM(AS20:BA20),0))</f>
        <v>0</v>
      </c>
      <c r="DI20" s="324" t="n">
        <f aca="false">IF($A20="N/A"," ",IF(Option=1,$D20*Inputs!$S$16*SUM(AS20:BA20),0))</f>
        <v>0</v>
      </c>
      <c r="DJ20" s="325" t="n">
        <f aca="false">IF($A20="N/A"," ",SUM(AS20:AT20))</f>
        <v>1.57099448554179E+018</v>
      </c>
      <c r="DK20" s="325" t="n">
        <f aca="false">IF($A20="N/A"," ",SUM(AU20:BA20))</f>
        <v>1.74951658617154E+018</v>
      </c>
      <c r="DL20" s="325" t="e">
        <f aca="false">IF($A20="N/A"," ",SUM(BB20:BC20))</f>
        <v>#N/A</v>
      </c>
      <c r="DM20" s="325" t="e">
        <f aca="false">IF($A20="N/A"," ",SUM(BD20:BJ20))</f>
        <v>#N/A</v>
      </c>
    </row>
    <row r="21" customFormat="false" ht="12.75" hidden="false" customHeight="false" outlineLevel="0" collapsed="false">
      <c r="A21" s="282" t="n">
        <f aca="false">IF(A20="N/A","N/A",IF(EDATE(A20,1)&gt;Inputs!$S$5,"N/A",EDATE(A20,1)))</f>
        <v>37653</v>
      </c>
      <c r="B21" s="283" t="n">
        <f aca="false">IF(A21="N/A"," ",YEAR(A21))</f>
        <v>2003</v>
      </c>
      <c r="C21" s="284" t="e">
        <f aca="false">IF(A21="N/A"," ",VLOOKUP(A21,ScaledPrice,14))</f>
        <v>#N/A</v>
      </c>
      <c r="D21" s="285" t="n">
        <f aca="false">IF(A21="N/A"," ",(VLOOKUP(MONTH($A21),Hrtable,2))/1000)</f>
        <v>9.5</v>
      </c>
      <c r="E21" s="286" t="e">
        <f aca="false">IF($A21="N/A"," ",(C21)*D21)</f>
        <v>#N/A</v>
      </c>
      <c r="F21" s="287" t="n">
        <f aca="false">IF(A21="N/A"," ",VOM*(1+VOMesc)^(YEAR(A21)-YEAR(Today)))</f>
        <v>0</v>
      </c>
      <c r="G21" s="287" t="n">
        <f aca="false">IF(A21="N/A"," ",Perstart/VLOOKUP(Dayrun,'Pricing Inputs'!$AQ$4:$AS$14,3)/(CY21/CX21))</f>
        <v>0</v>
      </c>
      <c r="H21" s="288" t="e">
        <f aca="false">IF(A21="N/A"," ",SUM(E21:G21))</f>
        <v>#N/A</v>
      </c>
      <c r="I21" s="289" t="n">
        <f aca="false">VLOOKUP($A21,ScaledPrice,6)</f>
        <v>33.0357147216797</v>
      </c>
      <c r="J21" s="290" t="n">
        <f aca="false">VLOOKUP($A21,ScaledPrice,10)</f>
        <v>33.0357147216797</v>
      </c>
      <c r="K21" s="290" t="n">
        <f aca="false">VLOOKUP($A21,ScaledPrice,13)</f>
        <v>20.3899993896484</v>
      </c>
      <c r="L21" s="290" t="n">
        <f aca="false">VLOOKUP($A21,ScaledPrice,7)</f>
        <v>31.765998840332</v>
      </c>
      <c r="M21" s="290" t="n">
        <f aca="false">VLOOKUP($A21,ScaledPrice,11)</f>
        <v>31.765998840332</v>
      </c>
      <c r="N21" s="290" t="n">
        <f aca="false">VLOOKUP($A21,ScaledPrice,13)</f>
        <v>20.3899993896484</v>
      </c>
      <c r="O21" s="290" t="n">
        <f aca="false">VLOOKUP($A21,ScaledPrice,8)</f>
        <v>23.2664985656738</v>
      </c>
      <c r="P21" s="290" t="n">
        <f aca="false">VLOOKUP($A21,ScaledPrice,12)</f>
        <v>23.2664985656738</v>
      </c>
      <c r="Q21" s="291" t="n">
        <f aca="false">VLOOKUP($A21,ScaledPrice,13)</f>
        <v>20.3899993896484</v>
      </c>
      <c r="R21" s="292" t="e">
        <f aca="false">IF($A21="N/A"," ",IF(Dayrun&gt;=3,IF(Option=1,MAX($I21-$H21,0),IF(Option=2,MAX($H21-$I21,0),0)),0))</f>
        <v>#N/A</v>
      </c>
      <c r="S21" s="286" t="e">
        <f aca="false">IF($A21="N/A"," ",IF(Dayrun&gt;=6,IF(Option=1,MAX($J21-H21,0),IF(Option=2,MAX(H21-$J21,0),0)),0))</f>
        <v>#N/A</v>
      </c>
      <c r="T21" s="286" t="e">
        <f aca="false">IF($A21="N/A"," ",IF(OR(Dayrun&lt;=2,Dayrun&gt;=9),IF(Option=1,MAX($K21-$H21,0),IF(Option=2,MAX($H21-$K21,0),0)),0))</f>
        <v>#N/A</v>
      </c>
      <c r="U21" s="286" t="e">
        <f aca="false">IF($A21="N/A"," ",IF(OR(Dayrun=1,Dayrun=4,Dayrun=5,Dayrun=7,Dayrun=8,Dayrun=10,Dayrun=11),IF(Option=1,MAX($L21-H21,0),IF(Option=2,MAX(H21-$L21,0),0)),0))</f>
        <v>#N/A</v>
      </c>
      <c r="V21" s="286" t="e">
        <f aca="false">IF($A21="N/A"," ",IF(OR(Dayrun=1,Dayrun=7,Dayrun=8,Dayrun=10,Dayrun=11),IF(Option=1,MAX($M21-H21,0),IF(Option=2,MAX(H21-$M21,0),0)),0))</f>
        <v>#N/A</v>
      </c>
      <c r="W21" s="286" t="e">
        <f aca="false">IF($A21="N/A"," ",IF(OR(Dayrun&lt;=2,Dayrun&gt;=10),IF(Option=1,MAX($N21-$H21,0),IF(Option=2,MAX($H21-$N21,0),0)),0))</f>
        <v>#N/A</v>
      </c>
      <c r="X21" s="286" t="e">
        <f aca="false">IF($A21="N/A"," ",IF(OR(Dayrun=1,Dayrun=5,Dayrun=8,Dayrun=11),IF(Option=1,MAX($O21-H21,0),IF(Option=2,MAX(H21-$O21,0),0)),0))</f>
        <v>#N/A</v>
      </c>
      <c r="Y21" s="286" t="e">
        <f aca="false">IF($A21="N/A"," ",IF(OR(Dayrun=1,Dayrun=8,Dayrun=11),IF(Option=1,MAX($P21-H21,0),IF(Option=2,MAX(H21-$P21,0),0)),0))</f>
        <v>#N/A</v>
      </c>
      <c r="Z21" s="293" t="e">
        <f aca="false">IF($A21="N/A"," ",IF(OR(Dayrun&lt;=2,Dayrun&gt;=11),IF(Option=1,MAX($Q21-$H21,0),IF(Option=2,MAX($H21-$Q21,0),0)),0))</f>
        <v>#N/A</v>
      </c>
      <c r="AA21" s="289" t="e">
        <f aca="false">IF($A21="N/A"," ",IF(Dayrun&gt;=3,(MAX(0,(xSPRDOPT(I21,($E21-'Pricing Inputs'!$X56*$D21),$CV21,0,($CN21+IF(Smile=TRUE(),VLOOKUP(MAX(-5,$H21-I21),Volsmile,2),0)),$CT21,$CU21,($A21-DateToday)+15,ABS(Option-2),0)-R21))),0))</f>
        <v>#N/A</v>
      </c>
      <c r="AB21" s="290" t="e">
        <f aca="false">IF($A21="N/A"," ",IF(Dayrun&gt;=6,MAX(0,(xSPRDOPT(J21,($E21-'Pricing Inputs'!$X56*$D21),$CV21,0,($CN21+IF(Smile=TRUE(),VLOOKUP(MAX(-5,$H21-J21),Volsmile,2),0)),$CT21,$CU21,($A21-DateToday)+15,ABS(Option-2),0)-S21)),0))</f>
        <v>#N/A</v>
      </c>
      <c r="AC21" s="290" t="e">
        <f aca="false">IF($A21="N/A"," ",IF(OR(Dayrun&lt;=2,Dayrun&gt;=9),IF(OffPeakEx=TRUE(),MAX(0,(xSPRDOPT(K21,($E21-'Pricing Inputs'!$X56*$D21),$CV21,0,($CQ21+IF(Smile=TRUE(),VLOOKUP(MAX(-5,$H21-K21),Volsmile,2),0)),$CT21,$CU21,($A21-DateToday)+15,ABS(Option-2),0)-T21)),0),0))</f>
        <v>#N/A</v>
      </c>
      <c r="AD21" s="290" t="e">
        <f aca="false">IF($A21="N/A"," ",IF(OR(Dayrun=1,Dayrun=4,Dayrun=5,Dayrun=7,Dayrun=8,Dayrun=10,Dayrun=11),MAX(0,(xSPRDOPT(L21,($E21-'Pricing Inputs'!$X56*$D21),$CV21,0,($CQ21+IF(Smile=TRUE(),VLOOKUP(MAX(-5,$H21-L21),Volsmile,2),0)),$CT21,$CU21,($A21-DateToday)+15,ABS(Option-2),0)-U21)),0))</f>
        <v>#N/A</v>
      </c>
      <c r="AE21" s="290" t="e">
        <f aca="false">IF($A21="N/A"," ",IF(OR(Dayrun=1,Dayrun=7,Dayrun=8,Dayrun=10,Dayrun=11),MAX(0,(xSPRDOPT(M21,($E21-'Pricing Inputs'!$X56*$D21),$CV21,0,($CQ21+IF(Smile=TRUE(),VLOOKUP(MAX(-5,$H21-M21),Volsmile,2),0)),$CT21,$CU21,($A21-DateToday)+15,ABS(Option-2),0)-V21)),0))</f>
        <v>#N/A</v>
      </c>
      <c r="AF21" s="290" t="e">
        <f aca="false">IF($A21="N/A"," ",IF(OR(Dayrun&lt;=2,Dayrun&gt;=10),IF(OffPeakEx=TRUE(),MAX(0,(xSPRDOPT(N21,($E21-'Pricing Inputs'!$X56*$D21),$CV21,0,($CQ21+IF(Smile=TRUE(),VLOOKUP(MAX(-5,$H21-N21),Volsmile,2),0)),$CT21,$CU21,($A21-DateToday)+15,ABS(Option-2),0)-W21)),0),0))</f>
        <v>#N/A</v>
      </c>
      <c r="AG21" s="290" t="e">
        <f aca="false">IF($A21="N/A"," ",IF(OR(Dayrun=1,Dayrun=5,Dayrun=8,Dayrun=11),MAX(0,(xSPRDOPT(O21,($E21-'Pricing Inputs'!$X56*$D21),$CV21,0,($CQ21+IF(Smile=TRUE(),VLOOKUP(MAX(-5,$H21-O21),Volsmile,2),0)),$CT21,$CU21,($A21-DateToday)+15,ABS(Option-2),0)-X21)),0))</f>
        <v>#N/A</v>
      </c>
      <c r="AH21" s="290" t="e">
        <f aca="false">IF($A21="N/A"," ",IF(OR(Dayrun=1,Dayrun=8,Dayrun=11),MAX(0,(xSPRDOPT(P21,($E21-'Pricing Inputs'!$X56*$D21),$CV21,0,($CQ21+IF(Smile=TRUE(),VLOOKUP(MAX(-5,$H21-P21),Volsmile,2),0)),$CT21,$CU21,($A21-DateToday)+15,ABS(Option-2),0)-Y21)),0))</f>
        <v>#N/A</v>
      </c>
      <c r="AI21" s="290" t="e">
        <f aca="false">IF($A21="N/A"," ",IF(OR(Dayrun&lt;=2,Dayrun&gt;=11),IF(OffPeakEx=TRUE(),MAX(0,(xSPRDOPT(Q21,($E21-'Pricing Inputs'!$X56*$D21),$CV21,0,($CQ21+IF(Smile=TRUE(),VLOOKUP(MAX(-5,$H21-Q21),Volsmile,2),0)),$CT21,$CU21,($A21-DateToday)+15,ABS(Option-2),0)-Z21)),0),0))</f>
        <v>#N/A</v>
      </c>
      <c r="AJ21" s="294" t="e">
        <f aca="false">IF($A21="N/A"," ",IF(Dayrun&gt;=3,IF(Option=1,$I21-$H21,IF(Option=2,$H21-$I21)),0))</f>
        <v>#N/A</v>
      </c>
      <c r="AK21" s="295" t="e">
        <f aca="false">IF($A21="N/A"," ",IF(Dayrun&gt;=6,IF(Option=1,$J21-H21,IF(Option=2,H21-$J21)),0))</f>
        <v>#N/A</v>
      </c>
      <c r="AL21" s="295" t="e">
        <f aca="false">IF($A21="N/A"," ",IF(OR(Dayrun&lt;=2,Dayrun&gt;=9),IF(Option=1,$K21-$H21,IF(Option=2,$H21-$K21)),0))</f>
        <v>#N/A</v>
      </c>
      <c r="AM21" s="295" t="e">
        <f aca="false">IF($A21="N/A"," ",IF(OR(Dayrun=1,Dayrun=4,Dayrun=5,Dayrun=7,Dayrun=8,Dayrun=10,Dayrun=11),IF(Option=1,$L21-H21,IF(Option=2,H21-$L21)),0))</f>
        <v>#N/A</v>
      </c>
      <c r="AN21" s="295" t="e">
        <f aca="false">IF($A21="N/A"," ",IF(OR(Dayrun=1,Dayrun=7,Dayrun=8,Dayrun=10,Dayrun=11),IF(Option=1,$M21-H21,IF(Option=2,H21-$M21)),0))</f>
        <v>#N/A</v>
      </c>
      <c r="AO21" s="295" t="e">
        <f aca="false">IF($A21="N/A"," ",IF(OR(Dayrun&lt;=2,Dayrun&gt;=9),IF(Option=1,$N21-$H21,IF(Option=2,$H21-$N21)),0))</f>
        <v>#N/A</v>
      </c>
      <c r="AP21" s="295" t="e">
        <f aca="false">IF($A21="N/A"," ",IF(OR(Dayrun=1,Dayrun=5,Dayrun=8,Dayrun=11),IF(Option=1,$O21-H21,IF(Option=2,H21-$O21)),0))</f>
        <v>#N/A</v>
      </c>
      <c r="AQ21" s="295" t="e">
        <f aca="false">IF($A21="N/A"," ",IF(OR(Dayrun=1,Dayrun=8,Dayrun=11),IF(Option=1,$P21-H21,IF(Option=2,H21-$P21)),0))</f>
        <v>#N/A</v>
      </c>
      <c r="AR21" s="296" t="e">
        <f aca="false">IF($A21="N/A"," ",IF(OR(Dayrun&lt;=2,Dayrun&gt;=9),IF(Option=1,$Q21-H21,IF(Option=2,H21-$Q21)),0))</f>
        <v>#N/A</v>
      </c>
      <c r="AS21" s="297" t="n">
        <f aca="false">IF($A21="N/A"," ",IF(VLOOKUP(MONTH($A21),ManualTable,2)=1,IF(Dayrun&gt;=3,$DE21*8*$CY21,0),0))</f>
        <v>6.42093343967536E+017</v>
      </c>
      <c r="AT21" s="297" t="n">
        <f aca="false">IF($A21="N/A"," ",IF(VLOOKUP(MONTH($A21),ManualTable,3)=1,IF(Dayrun&gt;=6,$DE21*8*$CY21,0),0))</f>
        <v>6.42093343967536E+017</v>
      </c>
      <c r="AU21" s="297" t="n">
        <f aca="false">IF($A21="N/A"," ",IF(VLOOKUP(MONTH($A21),ManualTable,4)=1,IF(OR(Dayrun&lt;=2,Dayrun&gt;=9),$DE21*8*$CY21,0),0))</f>
        <v>6.42093343967536E+017</v>
      </c>
      <c r="AV21" s="297" t="n">
        <f aca="false">IF($A21="N/A"," ",IF(VLOOKUP(MONTH($A21),ManualTable,5)=1,IF(OR(Dayrun=1,Dayrun=4,Dayrun=5,Dayrun=7,Dayrun=8,Dayrun=10,Dayrun=11),$DF21*8*$CY21,0),0))</f>
        <v>1.28418668793507E+017</v>
      </c>
      <c r="AW21" s="297" t="n">
        <f aca="false">IF($A21="N/A"," ",IF(VLOOKUP(MONTH($A21),ManualTable,6)=1,IF(OR(Dayrun=1,Dayrun=7,Dayrun=8,Dayrun=10,Dayrun=11),$DF21*8*$CY21,0),0))</f>
        <v>1.28418668793507E+017</v>
      </c>
      <c r="AX21" s="297" t="n">
        <f aca="false">IF($A21="N/A"," ",IF(VLOOKUP(MONTH($A21),ManualTable,7)=1,IF(OR(Dayrun&lt;=2,Dayrun&gt;=9),$DF21*8*$CY21,0),0))</f>
        <v>1.28418668793507E+017</v>
      </c>
      <c r="AY21" s="297" t="n">
        <f aca="false">IF($A21="N/A"," ",IF(VLOOKUP(MONTH($A21),ManualTable,8)=1,IF(OR(Dayrun=1,Dayrun=5,Dayrun=8,Dayrun=11),$DG21*8*$CY21,0),0))</f>
        <v>1.28418668793507E+017</v>
      </c>
      <c r="AZ21" s="297" t="n">
        <f aca="false">IF($A21="N/A"," ",IF(VLOOKUP(MONTH($A21),ManualTable,9)=1,IF(OR(Dayrun=1,Dayrun=8,Dayrun=11),$DG21*8*$CY21,0),0))</f>
        <v>1.28418668793507E+017</v>
      </c>
      <c r="BA21" s="298" t="n">
        <f aca="false">IF($A21="N/A"," ",IF(VLOOKUP(MONTH($A21),ManualTable,10)=1,IF(OR(Dayrun&lt;=2,Dayrun&gt;=9),$DG21*8*$CY21,0),0))</f>
        <v>1.28418668793507E+017</v>
      </c>
      <c r="BB21" s="299" t="e">
        <f aca="false">IF($A21="N/A"," ",IF(Dayrun&gt;=3,(MAX(0,(xSPRDOPT(I21,($E21-'Pricing Inputs'!$X56*$D21),$CV21,0,($CN21+IF(Smile=TRUE(),VLOOKUP(MAX(-5,$H21-I21),Volsmile,2),0)),$CT21,$CU21,($A21-DateToday)+15,ABS(Option-2),1)*DE21*8))),0))</f>
        <v>#N/A</v>
      </c>
      <c r="BC21" s="300" t="e">
        <f aca="false">IF($A21="N/A"," ",IF(Dayrun&gt;=6,MAX(0,(xSPRDOPT(J21,($E21-'Pricing Inputs'!$X56*$D21),$CV21,0,($CN21+IF(Smile=TRUE(),VLOOKUP(MAX(-5,$H21-J21),Volsmile,2),0)),$CT21,$CU21,($A21-DateToday)+15,ABS(Option-2),1)*DE21*8)),0))</f>
        <v>#N/A</v>
      </c>
      <c r="BD21" s="300" t="e">
        <f aca="false">IF($A21="N/A"," ",IF(OR(Dayrun&lt;=2,Dayrun&gt;=9),IF(OffPeakEx=TRUE(),MAX(0,(xSPRDOPT(K21,($E21-'Pricing Inputs'!$X56*$D21),$CV21,0,($CQ21+IF(Smile=TRUE(),VLOOKUP(MAX(-5,$H21-K21),Volsmile,2),0)),$CT21,$CU21,($A21-DateToday)+15,ABS(Option-2),1)*DE21*8)),0),0))</f>
        <v>#N/A</v>
      </c>
      <c r="BE21" s="300" t="e">
        <f aca="false">IF($A21="N/A"," ",IF(OR(Dayrun=1,Dayrun=4,Dayrun=5,Dayrun=7,Dayrun=8,Dayrun=10,Dayrun=11),MAX(0,(xSPRDOPT(L21,($E21-'Pricing Inputs'!$X56*$D21),$CV21,0,($CQ21+IF(Smile=TRUE(),VLOOKUP(MAX(-5,$H21-L21),Volsmile,2),0)),$CT21,$CU21,($A21-DateToday)+15,ABS(Option-2),1)*DF21*8)),0))</f>
        <v>#N/A</v>
      </c>
      <c r="BF21" s="300" t="e">
        <f aca="false">IF($A21="N/A"," ",IF(OR(Dayrun=1,Dayrun=7,Dayrun=8,Dayrun=10,Dayrun=11),MAX(0,(xSPRDOPT(M21,($E21-'Pricing Inputs'!$X56*$D21),$CV21,0,($CQ21+IF(Smile=TRUE(),VLOOKUP(MAX(-5,$H21-M21),Volsmile,2),0)),$CT21,$CU21,($A21-DateToday)+15,ABS(Option-2),1)*DF21*8)),0))</f>
        <v>#N/A</v>
      </c>
      <c r="BG21" s="300" t="e">
        <f aca="false">IF($A21="N/A"," ",IF(OR(Dayrun&lt;=2,Dayrun&gt;=10),IF(OffPeakEx=TRUE(),MAX(0,(xSPRDOPT(N21,($E21-'Pricing Inputs'!$X56*$D21),$CV21,0,($CQ21+IF(Smile=TRUE(),VLOOKUP(MAX(-5,$H21-N21),Volsmile,2),0)),$CT21,$CU21,($A21-DateToday)+15,ABS(Option-2),1)*DF21*8)),0),0))</f>
        <v>#N/A</v>
      </c>
      <c r="BH21" s="300" t="e">
        <f aca="false">IF($A21="N/A"," ",IF(OR(Dayrun=1,Dayrun=5,Dayrun=8,Dayrun=11),MAX(0,(xSPRDOPT(O21,($E21-'Pricing Inputs'!$X56*$D21),$CV21,0,($CQ21+IF(Smile=TRUE(),VLOOKUP(MAX(-5,$H21-O21),Volsmile,2),0)),$CT21,$CU21,($A21-DateToday)+15,ABS(Option-2),1)*DG21*8)),0))</f>
        <v>#N/A</v>
      </c>
      <c r="BI21" s="300" t="e">
        <f aca="false">IF($A21="N/A"," ",IF(OR(Dayrun=1,Dayrun=8,Dayrun=11),MAX(0,(xSPRDOPT(P21,($E21-'Pricing Inputs'!$X56*$D21),$CV21,0,($CQ21+IF(Smile=TRUE(),VLOOKUP(MAX(-5,$H21-P21),Volsmile,2),0)),$CT21,$CU21,($A21-DateToday)+15,ABS(Option-2),1)*DG21*8)),0))</f>
        <v>#N/A</v>
      </c>
      <c r="BJ21" s="301" t="e">
        <f aca="false">IF($A21="N/A"," ",IF(OR(Dayrun&lt;=2,Dayrun&gt;=11),IF(OffPeakEx=TRUE(),MAX(0,(xSPRDOPT(Q21,($E21-'Pricing Inputs'!$X56*$D21),$CV21,0,($CQ21+IF(Smile=TRUE(),VLOOKUP(MAX(-5,$H21-Q21),Volsmile,2),0)),$CT21,$CU21,($A21-DateToday)+15,ABS(Option-2),1)*DG21*8)),0),0))</f>
        <v>#N/A</v>
      </c>
      <c r="BK21" s="302" t="e">
        <f aca="false">IF($A21="N/A"," ",R21*$AS21)</f>
        <v>#N/A</v>
      </c>
      <c r="BL21" s="303" t="e">
        <f aca="false">IF($A21="N/A"," ",S21*$AT21)</f>
        <v>#N/A</v>
      </c>
      <c r="BM21" s="303" t="e">
        <f aca="false">IF($A21="N/A"," ",T21*$AU21)</f>
        <v>#N/A</v>
      </c>
      <c r="BN21" s="303" t="e">
        <f aca="false">IF($A21="N/A"," ",U21*$AV21)</f>
        <v>#N/A</v>
      </c>
      <c r="BO21" s="303" t="e">
        <f aca="false">IF($A21="N/A"," ",V21*$AW21)</f>
        <v>#N/A</v>
      </c>
      <c r="BP21" s="303" t="e">
        <f aca="false">IF($A21="N/A"," ",W21*$AX21)</f>
        <v>#N/A</v>
      </c>
      <c r="BQ21" s="303" t="e">
        <f aca="false">IF($A21="N/A"," ",X21*$AY21)</f>
        <v>#N/A</v>
      </c>
      <c r="BR21" s="303" t="e">
        <f aca="false">IF($A21="N/A"," ",Y21*$AZ21)</f>
        <v>#N/A</v>
      </c>
      <c r="BS21" s="304" t="e">
        <f aca="false">IF($A21="N/A"," ",Z21*$BA21)</f>
        <v>#N/A</v>
      </c>
      <c r="BT21" s="305" t="e">
        <f aca="false">IF($A21="N/A"," ",AA21*$AS21)</f>
        <v>#N/A</v>
      </c>
      <c r="BU21" s="306" t="e">
        <f aca="false">IF($A21="N/A"," ",AB21*$AT21)</f>
        <v>#N/A</v>
      </c>
      <c r="BV21" s="306" t="e">
        <f aca="false">IF($A21="N/A"," ",AC21*$AU21)</f>
        <v>#N/A</v>
      </c>
      <c r="BW21" s="306" t="e">
        <f aca="false">IF($A21="N/A"," ",AD21*$AV21)</f>
        <v>#N/A</v>
      </c>
      <c r="BX21" s="306" t="e">
        <f aca="false">IF($A21="N/A"," ",AE21*$AW21)</f>
        <v>#N/A</v>
      </c>
      <c r="BY21" s="306" t="e">
        <f aca="false">IF($A21="N/A"," ",AF21*$AX21)</f>
        <v>#N/A</v>
      </c>
      <c r="BZ21" s="306" t="e">
        <f aca="false">IF($A21="N/A"," ",AG21*$AY21)</f>
        <v>#N/A</v>
      </c>
      <c r="CA21" s="306" t="e">
        <f aca="false">IF($A21="N/A"," ",AH21*$AZ21)</f>
        <v>#N/A</v>
      </c>
      <c r="CB21" s="307" t="e">
        <f aca="false">IF($A21="N/A"," ",AI21*$BA21)</f>
        <v>#N/A</v>
      </c>
      <c r="CC21" s="308" t="e">
        <f aca="false">IF($A21="N/A"," ",AJ21*$AS21)</f>
        <v>#N/A</v>
      </c>
      <c r="CD21" s="309" t="e">
        <f aca="false">IF($A21="N/A"," ",AK21*$AT21)</f>
        <v>#N/A</v>
      </c>
      <c r="CE21" s="309" t="e">
        <f aca="false">IF($A21="N/A"," ",AL21*$AU21)</f>
        <v>#N/A</v>
      </c>
      <c r="CF21" s="309" t="e">
        <f aca="false">IF($A21="N/A"," ",AM21*$AV21)</f>
        <v>#N/A</v>
      </c>
      <c r="CG21" s="309" t="e">
        <f aca="false">IF($A21="N/A"," ",AN21*$AW21)</f>
        <v>#N/A</v>
      </c>
      <c r="CH21" s="309" t="e">
        <f aca="false">IF($A21="N/A"," ",AO21*$AX21)</f>
        <v>#N/A</v>
      </c>
      <c r="CI21" s="309" t="e">
        <f aca="false">IF($A21="N/A"," ",AP21*$AY21)</f>
        <v>#N/A</v>
      </c>
      <c r="CJ21" s="309" t="e">
        <f aca="false">IF($A21="N/A"," ",AQ21*$AZ21)</f>
        <v>#N/A</v>
      </c>
      <c r="CK21" s="310" t="e">
        <f aca="false">IF($A21="N/A"," ",AR21*$BA21)</f>
        <v>#N/A</v>
      </c>
      <c r="CL21" s="311" t="n">
        <f aca="false">IF(A21="N/A"," ",(VLOOKUP(A21,PowerVolTable,(IF(VolBMO=2,7,IF(VolBMO=1,6,8))),FALSE())))</f>
        <v>0.3</v>
      </c>
      <c r="CM21" s="312" t="n">
        <f aca="false">IF(A21="N/A"," ",(VLOOKUP(A21,IntraPowerVol,(IF(VolBMO=2,3,IF(VolBMO=1,2,4))),FALSE())*VLOOKUP(MONTH($A21),Volscale,2)))</f>
        <v>0.45</v>
      </c>
      <c r="CN21" s="312" t="n">
        <f aca="false">IF($A21="N/A"," ",IF(VolType=1,CM21,CL21))</f>
        <v>0.45</v>
      </c>
      <c r="CO21" s="312" t="n">
        <f aca="false">IF($A21="N/A"," ",(VLOOKUP($A21,OffPeakVol,(IF(VolBMO=2,7,IF(VolBMO=1,6,8))),FALSE())))</f>
        <v>0.15</v>
      </c>
      <c r="CP21" s="312" t="n">
        <f aca="false">IF($A21="N/A"," ",(VLOOKUP($A21,OffPeakVol,(IF(VolBMO=2,3,IF(VolBMO=1,2,4))),FALSE())*VLOOKUP(MONTH($A21),Volscale,2)))</f>
        <v>0.27</v>
      </c>
      <c r="CQ21" s="312" t="n">
        <f aca="false">IF($A21="N/A"," ",IF(VolType=1,CP21,CO21))</f>
        <v>0.27</v>
      </c>
      <c r="CR21" s="312" t="e">
        <f aca="false">IF($A21="N/A"," ",(VLOOKUP($A21,GasVolTable,(IF(VolBMO=2,6,IF(VolBMO=1,7,5))),FALSE())))</f>
        <v>#N/A</v>
      </c>
      <c r="CS21" s="312" t="e">
        <f aca="false">IF($A21="N/A"," ",(VLOOKUP($A21,OmicronVol,(IF(VolBMO=2,3,IF(VolBMO=1,4,2))),FALSE())))</f>
        <v>#N/A</v>
      </c>
      <c r="CT21" s="312" t="e">
        <f aca="false">IF($A21="N/A"," ",(IF(DateToday&gt;$A21,$CS21,IF(VolType=1,((($CR21^2)*((($A21-1)-DateToday)/((EOMONTH($A21,0)+1)-DateToday-15)))+((($CS21)^2)*((15)/((EOMONTH($A21,0)+1)-DateToday-15))))^0.5,CR21))))</f>
        <v>#N/A</v>
      </c>
      <c r="CU21" s="312" t="n">
        <f aca="false">IF($A21="N/A"," ",IF('Pricing Inputs'!$AR$23=TRUE(),Inputs!$S$22,VLOOKUP($A21,CorrelationTable,2,FALSE())))</f>
        <v>0.75</v>
      </c>
      <c r="CV21" s="313" t="n">
        <f aca="false">IF($A21="N/A"," ",F21+G21+(D21*('Pricing Inputs'!X56)))</f>
        <v>0</v>
      </c>
      <c r="CW21" s="314" t="n">
        <f aca="false">IF($A21="N/A"," ",IF(PV=1,0,'Pricing Inputs'!Y56))</f>
        <v>2</v>
      </c>
      <c r="CX21" s="315" t="n">
        <f aca="false">IF($A21="N/A"," ",(1+CW21/2)^(-2*((EOMONTH(A21,0)+20)-DateToday)/365.25))</f>
        <v>36251882563659.5</v>
      </c>
      <c r="CY21" s="316" t="n">
        <f aca="false">IF($A21="N/A"," ",(IF(MONTH(A21)&gt;=4,IF(MONTH(A21)&lt;=10,Inputs!$S$26,Inputs!$S$27),Inputs!$S$27))*$CX21)</f>
        <v>4458981555330110</v>
      </c>
      <c r="CZ21" s="317" t="e">
        <f aca="false">IF($A21="N/A"," ",BK21+BL21+BN21+BO21+BQ21+BR21)</f>
        <v>#N/A</v>
      </c>
      <c r="DA21" s="318" t="e">
        <f aca="false">IF($A21="N/A"," ",BM21+BP21+BS21)</f>
        <v>#N/A</v>
      </c>
      <c r="DB21" s="319" t="e">
        <f aca="false">IF($A21="N/A"," ",BT21+BU21+BW21+BX21+BZ21+CA21)</f>
        <v>#N/A</v>
      </c>
      <c r="DC21" s="319" t="e">
        <f aca="false">IF($A21="N/A"," ",BV21+BY21+CB21)</f>
        <v>#N/A</v>
      </c>
      <c r="DD21" s="320" t="e">
        <f aca="false">IF($A21="N/A"," ",SUM(CC21:CK21))</f>
        <v>#N/A</v>
      </c>
      <c r="DE21" s="321" t="n">
        <f aca="false">IF($A21="N/A"," ",VLOOKUP($A21,NumberofDaysTable,2)*Availability)</f>
        <v>18</v>
      </c>
      <c r="DF21" s="94" t="n">
        <f aca="false">IF($A21="N/A"," ",VLOOKUP($A21,NumberofDaysTable,3)*Availability)</f>
        <v>3.6</v>
      </c>
      <c r="DG21" s="322" t="n">
        <f aca="false">IF($A21="N/A"," ",VLOOKUP($A21,NumberofDaysTable,4)*Availability)</f>
        <v>3.6</v>
      </c>
      <c r="DH21" s="323" t="n">
        <f aca="false">IF($A21="N/A"," ",IF(Option=1,$D21*Inputs!$S$15*SUM(AS21:BA21),0))</f>
        <v>0</v>
      </c>
      <c r="DI21" s="324" t="n">
        <f aca="false">IF($A21="N/A"," ",IF(Option=1,$D21*Inputs!$S$16*SUM(AS21:BA21),0))</f>
        <v>0</v>
      </c>
      <c r="DJ21" s="325" t="n">
        <f aca="false">IF($A21="N/A"," ",SUM(AS21:AT21))</f>
        <v>1.28418668793507E+018</v>
      </c>
      <c r="DK21" s="325" t="n">
        <f aca="false">IF($A21="N/A"," ",SUM(AU21:BA21))</f>
        <v>1.41260535672858E+018</v>
      </c>
      <c r="DL21" s="325" t="e">
        <f aca="false">IF($A21="N/A"," ",SUM(BB21:BC21))</f>
        <v>#N/A</v>
      </c>
      <c r="DM21" s="325" t="e">
        <f aca="false">IF($A21="N/A"," ",SUM(BD21:BJ21))</f>
        <v>#N/A</v>
      </c>
    </row>
    <row r="22" customFormat="false" ht="12.75" hidden="false" customHeight="false" outlineLevel="0" collapsed="false">
      <c r="A22" s="282" t="n">
        <f aca="false">IF(A21="N/A","N/A",IF(EDATE(A21,1)&gt;Inputs!$S$5,"N/A",EDATE(A21,1)))</f>
        <v>37681</v>
      </c>
      <c r="B22" s="283" t="n">
        <f aca="false">IF(A22="N/A"," ",YEAR(A22))</f>
        <v>2003</v>
      </c>
      <c r="C22" s="284" t="e">
        <f aca="false">IF(A22="N/A"," ",VLOOKUP(A22,ScaledPrice,14))</f>
        <v>#N/A</v>
      </c>
      <c r="D22" s="285" t="n">
        <f aca="false">IF(A22="N/A"," ",(VLOOKUP(MONTH($A22),Hrtable,2))/1000)</f>
        <v>9.5</v>
      </c>
      <c r="E22" s="286" t="e">
        <f aca="false">IF($A22="N/A"," ",(C22)*D22)</f>
        <v>#N/A</v>
      </c>
      <c r="F22" s="287" t="n">
        <f aca="false">IF(A22="N/A"," ",VOM*(1+VOMesc)^(YEAR(A22)-YEAR(Today)))</f>
        <v>0</v>
      </c>
      <c r="G22" s="287" t="n">
        <f aca="false">IF(A22="N/A"," ",Perstart/VLOOKUP(Dayrun,'Pricing Inputs'!$AQ$4:$AS$14,3)/(CY22/CX22))</f>
        <v>0</v>
      </c>
      <c r="H22" s="288" t="e">
        <f aca="false">IF(A22="N/A"," ",SUM(E22:G22))</f>
        <v>#N/A</v>
      </c>
      <c r="I22" s="289" t="n">
        <f aca="false">VLOOKUP($A22,ScaledPrice,6)</f>
        <v>32.1976783752441</v>
      </c>
      <c r="J22" s="290" t="n">
        <f aca="false">VLOOKUP($A22,ScaledPrice,10)</f>
        <v>32.1976783752441</v>
      </c>
      <c r="K22" s="290" t="n">
        <f aca="false">VLOOKUP($A22,ScaledPrice,13)</f>
        <v>21.3899993896484</v>
      </c>
      <c r="L22" s="290" t="n">
        <f aca="false">VLOOKUP($A22,ScaledPrice,7)</f>
        <v>26.0199966430664</v>
      </c>
      <c r="M22" s="290" t="n">
        <f aca="false">VLOOKUP($A22,ScaledPrice,11)</f>
        <v>26.0199966430664</v>
      </c>
      <c r="N22" s="290" t="n">
        <f aca="false">VLOOKUP($A22,ScaledPrice,13)</f>
        <v>21.3899993896484</v>
      </c>
      <c r="O22" s="290" t="n">
        <f aca="false">VLOOKUP($A22,ScaledPrice,8)</f>
        <v>20.5199966430664</v>
      </c>
      <c r="P22" s="290" t="n">
        <f aca="false">VLOOKUP($A22,ScaledPrice,12)</f>
        <v>20.5199966430664</v>
      </c>
      <c r="Q22" s="291" t="n">
        <f aca="false">VLOOKUP($A22,ScaledPrice,13)</f>
        <v>21.3899993896484</v>
      </c>
      <c r="R22" s="292" t="e">
        <f aca="false">IF($A22="N/A"," ",IF(Dayrun&gt;=3,IF(Option=1,MAX($I22-$H22,0),IF(Option=2,MAX($H22-$I22,0),0)),0))</f>
        <v>#N/A</v>
      </c>
      <c r="S22" s="286" t="e">
        <f aca="false">IF($A22="N/A"," ",IF(Dayrun&gt;=6,IF(Option=1,MAX($J22-H22,0),IF(Option=2,MAX(H22-$J22,0),0)),0))</f>
        <v>#N/A</v>
      </c>
      <c r="T22" s="286" t="e">
        <f aca="false">IF($A22="N/A"," ",IF(OR(Dayrun&lt;=2,Dayrun&gt;=9),IF(Option=1,MAX($K22-$H22,0),IF(Option=2,MAX($H22-$K22,0),0)),0))</f>
        <v>#N/A</v>
      </c>
      <c r="U22" s="286" t="e">
        <f aca="false">IF($A22="N/A"," ",IF(OR(Dayrun=1,Dayrun=4,Dayrun=5,Dayrun=7,Dayrun=8,Dayrun=10,Dayrun=11),IF(Option=1,MAX($L22-H22,0),IF(Option=2,MAX(H22-$L22,0),0)),0))</f>
        <v>#N/A</v>
      </c>
      <c r="V22" s="286" t="e">
        <f aca="false">IF($A22="N/A"," ",IF(OR(Dayrun=1,Dayrun=7,Dayrun=8,Dayrun=10,Dayrun=11),IF(Option=1,MAX($M22-H22,0),IF(Option=2,MAX(H22-$M22,0),0)),0))</f>
        <v>#N/A</v>
      </c>
      <c r="W22" s="286" t="e">
        <f aca="false">IF($A22="N/A"," ",IF(OR(Dayrun&lt;=2,Dayrun&gt;=10),IF(Option=1,MAX($N22-$H22,0),IF(Option=2,MAX($H22-$N22,0),0)),0))</f>
        <v>#N/A</v>
      </c>
      <c r="X22" s="286" t="e">
        <f aca="false">IF($A22="N/A"," ",IF(OR(Dayrun=1,Dayrun=5,Dayrun=8,Dayrun=11),IF(Option=1,MAX($O22-H22,0),IF(Option=2,MAX(H22-$O22,0),0)),0))</f>
        <v>#N/A</v>
      </c>
      <c r="Y22" s="286" t="e">
        <f aca="false">IF($A22="N/A"," ",IF(OR(Dayrun=1,Dayrun=8,Dayrun=11),IF(Option=1,MAX($P22-H22,0),IF(Option=2,MAX(H22-$P22,0),0)),0))</f>
        <v>#N/A</v>
      </c>
      <c r="Z22" s="293" t="e">
        <f aca="false">IF($A22="N/A"," ",IF(OR(Dayrun&lt;=2,Dayrun&gt;=11),IF(Option=1,MAX($Q22-$H22,0),IF(Option=2,MAX($H22-$Q22,0),0)),0))</f>
        <v>#N/A</v>
      </c>
      <c r="AA22" s="289" t="e">
        <f aca="false">IF($A22="N/A"," ",IF(Dayrun&gt;=3,(MAX(0,(xSPRDOPT(I22,($E22-'Pricing Inputs'!$X57*$D22),$CV22,0,($CN22+IF(Smile=TRUE(),VLOOKUP(MAX(-5,$H22-I22),Volsmile,2),0)),$CT22,$CU22,($A22-DateToday)+15,ABS(Option-2),0)-R22))),0))</f>
        <v>#N/A</v>
      </c>
      <c r="AB22" s="290" t="e">
        <f aca="false">IF($A22="N/A"," ",IF(Dayrun&gt;=6,MAX(0,(xSPRDOPT(J22,($E22-'Pricing Inputs'!$X57*$D22),$CV22,0,($CN22+IF(Smile=TRUE(),VLOOKUP(MAX(-5,$H22-J22),Volsmile,2),0)),$CT22,$CU22,($A22-DateToday)+15,ABS(Option-2),0)-S22)),0))</f>
        <v>#N/A</v>
      </c>
      <c r="AC22" s="290" t="e">
        <f aca="false">IF($A22="N/A"," ",IF(OR(Dayrun&lt;=2,Dayrun&gt;=9),IF(OffPeakEx=TRUE(),MAX(0,(xSPRDOPT(K22,($E22-'Pricing Inputs'!$X57*$D22),$CV22,0,($CQ22+IF(Smile=TRUE(),VLOOKUP(MAX(-5,$H22-K22),Volsmile,2),0)),$CT22,$CU22,($A22-DateToday)+15,ABS(Option-2),0)-T22)),0),0))</f>
        <v>#N/A</v>
      </c>
      <c r="AD22" s="290" t="e">
        <f aca="false">IF($A22="N/A"," ",IF(OR(Dayrun=1,Dayrun=4,Dayrun=5,Dayrun=7,Dayrun=8,Dayrun=10,Dayrun=11),MAX(0,(xSPRDOPT(L22,($E22-'Pricing Inputs'!$X57*$D22),$CV22,0,($CQ22+IF(Smile=TRUE(),VLOOKUP(MAX(-5,$H22-L22),Volsmile,2),0)),$CT22,$CU22,($A22-DateToday)+15,ABS(Option-2),0)-U22)),0))</f>
        <v>#N/A</v>
      </c>
      <c r="AE22" s="290" t="e">
        <f aca="false">IF($A22="N/A"," ",IF(OR(Dayrun=1,Dayrun=7,Dayrun=8,Dayrun=10,Dayrun=11),MAX(0,(xSPRDOPT(M22,($E22-'Pricing Inputs'!$X57*$D22),$CV22,0,($CQ22+IF(Smile=TRUE(),VLOOKUP(MAX(-5,$H22-M22),Volsmile,2),0)),$CT22,$CU22,($A22-DateToday)+15,ABS(Option-2),0)-V22)),0))</f>
        <v>#N/A</v>
      </c>
      <c r="AF22" s="290" t="e">
        <f aca="false">IF($A22="N/A"," ",IF(OR(Dayrun&lt;=2,Dayrun&gt;=10),IF(OffPeakEx=TRUE(),MAX(0,(xSPRDOPT(N22,($E22-'Pricing Inputs'!$X57*$D22),$CV22,0,($CQ22+IF(Smile=TRUE(),VLOOKUP(MAX(-5,$H22-N22),Volsmile,2),0)),$CT22,$CU22,($A22-DateToday)+15,ABS(Option-2),0)-W22)),0),0))</f>
        <v>#N/A</v>
      </c>
      <c r="AG22" s="290" t="e">
        <f aca="false">IF($A22="N/A"," ",IF(OR(Dayrun=1,Dayrun=5,Dayrun=8,Dayrun=11),MAX(0,(xSPRDOPT(O22,($E22-'Pricing Inputs'!$X57*$D22),$CV22,0,($CQ22+IF(Smile=TRUE(),VLOOKUP(MAX(-5,$H22-O22),Volsmile,2),0)),$CT22,$CU22,($A22-DateToday)+15,ABS(Option-2),0)-X22)),0))</f>
        <v>#N/A</v>
      </c>
      <c r="AH22" s="290" t="e">
        <f aca="false">IF($A22="N/A"," ",IF(OR(Dayrun=1,Dayrun=8,Dayrun=11),MAX(0,(xSPRDOPT(P22,($E22-'Pricing Inputs'!$X57*$D22),$CV22,0,($CQ22+IF(Smile=TRUE(),VLOOKUP(MAX(-5,$H22-P22),Volsmile,2),0)),$CT22,$CU22,($A22-DateToday)+15,ABS(Option-2),0)-Y22)),0))</f>
        <v>#N/A</v>
      </c>
      <c r="AI22" s="290" t="e">
        <f aca="false">IF($A22="N/A"," ",IF(OR(Dayrun&lt;=2,Dayrun&gt;=11),IF(OffPeakEx=TRUE(),MAX(0,(xSPRDOPT(Q22,($E22-'Pricing Inputs'!$X57*$D22),$CV22,0,($CQ22+IF(Smile=TRUE(),VLOOKUP(MAX(-5,$H22-Q22),Volsmile,2),0)),$CT22,$CU22,($A22-DateToday)+15,ABS(Option-2),0)-Z22)),0),0))</f>
        <v>#N/A</v>
      </c>
      <c r="AJ22" s="294" t="e">
        <f aca="false">IF($A22="N/A"," ",IF(Dayrun&gt;=3,IF(Option=1,$I22-$H22,IF(Option=2,$H22-$I22)),0))</f>
        <v>#N/A</v>
      </c>
      <c r="AK22" s="295" t="e">
        <f aca="false">IF($A22="N/A"," ",IF(Dayrun&gt;=6,IF(Option=1,$J22-H22,IF(Option=2,H22-$J22)),0))</f>
        <v>#N/A</v>
      </c>
      <c r="AL22" s="295" t="e">
        <f aca="false">IF($A22="N/A"," ",IF(OR(Dayrun&lt;=2,Dayrun&gt;=9),IF(Option=1,$K22-$H22,IF(Option=2,$H22-$K22)),0))</f>
        <v>#N/A</v>
      </c>
      <c r="AM22" s="295" t="e">
        <f aca="false">IF($A22="N/A"," ",IF(OR(Dayrun=1,Dayrun=4,Dayrun=5,Dayrun=7,Dayrun=8,Dayrun=10,Dayrun=11),IF(Option=1,$L22-H22,IF(Option=2,H22-$L22)),0))</f>
        <v>#N/A</v>
      </c>
      <c r="AN22" s="295" t="e">
        <f aca="false">IF($A22="N/A"," ",IF(OR(Dayrun=1,Dayrun=7,Dayrun=8,Dayrun=10,Dayrun=11),IF(Option=1,$M22-H22,IF(Option=2,H22-$M22)),0))</f>
        <v>#N/A</v>
      </c>
      <c r="AO22" s="295" t="e">
        <f aca="false">IF($A22="N/A"," ",IF(OR(Dayrun&lt;=2,Dayrun&gt;=9),IF(Option=1,$N22-$H22,IF(Option=2,$H22-$N22)),0))</f>
        <v>#N/A</v>
      </c>
      <c r="AP22" s="295" t="e">
        <f aca="false">IF($A22="N/A"," ",IF(OR(Dayrun=1,Dayrun=5,Dayrun=8,Dayrun=11),IF(Option=1,$O22-H22,IF(Option=2,H22-$O22)),0))</f>
        <v>#N/A</v>
      </c>
      <c r="AQ22" s="295" t="e">
        <f aca="false">IF($A22="N/A"," ",IF(OR(Dayrun=1,Dayrun=8,Dayrun=11),IF(Option=1,$P22-H22,IF(Option=2,H22-$P22)),0))</f>
        <v>#N/A</v>
      </c>
      <c r="AR22" s="296" t="e">
        <f aca="false">IF($A22="N/A"," ",IF(OR(Dayrun&lt;=2,Dayrun&gt;=9),IF(Option=1,$Q22-H22,IF(Option=2,H22-$Q22)),0))</f>
        <v>#N/A</v>
      </c>
      <c r="AS22" s="297" t="n">
        <f aca="false">IF($A22="N/A"," ",IF(VLOOKUP(MONTH($A22),ManualTable,2)=1,IF(Dayrun&gt;=3,$DE22*8*$CY22,0),0))</f>
        <v>5.99361170719861E+017</v>
      </c>
      <c r="AT22" s="297" t="n">
        <f aca="false">IF($A22="N/A"," ",IF(VLOOKUP(MONTH($A22),ManualTable,3)=1,IF(Dayrun&gt;=6,$DE22*8*$CY22,0),0))</f>
        <v>5.99361170719861E+017</v>
      </c>
      <c r="AU22" s="297" t="n">
        <f aca="false">IF($A22="N/A"," ",IF(VLOOKUP(MONTH($A22),ManualTable,4)=1,IF(OR(Dayrun&lt;=2,Dayrun&gt;=9),$DE22*8*$CY22,0),0))</f>
        <v>5.99361170719861E+017</v>
      </c>
      <c r="AV22" s="297" t="n">
        <f aca="false">IF($A22="N/A"," ",IF(VLOOKUP(MONTH($A22),ManualTable,5)=1,IF(OR(Dayrun=1,Dayrun=4,Dayrun=5,Dayrun=7,Dayrun=8,Dayrun=10,Dayrun=11),$DF22*8*$CY22,0),0))</f>
        <v>1.42705040647586E+017</v>
      </c>
      <c r="AW22" s="297" t="n">
        <f aca="false">IF($A22="N/A"," ",IF(VLOOKUP(MONTH($A22),ManualTable,6)=1,IF(OR(Dayrun=1,Dayrun=7,Dayrun=8,Dayrun=10,Dayrun=11),$DF22*8*$CY22,0),0))</f>
        <v>1.42705040647586E+017</v>
      </c>
      <c r="AX22" s="297" t="n">
        <f aca="false">IF($A22="N/A"," ",IF(VLOOKUP(MONTH($A22),ManualTable,7)=1,IF(OR(Dayrun&lt;=2,Dayrun&gt;=9),$DF22*8*$CY22,0),0))</f>
        <v>1.42705040647586E+017</v>
      </c>
      <c r="AY22" s="297" t="n">
        <f aca="false">IF($A22="N/A"," ",IF(VLOOKUP(MONTH($A22),ManualTable,8)=1,IF(OR(Dayrun=1,Dayrun=5,Dayrun=8,Dayrun=11),$DG22*8*$CY22,0),0))</f>
        <v>1.42705040647586E+017</v>
      </c>
      <c r="AZ22" s="297" t="n">
        <f aca="false">IF($A22="N/A"," ",IF(VLOOKUP(MONTH($A22),ManualTable,9)=1,IF(OR(Dayrun=1,Dayrun=8,Dayrun=11),$DG22*8*$CY22,0),0))</f>
        <v>1.42705040647586E+017</v>
      </c>
      <c r="BA22" s="298" t="n">
        <f aca="false">IF($A22="N/A"," ",IF(VLOOKUP(MONTH($A22),ManualTable,10)=1,IF(OR(Dayrun&lt;=2,Dayrun&gt;=9),$DG22*8*$CY22,0),0))</f>
        <v>1.42705040647586E+017</v>
      </c>
      <c r="BB22" s="299" t="e">
        <f aca="false">IF($A22="N/A"," ",IF(Dayrun&gt;=3,(MAX(0,(xSPRDOPT(I22,($E22-'Pricing Inputs'!$X57*$D22),$CV22,0,($CN22+IF(Smile=TRUE(),VLOOKUP(MAX(-5,$H22-I22),Volsmile,2),0)),$CT22,$CU22,($A22-DateToday)+15,ABS(Option-2),1)*DE22*8))),0))</f>
        <v>#N/A</v>
      </c>
      <c r="BC22" s="300" t="e">
        <f aca="false">IF($A22="N/A"," ",IF(Dayrun&gt;=6,MAX(0,(xSPRDOPT(J22,($E22-'Pricing Inputs'!$X57*$D22),$CV22,0,($CN22+IF(Smile=TRUE(),VLOOKUP(MAX(-5,$H22-J22),Volsmile,2),0)),$CT22,$CU22,($A22-DateToday)+15,ABS(Option-2),1)*DE22*8)),0))</f>
        <v>#N/A</v>
      </c>
      <c r="BD22" s="300" t="e">
        <f aca="false">IF($A22="N/A"," ",IF(OR(Dayrun&lt;=2,Dayrun&gt;=9),IF(OffPeakEx=TRUE(),MAX(0,(xSPRDOPT(K22,($E22-'Pricing Inputs'!$X57*$D22),$CV22,0,($CQ22+IF(Smile=TRUE(),VLOOKUP(MAX(-5,$H22-K22),Volsmile,2),0)),$CT22,$CU22,($A22-DateToday)+15,ABS(Option-2),1)*DE22*8)),0),0))</f>
        <v>#N/A</v>
      </c>
      <c r="BE22" s="300" t="e">
        <f aca="false">IF($A22="N/A"," ",IF(OR(Dayrun=1,Dayrun=4,Dayrun=5,Dayrun=7,Dayrun=8,Dayrun=10,Dayrun=11),MAX(0,(xSPRDOPT(L22,($E22-'Pricing Inputs'!$X57*$D22),$CV22,0,($CQ22+IF(Smile=TRUE(),VLOOKUP(MAX(-5,$H22-L22),Volsmile,2),0)),$CT22,$CU22,($A22-DateToday)+15,ABS(Option-2),1)*DF22*8)),0))</f>
        <v>#N/A</v>
      </c>
      <c r="BF22" s="300" t="e">
        <f aca="false">IF($A22="N/A"," ",IF(OR(Dayrun=1,Dayrun=7,Dayrun=8,Dayrun=10,Dayrun=11),MAX(0,(xSPRDOPT(M22,($E22-'Pricing Inputs'!$X57*$D22),$CV22,0,($CQ22+IF(Smile=TRUE(),VLOOKUP(MAX(-5,$H22-M22),Volsmile,2),0)),$CT22,$CU22,($A22-DateToday)+15,ABS(Option-2),1)*DF22*8)),0))</f>
        <v>#N/A</v>
      </c>
      <c r="BG22" s="300" t="e">
        <f aca="false">IF($A22="N/A"," ",IF(OR(Dayrun&lt;=2,Dayrun&gt;=10),IF(OffPeakEx=TRUE(),MAX(0,(xSPRDOPT(N22,($E22-'Pricing Inputs'!$X57*$D22),$CV22,0,($CQ22+IF(Smile=TRUE(),VLOOKUP(MAX(-5,$H22-N22),Volsmile,2),0)),$CT22,$CU22,($A22-DateToday)+15,ABS(Option-2),1)*DF22*8)),0),0))</f>
        <v>#N/A</v>
      </c>
      <c r="BH22" s="300" t="e">
        <f aca="false">IF($A22="N/A"," ",IF(OR(Dayrun=1,Dayrun=5,Dayrun=8,Dayrun=11),MAX(0,(xSPRDOPT(O22,($E22-'Pricing Inputs'!$X57*$D22),$CV22,0,($CQ22+IF(Smile=TRUE(),VLOOKUP(MAX(-5,$H22-O22),Volsmile,2),0)),$CT22,$CU22,($A22-DateToday)+15,ABS(Option-2),1)*DG22*8)),0))</f>
        <v>#N/A</v>
      </c>
      <c r="BI22" s="300" t="e">
        <f aca="false">IF($A22="N/A"," ",IF(OR(Dayrun=1,Dayrun=8,Dayrun=11),MAX(0,(xSPRDOPT(P22,($E22-'Pricing Inputs'!$X57*$D22),$CV22,0,($CQ22+IF(Smile=TRUE(),VLOOKUP(MAX(-5,$H22-P22),Volsmile,2),0)),$CT22,$CU22,($A22-DateToday)+15,ABS(Option-2),1)*DG22*8)),0))</f>
        <v>#N/A</v>
      </c>
      <c r="BJ22" s="301" t="e">
        <f aca="false">IF($A22="N/A"," ",IF(OR(Dayrun&lt;=2,Dayrun&gt;=11),IF(OffPeakEx=TRUE(),MAX(0,(xSPRDOPT(Q22,($E22-'Pricing Inputs'!$X57*$D22),$CV22,0,($CQ22+IF(Smile=TRUE(),VLOOKUP(MAX(-5,$H22-Q22),Volsmile,2),0)),$CT22,$CU22,($A22-DateToday)+15,ABS(Option-2),1)*DG22*8)),0),0))</f>
        <v>#N/A</v>
      </c>
      <c r="BK22" s="302" t="e">
        <f aca="false">IF($A22="N/A"," ",R22*$AS22)</f>
        <v>#N/A</v>
      </c>
      <c r="BL22" s="303" t="e">
        <f aca="false">IF($A22="N/A"," ",S22*$AT22)</f>
        <v>#N/A</v>
      </c>
      <c r="BM22" s="303" t="e">
        <f aca="false">IF($A22="N/A"," ",T22*$AU22)</f>
        <v>#N/A</v>
      </c>
      <c r="BN22" s="303" t="e">
        <f aca="false">IF($A22="N/A"," ",U22*$AV22)</f>
        <v>#N/A</v>
      </c>
      <c r="BO22" s="303" t="e">
        <f aca="false">IF($A22="N/A"," ",V22*$AW22)</f>
        <v>#N/A</v>
      </c>
      <c r="BP22" s="303" t="e">
        <f aca="false">IF($A22="N/A"," ",W22*$AX22)</f>
        <v>#N/A</v>
      </c>
      <c r="BQ22" s="303" t="e">
        <f aca="false">IF($A22="N/A"," ",X22*$AY22)</f>
        <v>#N/A</v>
      </c>
      <c r="BR22" s="303" t="e">
        <f aca="false">IF($A22="N/A"," ",Y22*$AZ22)</f>
        <v>#N/A</v>
      </c>
      <c r="BS22" s="304" t="e">
        <f aca="false">IF($A22="N/A"," ",Z22*$BA22)</f>
        <v>#N/A</v>
      </c>
      <c r="BT22" s="305" t="e">
        <f aca="false">IF($A22="N/A"," ",AA22*$AS22)</f>
        <v>#N/A</v>
      </c>
      <c r="BU22" s="306" t="e">
        <f aca="false">IF($A22="N/A"," ",AB22*$AT22)</f>
        <v>#N/A</v>
      </c>
      <c r="BV22" s="306" t="e">
        <f aca="false">IF($A22="N/A"," ",AC22*$AU22)</f>
        <v>#N/A</v>
      </c>
      <c r="BW22" s="306" t="e">
        <f aca="false">IF($A22="N/A"," ",AD22*$AV22)</f>
        <v>#N/A</v>
      </c>
      <c r="BX22" s="306" t="e">
        <f aca="false">IF($A22="N/A"," ",AE22*$AW22)</f>
        <v>#N/A</v>
      </c>
      <c r="BY22" s="306" t="e">
        <f aca="false">IF($A22="N/A"," ",AF22*$AX22)</f>
        <v>#N/A</v>
      </c>
      <c r="BZ22" s="306" t="e">
        <f aca="false">IF($A22="N/A"," ",AG22*$AY22)</f>
        <v>#N/A</v>
      </c>
      <c r="CA22" s="306" t="e">
        <f aca="false">IF($A22="N/A"," ",AH22*$AZ22)</f>
        <v>#N/A</v>
      </c>
      <c r="CB22" s="307" t="e">
        <f aca="false">IF($A22="N/A"," ",AI22*$BA22)</f>
        <v>#N/A</v>
      </c>
      <c r="CC22" s="308" t="e">
        <f aca="false">IF($A22="N/A"," ",AJ22*$AS22)</f>
        <v>#N/A</v>
      </c>
      <c r="CD22" s="309" t="e">
        <f aca="false">IF($A22="N/A"," ",AK22*$AT22)</f>
        <v>#N/A</v>
      </c>
      <c r="CE22" s="309" t="e">
        <f aca="false">IF($A22="N/A"," ",AL22*$AU22)</f>
        <v>#N/A</v>
      </c>
      <c r="CF22" s="309" t="e">
        <f aca="false">IF($A22="N/A"," ",AM22*$AV22)</f>
        <v>#N/A</v>
      </c>
      <c r="CG22" s="309" t="e">
        <f aca="false">IF($A22="N/A"," ",AN22*$AW22)</f>
        <v>#N/A</v>
      </c>
      <c r="CH22" s="309" t="e">
        <f aca="false">IF($A22="N/A"," ",AO22*$AX22)</f>
        <v>#N/A</v>
      </c>
      <c r="CI22" s="309" t="e">
        <f aca="false">IF($A22="N/A"," ",AP22*$AY22)</f>
        <v>#N/A</v>
      </c>
      <c r="CJ22" s="309" t="e">
        <f aca="false">IF($A22="N/A"," ",AQ22*$AZ22)</f>
        <v>#N/A</v>
      </c>
      <c r="CK22" s="310" t="e">
        <f aca="false">IF($A22="N/A"," ",AR22*$BA22)</f>
        <v>#N/A</v>
      </c>
      <c r="CL22" s="311" t="n">
        <f aca="false">IF(A22="N/A"," ",(VLOOKUP(A22,PowerVolTable,(IF(VolBMO=2,7,IF(VolBMO=1,6,8))),FALSE())))</f>
        <v>0.3</v>
      </c>
      <c r="CM22" s="312" t="n">
        <f aca="false">IF(A22="N/A"," ",(VLOOKUP(A22,IntraPowerVol,(IF(VolBMO=2,3,IF(VolBMO=1,2,4))),FALSE())*VLOOKUP(MONTH($A22),Volscale,2)))</f>
        <v>0.45</v>
      </c>
      <c r="CN22" s="312" t="n">
        <f aca="false">IF($A22="N/A"," ",IF(VolType=1,CM22,CL22))</f>
        <v>0.45</v>
      </c>
      <c r="CO22" s="312" t="n">
        <f aca="false">IF($A22="N/A"," ",(VLOOKUP($A22,OffPeakVol,(IF(VolBMO=2,7,IF(VolBMO=1,6,8))),FALSE())))</f>
        <v>0.15</v>
      </c>
      <c r="CP22" s="312" t="n">
        <f aca="false">IF($A22="N/A"," ",(VLOOKUP($A22,OffPeakVol,(IF(VolBMO=2,3,IF(VolBMO=1,2,4))),FALSE())*VLOOKUP(MONTH($A22),Volscale,2)))</f>
        <v>0.27</v>
      </c>
      <c r="CQ22" s="312" t="n">
        <f aca="false">IF($A22="N/A"," ",IF(VolType=1,CP22,CO22))</f>
        <v>0.27</v>
      </c>
      <c r="CR22" s="312" t="e">
        <f aca="false">IF($A22="N/A"," ",(VLOOKUP($A22,GasVolTable,(IF(VolBMO=2,6,IF(VolBMO=1,7,5))),FALSE())))</f>
        <v>#N/A</v>
      </c>
      <c r="CS22" s="312" t="e">
        <f aca="false">IF($A22="N/A"," ",(VLOOKUP($A22,OmicronVol,(IF(VolBMO=2,3,IF(VolBMO=1,4,2))),FALSE())))</f>
        <v>#N/A</v>
      </c>
      <c r="CT22" s="312" t="e">
        <f aca="false">IF($A22="N/A"," ",(IF(DateToday&gt;$A22,$CS22,IF(VolType=1,((($CR22^2)*((($A22-1)-DateToday)/((EOMONTH($A22,0)+1)-DateToday-15)))+((($CS22)^2)*((15)/((EOMONTH($A22,0)+1)-DateToday-15))))^0.5,CR22))))</f>
        <v>#N/A</v>
      </c>
      <c r="CU22" s="312" t="n">
        <f aca="false">IF($A22="N/A"," ",IF('Pricing Inputs'!$AR$23=TRUE(),Inputs!$S$22,VLOOKUP($A22,CorrelationTable,2,FALSE())))</f>
        <v>0.75</v>
      </c>
      <c r="CV22" s="313" t="n">
        <f aca="false">IF($A22="N/A"," ",F22+G22+(D22*('Pricing Inputs'!X57)))</f>
        <v>0</v>
      </c>
      <c r="CW22" s="314" t="n">
        <f aca="false">IF($A22="N/A"," ",IF(PV=1,0,'Pricing Inputs'!Y57))</f>
        <v>2</v>
      </c>
      <c r="CX22" s="315" t="n">
        <f aca="false">IF($A22="N/A"," ",(1+CW22/2)^(-2*((EOMONTH(A22,0)+20)-DateToday)/365.25))</f>
        <v>32227877291686.1</v>
      </c>
      <c r="CY22" s="316" t="n">
        <f aca="false">IF($A22="N/A"," ",(IF(MONTH(A22)&gt;=4,IF(MONTH(A22)&lt;=10,Inputs!$S$26,Inputs!$S$27),Inputs!$S$27))*$CX22)</f>
        <v>3964028906877387</v>
      </c>
      <c r="CZ22" s="317" t="e">
        <f aca="false">IF($A22="N/A"," ",BK22+BL22+BN22+BO22+BQ22+BR22)</f>
        <v>#N/A</v>
      </c>
      <c r="DA22" s="318" t="e">
        <f aca="false">IF($A22="N/A"," ",BM22+BP22+BS22)</f>
        <v>#N/A</v>
      </c>
      <c r="DB22" s="319" t="e">
        <f aca="false">IF($A22="N/A"," ",BT22+BU22+BW22+BX22+BZ22+CA22)</f>
        <v>#N/A</v>
      </c>
      <c r="DC22" s="319" t="e">
        <f aca="false">IF($A22="N/A"," ",BV22+BY22+CB22)</f>
        <v>#N/A</v>
      </c>
      <c r="DD22" s="320" t="e">
        <f aca="false">IF($A22="N/A"," ",SUM(CC22:CK22))</f>
        <v>#N/A</v>
      </c>
      <c r="DE22" s="321" t="n">
        <f aca="false">IF($A22="N/A"," ",VLOOKUP($A22,NumberofDaysTable,2)*Availability)</f>
        <v>18.9</v>
      </c>
      <c r="DF22" s="94" t="n">
        <f aca="false">IF($A22="N/A"," ",VLOOKUP($A22,NumberofDaysTable,3)*Availability)</f>
        <v>4.5</v>
      </c>
      <c r="DG22" s="322" t="n">
        <f aca="false">IF($A22="N/A"," ",VLOOKUP($A22,NumberofDaysTable,4)*Availability)</f>
        <v>4.5</v>
      </c>
      <c r="DH22" s="323" t="n">
        <f aca="false">IF($A22="N/A"," ",IF(Option=1,$D22*Inputs!$S$15*SUM(AS22:BA22),0))</f>
        <v>0</v>
      </c>
      <c r="DI22" s="324" t="n">
        <f aca="false">IF($A22="N/A"," ",IF(Option=1,$D22*Inputs!$S$16*SUM(AS22:BA22),0))</f>
        <v>0</v>
      </c>
      <c r="DJ22" s="325" t="n">
        <f aca="false">IF($A22="N/A"," ",SUM(AS22:AT22))</f>
        <v>1.19872234143972E+018</v>
      </c>
      <c r="DK22" s="325" t="n">
        <f aca="false">IF($A22="N/A"," ",SUM(AU22:BA22))</f>
        <v>1.45559141460538E+018</v>
      </c>
      <c r="DL22" s="325" t="e">
        <f aca="false">IF($A22="N/A"," ",SUM(BB22:BC22))</f>
        <v>#N/A</v>
      </c>
      <c r="DM22" s="325" t="e">
        <f aca="false">IF($A22="N/A"," ",SUM(BD22:BJ22))</f>
        <v>#N/A</v>
      </c>
    </row>
    <row r="23" customFormat="false" ht="12.75" hidden="false" customHeight="false" outlineLevel="0" collapsed="false">
      <c r="A23" s="282" t="n">
        <f aca="false">IF(A22="N/A","N/A",IF(EDATE(A22,1)&gt;Inputs!$S$5,"N/A",EDATE(A22,1)))</f>
        <v>37712</v>
      </c>
      <c r="B23" s="283" t="n">
        <f aca="false">IF(A23="N/A"," ",YEAR(A23))</f>
        <v>2003</v>
      </c>
      <c r="C23" s="284" t="e">
        <f aca="false">IF(A23="N/A"," ",VLOOKUP(A23,ScaledPrice,14))</f>
        <v>#N/A</v>
      </c>
      <c r="D23" s="285" t="n">
        <f aca="false">IF(A23="N/A"," ",(VLOOKUP(MONTH($A23),Hrtable,2))/1000)</f>
        <v>9.5</v>
      </c>
      <c r="E23" s="286" t="e">
        <f aca="false">IF($A23="N/A"," ",(C23)*D23)</f>
        <v>#N/A</v>
      </c>
      <c r="F23" s="287" t="n">
        <f aca="false">IF(A23="N/A"," ",VOM*(1+VOMesc)^(YEAR(A23)-YEAR(Today)))</f>
        <v>0</v>
      </c>
      <c r="G23" s="287" t="n">
        <f aca="false">IF(A23="N/A"," ",Perstart/VLOOKUP(Dayrun,'Pricing Inputs'!$AQ$4:$AS$14,3)/(CY23/CX23))</f>
        <v>0</v>
      </c>
      <c r="H23" s="288" t="e">
        <f aca="false">IF(A23="N/A"," ",SUM(E23:G23))</f>
        <v>#N/A</v>
      </c>
      <c r="I23" s="289" t="n">
        <f aca="false">VLOOKUP($A23,ScaledPrice,6)</f>
        <v>32.8976715087891</v>
      </c>
      <c r="J23" s="290" t="n">
        <f aca="false">VLOOKUP($A23,ScaledPrice,10)</f>
        <v>32.8976715087891</v>
      </c>
      <c r="K23" s="290" t="n">
        <f aca="false">VLOOKUP($A23,ScaledPrice,13)</f>
        <v>18.3899993896484</v>
      </c>
      <c r="L23" s="290" t="n">
        <f aca="false">VLOOKUP($A23,ScaledPrice,7)</f>
        <v>22.5199966430664</v>
      </c>
      <c r="M23" s="290" t="n">
        <f aca="false">VLOOKUP($A23,ScaledPrice,11)</f>
        <v>22.5199966430664</v>
      </c>
      <c r="N23" s="290" t="n">
        <f aca="false">VLOOKUP($A23,ScaledPrice,13)</f>
        <v>18.3899993896484</v>
      </c>
      <c r="O23" s="290" t="n">
        <f aca="false">VLOOKUP($A23,ScaledPrice,8)</f>
        <v>17.0149993896484</v>
      </c>
      <c r="P23" s="290" t="n">
        <f aca="false">VLOOKUP($A23,ScaledPrice,12)</f>
        <v>17.0149993896484</v>
      </c>
      <c r="Q23" s="291" t="n">
        <f aca="false">VLOOKUP($A23,ScaledPrice,13)</f>
        <v>18.3899993896484</v>
      </c>
      <c r="R23" s="292" t="e">
        <f aca="false">IF($A23="N/A"," ",IF(Dayrun&gt;=3,IF(Option=1,MAX($I23-$H23,0),IF(Option=2,MAX($H23-$I23,0),0)),0))</f>
        <v>#N/A</v>
      </c>
      <c r="S23" s="286" t="e">
        <f aca="false">IF($A23="N/A"," ",IF(Dayrun&gt;=6,IF(Option=1,MAX($J23-H23,0),IF(Option=2,MAX(H23-$J23,0),0)),0))</f>
        <v>#N/A</v>
      </c>
      <c r="T23" s="286" t="e">
        <f aca="false">IF($A23="N/A"," ",IF(OR(Dayrun&lt;=2,Dayrun&gt;=9),IF(Option=1,MAX($K23-$H23,0),IF(Option=2,MAX($H23-$K23,0),0)),0))</f>
        <v>#N/A</v>
      </c>
      <c r="U23" s="286" t="e">
        <f aca="false">IF($A23="N/A"," ",IF(OR(Dayrun=1,Dayrun=4,Dayrun=5,Dayrun=7,Dayrun=8,Dayrun=10,Dayrun=11),IF(Option=1,MAX($L23-H23,0),IF(Option=2,MAX(H23-$L23,0),0)),0))</f>
        <v>#N/A</v>
      </c>
      <c r="V23" s="286" t="e">
        <f aca="false">IF($A23="N/A"," ",IF(OR(Dayrun=1,Dayrun=7,Dayrun=8,Dayrun=10,Dayrun=11),IF(Option=1,MAX($M23-H23,0),IF(Option=2,MAX(H23-$M23,0),0)),0))</f>
        <v>#N/A</v>
      </c>
      <c r="W23" s="286" t="e">
        <f aca="false">IF($A23="N/A"," ",IF(OR(Dayrun&lt;=2,Dayrun&gt;=10),IF(Option=1,MAX($N23-$H23,0),IF(Option=2,MAX($H23-$N23,0),0)),0))</f>
        <v>#N/A</v>
      </c>
      <c r="X23" s="286" t="e">
        <f aca="false">IF($A23="N/A"," ",IF(OR(Dayrun=1,Dayrun=5,Dayrun=8,Dayrun=11),IF(Option=1,MAX($O23-H23,0),IF(Option=2,MAX(H23-$O23,0),0)),0))</f>
        <v>#N/A</v>
      </c>
      <c r="Y23" s="286" t="e">
        <f aca="false">IF($A23="N/A"," ",IF(OR(Dayrun=1,Dayrun=8,Dayrun=11),IF(Option=1,MAX($P23-H23,0),IF(Option=2,MAX(H23-$P23,0),0)),0))</f>
        <v>#N/A</v>
      </c>
      <c r="Z23" s="293" t="e">
        <f aca="false">IF($A23="N/A"," ",IF(OR(Dayrun&lt;=2,Dayrun&gt;=11),IF(Option=1,MAX($Q23-$H23,0),IF(Option=2,MAX($H23-$Q23,0),0)),0))</f>
        <v>#N/A</v>
      </c>
      <c r="AA23" s="289" t="e">
        <f aca="false">IF($A23="N/A"," ",IF(Dayrun&gt;=3,(MAX(0,(xSPRDOPT(I23,($E23-'Pricing Inputs'!$X58*$D23),$CV23,0,($CN23+IF(Smile=TRUE(),VLOOKUP(MAX(-5,$H23-I23),Volsmile,2),0)),$CT23,$CU23,($A23-DateToday)+15,ABS(Option-2),0)-R23))),0))</f>
        <v>#N/A</v>
      </c>
      <c r="AB23" s="290" t="e">
        <f aca="false">IF($A23="N/A"," ",IF(Dayrun&gt;=6,MAX(0,(xSPRDOPT(J23,($E23-'Pricing Inputs'!$X58*$D23),$CV23,0,($CN23+IF(Smile=TRUE(),VLOOKUP(MAX(-5,$H23-J23),Volsmile,2),0)),$CT23,$CU23,($A23-DateToday)+15,ABS(Option-2),0)-S23)),0))</f>
        <v>#N/A</v>
      </c>
      <c r="AC23" s="290" t="e">
        <f aca="false">IF($A23="N/A"," ",IF(OR(Dayrun&lt;=2,Dayrun&gt;=9),IF(OffPeakEx=TRUE(),MAX(0,(xSPRDOPT(K23,($E23-'Pricing Inputs'!$X58*$D23),$CV23,0,($CQ23+IF(Smile=TRUE(),VLOOKUP(MAX(-5,$H23-K23),Volsmile,2),0)),$CT23,$CU23,($A23-DateToday)+15,ABS(Option-2),0)-T23)),0),0))</f>
        <v>#N/A</v>
      </c>
      <c r="AD23" s="290" t="e">
        <f aca="false">IF($A23="N/A"," ",IF(OR(Dayrun=1,Dayrun=4,Dayrun=5,Dayrun=7,Dayrun=8,Dayrun=10,Dayrun=11),MAX(0,(xSPRDOPT(L23,($E23-'Pricing Inputs'!$X58*$D23),$CV23,0,($CQ23+IF(Smile=TRUE(),VLOOKUP(MAX(-5,$H23-L23),Volsmile,2),0)),$CT23,$CU23,($A23-DateToday)+15,ABS(Option-2),0)-U23)),0))</f>
        <v>#N/A</v>
      </c>
      <c r="AE23" s="290" t="e">
        <f aca="false">IF($A23="N/A"," ",IF(OR(Dayrun=1,Dayrun=7,Dayrun=8,Dayrun=10,Dayrun=11),MAX(0,(xSPRDOPT(M23,($E23-'Pricing Inputs'!$X58*$D23),$CV23,0,($CQ23+IF(Smile=TRUE(),VLOOKUP(MAX(-5,$H23-M23),Volsmile,2),0)),$CT23,$CU23,($A23-DateToday)+15,ABS(Option-2),0)-V23)),0))</f>
        <v>#N/A</v>
      </c>
      <c r="AF23" s="290" t="e">
        <f aca="false">IF($A23="N/A"," ",IF(OR(Dayrun&lt;=2,Dayrun&gt;=10),IF(OffPeakEx=TRUE(),MAX(0,(xSPRDOPT(N23,($E23-'Pricing Inputs'!$X58*$D23),$CV23,0,($CQ23+IF(Smile=TRUE(),VLOOKUP(MAX(-5,$H23-N23),Volsmile,2),0)),$CT23,$CU23,($A23-DateToday)+15,ABS(Option-2),0)-W23)),0),0))</f>
        <v>#N/A</v>
      </c>
      <c r="AG23" s="290" t="e">
        <f aca="false">IF($A23="N/A"," ",IF(OR(Dayrun=1,Dayrun=5,Dayrun=8,Dayrun=11),MAX(0,(xSPRDOPT(O23,($E23-'Pricing Inputs'!$X58*$D23),$CV23,0,($CQ23+IF(Smile=TRUE(),VLOOKUP(MAX(-5,$H23-O23),Volsmile,2),0)),$CT23,$CU23,($A23-DateToday)+15,ABS(Option-2),0)-X23)),0))</f>
        <v>#N/A</v>
      </c>
      <c r="AH23" s="290" t="e">
        <f aca="false">IF($A23="N/A"," ",IF(OR(Dayrun=1,Dayrun=8,Dayrun=11),MAX(0,(xSPRDOPT(P23,($E23-'Pricing Inputs'!$X58*$D23),$CV23,0,($CQ23+IF(Smile=TRUE(),VLOOKUP(MAX(-5,$H23-P23),Volsmile,2),0)),$CT23,$CU23,($A23-DateToday)+15,ABS(Option-2),0)-Y23)),0))</f>
        <v>#N/A</v>
      </c>
      <c r="AI23" s="290" t="e">
        <f aca="false">IF($A23="N/A"," ",IF(OR(Dayrun&lt;=2,Dayrun&gt;=11),IF(OffPeakEx=TRUE(),MAX(0,(xSPRDOPT(Q23,($E23-'Pricing Inputs'!$X58*$D23),$CV23,0,($CQ23+IF(Smile=TRUE(),VLOOKUP(MAX(-5,$H23-Q23),Volsmile,2),0)),$CT23,$CU23,($A23-DateToday)+15,ABS(Option-2),0)-Z23)),0),0))</f>
        <v>#N/A</v>
      </c>
      <c r="AJ23" s="294" t="e">
        <f aca="false">IF($A23="N/A"," ",IF(Dayrun&gt;=3,IF(Option=1,$I23-$H23,IF(Option=2,$H23-$I23)),0))</f>
        <v>#N/A</v>
      </c>
      <c r="AK23" s="295" t="e">
        <f aca="false">IF($A23="N/A"," ",IF(Dayrun&gt;=6,IF(Option=1,$J23-H23,IF(Option=2,H23-$J23)),0))</f>
        <v>#N/A</v>
      </c>
      <c r="AL23" s="295" t="e">
        <f aca="false">IF($A23="N/A"," ",IF(OR(Dayrun&lt;=2,Dayrun&gt;=9),IF(Option=1,$K23-$H23,IF(Option=2,$H23-$K23)),0))</f>
        <v>#N/A</v>
      </c>
      <c r="AM23" s="295" t="e">
        <f aca="false">IF($A23="N/A"," ",IF(OR(Dayrun=1,Dayrun=4,Dayrun=5,Dayrun=7,Dayrun=8,Dayrun=10,Dayrun=11),IF(Option=1,$L23-H23,IF(Option=2,H23-$L23)),0))</f>
        <v>#N/A</v>
      </c>
      <c r="AN23" s="295" t="e">
        <f aca="false">IF($A23="N/A"," ",IF(OR(Dayrun=1,Dayrun=7,Dayrun=8,Dayrun=10,Dayrun=11),IF(Option=1,$M23-H23,IF(Option=2,H23-$M23)),0))</f>
        <v>#N/A</v>
      </c>
      <c r="AO23" s="295" t="e">
        <f aca="false">IF($A23="N/A"," ",IF(OR(Dayrun&lt;=2,Dayrun&gt;=9),IF(Option=1,$N23-$H23,IF(Option=2,$H23-$N23)),0))</f>
        <v>#N/A</v>
      </c>
      <c r="AP23" s="295" t="e">
        <f aca="false">IF($A23="N/A"," ",IF(OR(Dayrun=1,Dayrun=5,Dayrun=8,Dayrun=11),IF(Option=1,$O23-H23,IF(Option=2,H23-$O23)),0))</f>
        <v>#N/A</v>
      </c>
      <c r="AQ23" s="295" t="e">
        <f aca="false">IF($A23="N/A"," ",IF(OR(Dayrun=1,Dayrun=8,Dayrun=11),IF(Option=1,$P23-H23,IF(Option=2,H23-$P23)),0))</f>
        <v>#N/A</v>
      </c>
      <c r="AR23" s="296" t="e">
        <f aca="false">IF($A23="N/A"," ",IF(OR(Dayrun&lt;=2,Dayrun&gt;=9),IF(Option=1,$Q23-H23,IF(Option=2,H23-$Q23)),0))</f>
        <v>#N/A</v>
      </c>
      <c r="AS23" s="297" t="n">
        <f aca="false">IF($A23="N/A"," ",IF(VLOOKUP(MONTH($A23),ManualTable,2)=1,IF(Dayrun&gt;=3,$DE23*8*$CY23,0),0))</f>
        <v>5.60326906457695E+017</v>
      </c>
      <c r="AT23" s="297" t="n">
        <f aca="false">IF($A23="N/A"," ",IF(VLOOKUP(MONTH($A23),ManualTable,3)=1,IF(Dayrun&gt;=6,$DE23*8*$CY23,0),0))</f>
        <v>5.60326906457695E+017</v>
      </c>
      <c r="AU23" s="297" t="n">
        <f aca="false">IF($A23="N/A"," ",IF(VLOOKUP(MONTH($A23),ManualTable,4)=1,IF(OR(Dayrun&lt;=2,Dayrun&gt;=9),$DE23*8*$CY23,0),0))</f>
        <v>5.60326906457695E+017</v>
      </c>
      <c r="AV23" s="297" t="n">
        <f aca="false">IF($A23="N/A"," ",IF(VLOOKUP(MONTH($A23),ManualTable,5)=1,IF(OR(Dayrun=1,Dayrun=4,Dayrun=5,Dayrun=7,Dayrun=8,Dayrun=10,Dayrun=11),$DF23*8*$CY23,0),0))</f>
        <v>1.01877619355945E+017</v>
      </c>
      <c r="AW23" s="297" t="n">
        <f aca="false">IF($A23="N/A"," ",IF(VLOOKUP(MONTH($A23),ManualTable,6)=1,IF(OR(Dayrun=1,Dayrun=7,Dayrun=8,Dayrun=10,Dayrun=11),$DF23*8*$CY23,0),0))</f>
        <v>1.01877619355945E+017</v>
      </c>
      <c r="AX23" s="297" t="n">
        <f aca="false">IF($A23="N/A"," ",IF(VLOOKUP(MONTH($A23),ManualTable,7)=1,IF(OR(Dayrun&lt;=2,Dayrun&gt;=9),$DF23*8*$CY23,0),0))</f>
        <v>1.01877619355945E+017</v>
      </c>
      <c r="AY23" s="297" t="n">
        <f aca="false">IF($A23="N/A"," ",IF(VLOOKUP(MONTH($A23),ManualTable,8)=1,IF(OR(Dayrun=1,Dayrun=5,Dayrun=8,Dayrun=11),$DG23*8*$CY23,0),0))</f>
        <v>1.01877619355945E+017</v>
      </c>
      <c r="AZ23" s="297" t="n">
        <f aca="false">IF($A23="N/A"," ",IF(VLOOKUP(MONTH($A23),ManualTable,9)=1,IF(OR(Dayrun=1,Dayrun=8,Dayrun=11),$DG23*8*$CY23,0),0))</f>
        <v>1.01877619355945E+017</v>
      </c>
      <c r="BA23" s="298" t="n">
        <f aca="false">IF($A23="N/A"," ",IF(VLOOKUP(MONTH($A23),ManualTable,10)=1,IF(OR(Dayrun&lt;=2,Dayrun&gt;=9),$DG23*8*$CY23,0),0))</f>
        <v>1.01877619355945E+017</v>
      </c>
      <c r="BB23" s="299" t="e">
        <f aca="false">IF($A23="N/A"," ",IF(Dayrun&gt;=3,(MAX(0,(xSPRDOPT(I23,($E23-'Pricing Inputs'!$X58*$D23),$CV23,0,($CN23+IF(Smile=TRUE(),VLOOKUP(MAX(-5,$H23-I23),Volsmile,2),0)),$CT23,$CU23,($A23-DateToday)+15,ABS(Option-2),1)*DE23*8))),0))</f>
        <v>#N/A</v>
      </c>
      <c r="BC23" s="300" t="e">
        <f aca="false">IF($A23="N/A"," ",IF(Dayrun&gt;=6,MAX(0,(xSPRDOPT(J23,($E23-'Pricing Inputs'!$X58*$D23),$CV23,0,($CN23+IF(Smile=TRUE(),VLOOKUP(MAX(-5,$H23-J23),Volsmile,2),0)),$CT23,$CU23,($A23-DateToday)+15,ABS(Option-2),1)*DE23*8)),0))</f>
        <v>#N/A</v>
      </c>
      <c r="BD23" s="300" t="e">
        <f aca="false">IF($A23="N/A"," ",IF(OR(Dayrun&lt;=2,Dayrun&gt;=9),IF(OffPeakEx=TRUE(),MAX(0,(xSPRDOPT(K23,($E23-'Pricing Inputs'!$X58*$D23),$CV23,0,($CQ23+IF(Smile=TRUE(),VLOOKUP(MAX(-5,$H23-K23),Volsmile,2),0)),$CT23,$CU23,($A23-DateToday)+15,ABS(Option-2),1)*DE23*8)),0),0))</f>
        <v>#N/A</v>
      </c>
      <c r="BE23" s="300" t="e">
        <f aca="false">IF($A23="N/A"," ",IF(OR(Dayrun=1,Dayrun=4,Dayrun=5,Dayrun=7,Dayrun=8,Dayrun=10,Dayrun=11),MAX(0,(xSPRDOPT(L23,($E23-'Pricing Inputs'!$X58*$D23),$CV23,0,($CQ23+IF(Smile=TRUE(),VLOOKUP(MAX(-5,$H23-L23),Volsmile,2),0)),$CT23,$CU23,($A23-DateToday)+15,ABS(Option-2),1)*DF23*8)),0))</f>
        <v>#N/A</v>
      </c>
      <c r="BF23" s="300" t="e">
        <f aca="false">IF($A23="N/A"," ",IF(OR(Dayrun=1,Dayrun=7,Dayrun=8,Dayrun=10,Dayrun=11),MAX(0,(xSPRDOPT(M23,($E23-'Pricing Inputs'!$X58*$D23),$CV23,0,($CQ23+IF(Smile=TRUE(),VLOOKUP(MAX(-5,$H23-M23),Volsmile,2),0)),$CT23,$CU23,($A23-DateToday)+15,ABS(Option-2),1)*DF23*8)),0))</f>
        <v>#N/A</v>
      </c>
      <c r="BG23" s="300" t="e">
        <f aca="false">IF($A23="N/A"," ",IF(OR(Dayrun&lt;=2,Dayrun&gt;=10),IF(OffPeakEx=TRUE(),MAX(0,(xSPRDOPT(N23,($E23-'Pricing Inputs'!$X58*$D23),$CV23,0,($CQ23+IF(Smile=TRUE(),VLOOKUP(MAX(-5,$H23-N23),Volsmile,2),0)),$CT23,$CU23,($A23-DateToday)+15,ABS(Option-2),1)*DF23*8)),0),0))</f>
        <v>#N/A</v>
      </c>
      <c r="BH23" s="300" t="e">
        <f aca="false">IF($A23="N/A"," ",IF(OR(Dayrun=1,Dayrun=5,Dayrun=8,Dayrun=11),MAX(0,(xSPRDOPT(O23,($E23-'Pricing Inputs'!$X58*$D23),$CV23,0,($CQ23+IF(Smile=TRUE(),VLOOKUP(MAX(-5,$H23-O23),Volsmile,2),0)),$CT23,$CU23,($A23-DateToday)+15,ABS(Option-2),1)*DG23*8)),0))</f>
        <v>#N/A</v>
      </c>
      <c r="BI23" s="300" t="e">
        <f aca="false">IF($A23="N/A"," ",IF(OR(Dayrun=1,Dayrun=8,Dayrun=11),MAX(0,(xSPRDOPT(P23,($E23-'Pricing Inputs'!$X58*$D23),$CV23,0,($CQ23+IF(Smile=TRUE(),VLOOKUP(MAX(-5,$H23-P23),Volsmile,2),0)),$CT23,$CU23,($A23-DateToday)+15,ABS(Option-2),1)*DG23*8)),0))</f>
        <v>#N/A</v>
      </c>
      <c r="BJ23" s="301" t="e">
        <f aca="false">IF($A23="N/A"," ",IF(OR(Dayrun&lt;=2,Dayrun&gt;=11),IF(OffPeakEx=TRUE(),MAX(0,(xSPRDOPT(Q23,($E23-'Pricing Inputs'!$X58*$D23),$CV23,0,($CQ23+IF(Smile=TRUE(),VLOOKUP(MAX(-5,$H23-Q23),Volsmile,2),0)),$CT23,$CU23,($A23-DateToday)+15,ABS(Option-2),1)*DG23*8)),0),0))</f>
        <v>#N/A</v>
      </c>
      <c r="BK23" s="302" t="e">
        <f aca="false">IF($A23="N/A"," ",R23*$AS23)</f>
        <v>#N/A</v>
      </c>
      <c r="BL23" s="303" t="e">
        <f aca="false">IF($A23="N/A"," ",S23*$AT23)</f>
        <v>#N/A</v>
      </c>
      <c r="BM23" s="303" t="e">
        <f aca="false">IF($A23="N/A"," ",T23*$AU23)</f>
        <v>#N/A</v>
      </c>
      <c r="BN23" s="303" t="e">
        <f aca="false">IF($A23="N/A"," ",U23*$AV23)</f>
        <v>#N/A</v>
      </c>
      <c r="BO23" s="303" t="e">
        <f aca="false">IF($A23="N/A"," ",V23*$AW23)</f>
        <v>#N/A</v>
      </c>
      <c r="BP23" s="303" t="e">
        <f aca="false">IF($A23="N/A"," ",W23*$AX23)</f>
        <v>#N/A</v>
      </c>
      <c r="BQ23" s="303" t="e">
        <f aca="false">IF($A23="N/A"," ",X23*$AY23)</f>
        <v>#N/A</v>
      </c>
      <c r="BR23" s="303" t="e">
        <f aca="false">IF($A23="N/A"," ",Y23*$AZ23)</f>
        <v>#N/A</v>
      </c>
      <c r="BS23" s="304" t="e">
        <f aca="false">IF($A23="N/A"," ",Z23*$BA23)</f>
        <v>#N/A</v>
      </c>
      <c r="BT23" s="305" t="e">
        <f aca="false">IF($A23="N/A"," ",AA23*$AS23)</f>
        <v>#N/A</v>
      </c>
      <c r="BU23" s="306" t="e">
        <f aca="false">IF($A23="N/A"," ",AB23*$AT23)</f>
        <v>#N/A</v>
      </c>
      <c r="BV23" s="306" t="e">
        <f aca="false">IF($A23="N/A"," ",AC23*$AU23)</f>
        <v>#N/A</v>
      </c>
      <c r="BW23" s="306" t="e">
        <f aca="false">IF($A23="N/A"," ",AD23*$AV23)</f>
        <v>#N/A</v>
      </c>
      <c r="BX23" s="306" t="e">
        <f aca="false">IF($A23="N/A"," ",AE23*$AW23)</f>
        <v>#N/A</v>
      </c>
      <c r="BY23" s="306" t="e">
        <f aca="false">IF($A23="N/A"," ",AF23*$AX23)</f>
        <v>#N/A</v>
      </c>
      <c r="BZ23" s="306" t="e">
        <f aca="false">IF($A23="N/A"," ",AG23*$AY23)</f>
        <v>#N/A</v>
      </c>
      <c r="CA23" s="306" t="e">
        <f aca="false">IF($A23="N/A"," ",AH23*$AZ23)</f>
        <v>#N/A</v>
      </c>
      <c r="CB23" s="307" t="e">
        <f aca="false">IF($A23="N/A"," ",AI23*$BA23)</f>
        <v>#N/A</v>
      </c>
      <c r="CC23" s="308" t="e">
        <f aca="false">IF($A23="N/A"," ",AJ23*$AS23)</f>
        <v>#N/A</v>
      </c>
      <c r="CD23" s="309" t="e">
        <f aca="false">IF($A23="N/A"," ",AK23*$AT23)</f>
        <v>#N/A</v>
      </c>
      <c r="CE23" s="309" t="e">
        <f aca="false">IF($A23="N/A"," ",AL23*$AU23)</f>
        <v>#N/A</v>
      </c>
      <c r="CF23" s="309" t="e">
        <f aca="false">IF($A23="N/A"," ",AM23*$AV23)</f>
        <v>#N/A</v>
      </c>
      <c r="CG23" s="309" t="e">
        <f aca="false">IF($A23="N/A"," ",AN23*$AW23)</f>
        <v>#N/A</v>
      </c>
      <c r="CH23" s="309" t="e">
        <f aca="false">IF($A23="N/A"," ",AO23*$AX23)</f>
        <v>#N/A</v>
      </c>
      <c r="CI23" s="309" t="e">
        <f aca="false">IF($A23="N/A"," ",AP23*$AY23)</f>
        <v>#N/A</v>
      </c>
      <c r="CJ23" s="309" t="e">
        <f aca="false">IF($A23="N/A"," ",AQ23*$AZ23)</f>
        <v>#N/A</v>
      </c>
      <c r="CK23" s="310" t="e">
        <f aca="false">IF($A23="N/A"," ",AR23*$BA23)</f>
        <v>#N/A</v>
      </c>
      <c r="CL23" s="311" t="n">
        <f aca="false">IF(A23="N/A"," ",(VLOOKUP(A23,PowerVolTable,(IF(VolBMO=2,7,IF(VolBMO=1,6,8))),FALSE())))</f>
        <v>0.3</v>
      </c>
      <c r="CM23" s="312" t="n">
        <f aca="false">IF(A23="N/A"," ",(VLOOKUP(A23,IntraPowerVol,(IF(VolBMO=2,3,IF(VolBMO=1,2,4))),FALSE())*VLOOKUP(MONTH($A23),Volscale,2)))</f>
        <v>0.45</v>
      </c>
      <c r="CN23" s="312" t="n">
        <f aca="false">IF($A23="N/A"," ",IF(VolType=1,CM23,CL23))</f>
        <v>0.45</v>
      </c>
      <c r="CO23" s="312" t="n">
        <f aca="false">IF($A23="N/A"," ",(VLOOKUP($A23,OffPeakVol,(IF(VolBMO=2,7,IF(VolBMO=1,6,8))),FALSE())))</f>
        <v>0.15</v>
      </c>
      <c r="CP23" s="312" t="n">
        <f aca="false">IF($A23="N/A"," ",(VLOOKUP($A23,OffPeakVol,(IF(VolBMO=2,3,IF(VolBMO=1,2,4))),FALSE())*VLOOKUP(MONTH($A23),Volscale,2)))</f>
        <v>0.27</v>
      </c>
      <c r="CQ23" s="312" t="n">
        <f aca="false">IF($A23="N/A"," ",IF(VolType=1,CP23,CO23))</f>
        <v>0.27</v>
      </c>
      <c r="CR23" s="312" t="e">
        <f aca="false">IF($A23="N/A"," ",(VLOOKUP($A23,GasVolTable,(IF(VolBMO=2,6,IF(VolBMO=1,7,5))),FALSE())))</f>
        <v>#N/A</v>
      </c>
      <c r="CS23" s="312" t="e">
        <f aca="false">IF($A23="N/A"," ",(VLOOKUP($A23,OmicronVol,(IF(VolBMO=2,3,IF(VolBMO=1,4,2))),FALSE())))</f>
        <v>#N/A</v>
      </c>
      <c r="CT23" s="312" t="e">
        <f aca="false">IF($A23="N/A"," ",(IF(DateToday&gt;$A23,$CS23,IF(VolType=1,((($CR23^2)*((($A23-1)-DateToday)/((EOMONTH($A23,0)+1)-DateToday-15)))+((($CS23)^2)*((15)/((EOMONTH($A23,0)+1)-DateToday-15))))^0.5,CR23))))</f>
        <v>#N/A</v>
      </c>
      <c r="CU23" s="312" t="n">
        <f aca="false">IF($A23="N/A"," ",IF('Pricing Inputs'!$AR$23=TRUE(),Inputs!$S$22,VLOOKUP($A23,CorrelationTable,2,FALSE())))</f>
        <v>0.75</v>
      </c>
      <c r="CV23" s="313" t="n">
        <f aca="false">IF($A23="N/A"," ",F23+G23+(D23*('Pricing Inputs'!X58)))</f>
        <v>0</v>
      </c>
      <c r="CW23" s="314" t="n">
        <f aca="false">IF($A23="N/A"," ",IF(PV=1,0,'Pricing Inputs'!Y58))</f>
        <v>2</v>
      </c>
      <c r="CX23" s="315" t="n">
        <f aca="false">IF($A23="N/A"," ",(1+CW23/2)^(-2*((EOMONTH(A23,0)+20)-DateToday)/365.25))</f>
        <v>28759490558927.4</v>
      </c>
      <c r="CY23" s="316" t="n">
        <f aca="false">IF($A23="N/A"," ",(IF(MONTH(A23)&gt;=4,IF(MONTH(A23)&lt;=10,Inputs!$S$26,Inputs!$S$27),Inputs!$S$27))*$CX23)</f>
        <v>3537417338748070</v>
      </c>
      <c r="CZ23" s="317" t="e">
        <f aca="false">IF($A23="N/A"," ",BK23+BL23+BN23+BO23+BQ23+BR23)</f>
        <v>#N/A</v>
      </c>
      <c r="DA23" s="318" t="e">
        <f aca="false">IF($A23="N/A"," ",BM23+BP23+BS23)</f>
        <v>#N/A</v>
      </c>
      <c r="DB23" s="319" t="e">
        <f aca="false">IF($A23="N/A"," ",BT23+BU23+BW23+BX23+BZ23+CA23)</f>
        <v>#N/A</v>
      </c>
      <c r="DC23" s="319" t="e">
        <f aca="false">IF($A23="N/A"," ",BV23+BY23+CB23)</f>
        <v>#N/A</v>
      </c>
      <c r="DD23" s="320" t="e">
        <f aca="false">IF($A23="N/A"," ",SUM(CC23:CK23))</f>
        <v>#N/A</v>
      </c>
      <c r="DE23" s="321" t="n">
        <f aca="false">IF($A23="N/A"," ",VLOOKUP($A23,NumberofDaysTable,2)*Availability)</f>
        <v>19.8</v>
      </c>
      <c r="DF23" s="94" t="n">
        <f aca="false">IF($A23="N/A"," ",VLOOKUP($A23,NumberofDaysTable,3)*Availability)</f>
        <v>3.6</v>
      </c>
      <c r="DG23" s="322" t="n">
        <f aca="false">IF($A23="N/A"," ",VLOOKUP($A23,NumberofDaysTable,4)*Availability)</f>
        <v>3.6</v>
      </c>
      <c r="DH23" s="323" t="n">
        <f aca="false">IF($A23="N/A"," ",IF(Option=1,$D23*Inputs!$S$15*SUM(AS23:BA23),0))</f>
        <v>0</v>
      </c>
      <c r="DI23" s="324" t="n">
        <f aca="false">IF($A23="N/A"," ",IF(Option=1,$D23*Inputs!$S$16*SUM(AS23:BA23),0))</f>
        <v>0</v>
      </c>
      <c r="DJ23" s="325" t="n">
        <f aca="false">IF($A23="N/A"," ",SUM(AS23:AT23))</f>
        <v>1.12065381291539E+018</v>
      </c>
      <c r="DK23" s="325" t="n">
        <f aca="false">IF($A23="N/A"," ",SUM(AU23:BA23))</f>
        <v>1.17159262259336E+018</v>
      </c>
      <c r="DL23" s="325" t="e">
        <f aca="false">IF($A23="N/A"," ",SUM(BB23:BC23))</f>
        <v>#N/A</v>
      </c>
      <c r="DM23" s="325" t="e">
        <f aca="false">IF($A23="N/A"," ",SUM(BD23:BJ23))</f>
        <v>#N/A</v>
      </c>
    </row>
    <row r="24" customFormat="false" ht="12.75" hidden="false" customHeight="false" outlineLevel="0" collapsed="false">
      <c r="A24" s="282" t="n">
        <f aca="false">IF(A23="N/A","N/A",IF(EDATE(A23,1)&gt;Inputs!$S$5,"N/A",EDATE(A23,1)))</f>
        <v>37742</v>
      </c>
      <c r="B24" s="283" t="n">
        <f aca="false">IF(A24="N/A"," ",YEAR(A24))</f>
        <v>2003</v>
      </c>
      <c r="C24" s="284" t="e">
        <f aca="false">IF(A24="N/A"," ",VLOOKUP(A24,ScaledPrice,14))</f>
        <v>#N/A</v>
      </c>
      <c r="D24" s="285" t="n">
        <f aca="false">IF(A24="N/A"," ",(VLOOKUP(MONTH($A24),Hrtable,2))/1000)</f>
        <v>9.5</v>
      </c>
      <c r="E24" s="286" t="e">
        <f aca="false">IF($A24="N/A"," ",(C24)*D24)</f>
        <v>#N/A</v>
      </c>
      <c r="F24" s="287" t="n">
        <f aca="false">IF(A24="N/A"," ",VOM*(1+VOMesc)^(YEAR(A24)-YEAR(Today)))</f>
        <v>0</v>
      </c>
      <c r="G24" s="287" t="n">
        <f aca="false">IF(A24="N/A"," ",Perstart/VLOOKUP(Dayrun,'Pricing Inputs'!$AQ$4:$AS$14,3)/(CY24/CX24))</f>
        <v>0</v>
      </c>
      <c r="H24" s="288" t="e">
        <f aca="false">IF(A24="N/A"," ",SUM(E24:G24))</f>
        <v>#N/A</v>
      </c>
      <c r="I24" s="289" t="n">
        <f aca="false">VLOOKUP($A24,ScaledPrice,6)</f>
        <v>36.175</v>
      </c>
      <c r="J24" s="290" t="n">
        <f aca="false">VLOOKUP($A24,ScaledPrice,10)</f>
        <v>36.175</v>
      </c>
      <c r="K24" s="290" t="n">
        <f aca="false">VLOOKUP($A24,ScaledPrice,13)</f>
        <v>18.9300003051758</v>
      </c>
      <c r="L24" s="290" t="n">
        <f aca="false">VLOOKUP($A24,ScaledPrice,7)</f>
        <v>22.8399982452393</v>
      </c>
      <c r="M24" s="290" t="n">
        <f aca="false">VLOOKUP($A24,ScaledPrice,11)</f>
        <v>22.8399982452393</v>
      </c>
      <c r="N24" s="290" t="n">
        <f aca="false">VLOOKUP($A24,ScaledPrice,13)</f>
        <v>18.9300003051758</v>
      </c>
      <c r="O24" s="290" t="n">
        <f aca="false">VLOOKUP($A24,ScaledPrice,8)</f>
        <v>16.3450012207031</v>
      </c>
      <c r="P24" s="290" t="n">
        <f aca="false">VLOOKUP($A24,ScaledPrice,12)</f>
        <v>16.3450012207031</v>
      </c>
      <c r="Q24" s="291" t="n">
        <f aca="false">VLOOKUP($A24,ScaledPrice,13)</f>
        <v>18.9300003051758</v>
      </c>
      <c r="R24" s="292" t="e">
        <f aca="false">IF($A24="N/A"," ",IF(Dayrun&gt;=3,IF(Option=1,MAX($I24-$H24,0),IF(Option=2,MAX($H24-$I24,0),0)),0))</f>
        <v>#N/A</v>
      </c>
      <c r="S24" s="286" t="e">
        <f aca="false">IF($A24="N/A"," ",IF(Dayrun&gt;=6,IF(Option=1,MAX($J24-H24,0),IF(Option=2,MAX(H24-$J24,0),0)),0))</f>
        <v>#N/A</v>
      </c>
      <c r="T24" s="286" t="e">
        <f aca="false">IF($A24="N/A"," ",IF(OR(Dayrun&lt;=2,Dayrun&gt;=9),IF(Option=1,MAX($K24-$H24,0),IF(Option=2,MAX($H24-$K24,0),0)),0))</f>
        <v>#N/A</v>
      </c>
      <c r="U24" s="286" t="e">
        <f aca="false">IF($A24="N/A"," ",IF(OR(Dayrun=1,Dayrun=4,Dayrun=5,Dayrun=7,Dayrun=8,Dayrun=10,Dayrun=11),IF(Option=1,MAX($L24-H24,0),IF(Option=2,MAX(H24-$L24,0),0)),0))</f>
        <v>#N/A</v>
      </c>
      <c r="V24" s="286" t="e">
        <f aca="false">IF($A24="N/A"," ",IF(OR(Dayrun=1,Dayrun=7,Dayrun=8,Dayrun=10,Dayrun=11),IF(Option=1,MAX($M24-H24,0),IF(Option=2,MAX(H24-$M24,0),0)),0))</f>
        <v>#N/A</v>
      </c>
      <c r="W24" s="286" t="e">
        <f aca="false">IF($A24="N/A"," ",IF(OR(Dayrun&lt;=2,Dayrun&gt;=10),IF(Option=1,MAX($N24-$H24,0),IF(Option=2,MAX($H24-$N24,0),0)),0))</f>
        <v>#N/A</v>
      </c>
      <c r="X24" s="286" t="e">
        <f aca="false">IF($A24="N/A"," ",IF(OR(Dayrun=1,Dayrun=5,Dayrun=8,Dayrun=11),IF(Option=1,MAX($O24-H24,0),IF(Option=2,MAX(H24-$O24,0),0)),0))</f>
        <v>#N/A</v>
      </c>
      <c r="Y24" s="286" t="e">
        <f aca="false">IF($A24="N/A"," ",IF(OR(Dayrun=1,Dayrun=8,Dayrun=11),IF(Option=1,MAX($P24-H24,0),IF(Option=2,MAX(H24-$P24,0),0)),0))</f>
        <v>#N/A</v>
      </c>
      <c r="Z24" s="293" t="e">
        <f aca="false">IF($A24="N/A"," ",IF(OR(Dayrun&lt;=2,Dayrun&gt;=11),IF(Option=1,MAX($Q24-$H24,0),IF(Option=2,MAX($H24-$Q24,0),0)),0))</f>
        <v>#N/A</v>
      </c>
      <c r="AA24" s="289" t="e">
        <f aca="false">IF($A24="N/A"," ",IF(Dayrun&gt;=3,(MAX(0,(xSPRDOPT(I24,($E24-'Pricing Inputs'!$X59*$D24),$CV24,0,($CN24+IF(Smile=TRUE(),VLOOKUP(MAX(-5,$H24-I24),Volsmile,2),0)),$CT24,$CU24,($A24-DateToday)+15,ABS(Option-2),0)-R24))),0))</f>
        <v>#N/A</v>
      </c>
      <c r="AB24" s="290" t="e">
        <f aca="false">IF($A24="N/A"," ",IF(Dayrun&gt;=6,MAX(0,(xSPRDOPT(J24,($E24-'Pricing Inputs'!$X59*$D24),$CV24,0,($CN24+IF(Smile=TRUE(),VLOOKUP(MAX(-5,$H24-J24),Volsmile,2),0)),$CT24,$CU24,($A24-DateToday)+15,ABS(Option-2),0)-S24)),0))</f>
        <v>#N/A</v>
      </c>
      <c r="AC24" s="290" t="e">
        <f aca="false">IF($A24="N/A"," ",IF(OR(Dayrun&lt;=2,Dayrun&gt;=9),IF(OffPeakEx=TRUE(),MAX(0,(xSPRDOPT(K24,($E24-'Pricing Inputs'!$X59*$D24),$CV24,0,($CQ24+IF(Smile=TRUE(),VLOOKUP(MAX(-5,$H24-K24),Volsmile,2),0)),$CT24,$CU24,($A24-DateToday)+15,ABS(Option-2),0)-T24)),0),0))</f>
        <v>#N/A</v>
      </c>
      <c r="AD24" s="290" t="e">
        <f aca="false">IF($A24="N/A"," ",IF(OR(Dayrun=1,Dayrun=4,Dayrun=5,Dayrun=7,Dayrun=8,Dayrun=10,Dayrun=11),MAX(0,(xSPRDOPT(L24,($E24-'Pricing Inputs'!$X59*$D24),$CV24,0,($CQ24+IF(Smile=TRUE(),VLOOKUP(MAX(-5,$H24-L24),Volsmile,2),0)),$CT24,$CU24,($A24-DateToday)+15,ABS(Option-2),0)-U24)),0))</f>
        <v>#N/A</v>
      </c>
      <c r="AE24" s="290" t="e">
        <f aca="false">IF($A24="N/A"," ",IF(OR(Dayrun=1,Dayrun=7,Dayrun=8,Dayrun=10,Dayrun=11),MAX(0,(xSPRDOPT(M24,($E24-'Pricing Inputs'!$X59*$D24),$CV24,0,($CQ24+IF(Smile=TRUE(),VLOOKUP(MAX(-5,$H24-M24),Volsmile,2),0)),$CT24,$CU24,($A24-DateToday)+15,ABS(Option-2),0)-V24)),0))</f>
        <v>#N/A</v>
      </c>
      <c r="AF24" s="290" t="e">
        <f aca="false">IF($A24="N/A"," ",IF(OR(Dayrun&lt;=2,Dayrun&gt;=10),IF(OffPeakEx=TRUE(),MAX(0,(xSPRDOPT(N24,($E24-'Pricing Inputs'!$X59*$D24),$CV24,0,($CQ24+IF(Smile=TRUE(),VLOOKUP(MAX(-5,$H24-N24),Volsmile,2),0)),$CT24,$CU24,($A24-DateToday)+15,ABS(Option-2),0)-W24)),0),0))</f>
        <v>#N/A</v>
      </c>
      <c r="AG24" s="290" t="e">
        <f aca="false">IF($A24="N/A"," ",IF(OR(Dayrun=1,Dayrun=5,Dayrun=8,Dayrun=11),MAX(0,(xSPRDOPT(O24,($E24-'Pricing Inputs'!$X59*$D24),$CV24,0,($CQ24+IF(Smile=TRUE(),VLOOKUP(MAX(-5,$H24-O24),Volsmile,2),0)),$CT24,$CU24,($A24-DateToday)+15,ABS(Option-2),0)-X24)),0))</f>
        <v>#N/A</v>
      </c>
      <c r="AH24" s="290" t="e">
        <f aca="false">IF($A24="N/A"," ",IF(OR(Dayrun=1,Dayrun=8,Dayrun=11),MAX(0,(xSPRDOPT(P24,($E24-'Pricing Inputs'!$X59*$D24),$CV24,0,($CQ24+IF(Smile=TRUE(),VLOOKUP(MAX(-5,$H24-P24),Volsmile,2),0)),$CT24,$CU24,($A24-DateToday)+15,ABS(Option-2),0)-Y24)),0))</f>
        <v>#N/A</v>
      </c>
      <c r="AI24" s="290" t="e">
        <f aca="false">IF($A24="N/A"," ",IF(OR(Dayrun&lt;=2,Dayrun&gt;=11),IF(OffPeakEx=TRUE(),MAX(0,(xSPRDOPT(Q24,($E24-'Pricing Inputs'!$X59*$D24),$CV24,0,($CQ24+IF(Smile=TRUE(),VLOOKUP(MAX(-5,$H24-Q24),Volsmile,2),0)),$CT24,$CU24,($A24-DateToday)+15,ABS(Option-2),0)-Z24)),0),0))</f>
        <v>#N/A</v>
      </c>
      <c r="AJ24" s="294" t="e">
        <f aca="false">IF($A24="N/A"," ",IF(Dayrun&gt;=3,IF(Option=1,$I24-$H24,IF(Option=2,$H24-$I24)),0))</f>
        <v>#N/A</v>
      </c>
      <c r="AK24" s="295" t="e">
        <f aca="false">IF($A24="N/A"," ",IF(Dayrun&gt;=6,IF(Option=1,$J24-H24,IF(Option=2,H24-$J24)),0))</f>
        <v>#N/A</v>
      </c>
      <c r="AL24" s="295" t="e">
        <f aca="false">IF($A24="N/A"," ",IF(OR(Dayrun&lt;=2,Dayrun&gt;=9),IF(Option=1,$K24-$H24,IF(Option=2,$H24-$K24)),0))</f>
        <v>#N/A</v>
      </c>
      <c r="AM24" s="295" t="e">
        <f aca="false">IF($A24="N/A"," ",IF(OR(Dayrun=1,Dayrun=4,Dayrun=5,Dayrun=7,Dayrun=8,Dayrun=10,Dayrun=11),IF(Option=1,$L24-H24,IF(Option=2,H24-$L24)),0))</f>
        <v>#N/A</v>
      </c>
      <c r="AN24" s="295" t="e">
        <f aca="false">IF($A24="N/A"," ",IF(OR(Dayrun=1,Dayrun=7,Dayrun=8,Dayrun=10,Dayrun=11),IF(Option=1,$M24-H24,IF(Option=2,H24-$M24)),0))</f>
        <v>#N/A</v>
      </c>
      <c r="AO24" s="295" t="e">
        <f aca="false">IF($A24="N/A"," ",IF(OR(Dayrun&lt;=2,Dayrun&gt;=9),IF(Option=1,$N24-$H24,IF(Option=2,$H24-$N24)),0))</f>
        <v>#N/A</v>
      </c>
      <c r="AP24" s="295" t="e">
        <f aca="false">IF($A24="N/A"," ",IF(OR(Dayrun=1,Dayrun=5,Dayrun=8,Dayrun=11),IF(Option=1,$O24-H24,IF(Option=2,H24-$O24)),0))</f>
        <v>#N/A</v>
      </c>
      <c r="AQ24" s="295" t="e">
        <f aca="false">IF($A24="N/A"," ",IF(OR(Dayrun=1,Dayrun=8,Dayrun=11),IF(Option=1,$P24-H24,IF(Option=2,H24-$P24)),0))</f>
        <v>#N/A</v>
      </c>
      <c r="AR24" s="296" t="e">
        <f aca="false">IF($A24="N/A"," ",IF(OR(Dayrun&lt;=2,Dayrun&gt;=9),IF(Option=1,$Q24-H24,IF(Option=2,H24-$Q24)),0))</f>
        <v>#N/A</v>
      </c>
      <c r="AS24" s="297" t="n">
        <f aca="false">IF($A24="N/A"," ",IF(VLOOKUP(MONTH($A24),ManualTable,2)=1,IF(Dayrun&gt;=3,$DE24*8*$CY24,0),0))</f>
        <v>4.7548763572309E+017</v>
      </c>
      <c r="AT24" s="297" t="n">
        <f aca="false">IF($A24="N/A"," ",IF(VLOOKUP(MONTH($A24),ManualTable,3)=1,IF(Dayrun&gt;=6,$DE24*8*$CY24,0),0))</f>
        <v>4.7548763572309E+017</v>
      </c>
      <c r="AU24" s="297" t="n">
        <f aca="false">IF($A24="N/A"," ",IF(VLOOKUP(MONTH($A24),ManualTable,4)=1,IF(OR(Dayrun&lt;=2,Dayrun&gt;=9),$DE24*8*$CY24,0),0))</f>
        <v>4.7548763572309E+017</v>
      </c>
      <c r="AV24" s="297" t="n">
        <f aca="false">IF($A24="N/A"," ",IF(VLOOKUP(MONTH($A24),ManualTable,5)=1,IF(OR(Dayrun=1,Dayrun=4,Dayrun=5,Dayrun=7,Dayrun=8,Dayrun=10,Dayrun=11),$DF24*8*$CY24,0),0))</f>
        <v>1.13211341838831E+017</v>
      </c>
      <c r="AW24" s="297" t="n">
        <f aca="false">IF($A24="N/A"," ",IF(VLOOKUP(MONTH($A24),ManualTable,6)=1,IF(OR(Dayrun=1,Dayrun=7,Dayrun=8,Dayrun=10,Dayrun=11),$DF24*8*$CY24,0),0))</f>
        <v>1.13211341838831E+017</v>
      </c>
      <c r="AX24" s="297" t="n">
        <f aca="false">IF($A24="N/A"," ",IF(VLOOKUP(MONTH($A24),ManualTable,7)=1,IF(OR(Dayrun&lt;=2,Dayrun&gt;=9),$DF24*8*$CY24,0),0))</f>
        <v>1.13211341838831E+017</v>
      </c>
      <c r="AY24" s="297" t="n">
        <f aca="false">IF($A24="N/A"," ",IF(VLOOKUP(MONTH($A24),ManualTable,8)=1,IF(OR(Dayrun=1,Dayrun=5,Dayrun=8,Dayrun=11),$DG24*8*$CY24,0),0))</f>
        <v>1.13211341838831E+017</v>
      </c>
      <c r="AZ24" s="297" t="n">
        <f aca="false">IF($A24="N/A"," ",IF(VLOOKUP(MONTH($A24),ManualTable,9)=1,IF(OR(Dayrun=1,Dayrun=8,Dayrun=11),$DG24*8*$CY24,0),0))</f>
        <v>1.13211341838831E+017</v>
      </c>
      <c r="BA24" s="298" t="n">
        <f aca="false">IF($A24="N/A"," ",IF(VLOOKUP(MONTH($A24),ManualTable,10)=1,IF(OR(Dayrun&lt;=2,Dayrun&gt;=9),$DG24*8*$CY24,0),0))</f>
        <v>1.13211341838831E+017</v>
      </c>
      <c r="BB24" s="299" t="e">
        <f aca="false">IF($A24="N/A"," ",IF(Dayrun&gt;=3,(MAX(0,(xSPRDOPT(I24,($E24-'Pricing Inputs'!$X59*$D24),$CV24,0,($CN24+IF(Smile=TRUE(),VLOOKUP(MAX(-5,$H24-I24),Volsmile,2),0)),$CT24,$CU24,($A24-DateToday)+15,ABS(Option-2),1)*DE24*8))),0))</f>
        <v>#N/A</v>
      </c>
      <c r="BC24" s="300" t="e">
        <f aca="false">IF($A24="N/A"," ",IF(Dayrun&gt;=6,MAX(0,(xSPRDOPT(J24,($E24-'Pricing Inputs'!$X59*$D24),$CV24,0,($CN24+IF(Smile=TRUE(),VLOOKUP(MAX(-5,$H24-J24),Volsmile,2),0)),$CT24,$CU24,($A24-DateToday)+15,ABS(Option-2),1)*DE24*8)),0))</f>
        <v>#N/A</v>
      </c>
      <c r="BD24" s="300" t="e">
        <f aca="false">IF($A24="N/A"," ",IF(OR(Dayrun&lt;=2,Dayrun&gt;=9),IF(OffPeakEx=TRUE(),MAX(0,(xSPRDOPT(K24,($E24-'Pricing Inputs'!$X59*$D24),$CV24,0,($CQ24+IF(Smile=TRUE(),VLOOKUP(MAX(-5,$H24-K24),Volsmile,2),0)),$CT24,$CU24,($A24-DateToday)+15,ABS(Option-2),1)*DE24*8)),0),0))</f>
        <v>#N/A</v>
      </c>
      <c r="BE24" s="300" t="e">
        <f aca="false">IF($A24="N/A"," ",IF(OR(Dayrun=1,Dayrun=4,Dayrun=5,Dayrun=7,Dayrun=8,Dayrun=10,Dayrun=11),MAX(0,(xSPRDOPT(L24,($E24-'Pricing Inputs'!$X59*$D24),$CV24,0,($CQ24+IF(Smile=TRUE(),VLOOKUP(MAX(-5,$H24-L24),Volsmile,2),0)),$CT24,$CU24,($A24-DateToday)+15,ABS(Option-2),1)*DF24*8)),0))</f>
        <v>#N/A</v>
      </c>
      <c r="BF24" s="300" t="e">
        <f aca="false">IF($A24="N/A"," ",IF(OR(Dayrun=1,Dayrun=7,Dayrun=8,Dayrun=10,Dayrun=11),MAX(0,(xSPRDOPT(M24,($E24-'Pricing Inputs'!$X59*$D24),$CV24,0,($CQ24+IF(Smile=TRUE(),VLOOKUP(MAX(-5,$H24-M24),Volsmile,2),0)),$CT24,$CU24,($A24-DateToday)+15,ABS(Option-2),1)*DF24*8)),0))</f>
        <v>#N/A</v>
      </c>
      <c r="BG24" s="300" t="e">
        <f aca="false">IF($A24="N/A"," ",IF(OR(Dayrun&lt;=2,Dayrun&gt;=10),IF(OffPeakEx=TRUE(),MAX(0,(xSPRDOPT(N24,($E24-'Pricing Inputs'!$X59*$D24),$CV24,0,($CQ24+IF(Smile=TRUE(),VLOOKUP(MAX(-5,$H24-N24),Volsmile,2),0)),$CT24,$CU24,($A24-DateToday)+15,ABS(Option-2),1)*DF24*8)),0),0))</f>
        <v>#N/A</v>
      </c>
      <c r="BH24" s="300" t="e">
        <f aca="false">IF($A24="N/A"," ",IF(OR(Dayrun=1,Dayrun=5,Dayrun=8,Dayrun=11),MAX(0,(xSPRDOPT(O24,($E24-'Pricing Inputs'!$X59*$D24),$CV24,0,($CQ24+IF(Smile=TRUE(),VLOOKUP(MAX(-5,$H24-O24),Volsmile,2),0)),$CT24,$CU24,($A24-DateToday)+15,ABS(Option-2),1)*DG24*8)),0))</f>
        <v>#N/A</v>
      </c>
      <c r="BI24" s="300" t="e">
        <f aca="false">IF($A24="N/A"," ",IF(OR(Dayrun=1,Dayrun=8,Dayrun=11),MAX(0,(xSPRDOPT(P24,($E24-'Pricing Inputs'!$X59*$D24),$CV24,0,($CQ24+IF(Smile=TRUE(),VLOOKUP(MAX(-5,$H24-P24),Volsmile,2),0)),$CT24,$CU24,($A24-DateToday)+15,ABS(Option-2),1)*DG24*8)),0))</f>
        <v>#N/A</v>
      </c>
      <c r="BJ24" s="301" t="e">
        <f aca="false">IF($A24="N/A"," ",IF(OR(Dayrun&lt;=2,Dayrun&gt;=11),IF(OffPeakEx=TRUE(),MAX(0,(xSPRDOPT(Q24,($E24-'Pricing Inputs'!$X59*$D24),$CV24,0,($CQ24+IF(Smile=TRUE(),VLOOKUP(MAX(-5,$H24-Q24),Volsmile,2),0)),$CT24,$CU24,($A24-DateToday)+15,ABS(Option-2),1)*DG24*8)),0),0))</f>
        <v>#N/A</v>
      </c>
      <c r="BK24" s="302" t="e">
        <f aca="false">IF($A24="N/A"," ",R24*$AS24)</f>
        <v>#N/A</v>
      </c>
      <c r="BL24" s="303" t="e">
        <f aca="false">IF($A24="N/A"," ",S24*$AT24)</f>
        <v>#N/A</v>
      </c>
      <c r="BM24" s="303" t="e">
        <f aca="false">IF($A24="N/A"," ",T24*$AU24)</f>
        <v>#N/A</v>
      </c>
      <c r="BN24" s="303" t="e">
        <f aca="false">IF($A24="N/A"," ",U24*$AV24)</f>
        <v>#N/A</v>
      </c>
      <c r="BO24" s="303" t="e">
        <f aca="false">IF($A24="N/A"," ",V24*$AW24)</f>
        <v>#N/A</v>
      </c>
      <c r="BP24" s="303" t="e">
        <f aca="false">IF($A24="N/A"," ",W24*$AX24)</f>
        <v>#N/A</v>
      </c>
      <c r="BQ24" s="303" t="e">
        <f aca="false">IF($A24="N/A"," ",X24*$AY24)</f>
        <v>#N/A</v>
      </c>
      <c r="BR24" s="303" t="e">
        <f aca="false">IF($A24="N/A"," ",Y24*$AZ24)</f>
        <v>#N/A</v>
      </c>
      <c r="BS24" s="304" t="e">
        <f aca="false">IF($A24="N/A"," ",Z24*$BA24)</f>
        <v>#N/A</v>
      </c>
      <c r="BT24" s="305" t="e">
        <f aca="false">IF($A24="N/A"," ",AA24*$AS24)</f>
        <v>#N/A</v>
      </c>
      <c r="BU24" s="306" t="e">
        <f aca="false">IF($A24="N/A"," ",AB24*$AT24)</f>
        <v>#N/A</v>
      </c>
      <c r="BV24" s="306" t="e">
        <f aca="false">IF($A24="N/A"," ",AC24*$AU24)</f>
        <v>#N/A</v>
      </c>
      <c r="BW24" s="306" t="e">
        <f aca="false">IF($A24="N/A"," ",AD24*$AV24)</f>
        <v>#N/A</v>
      </c>
      <c r="BX24" s="306" t="e">
        <f aca="false">IF($A24="N/A"," ",AE24*$AW24)</f>
        <v>#N/A</v>
      </c>
      <c r="BY24" s="306" t="e">
        <f aca="false">IF($A24="N/A"," ",AF24*$AX24)</f>
        <v>#N/A</v>
      </c>
      <c r="BZ24" s="306" t="e">
        <f aca="false">IF($A24="N/A"," ",AG24*$AY24)</f>
        <v>#N/A</v>
      </c>
      <c r="CA24" s="306" t="e">
        <f aca="false">IF($A24="N/A"," ",AH24*$AZ24)</f>
        <v>#N/A</v>
      </c>
      <c r="CB24" s="307" t="e">
        <f aca="false">IF($A24="N/A"," ",AI24*$BA24)</f>
        <v>#N/A</v>
      </c>
      <c r="CC24" s="308" t="e">
        <f aca="false">IF($A24="N/A"," ",AJ24*$AS24)</f>
        <v>#N/A</v>
      </c>
      <c r="CD24" s="309" t="e">
        <f aca="false">IF($A24="N/A"," ",AK24*$AT24)</f>
        <v>#N/A</v>
      </c>
      <c r="CE24" s="309" t="e">
        <f aca="false">IF($A24="N/A"," ",AL24*$AU24)</f>
        <v>#N/A</v>
      </c>
      <c r="CF24" s="309" t="e">
        <f aca="false">IF($A24="N/A"," ",AM24*$AV24)</f>
        <v>#N/A</v>
      </c>
      <c r="CG24" s="309" t="e">
        <f aca="false">IF($A24="N/A"," ",AN24*$AW24)</f>
        <v>#N/A</v>
      </c>
      <c r="CH24" s="309" t="e">
        <f aca="false">IF($A24="N/A"," ",AO24*$AX24)</f>
        <v>#N/A</v>
      </c>
      <c r="CI24" s="309" t="e">
        <f aca="false">IF($A24="N/A"," ",AP24*$AY24)</f>
        <v>#N/A</v>
      </c>
      <c r="CJ24" s="309" t="e">
        <f aca="false">IF($A24="N/A"," ",AQ24*$AZ24)</f>
        <v>#N/A</v>
      </c>
      <c r="CK24" s="310" t="e">
        <f aca="false">IF($A24="N/A"," ",AR24*$BA24)</f>
        <v>#N/A</v>
      </c>
      <c r="CL24" s="311" t="n">
        <f aca="false">IF(A24="N/A"," ",(VLOOKUP(A24,PowerVolTable,(IF(VolBMO=2,7,IF(VolBMO=1,6,8))),FALSE())))</f>
        <v>0.3</v>
      </c>
      <c r="CM24" s="312" t="n">
        <f aca="false">IF(A24="N/A"," ",(VLOOKUP(A24,IntraPowerVol,(IF(VolBMO=2,3,IF(VolBMO=1,2,4))),FALSE())*VLOOKUP(MONTH($A24),Volscale,2)))</f>
        <v>0.45</v>
      </c>
      <c r="CN24" s="312" t="n">
        <f aca="false">IF($A24="N/A"," ",IF(VolType=1,CM24,CL24))</f>
        <v>0.45</v>
      </c>
      <c r="CO24" s="312" t="n">
        <f aca="false">IF($A24="N/A"," ",(VLOOKUP($A24,OffPeakVol,(IF(VolBMO=2,7,IF(VolBMO=1,6,8))),FALSE())))</f>
        <v>0.15</v>
      </c>
      <c r="CP24" s="312" t="n">
        <f aca="false">IF($A24="N/A"," ",(VLOOKUP($A24,OffPeakVol,(IF(VolBMO=2,3,IF(VolBMO=1,2,4))),FALSE())*VLOOKUP(MONTH($A24),Volscale,2)))</f>
        <v>0.27</v>
      </c>
      <c r="CQ24" s="312" t="n">
        <f aca="false">IF($A24="N/A"," ",IF(VolType=1,CP24,CO24))</f>
        <v>0.27</v>
      </c>
      <c r="CR24" s="312" t="e">
        <f aca="false">IF($A24="N/A"," ",(VLOOKUP($A24,GasVolTable,(IF(VolBMO=2,6,IF(VolBMO=1,7,5))),FALSE())))</f>
        <v>#N/A</v>
      </c>
      <c r="CS24" s="312" t="e">
        <f aca="false">IF($A24="N/A"," ",(VLOOKUP($A24,OmicronVol,(IF(VolBMO=2,3,IF(VolBMO=1,4,2))),FALSE())))</f>
        <v>#N/A</v>
      </c>
      <c r="CT24" s="312" t="e">
        <f aca="false">IF($A24="N/A"," ",(IF(DateToday&gt;$A24,$CS24,IF(VolType=1,((($CR24^2)*((($A24-1)-DateToday)/((EOMONTH($A24,0)+1)-DateToday-15)))+((($CS24)^2)*((15)/((EOMONTH($A24,0)+1)-DateToday-15))))^0.5,CR24))))</f>
        <v>#N/A</v>
      </c>
      <c r="CU24" s="312" t="n">
        <f aca="false">IF($A24="N/A"," ",IF('Pricing Inputs'!$AR$23=TRUE(),Inputs!$S$22,VLOOKUP($A24,CorrelationTable,2,FALSE())))</f>
        <v>0.75</v>
      </c>
      <c r="CV24" s="313" t="n">
        <f aca="false">IF($A24="N/A"," ",F24+G24+(D24*('Pricing Inputs'!X59)))</f>
        <v>0</v>
      </c>
      <c r="CW24" s="314" t="n">
        <f aca="false">IF($A24="N/A"," ",IF(PV=1,0,'Pricing Inputs'!Y59))</f>
        <v>2</v>
      </c>
      <c r="CX24" s="315" t="n">
        <f aca="false">IF($A24="N/A"," ",(1+CW24/2)^(-2*((EOMONTH(A24,0)+20)-DateToday)/365.25))</f>
        <v>25567150370106.3</v>
      </c>
      <c r="CY24" s="316" t="n">
        <f aca="false">IF($A24="N/A"," ",(IF(MONTH(A24)&gt;=4,IF(MONTH(A24)&lt;=10,Inputs!$S$26,Inputs!$S$27),Inputs!$S$27))*$CX24)</f>
        <v>3144759495523079</v>
      </c>
      <c r="CZ24" s="317" t="e">
        <f aca="false">IF($A24="N/A"," ",BK24+BL24+BN24+BO24+BQ24+BR24)</f>
        <v>#N/A</v>
      </c>
      <c r="DA24" s="318" t="e">
        <f aca="false">IF($A24="N/A"," ",BM24+BP24+BS24)</f>
        <v>#N/A</v>
      </c>
      <c r="DB24" s="319" t="e">
        <f aca="false">IF($A24="N/A"," ",BT24+BU24+BW24+BX24+BZ24+CA24)</f>
        <v>#N/A</v>
      </c>
      <c r="DC24" s="319" t="e">
        <f aca="false">IF($A24="N/A"," ",BV24+BY24+CB24)</f>
        <v>#N/A</v>
      </c>
      <c r="DD24" s="320" t="e">
        <f aca="false">IF($A24="N/A"," ",SUM(CC24:CK24))</f>
        <v>#N/A</v>
      </c>
      <c r="DE24" s="321" t="n">
        <f aca="false">IF($A24="N/A"," ",VLOOKUP($A24,NumberofDaysTable,2)*Availability)</f>
        <v>18.9</v>
      </c>
      <c r="DF24" s="94" t="n">
        <f aca="false">IF($A24="N/A"," ",VLOOKUP($A24,NumberofDaysTable,3)*Availability)</f>
        <v>4.5</v>
      </c>
      <c r="DG24" s="322" t="n">
        <f aca="false">IF($A24="N/A"," ",VLOOKUP($A24,NumberofDaysTable,4)*Availability)</f>
        <v>4.5</v>
      </c>
      <c r="DH24" s="323" t="n">
        <f aca="false">IF($A24="N/A"," ",IF(Option=1,$D24*Inputs!$S$15*SUM(AS24:BA24),0))</f>
        <v>0</v>
      </c>
      <c r="DI24" s="324" t="n">
        <f aca="false">IF($A24="N/A"," ",IF(Option=1,$D24*Inputs!$S$16*SUM(AS24:BA24),0))</f>
        <v>0</v>
      </c>
      <c r="DJ24" s="325" t="n">
        <f aca="false">IF($A24="N/A"," ",SUM(AS24:AT24))</f>
        <v>9.50975271446179E+017</v>
      </c>
      <c r="DK24" s="325" t="n">
        <f aca="false">IF($A24="N/A"," ",SUM(AU24:BA24))</f>
        <v>1.15475568675607E+018</v>
      </c>
      <c r="DL24" s="325" t="e">
        <f aca="false">IF($A24="N/A"," ",SUM(BB24:BC24))</f>
        <v>#N/A</v>
      </c>
      <c r="DM24" s="325" t="e">
        <f aca="false">IF($A24="N/A"," ",SUM(BD24:BJ24))</f>
        <v>#N/A</v>
      </c>
    </row>
    <row r="25" customFormat="false" ht="12.75" hidden="false" customHeight="false" outlineLevel="0" collapsed="false">
      <c r="A25" s="282" t="n">
        <f aca="false">IF(A24="N/A","N/A",IF(EDATE(A24,1)&gt;Inputs!$S$5,"N/A",EDATE(A24,1)))</f>
        <v>37773</v>
      </c>
      <c r="B25" s="283" t="n">
        <f aca="false">IF(A25="N/A"," ",YEAR(A25))</f>
        <v>2003</v>
      </c>
      <c r="C25" s="284" t="e">
        <f aca="false">IF(A25="N/A"," ",VLOOKUP(A25,ScaledPrice,14))</f>
        <v>#N/A</v>
      </c>
      <c r="D25" s="285" t="n">
        <f aca="false">IF(A25="N/A"," ",(VLOOKUP(MONTH($A25),Hrtable,2))/1000)</f>
        <v>9.5</v>
      </c>
      <c r="E25" s="286" t="e">
        <f aca="false">IF($A25="N/A"," ",(C25)*D25)</f>
        <v>#N/A</v>
      </c>
      <c r="F25" s="287" t="n">
        <f aca="false">IF(A25="N/A"," ",VOM*(1+VOMesc)^(YEAR(A25)-YEAR(Today)))</f>
        <v>0</v>
      </c>
      <c r="G25" s="287" t="n">
        <f aca="false">IF(A25="N/A"," ",Perstart/VLOOKUP(Dayrun,'Pricing Inputs'!$AQ$4:$AS$14,3)/(CY25/CX25))</f>
        <v>0</v>
      </c>
      <c r="H25" s="288" t="e">
        <f aca="false">IF(A25="N/A"," ",SUM(E25:G25))</f>
        <v>#N/A</v>
      </c>
      <c r="I25" s="289" t="n">
        <f aca="false">VLOOKUP($A25,ScaledPrice,6)</f>
        <v>47</v>
      </c>
      <c r="J25" s="290" t="n">
        <f aca="false">VLOOKUP($A25,ScaledPrice,10)</f>
        <v>47</v>
      </c>
      <c r="K25" s="290" t="n">
        <f aca="false">VLOOKUP($A25,ScaledPrice,13)</f>
        <v>21.1800003051758</v>
      </c>
      <c r="L25" s="290" t="n">
        <f aca="false">VLOOKUP($A25,ScaledPrice,7)</f>
        <v>29.8399982452393</v>
      </c>
      <c r="M25" s="290" t="n">
        <f aca="false">VLOOKUP($A25,ScaledPrice,11)</f>
        <v>29.8399982452393</v>
      </c>
      <c r="N25" s="290" t="n">
        <f aca="false">VLOOKUP($A25,ScaledPrice,13)</f>
        <v>21.1800003051758</v>
      </c>
      <c r="O25" s="290" t="n">
        <f aca="false">VLOOKUP($A25,ScaledPrice,8)</f>
        <v>20.3399982452393</v>
      </c>
      <c r="P25" s="290" t="n">
        <f aca="false">VLOOKUP($A25,ScaledPrice,12)</f>
        <v>20.3399982452393</v>
      </c>
      <c r="Q25" s="291" t="n">
        <f aca="false">VLOOKUP($A25,ScaledPrice,13)</f>
        <v>21.1800003051758</v>
      </c>
      <c r="R25" s="292" t="e">
        <f aca="false">IF($A25="N/A"," ",IF(Dayrun&gt;=3,IF(Option=1,MAX($I25-$H25,0),IF(Option=2,MAX($H25-$I25,0),0)),0))</f>
        <v>#N/A</v>
      </c>
      <c r="S25" s="286" t="e">
        <f aca="false">IF($A25="N/A"," ",IF(Dayrun&gt;=6,IF(Option=1,MAX($J25-H25,0),IF(Option=2,MAX(H25-$J25,0),0)),0))</f>
        <v>#N/A</v>
      </c>
      <c r="T25" s="286" t="e">
        <f aca="false">IF($A25="N/A"," ",IF(OR(Dayrun&lt;=2,Dayrun&gt;=9),IF(Option=1,MAX($K25-$H25,0),IF(Option=2,MAX($H25-$K25,0),0)),0))</f>
        <v>#N/A</v>
      </c>
      <c r="U25" s="286" t="e">
        <f aca="false">IF($A25="N/A"," ",IF(OR(Dayrun=1,Dayrun=4,Dayrun=5,Dayrun=7,Dayrun=8,Dayrun=10,Dayrun=11),IF(Option=1,MAX($L25-H25,0),IF(Option=2,MAX(H25-$L25,0),0)),0))</f>
        <v>#N/A</v>
      </c>
      <c r="V25" s="286" t="e">
        <f aca="false">IF($A25="N/A"," ",IF(OR(Dayrun=1,Dayrun=7,Dayrun=8,Dayrun=10,Dayrun=11),IF(Option=1,MAX($M25-H25,0),IF(Option=2,MAX(H25-$M25,0),0)),0))</f>
        <v>#N/A</v>
      </c>
      <c r="W25" s="286" t="e">
        <f aca="false">IF($A25="N/A"," ",IF(OR(Dayrun&lt;=2,Dayrun&gt;=10),IF(Option=1,MAX($N25-$H25,0),IF(Option=2,MAX($H25-$N25,0),0)),0))</f>
        <v>#N/A</v>
      </c>
      <c r="X25" s="286" t="e">
        <f aca="false">IF($A25="N/A"," ",IF(OR(Dayrun=1,Dayrun=5,Dayrun=8,Dayrun=11),IF(Option=1,MAX($O25-H25,0),IF(Option=2,MAX(H25-$O25,0),0)),0))</f>
        <v>#N/A</v>
      </c>
      <c r="Y25" s="286" t="e">
        <f aca="false">IF($A25="N/A"," ",IF(OR(Dayrun=1,Dayrun=8,Dayrun=11),IF(Option=1,MAX($P25-H25,0),IF(Option=2,MAX(H25-$P25,0),0)),0))</f>
        <v>#N/A</v>
      </c>
      <c r="Z25" s="293" t="e">
        <f aca="false">IF($A25="N/A"," ",IF(OR(Dayrun&lt;=2,Dayrun&gt;=11),IF(Option=1,MAX($Q25-$H25,0),IF(Option=2,MAX($H25-$Q25,0),0)),0))</f>
        <v>#N/A</v>
      </c>
      <c r="AA25" s="289" t="e">
        <f aca="false">IF($A25="N/A"," ",IF(Dayrun&gt;=3,(MAX(0,(xSPRDOPT(I25,($E25-'Pricing Inputs'!$X60*$D25),$CV25,0,($CN25+IF(Smile=TRUE(),VLOOKUP(MAX(-5,$H25-I25),Volsmile,2),0)),$CT25,$CU25,($A25-DateToday)+15,ABS(Option-2),0)-R25))),0))</f>
        <v>#N/A</v>
      </c>
      <c r="AB25" s="290" t="e">
        <f aca="false">IF($A25="N/A"," ",IF(Dayrun&gt;=6,MAX(0,(xSPRDOPT(J25,($E25-'Pricing Inputs'!$X60*$D25),$CV25,0,($CN25+IF(Smile=TRUE(),VLOOKUP(MAX(-5,$H25-J25),Volsmile,2),0)),$CT25,$CU25,($A25-DateToday)+15,ABS(Option-2),0)-S25)),0))</f>
        <v>#N/A</v>
      </c>
      <c r="AC25" s="290" t="e">
        <f aca="false">IF($A25="N/A"," ",IF(OR(Dayrun&lt;=2,Dayrun&gt;=9),IF(OffPeakEx=TRUE(),MAX(0,(xSPRDOPT(K25,($E25-'Pricing Inputs'!$X60*$D25),$CV25,0,($CQ25+IF(Smile=TRUE(),VLOOKUP(MAX(-5,$H25-K25),Volsmile,2),0)),$CT25,$CU25,($A25-DateToday)+15,ABS(Option-2),0)-T25)),0),0))</f>
        <v>#N/A</v>
      </c>
      <c r="AD25" s="290" t="e">
        <f aca="false">IF($A25="N/A"," ",IF(OR(Dayrun=1,Dayrun=4,Dayrun=5,Dayrun=7,Dayrun=8,Dayrun=10,Dayrun=11),MAX(0,(xSPRDOPT(L25,($E25-'Pricing Inputs'!$X60*$D25),$CV25,0,($CQ25+IF(Smile=TRUE(),VLOOKUP(MAX(-5,$H25-L25),Volsmile,2),0)),$CT25,$CU25,($A25-DateToday)+15,ABS(Option-2),0)-U25)),0))</f>
        <v>#N/A</v>
      </c>
      <c r="AE25" s="290" t="e">
        <f aca="false">IF($A25="N/A"," ",IF(OR(Dayrun=1,Dayrun=7,Dayrun=8,Dayrun=10,Dayrun=11),MAX(0,(xSPRDOPT(M25,($E25-'Pricing Inputs'!$X60*$D25),$CV25,0,($CQ25+IF(Smile=TRUE(),VLOOKUP(MAX(-5,$H25-M25),Volsmile,2),0)),$CT25,$CU25,($A25-DateToday)+15,ABS(Option-2),0)-V25)),0))</f>
        <v>#N/A</v>
      </c>
      <c r="AF25" s="290" t="e">
        <f aca="false">IF($A25="N/A"," ",IF(OR(Dayrun&lt;=2,Dayrun&gt;=10),IF(OffPeakEx=TRUE(),MAX(0,(xSPRDOPT(N25,($E25-'Pricing Inputs'!$X60*$D25),$CV25,0,($CQ25+IF(Smile=TRUE(),VLOOKUP(MAX(-5,$H25-N25),Volsmile,2),0)),$CT25,$CU25,($A25-DateToday)+15,ABS(Option-2),0)-W25)),0),0))</f>
        <v>#N/A</v>
      </c>
      <c r="AG25" s="290" t="e">
        <f aca="false">IF($A25="N/A"," ",IF(OR(Dayrun=1,Dayrun=5,Dayrun=8,Dayrun=11),MAX(0,(xSPRDOPT(O25,($E25-'Pricing Inputs'!$X60*$D25),$CV25,0,($CQ25+IF(Smile=TRUE(),VLOOKUP(MAX(-5,$H25-O25),Volsmile,2),0)),$CT25,$CU25,($A25-DateToday)+15,ABS(Option-2),0)-X25)),0))</f>
        <v>#N/A</v>
      </c>
      <c r="AH25" s="290" t="e">
        <f aca="false">IF($A25="N/A"," ",IF(OR(Dayrun=1,Dayrun=8,Dayrun=11),MAX(0,(xSPRDOPT(P25,($E25-'Pricing Inputs'!$X60*$D25),$CV25,0,($CQ25+IF(Smile=TRUE(),VLOOKUP(MAX(-5,$H25-P25),Volsmile,2),0)),$CT25,$CU25,($A25-DateToday)+15,ABS(Option-2),0)-Y25)),0))</f>
        <v>#N/A</v>
      </c>
      <c r="AI25" s="290" t="e">
        <f aca="false">IF($A25="N/A"," ",IF(OR(Dayrun&lt;=2,Dayrun&gt;=11),IF(OffPeakEx=TRUE(),MAX(0,(xSPRDOPT(Q25,($E25-'Pricing Inputs'!$X60*$D25),$CV25,0,($CQ25+IF(Smile=TRUE(),VLOOKUP(MAX(-5,$H25-Q25),Volsmile,2),0)),$CT25,$CU25,($A25-DateToday)+15,ABS(Option-2),0)-Z25)),0),0))</f>
        <v>#N/A</v>
      </c>
      <c r="AJ25" s="294" t="e">
        <f aca="false">IF($A25="N/A"," ",IF(Dayrun&gt;=3,IF(Option=1,$I25-$H25,IF(Option=2,$H25-$I25)),0))</f>
        <v>#N/A</v>
      </c>
      <c r="AK25" s="295" t="e">
        <f aca="false">IF($A25="N/A"," ",IF(Dayrun&gt;=6,IF(Option=1,$J25-H25,IF(Option=2,H25-$J25)),0))</f>
        <v>#N/A</v>
      </c>
      <c r="AL25" s="295" t="e">
        <f aca="false">IF($A25="N/A"," ",IF(OR(Dayrun&lt;=2,Dayrun&gt;=9),IF(Option=1,$K25-$H25,IF(Option=2,$H25-$K25)),0))</f>
        <v>#N/A</v>
      </c>
      <c r="AM25" s="295" t="e">
        <f aca="false">IF($A25="N/A"," ",IF(OR(Dayrun=1,Dayrun=4,Dayrun=5,Dayrun=7,Dayrun=8,Dayrun=10,Dayrun=11),IF(Option=1,$L25-H25,IF(Option=2,H25-$L25)),0))</f>
        <v>#N/A</v>
      </c>
      <c r="AN25" s="295" t="e">
        <f aca="false">IF($A25="N/A"," ",IF(OR(Dayrun=1,Dayrun=7,Dayrun=8,Dayrun=10,Dayrun=11),IF(Option=1,$M25-H25,IF(Option=2,H25-$M25)),0))</f>
        <v>#N/A</v>
      </c>
      <c r="AO25" s="295" t="e">
        <f aca="false">IF($A25="N/A"," ",IF(OR(Dayrun&lt;=2,Dayrun&gt;=9),IF(Option=1,$N25-$H25,IF(Option=2,$H25-$N25)),0))</f>
        <v>#N/A</v>
      </c>
      <c r="AP25" s="295" t="e">
        <f aca="false">IF($A25="N/A"," ",IF(OR(Dayrun=1,Dayrun=5,Dayrun=8,Dayrun=11),IF(Option=1,$O25-H25,IF(Option=2,H25-$O25)),0))</f>
        <v>#N/A</v>
      </c>
      <c r="AQ25" s="295" t="e">
        <f aca="false">IF($A25="N/A"," ",IF(OR(Dayrun=1,Dayrun=8,Dayrun=11),IF(Option=1,$P25-H25,IF(Option=2,H25-$P25)),0))</f>
        <v>#N/A</v>
      </c>
      <c r="AR25" s="296" t="e">
        <f aca="false">IF($A25="N/A"," ",IF(OR(Dayrun&lt;=2,Dayrun&gt;=9),IF(Option=1,$Q25-H25,IF(Option=2,H25-$Q25)),0))</f>
        <v>#N/A</v>
      </c>
      <c r="AS25" s="297" t="n">
        <f aca="false">IF($A25="N/A"," ",IF(VLOOKUP(MONTH($A25),ManualTable,2)=1,IF(Dayrun&gt;=3,$DE25*8*$CY25,0),0))</f>
        <v>4.2431532324323E+017</v>
      </c>
      <c r="AT25" s="297" t="n">
        <f aca="false">IF($A25="N/A"," ",IF(VLOOKUP(MONTH($A25),ManualTable,3)=1,IF(Dayrun&gt;=6,$DE25*8*$CY25,0),0))</f>
        <v>4.2431532324323E+017</v>
      </c>
      <c r="AU25" s="297" t="n">
        <f aca="false">IF($A25="N/A"," ",IF(VLOOKUP(MONTH($A25),ManualTable,4)=1,IF(OR(Dayrun&lt;=2,Dayrun&gt;=9),$DE25*8*$CY25,0),0))</f>
        <v>4.2431532324323E+017</v>
      </c>
      <c r="AV25" s="297" t="n">
        <f aca="false">IF($A25="N/A"," ",IF(VLOOKUP(MONTH($A25),ManualTable,5)=1,IF(OR(Dayrun=1,Dayrun=4,Dayrun=5,Dayrun=7,Dayrun=8,Dayrun=10,Dayrun=11),$DF25*8*$CY25,0),0))</f>
        <v>80821966332043700</v>
      </c>
      <c r="AW25" s="297" t="n">
        <f aca="false">IF($A25="N/A"," ",IF(VLOOKUP(MONTH($A25),ManualTable,6)=1,IF(OR(Dayrun=1,Dayrun=7,Dayrun=8,Dayrun=10,Dayrun=11),$DF25*8*$CY25,0),0))</f>
        <v>80821966332043700</v>
      </c>
      <c r="AX25" s="297" t="n">
        <f aca="false">IF($A25="N/A"," ",IF(VLOOKUP(MONTH($A25),ManualTable,7)=1,IF(OR(Dayrun&lt;=2,Dayrun&gt;=9),$DF25*8*$CY25,0),0))</f>
        <v>80821966332043700</v>
      </c>
      <c r="AY25" s="297" t="n">
        <f aca="false">IF($A25="N/A"," ",IF(VLOOKUP(MONTH($A25),ManualTable,8)=1,IF(OR(Dayrun=1,Dayrun=5,Dayrun=8,Dayrun=11),$DG25*8*$CY25,0),0))</f>
        <v>1.01027457915055E+017</v>
      </c>
      <c r="AZ25" s="297" t="n">
        <f aca="false">IF($A25="N/A"," ",IF(VLOOKUP(MONTH($A25),ManualTable,9)=1,IF(OR(Dayrun=1,Dayrun=8,Dayrun=11),$DG25*8*$CY25,0),0))</f>
        <v>1.01027457915055E+017</v>
      </c>
      <c r="BA25" s="298" t="n">
        <f aca="false">IF($A25="N/A"," ",IF(VLOOKUP(MONTH($A25),ManualTable,10)=1,IF(OR(Dayrun&lt;=2,Dayrun&gt;=9),$DG25*8*$CY25,0),0))</f>
        <v>1.01027457915055E+017</v>
      </c>
      <c r="BB25" s="299" t="e">
        <f aca="false">IF($A25="N/A"," ",IF(Dayrun&gt;=3,(MAX(0,(xSPRDOPT(I25,($E25-'Pricing Inputs'!$X60*$D25),$CV25,0,($CN25+IF(Smile=TRUE(),VLOOKUP(MAX(-5,$H25-I25),Volsmile,2),0)),$CT25,$CU25,($A25-DateToday)+15,ABS(Option-2),1)*DE25*8))),0))</f>
        <v>#N/A</v>
      </c>
      <c r="BC25" s="300" t="e">
        <f aca="false">IF($A25="N/A"," ",IF(Dayrun&gt;=6,MAX(0,(xSPRDOPT(J25,($E25-'Pricing Inputs'!$X60*$D25),$CV25,0,($CN25+IF(Smile=TRUE(),VLOOKUP(MAX(-5,$H25-J25),Volsmile,2),0)),$CT25,$CU25,($A25-DateToday)+15,ABS(Option-2),1)*DE25*8)),0))</f>
        <v>#N/A</v>
      </c>
      <c r="BD25" s="300" t="e">
        <f aca="false">IF($A25="N/A"," ",IF(OR(Dayrun&lt;=2,Dayrun&gt;=9),IF(OffPeakEx=TRUE(),MAX(0,(xSPRDOPT(K25,($E25-'Pricing Inputs'!$X60*$D25),$CV25,0,($CQ25+IF(Smile=TRUE(),VLOOKUP(MAX(-5,$H25-K25),Volsmile,2),0)),$CT25,$CU25,($A25-DateToday)+15,ABS(Option-2),1)*DE25*8)),0),0))</f>
        <v>#N/A</v>
      </c>
      <c r="BE25" s="300" t="e">
        <f aca="false">IF($A25="N/A"," ",IF(OR(Dayrun=1,Dayrun=4,Dayrun=5,Dayrun=7,Dayrun=8,Dayrun=10,Dayrun=11),MAX(0,(xSPRDOPT(L25,($E25-'Pricing Inputs'!$X60*$D25),$CV25,0,($CQ25+IF(Smile=TRUE(),VLOOKUP(MAX(-5,$H25-L25),Volsmile,2),0)),$CT25,$CU25,($A25-DateToday)+15,ABS(Option-2),1)*DF25*8)),0))</f>
        <v>#N/A</v>
      </c>
      <c r="BF25" s="300" t="e">
        <f aca="false">IF($A25="N/A"," ",IF(OR(Dayrun=1,Dayrun=7,Dayrun=8,Dayrun=10,Dayrun=11),MAX(0,(xSPRDOPT(M25,($E25-'Pricing Inputs'!$X60*$D25),$CV25,0,($CQ25+IF(Smile=TRUE(),VLOOKUP(MAX(-5,$H25-M25),Volsmile,2),0)),$CT25,$CU25,($A25-DateToday)+15,ABS(Option-2),1)*DF25*8)),0))</f>
        <v>#N/A</v>
      </c>
      <c r="BG25" s="300" t="e">
        <f aca="false">IF($A25="N/A"," ",IF(OR(Dayrun&lt;=2,Dayrun&gt;=10),IF(OffPeakEx=TRUE(),MAX(0,(xSPRDOPT(N25,($E25-'Pricing Inputs'!$X60*$D25),$CV25,0,($CQ25+IF(Smile=TRUE(),VLOOKUP(MAX(-5,$H25-N25),Volsmile,2),0)),$CT25,$CU25,($A25-DateToday)+15,ABS(Option-2),1)*DF25*8)),0),0))</f>
        <v>#N/A</v>
      </c>
      <c r="BH25" s="300" t="e">
        <f aca="false">IF($A25="N/A"," ",IF(OR(Dayrun=1,Dayrun=5,Dayrun=8,Dayrun=11),MAX(0,(xSPRDOPT(O25,($E25-'Pricing Inputs'!$X60*$D25),$CV25,0,($CQ25+IF(Smile=TRUE(),VLOOKUP(MAX(-5,$H25-O25),Volsmile,2),0)),$CT25,$CU25,($A25-DateToday)+15,ABS(Option-2),1)*DG25*8)),0))</f>
        <v>#N/A</v>
      </c>
      <c r="BI25" s="300" t="e">
        <f aca="false">IF($A25="N/A"," ",IF(OR(Dayrun=1,Dayrun=8,Dayrun=11),MAX(0,(xSPRDOPT(P25,($E25-'Pricing Inputs'!$X60*$D25),$CV25,0,($CQ25+IF(Smile=TRUE(),VLOOKUP(MAX(-5,$H25-P25),Volsmile,2),0)),$CT25,$CU25,($A25-DateToday)+15,ABS(Option-2),1)*DG25*8)),0))</f>
        <v>#N/A</v>
      </c>
      <c r="BJ25" s="301" t="e">
        <f aca="false">IF($A25="N/A"," ",IF(OR(Dayrun&lt;=2,Dayrun&gt;=11),IF(OffPeakEx=TRUE(),MAX(0,(xSPRDOPT(Q25,($E25-'Pricing Inputs'!$X60*$D25),$CV25,0,($CQ25+IF(Smile=TRUE(),VLOOKUP(MAX(-5,$H25-Q25),Volsmile,2),0)),$CT25,$CU25,($A25-DateToday)+15,ABS(Option-2),1)*DG25*8)),0),0))</f>
        <v>#N/A</v>
      </c>
      <c r="BK25" s="302" t="e">
        <f aca="false">IF($A25="N/A"," ",R25*$AS25)</f>
        <v>#N/A</v>
      </c>
      <c r="BL25" s="303" t="e">
        <f aca="false">IF($A25="N/A"," ",S25*$AT25)</f>
        <v>#N/A</v>
      </c>
      <c r="BM25" s="303" t="e">
        <f aca="false">IF($A25="N/A"," ",T25*$AU25)</f>
        <v>#N/A</v>
      </c>
      <c r="BN25" s="303" t="e">
        <f aca="false">IF($A25="N/A"," ",U25*$AV25)</f>
        <v>#N/A</v>
      </c>
      <c r="BO25" s="303" t="e">
        <f aca="false">IF($A25="N/A"," ",V25*$AW25)</f>
        <v>#N/A</v>
      </c>
      <c r="BP25" s="303" t="e">
        <f aca="false">IF($A25="N/A"," ",W25*$AX25)</f>
        <v>#N/A</v>
      </c>
      <c r="BQ25" s="303" t="e">
        <f aca="false">IF($A25="N/A"," ",X25*$AY25)</f>
        <v>#N/A</v>
      </c>
      <c r="BR25" s="303" t="e">
        <f aca="false">IF($A25="N/A"," ",Y25*$AZ25)</f>
        <v>#N/A</v>
      </c>
      <c r="BS25" s="304" t="e">
        <f aca="false">IF($A25="N/A"," ",Z25*$BA25)</f>
        <v>#N/A</v>
      </c>
      <c r="BT25" s="305" t="e">
        <f aca="false">IF($A25="N/A"," ",AA25*$AS25)</f>
        <v>#N/A</v>
      </c>
      <c r="BU25" s="306" t="e">
        <f aca="false">IF($A25="N/A"," ",AB25*$AT25)</f>
        <v>#N/A</v>
      </c>
      <c r="BV25" s="306" t="e">
        <f aca="false">IF($A25="N/A"," ",AC25*$AU25)</f>
        <v>#N/A</v>
      </c>
      <c r="BW25" s="306" t="e">
        <f aca="false">IF($A25="N/A"," ",AD25*$AV25)</f>
        <v>#N/A</v>
      </c>
      <c r="BX25" s="306" t="e">
        <f aca="false">IF($A25="N/A"," ",AE25*$AW25)</f>
        <v>#N/A</v>
      </c>
      <c r="BY25" s="306" t="e">
        <f aca="false">IF($A25="N/A"," ",AF25*$AX25)</f>
        <v>#N/A</v>
      </c>
      <c r="BZ25" s="306" t="e">
        <f aca="false">IF($A25="N/A"," ",AG25*$AY25)</f>
        <v>#N/A</v>
      </c>
      <c r="CA25" s="306" t="e">
        <f aca="false">IF($A25="N/A"," ",AH25*$AZ25)</f>
        <v>#N/A</v>
      </c>
      <c r="CB25" s="307" t="e">
        <f aca="false">IF($A25="N/A"," ",AI25*$BA25)</f>
        <v>#N/A</v>
      </c>
      <c r="CC25" s="308" t="e">
        <f aca="false">IF($A25="N/A"," ",AJ25*$AS25)</f>
        <v>#N/A</v>
      </c>
      <c r="CD25" s="309" t="e">
        <f aca="false">IF($A25="N/A"," ",AK25*$AT25)</f>
        <v>#N/A</v>
      </c>
      <c r="CE25" s="309" t="e">
        <f aca="false">IF($A25="N/A"," ",AL25*$AU25)</f>
        <v>#N/A</v>
      </c>
      <c r="CF25" s="309" t="e">
        <f aca="false">IF($A25="N/A"," ",AM25*$AV25)</f>
        <v>#N/A</v>
      </c>
      <c r="CG25" s="309" t="e">
        <f aca="false">IF($A25="N/A"," ",AN25*$AW25)</f>
        <v>#N/A</v>
      </c>
      <c r="CH25" s="309" t="e">
        <f aca="false">IF($A25="N/A"," ",AO25*$AX25)</f>
        <v>#N/A</v>
      </c>
      <c r="CI25" s="309" t="e">
        <f aca="false">IF($A25="N/A"," ",AP25*$AY25)</f>
        <v>#N/A</v>
      </c>
      <c r="CJ25" s="309" t="e">
        <f aca="false">IF($A25="N/A"," ",AQ25*$AZ25)</f>
        <v>#N/A</v>
      </c>
      <c r="CK25" s="310" t="e">
        <f aca="false">IF($A25="N/A"," ",AR25*$BA25)</f>
        <v>#N/A</v>
      </c>
      <c r="CL25" s="311" t="n">
        <f aca="false">IF(A25="N/A"," ",(VLOOKUP(A25,PowerVolTable,(IF(VolBMO=2,7,IF(VolBMO=1,6,8))),FALSE())))</f>
        <v>0.35</v>
      </c>
      <c r="CM25" s="312" t="n">
        <f aca="false">IF(A25="N/A"," ",(VLOOKUP(A25,IntraPowerVol,(IF(VolBMO=2,3,IF(VolBMO=1,2,4))),FALSE())*VLOOKUP(MONTH($A25),Volscale,2)))</f>
        <v>0.45</v>
      </c>
      <c r="CN25" s="312" t="n">
        <f aca="false">IF($A25="N/A"," ",IF(VolType=1,CM25,CL25))</f>
        <v>0.45</v>
      </c>
      <c r="CO25" s="312" t="n">
        <f aca="false">IF($A25="N/A"," ",(VLOOKUP($A25,OffPeakVol,(IF(VolBMO=2,7,IF(VolBMO=1,6,8))),FALSE())))</f>
        <v>0.175</v>
      </c>
      <c r="CP25" s="312" t="n">
        <f aca="false">IF($A25="N/A"," ",(VLOOKUP($A25,OffPeakVol,(IF(VolBMO=2,3,IF(VolBMO=1,2,4))),FALSE())*VLOOKUP(MONTH($A25),Volscale,2)))</f>
        <v>0.27</v>
      </c>
      <c r="CQ25" s="312" t="n">
        <f aca="false">IF($A25="N/A"," ",IF(VolType=1,CP25,CO25))</f>
        <v>0.27</v>
      </c>
      <c r="CR25" s="312" t="e">
        <f aca="false">IF($A25="N/A"," ",(VLOOKUP($A25,GasVolTable,(IF(VolBMO=2,6,IF(VolBMO=1,7,5))),FALSE())))</f>
        <v>#N/A</v>
      </c>
      <c r="CS25" s="312" t="e">
        <f aca="false">IF($A25="N/A"," ",(VLOOKUP($A25,OmicronVol,(IF(VolBMO=2,3,IF(VolBMO=1,4,2))),FALSE())))</f>
        <v>#N/A</v>
      </c>
      <c r="CT25" s="312" t="e">
        <f aca="false">IF($A25="N/A"," ",(IF(DateToday&gt;$A25,$CS25,IF(VolType=1,((($CR25^2)*((($A25-1)-DateToday)/((EOMONTH($A25,0)+1)-DateToday-15)))+((($CS25)^2)*((15)/((EOMONTH($A25,0)+1)-DateToday-15))))^0.5,CR25))))</f>
        <v>#N/A</v>
      </c>
      <c r="CU25" s="312" t="n">
        <f aca="false">IF($A25="N/A"," ",IF('Pricing Inputs'!$AR$23=TRUE(),Inputs!$S$22,VLOOKUP($A25,CorrelationTable,2,FALSE())))</f>
        <v>0.75</v>
      </c>
      <c r="CV25" s="313" t="n">
        <f aca="false">IF($A25="N/A"," ",F25+G25+(D25*('Pricing Inputs'!X60)))</f>
        <v>0</v>
      </c>
      <c r="CW25" s="314" t="n">
        <f aca="false">IF($A25="N/A"," ",IF(PV=1,0,'Pricing Inputs'!Y60))</f>
        <v>2</v>
      </c>
      <c r="CX25" s="315" t="n">
        <f aca="false">IF($A25="N/A"," ",(1+CW25/2)^(-2*((EOMONTH(A25,0)+20)-DateToday)/365.25))</f>
        <v>22815595735107.2</v>
      </c>
      <c r="CY25" s="316" t="n">
        <f aca="false">IF($A25="N/A"," ",(IF(MONTH(A25)&gt;=4,IF(MONTH(A25)&lt;=10,Inputs!$S$26,Inputs!$S$27),Inputs!$S$27))*$CX25)</f>
        <v>2806318275418180</v>
      </c>
      <c r="CZ25" s="317" t="e">
        <f aca="false">IF($A25="N/A"," ",BK25+BL25+BN25+BO25+BQ25+BR25)</f>
        <v>#N/A</v>
      </c>
      <c r="DA25" s="318" t="e">
        <f aca="false">IF($A25="N/A"," ",BM25+BP25+BS25)</f>
        <v>#N/A</v>
      </c>
      <c r="DB25" s="319" t="e">
        <f aca="false">IF($A25="N/A"," ",BT25+BU25+BW25+BX25+BZ25+CA25)</f>
        <v>#N/A</v>
      </c>
      <c r="DC25" s="319" t="e">
        <f aca="false">IF($A25="N/A"," ",BV25+BY25+CB25)</f>
        <v>#N/A</v>
      </c>
      <c r="DD25" s="320" t="e">
        <f aca="false">IF($A25="N/A"," ",SUM(CC25:CK25))</f>
        <v>#N/A</v>
      </c>
      <c r="DE25" s="321" t="n">
        <f aca="false">IF($A25="N/A"," ",VLOOKUP($A25,NumberofDaysTable,2)*Availability)</f>
        <v>18.9</v>
      </c>
      <c r="DF25" s="94" t="n">
        <f aca="false">IF($A25="N/A"," ",VLOOKUP($A25,NumberofDaysTable,3)*Availability)</f>
        <v>3.6</v>
      </c>
      <c r="DG25" s="322" t="n">
        <f aca="false">IF($A25="N/A"," ",VLOOKUP($A25,NumberofDaysTable,4)*Availability)</f>
        <v>4.5</v>
      </c>
      <c r="DH25" s="323" t="n">
        <f aca="false">IF($A25="N/A"," ",IF(Option=1,$D25*Inputs!$S$15*SUM(AS25:BA25),0))</f>
        <v>0</v>
      </c>
      <c r="DI25" s="324" t="n">
        <f aca="false">IF($A25="N/A"," ",IF(Option=1,$D25*Inputs!$S$16*SUM(AS25:BA25),0))</f>
        <v>0</v>
      </c>
      <c r="DJ25" s="325" t="n">
        <f aca="false">IF($A25="N/A"," ",SUM(AS25:AT25))</f>
        <v>8.48630646486459E+017</v>
      </c>
      <c r="DK25" s="325" t="n">
        <f aca="false">IF($A25="N/A"," ",SUM(AU25:BA25))</f>
        <v>9.69863595984525E+017</v>
      </c>
      <c r="DL25" s="325" t="e">
        <f aca="false">IF($A25="N/A"," ",SUM(BB25:BC25))</f>
        <v>#N/A</v>
      </c>
      <c r="DM25" s="325" t="e">
        <f aca="false">IF($A25="N/A"," ",SUM(BD25:BJ25))</f>
        <v>#N/A</v>
      </c>
    </row>
    <row r="26" customFormat="false" ht="12.75" hidden="false" customHeight="false" outlineLevel="0" collapsed="false">
      <c r="A26" s="282" t="n">
        <f aca="false">IF(A25="N/A","N/A",IF(EDATE(A25,1)&gt;Inputs!$S$5,"N/A",EDATE(A25,1)))</f>
        <v>37803</v>
      </c>
      <c r="B26" s="283" t="n">
        <f aca="false">IF(A26="N/A"," ",YEAR(A26))</f>
        <v>2003</v>
      </c>
      <c r="C26" s="284" t="e">
        <f aca="false">IF(A26="N/A"," ",VLOOKUP(A26,ScaledPrice,14))</f>
        <v>#N/A</v>
      </c>
      <c r="D26" s="285" t="n">
        <f aca="false">IF(A26="N/A"," ",(VLOOKUP(MONTH($A26),Hrtable,2))/1000)</f>
        <v>9.5</v>
      </c>
      <c r="E26" s="286" t="e">
        <f aca="false">IF($A26="N/A"," ",(C26)*D26)</f>
        <v>#N/A</v>
      </c>
      <c r="F26" s="287" t="n">
        <f aca="false">IF(A26="N/A"," ",VOM*(1+VOMesc)^(YEAR(A26)-YEAR(Today)))</f>
        <v>0</v>
      </c>
      <c r="G26" s="287" t="n">
        <f aca="false">IF(A26="N/A"," ",Perstart/VLOOKUP(Dayrun,'Pricing Inputs'!$AQ$4:$AS$14,3)/(CY26/CX26))</f>
        <v>0</v>
      </c>
      <c r="H26" s="288" t="e">
        <f aca="false">IF(A26="N/A"," ",SUM(E26:G26))</f>
        <v>#N/A</v>
      </c>
      <c r="I26" s="289" t="n">
        <f aca="false">VLOOKUP($A26,ScaledPrice,6)</f>
        <v>58.25</v>
      </c>
      <c r="J26" s="290" t="n">
        <f aca="false">VLOOKUP($A26,ScaledPrice,10)</f>
        <v>58.25</v>
      </c>
      <c r="K26" s="290" t="n">
        <f aca="false">VLOOKUP($A26,ScaledPrice,13)</f>
        <v>21.6800003051758</v>
      </c>
      <c r="L26" s="290" t="n">
        <f aca="false">VLOOKUP($A26,ScaledPrice,7)</f>
        <v>35.8400039672852</v>
      </c>
      <c r="M26" s="290" t="n">
        <f aca="false">VLOOKUP($A26,ScaledPrice,11)</f>
        <v>35.8400039672852</v>
      </c>
      <c r="N26" s="290" t="n">
        <f aca="false">VLOOKUP($A26,ScaledPrice,13)</f>
        <v>21.6800003051758</v>
      </c>
      <c r="O26" s="290" t="n">
        <f aca="false">VLOOKUP($A26,ScaledPrice,8)</f>
        <v>26.3399982452393</v>
      </c>
      <c r="P26" s="290" t="n">
        <f aca="false">VLOOKUP($A26,ScaledPrice,12)</f>
        <v>26.3399982452393</v>
      </c>
      <c r="Q26" s="291" t="n">
        <f aca="false">VLOOKUP($A26,ScaledPrice,13)</f>
        <v>21.6800003051758</v>
      </c>
      <c r="R26" s="292" t="e">
        <f aca="false">IF($A26="N/A"," ",IF(Dayrun&gt;=3,IF(Option=1,MAX($I26-$H26,0),IF(Option=2,MAX($H26-$I26,0),0)),0))</f>
        <v>#N/A</v>
      </c>
      <c r="S26" s="286" t="e">
        <f aca="false">IF($A26="N/A"," ",IF(Dayrun&gt;=6,IF(Option=1,MAX($J26-H26,0),IF(Option=2,MAX(H26-$J26,0),0)),0))</f>
        <v>#N/A</v>
      </c>
      <c r="T26" s="286" t="e">
        <f aca="false">IF($A26="N/A"," ",IF(OR(Dayrun&lt;=2,Dayrun&gt;=9),IF(Option=1,MAX($K26-$H26,0),IF(Option=2,MAX($H26-$K26,0),0)),0))</f>
        <v>#N/A</v>
      </c>
      <c r="U26" s="286" t="e">
        <f aca="false">IF($A26="N/A"," ",IF(OR(Dayrun=1,Dayrun=4,Dayrun=5,Dayrun=7,Dayrun=8,Dayrun=10,Dayrun=11),IF(Option=1,MAX($L26-H26,0),IF(Option=2,MAX(H26-$L26,0),0)),0))</f>
        <v>#N/A</v>
      </c>
      <c r="V26" s="286" t="e">
        <f aca="false">IF($A26="N/A"," ",IF(OR(Dayrun=1,Dayrun=7,Dayrun=8,Dayrun=10,Dayrun=11),IF(Option=1,MAX($M26-H26,0),IF(Option=2,MAX(H26-$M26,0),0)),0))</f>
        <v>#N/A</v>
      </c>
      <c r="W26" s="286" t="e">
        <f aca="false">IF($A26="N/A"," ",IF(OR(Dayrun&lt;=2,Dayrun&gt;=10),IF(Option=1,MAX($N26-$H26,0),IF(Option=2,MAX($H26-$N26,0),0)),0))</f>
        <v>#N/A</v>
      </c>
      <c r="X26" s="286" t="e">
        <f aca="false">IF($A26="N/A"," ",IF(OR(Dayrun=1,Dayrun=5,Dayrun=8,Dayrun=11),IF(Option=1,MAX($O26-H26,0),IF(Option=2,MAX(H26-$O26,0),0)),0))</f>
        <v>#N/A</v>
      </c>
      <c r="Y26" s="286" t="e">
        <f aca="false">IF($A26="N/A"," ",IF(OR(Dayrun=1,Dayrun=8,Dayrun=11),IF(Option=1,MAX($P26-H26,0),IF(Option=2,MAX(H26-$P26,0),0)),0))</f>
        <v>#N/A</v>
      </c>
      <c r="Z26" s="293" t="e">
        <f aca="false">IF($A26="N/A"," ",IF(OR(Dayrun&lt;=2,Dayrun&gt;=11),IF(Option=1,MAX($Q26-$H26,0),IF(Option=2,MAX($H26-$Q26,0),0)),0))</f>
        <v>#N/A</v>
      </c>
      <c r="AA26" s="289" t="e">
        <f aca="false">IF($A26="N/A"," ",IF(Dayrun&gt;=3,(MAX(0,(xSPRDOPT(I26,($E26-'Pricing Inputs'!$X61*$D26),$CV26,0,($CN26+IF(Smile=TRUE(),VLOOKUP(MAX(-5,$H26-I26),Volsmile,2),0)),$CT26,$CU26,($A26-DateToday)+15,ABS(Option-2),0)-R26))),0))</f>
        <v>#N/A</v>
      </c>
      <c r="AB26" s="290" t="e">
        <f aca="false">IF($A26="N/A"," ",IF(Dayrun&gt;=6,MAX(0,(xSPRDOPT(J26,($E26-'Pricing Inputs'!$X61*$D26),$CV26,0,($CN26+IF(Smile=TRUE(),VLOOKUP(MAX(-5,$H26-J26),Volsmile,2),0)),$CT26,$CU26,($A26-DateToday)+15,ABS(Option-2),0)-S26)),0))</f>
        <v>#N/A</v>
      </c>
      <c r="AC26" s="290" t="e">
        <f aca="false">IF($A26="N/A"," ",IF(OR(Dayrun&lt;=2,Dayrun&gt;=9),IF(OffPeakEx=TRUE(),MAX(0,(xSPRDOPT(K26,($E26-'Pricing Inputs'!$X61*$D26),$CV26,0,($CQ26+IF(Smile=TRUE(),VLOOKUP(MAX(-5,$H26-K26),Volsmile,2),0)),$CT26,$CU26,($A26-DateToday)+15,ABS(Option-2),0)-T26)),0),0))</f>
        <v>#N/A</v>
      </c>
      <c r="AD26" s="290" t="e">
        <f aca="false">IF($A26="N/A"," ",IF(OR(Dayrun=1,Dayrun=4,Dayrun=5,Dayrun=7,Dayrun=8,Dayrun=10,Dayrun=11),MAX(0,(xSPRDOPT(L26,($E26-'Pricing Inputs'!$X61*$D26),$CV26,0,($CQ26+IF(Smile=TRUE(),VLOOKUP(MAX(-5,$H26-L26),Volsmile,2),0)),$CT26,$CU26,($A26-DateToday)+15,ABS(Option-2),0)-U26)),0))</f>
        <v>#N/A</v>
      </c>
      <c r="AE26" s="290" t="e">
        <f aca="false">IF($A26="N/A"," ",IF(OR(Dayrun=1,Dayrun=7,Dayrun=8,Dayrun=10,Dayrun=11),MAX(0,(xSPRDOPT(M26,($E26-'Pricing Inputs'!$X61*$D26),$CV26,0,($CQ26+IF(Smile=TRUE(),VLOOKUP(MAX(-5,$H26-M26),Volsmile,2),0)),$CT26,$CU26,($A26-DateToday)+15,ABS(Option-2),0)-V26)),0))</f>
        <v>#N/A</v>
      </c>
      <c r="AF26" s="290" t="e">
        <f aca="false">IF($A26="N/A"," ",IF(OR(Dayrun&lt;=2,Dayrun&gt;=10),IF(OffPeakEx=TRUE(),MAX(0,(xSPRDOPT(N26,($E26-'Pricing Inputs'!$X61*$D26),$CV26,0,($CQ26+IF(Smile=TRUE(),VLOOKUP(MAX(-5,$H26-N26),Volsmile,2),0)),$CT26,$CU26,($A26-DateToday)+15,ABS(Option-2),0)-W26)),0),0))</f>
        <v>#N/A</v>
      </c>
      <c r="AG26" s="290" t="e">
        <f aca="false">IF($A26="N/A"," ",IF(OR(Dayrun=1,Dayrun=5,Dayrun=8,Dayrun=11),MAX(0,(xSPRDOPT(O26,($E26-'Pricing Inputs'!$X61*$D26),$CV26,0,($CQ26+IF(Smile=TRUE(),VLOOKUP(MAX(-5,$H26-O26),Volsmile,2),0)),$CT26,$CU26,($A26-DateToday)+15,ABS(Option-2),0)-X26)),0))</f>
        <v>#N/A</v>
      </c>
      <c r="AH26" s="290" t="e">
        <f aca="false">IF($A26="N/A"," ",IF(OR(Dayrun=1,Dayrun=8,Dayrun=11),MAX(0,(xSPRDOPT(P26,($E26-'Pricing Inputs'!$X61*$D26),$CV26,0,($CQ26+IF(Smile=TRUE(),VLOOKUP(MAX(-5,$H26-P26),Volsmile,2),0)),$CT26,$CU26,($A26-DateToday)+15,ABS(Option-2),0)-Y26)),0))</f>
        <v>#N/A</v>
      </c>
      <c r="AI26" s="290" t="e">
        <f aca="false">IF($A26="N/A"," ",IF(OR(Dayrun&lt;=2,Dayrun&gt;=11),IF(OffPeakEx=TRUE(),MAX(0,(xSPRDOPT(Q26,($E26-'Pricing Inputs'!$X61*$D26),$CV26,0,($CQ26+IF(Smile=TRUE(),VLOOKUP(MAX(-5,$H26-Q26),Volsmile,2),0)),$CT26,$CU26,($A26-DateToday)+15,ABS(Option-2),0)-Z26)),0),0))</f>
        <v>#N/A</v>
      </c>
      <c r="AJ26" s="294" t="e">
        <f aca="false">IF($A26="N/A"," ",IF(Dayrun&gt;=3,IF(Option=1,$I26-$H26,IF(Option=2,$H26-$I26)),0))</f>
        <v>#N/A</v>
      </c>
      <c r="AK26" s="295" t="e">
        <f aca="false">IF($A26="N/A"," ",IF(Dayrun&gt;=6,IF(Option=1,$J26-H26,IF(Option=2,H26-$J26)),0))</f>
        <v>#N/A</v>
      </c>
      <c r="AL26" s="295" t="e">
        <f aca="false">IF($A26="N/A"," ",IF(OR(Dayrun&lt;=2,Dayrun&gt;=9),IF(Option=1,$K26-$H26,IF(Option=2,$H26-$K26)),0))</f>
        <v>#N/A</v>
      </c>
      <c r="AM26" s="295" t="e">
        <f aca="false">IF($A26="N/A"," ",IF(OR(Dayrun=1,Dayrun=4,Dayrun=5,Dayrun=7,Dayrun=8,Dayrun=10,Dayrun=11),IF(Option=1,$L26-H26,IF(Option=2,H26-$L26)),0))</f>
        <v>#N/A</v>
      </c>
      <c r="AN26" s="295" t="e">
        <f aca="false">IF($A26="N/A"," ",IF(OR(Dayrun=1,Dayrun=7,Dayrun=8,Dayrun=10,Dayrun=11),IF(Option=1,$M26-H26,IF(Option=2,H26-$M26)),0))</f>
        <v>#N/A</v>
      </c>
      <c r="AO26" s="295" t="e">
        <f aca="false">IF($A26="N/A"," ",IF(OR(Dayrun&lt;=2,Dayrun&gt;=9),IF(Option=1,$N26-$H26,IF(Option=2,$H26-$N26)),0))</f>
        <v>#N/A</v>
      </c>
      <c r="AP26" s="295" t="e">
        <f aca="false">IF($A26="N/A"," ",IF(OR(Dayrun=1,Dayrun=5,Dayrun=8,Dayrun=11),IF(Option=1,$O26-H26,IF(Option=2,H26-$O26)),0))</f>
        <v>#N/A</v>
      </c>
      <c r="AQ26" s="295" t="e">
        <f aca="false">IF($A26="N/A"," ",IF(OR(Dayrun=1,Dayrun=8,Dayrun=11),IF(Option=1,$P26-H26,IF(Option=2,H26-$P26)),0))</f>
        <v>#N/A</v>
      </c>
      <c r="AR26" s="296" t="e">
        <f aca="false">IF($A26="N/A"," ",IF(OR(Dayrun&lt;=2,Dayrun&gt;=9),IF(Option=1,$Q26-H26,IF(Option=2,H26-$Q26)),0))</f>
        <v>#N/A</v>
      </c>
      <c r="AS26" s="297" t="n">
        <f aca="false">IF($A26="N/A"," ",IF(VLOOKUP(MONTH($A26),ManualTable,2)=1,IF(Dayrun&gt;=3,$DE26*8*$CY26,0),0))</f>
        <v>3.95178436558806E+017</v>
      </c>
      <c r="AT26" s="297" t="n">
        <f aca="false">IF($A26="N/A"," ",IF(VLOOKUP(MONTH($A26),ManualTable,3)=1,IF(Dayrun&gt;=6,$DE26*8*$CY26,0),0))</f>
        <v>3.95178436558806E+017</v>
      </c>
      <c r="AU26" s="297" t="n">
        <f aca="false">IF($A26="N/A"," ",IF(VLOOKUP(MONTH($A26),ManualTable,4)=1,IF(OR(Dayrun&lt;=2,Dayrun&gt;=9),$DE26*8*$CY26,0),0))</f>
        <v>3.95178436558806E+017</v>
      </c>
      <c r="AV26" s="297" t="n">
        <f aca="false">IF($A26="N/A"," ",IF(VLOOKUP(MONTH($A26),ManualTable,5)=1,IF(OR(Dayrun=1,Dayrun=4,Dayrun=5,Dayrun=7,Dayrun=8,Dayrun=10,Dayrun=11),$DF26*8*$CY26,0),0))</f>
        <v>71850624828873800</v>
      </c>
      <c r="AW26" s="297" t="n">
        <f aca="false">IF($A26="N/A"," ",IF(VLOOKUP(MONTH($A26),ManualTable,6)=1,IF(OR(Dayrun=1,Dayrun=7,Dayrun=8,Dayrun=10,Dayrun=11),$DF26*8*$CY26,0),0))</f>
        <v>71850624828873800</v>
      </c>
      <c r="AX26" s="297" t="n">
        <f aca="false">IF($A26="N/A"," ",IF(VLOOKUP(MONTH($A26),ManualTable,7)=1,IF(OR(Dayrun&lt;=2,Dayrun&gt;=9),$DF26*8*$CY26,0),0))</f>
        <v>71850624828873800</v>
      </c>
      <c r="AY26" s="297" t="n">
        <f aca="false">IF($A26="N/A"," ",IF(VLOOKUP(MONTH($A26),ManualTable,8)=1,IF(OR(Dayrun=1,Dayrun=5,Dayrun=8,Dayrun=11),$DG26*8*$CY26,0),0))</f>
        <v>89813281036092300</v>
      </c>
      <c r="AZ26" s="297" t="n">
        <f aca="false">IF($A26="N/A"," ",IF(VLOOKUP(MONTH($A26),ManualTable,9)=1,IF(OR(Dayrun=1,Dayrun=8,Dayrun=11),$DG26*8*$CY26,0),0))</f>
        <v>89813281036092300</v>
      </c>
      <c r="BA26" s="298" t="n">
        <f aca="false">IF($A26="N/A"," ",IF(VLOOKUP(MONTH($A26),ManualTable,10)=1,IF(OR(Dayrun&lt;=2,Dayrun&gt;=9),$DG26*8*$CY26,0),0))</f>
        <v>89813281036092300</v>
      </c>
      <c r="BB26" s="299" t="e">
        <f aca="false">IF($A26="N/A"," ",IF(Dayrun&gt;=3,(MAX(0,(xSPRDOPT(I26,($E26-'Pricing Inputs'!$X61*$D26),$CV26,0,($CN26+IF(Smile=TRUE(),VLOOKUP(MAX(-5,$H26-I26),Volsmile,2),0)),$CT26,$CU26,($A26-DateToday)+15,ABS(Option-2),1)*DE26*8))),0))</f>
        <v>#N/A</v>
      </c>
      <c r="BC26" s="300" t="e">
        <f aca="false">IF($A26="N/A"," ",IF(Dayrun&gt;=6,MAX(0,(xSPRDOPT(J26,($E26-'Pricing Inputs'!$X61*$D26),$CV26,0,($CN26+IF(Smile=TRUE(),VLOOKUP(MAX(-5,$H26-J26),Volsmile,2),0)),$CT26,$CU26,($A26-DateToday)+15,ABS(Option-2),1)*DE26*8)),0))</f>
        <v>#N/A</v>
      </c>
      <c r="BD26" s="300" t="e">
        <f aca="false">IF($A26="N/A"," ",IF(OR(Dayrun&lt;=2,Dayrun&gt;=9),IF(OffPeakEx=TRUE(),MAX(0,(xSPRDOPT(K26,($E26-'Pricing Inputs'!$X61*$D26),$CV26,0,($CQ26+IF(Smile=TRUE(),VLOOKUP(MAX(-5,$H26-K26),Volsmile,2),0)),$CT26,$CU26,($A26-DateToday)+15,ABS(Option-2),1)*DE26*8)),0),0))</f>
        <v>#N/A</v>
      </c>
      <c r="BE26" s="300" t="e">
        <f aca="false">IF($A26="N/A"," ",IF(OR(Dayrun=1,Dayrun=4,Dayrun=5,Dayrun=7,Dayrun=8,Dayrun=10,Dayrun=11),MAX(0,(xSPRDOPT(L26,($E26-'Pricing Inputs'!$X61*$D26),$CV26,0,($CQ26+IF(Smile=TRUE(),VLOOKUP(MAX(-5,$H26-L26),Volsmile,2),0)),$CT26,$CU26,($A26-DateToday)+15,ABS(Option-2),1)*DF26*8)),0))</f>
        <v>#N/A</v>
      </c>
      <c r="BF26" s="300" t="e">
        <f aca="false">IF($A26="N/A"," ",IF(OR(Dayrun=1,Dayrun=7,Dayrun=8,Dayrun=10,Dayrun=11),MAX(0,(xSPRDOPT(M26,($E26-'Pricing Inputs'!$X61*$D26),$CV26,0,($CQ26+IF(Smile=TRUE(),VLOOKUP(MAX(-5,$H26-M26),Volsmile,2),0)),$CT26,$CU26,($A26-DateToday)+15,ABS(Option-2),1)*DF26*8)),0))</f>
        <v>#N/A</v>
      </c>
      <c r="BG26" s="300" t="e">
        <f aca="false">IF($A26="N/A"," ",IF(OR(Dayrun&lt;=2,Dayrun&gt;=10),IF(OffPeakEx=TRUE(),MAX(0,(xSPRDOPT(N26,($E26-'Pricing Inputs'!$X61*$D26),$CV26,0,($CQ26+IF(Smile=TRUE(),VLOOKUP(MAX(-5,$H26-N26),Volsmile,2),0)),$CT26,$CU26,($A26-DateToday)+15,ABS(Option-2),1)*DF26*8)),0),0))</f>
        <v>#N/A</v>
      </c>
      <c r="BH26" s="300" t="e">
        <f aca="false">IF($A26="N/A"," ",IF(OR(Dayrun=1,Dayrun=5,Dayrun=8,Dayrun=11),MAX(0,(xSPRDOPT(O26,($E26-'Pricing Inputs'!$X61*$D26),$CV26,0,($CQ26+IF(Smile=TRUE(),VLOOKUP(MAX(-5,$H26-O26),Volsmile,2),0)),$CT26,$CU26,($A26-DateToday)+15,ABS(Option-2),1)*DG26*8)),0))</f>
        <v>#N/A</v>
      </c>
      <c r="BI26" s="300" t="e">
        <f aca="false">IF($A26="N/A"," ",IF(OR(Dayrun=1,Dayrun=8,Dayrun=11),MAX(0,(xSPRDOPT(P26,($E26-'Pricing Inputs'!$X61*$D26),$CV26,0,($CQ26+IF(Smile=TRUE(),VLOOKUP(MAX(-5,$H26-P26),Volsmile,2),0)),$CT26,$CU26,($A26-DateToday)+15,ABS(Option-2),1)*DG26*8)),0))</f>
        <v>#N/A</v>
      </c>
      <c r="BJ26" s="301" t="e">
        <f aca="false">IF($A26="N/A"," ",IF(OR(Dayrun&lt;=2,Dayrun&gt;=11),IF(OffPeakEx=TRUE(),MAX(0,(xSPRDOPT(Q26,($E26-'Pricing Inputs'!$X61*$D26),$CV26,0,($CQ26+IF(Smile=TRUE(),VLOOKUP(MAX(-5,$H26-Q26),Volsmile,2),0)),$CT26,$CU26,($A26-DateToday)+15,ABS(Option-2),1)*DG26*8)),0),0))</f>
        <v>#N/A</v>
      </c>
      <c r="BK26" s="302" t="e">
        <f aca="false">IF($A26="N/A"," ",R26*$AS26)</f>
        <v>#N/A</v>
      </c>
      <c r="BL26" s="303" t="e">
        <f aca="false">IF($A26="N/A"," ",S26*$AT26)</f>
        <v>#N/A</v>
      </c>
      <c r="BM26" s="303" t="e">
        <f aca="false">IF($A26="N/A"," ",T26*$AU26)</f>
        <v>#N/A</v>
      </c>
      <c r="BN26" s="303" t="e">
        <f aca="false">IF($A26="N/A"," ",U26*$AV26)</f>
        <v>#N/A</v>
      </c>
      <c r="BO26" s="303" t="e">
        <f aca="false">IF($A26="N/A"," ",V26*$AW26)</f>
        <v>#N/A</v>
      </c>
      <c r="BP26" s="303" t="e">
        <f aca="false">IF($A26="N/A"," ",W26*$AX26)</f>
        <v>#N/A</v>
      </c>
      <c r="BQ26" s="303" t="e">
        <f aca="false">IF($A26="N/A"," ",X26*$AY26)</f>
        <v>#N/A</v>
      </c>
      <c r="BR26" s="303" t="e">
        <f aca="false">IF($A26="N/A"," ",Y26*$AZ26)</f>
        <v>#N/A</v>
      </c>
      <c r="BS26" s="304" t="e">
        <f aca="false">IF($A26="N/A"," ",Z26*$BA26)</f>
        <v>#N/A</v>
      </c>
      <c r="BT26" s="305" t="e">
        <f aca="false">IF($A26="N/A"," ",AA26*$AS26)</f>
        <v>#N/A</v>
      </c>
      <c r="BU26" s="306" t="e">
        <f aca="false">IF($A26="N/A"," ",AB26*$AT26)</f>
        <v>#N/A</v>
      </c>
      <c r="BV26" s="306" t="e">
        <f aca="false">IF($A26="N/A"," ",AC26*$AU26)</f>
        <v>#N/A</v>
      </c>
      <c r="BW26" s="306" t="e">
        <f aca="false">IF($A26="N/A"," ",AD26*$AV26)</f>
        <v>#N/A</v>
      </c>
      <c r="BX26" s="306" t="e">
        <f aca="false">IF($A26="N/A"," ",AE26*$AW26)</f>
        <v>#N/A</v>
      </c>
      <c r="BY26" s="306" t="e">
        <f aca="false">IF($A26="N/A"," ",AF26*$AX26)</f>
        <v>#N/A</v>
      </c>
      <c r="BZ26" s="306" t="e">
        <f aca="false">IF($A26="N/A"," ",AG26*$AY26)</f>
        <v>#N/A</v>
      </c>
      <c r="CA26" s="306" t="e">
        <f aca="false">IF($A26="N/A"," ",AH26*$AZ26)</f>
        <v>#N/A</v>
      </c>
      <c r="CB26" s="307" t="e">
        <f aca="false">IF($A26="N/A"," ",AI26*$BA26)</f>
        <v>#N/A</v>
      </c>
      <c r="CC26" s="308" t="e">
        <f aca="false">IF($A26="N/A"," ",AJ26*$AS26)</f>
        <v>#N/A</v>
      </c>
      <c r="CD26" s="309" t="e">
        <f aca="false">IF($A26="N/A"," ",AK26*$AT26)</f>
        <v>#N/A</v>
      </c>
      <c r="CE26" s="309" t="e">
        <f aca="false">IF($A26="N/A"," ",AL26*$AU26)</f>
        <v>#N/A</v>
      </c>
      <c r="CF26" s="309" t="e">
        <f aca="false">IF($A26="N/A"," ",AM26*$AV26)</f>
        <v>#N/A</v>
      </c>
      <c r="CG26" s="309" t="e">
        <f aca="false">IF($A26="N/A"," ",AN26*$AW26)</f>
        <v>#N/A</v>
      </c>
      <c r="CH26" s="309" t="e">
        <f aca="false">IF($A26="N/A"," ",AO26*$AX26)</f>
        <v>#N/A</v>
      </c>
      <c r="CI26" s="309" t="e">
        <f aca="false">IF($A26="N/A"," ",AP26*$AY26)</f>
        <v>#N/A</v>
      </c>
      <c r="CJ26" s="309" t="e">
        <f aca="false">IF($A26="N/A"," ",AQ26*$AZ26)</f>
        <v>#N/A</v>
      </c>
      <c r="CK26" s="310" t="e">
        <f aca="false">IF($A26="N/A"," ",AR26*$BA26)</f>
        <v>#N/A</v>
      </c>
      <c r="CL26" s="311" t="n">
        <f aca="false">IF(A26="N/A"," ",(VLOOKUP(A26,PowerVolTable,(IF(VolBMO=2,7,IF(VolBMO=1,6,8))),FALSE())))</f>
        <v>0.35</v>
      </c>
      <c r="CM26" s="312" t="n">
        <f aca="false">IF(A26="N/A"," ",(VLOOKUP(A26,IntraPowerVol,(IF(VolBMO=2,3,IF(VolBMO=1,2,4))),FALSE())*VLOOKUP(MONTH($A26),Volscale,2)))</f>
        <v>0.55</v>
      </c>
      <c r="CN26" s="312" t="n">
        <f aca="false">IF($A26="N/A"," ",IF(VolType=1,CM26,CL26))</f>
        <v>0.55</v>
      </c>
      <c r="CO26" s="312" t="n">
        <f aca="false">IF($A26="N/A"," ",(VLOOKUP($A26,OffPeakVol,(IF(VolBMO=2,7,IF(VolBMO=1,6,8))),FALSE())))</f>
        <v>0.175</v>
      </c>
      <c r="CP26" s="312" t="n">
        <f aca="false">IF($A26="N/A"," ",(VLOOKUP($A26,OffPeakVol,(IF(VolBMO=2,3,IF(VolBMO=1,2,4))),FALSE())*VLOOKUP(MONTH($A26),Volscale,2)))</f>
        <v>0.33</v>
      </c>
      <c r="CQ26" s="312" t="n">
        <f aca="false">IF($A26="N/A"," ",IF(VolType=1,CP26,CO26))</f>
        <v>0.33</v>
      </c>
      <c r="CR26" s="312" t="e">
        <f aca="false">IF($A26="N/A"," ",(VLOOKUP($A26,GasVolTable,(IF(VolBMO=2,6,IF(VolBMO=1,7,5))),FALSE())))</f>
        <v>#N/A</v>
      </c>
      <c r="CS26" s="312" t="e">
        <f aca="false">IF($A26="N/A"," ",(VLOOKUP($A26,OmicronVol,(IF(VolBMO=2,3,IF(VolBMO=1,4,2))),FALSE())))</f>
        <v>#N/A</v>
      </c>
      <c r="CT26" s="312" t="e">
        <f aca="false">IF($A26="N/A"," ",(IF(DateToday&gt;$A26,$CS26,IF(VolType=1,((($CR26^2)*((($A26-1)-DateToday)/((EOMONTH($A26,0)+1)-DateToday-15)))+((($CS26)^2)*((15)/((EOMONTH($A26,0)+1)-DateToday-15))))^0.5,CR26))))</f>
        <v>#N/A</v>
      </c>
      <c r="CU26" s="312" t="n">
        <f aca="false">IF($A26="N/A"," ",IF('Pricing Inputs'!$AR$23=TRUE(),Inputs!$S$22,VLOOKUP($A26,CorrelationTable,2,FALSE())))</f>
        <v>0.75</v>
      </c>
      <c r="CV26" s="313" t="n">
        <f aca="false">IF($A26="N/A"," ",F26+G26+(D26*('Pricing Inputs'!X61)))</f>
        <v>0</v>
      </c>
      <c r="CW26" s="314" t="n">
        <f aca="false">IF($A26="N/A"," ",IF(PV=1,0,'Pricing Inputs'!Y61))</f>
        <v>2</v>
      </c>
      <c r="CX26" s="315" t="n">
        <f aca="false">IF($A26="N/A"," ",(1+CW26/2)^(-2*((EOMONTH(A26,0)+20)-DateToday)/365.25))</f>
        <v>20283035464338.8</v>
      </c>
      <c r="CY26" s="316" t="n">
        <f aca="false">IF($A26="N/A"," ",(IF(MONTH(A26)&gt;=4,IF(MONTH(A26)&lt;=10,Inputs!$S$26,Inputs!$S$27),Inputs!$S$27))*$CX26)</f>
        <v>2494813362113675</v>
      </c>
      <c r="CZ26" s="317" t="e">
        <f aca="false">IF($A26="N/A"," ",BK26+BL26+BN26+BO26+BQ26+BR26)</f>
        <v>#N/A</v>
      </c>
      <c r="DA26" s="318" t="e">
        <f aca="false">IF($A26="N/A"," ",BM26+BP26+BS26)</f>
        <v>#N/A</v>
      </c>
      <c r="DB26" s="319" t="e">
        <f aca="false">IF($A26="N/A"," ",BT26+BU26+BW26+BX26+BZ26+CA26)</f>
        <v>#N/A</v>
      </c>
      <c r="DC26" s="319" t="e">
        <f aca="false">IF($A26="N/A"," ",BV26+BY26+CB26)</f>
        <v>#N/A</v>
      </c>
      <c r="DD26" s="320" t="e">
        <f aca="false">IF($A26="N/A"," ",SUM(CC26:CK26))</f>
        <v>#N/A</v>
      </c>
      <c r="DE26" s="321" t="n">
        <f aca="false">IF($A26="N/A"," ",VLOOKUP($A26,NumberofDaysTable,2)*Availability)</f>
        <v>19.8</v>
      </c>
      <c r="DF26" s="94" t="n">
        <f aca="false">IF($A26="N/A"," ",VLOOKUP($A26,NumberofDaysTable,3)*Availability)</f>
        <v>3.6</v>
      </c>
      <c r="DG26" s="322" t="n">
        <f aca="false">IF($A26="N/A"," ",VLOOKUP($A26,NumberofDaysTable,4)*Availability)</f>
        <v>4.5</v>
      </c>
      <c r="DH26" s="323" t="n">
        <f aca="false">IF($A26="N/A"," ",IF(Option=1,$D26*Inputs!$S$15*SUM(AS26:BA26),0))</f>
        <v>0</v>
      </c>
      <c r="DI26" s="324" t="n">
        <f aca="false">IF($A26="N/A"," ",IF(Option=1,$D26*Inputs!$S$16*SUM(AS26:BA26),0))</f>
        <v>0</v>
      </c>
      <c r="DJ26" s="325" t="n">
        <f aca="false">IF($A26="N/A"," ",SUM(AS26:AT26))</f>
        <v>7.90356873117612E+017</v>
      </c>
      <c r="DK26" s="325" t="n">
        <f aca="false">IF($A26="N/A"," ",SUM(AU26:BA26))</f>
        <v>8.80170154153705E+017</v>
      </c>
      <c r="DL26" s="325" t="e">
        <f aca="false">IF($A26="N/A"," ",SUM(BB26:BC26))</f>
        <v>#N/A</v>
      </c>
      <c r="DM26" s="325" t="e">
        <f aca="false">IF($A26="N/A"," ",SUM(BD26:BJ26))</f>
        <v>#N/A</v>
      </c>
    </row>
    <row r="27" customFormat="false" ht="12.75" hidden="false" customHeight="false" outlineLevel="0" collapsed="false">
      <c r="A27" s="282" t="n">
        <f aca="false">IF(A26="N/A","N/A",IF(EDATE(A26,1)&gt;Inputs!$S$5,"N/A",EDATE(A26,1)))</f>
        <v>37834</v>
      </c>
      <c r="B27" s="283" t="n">
        <f aca="false">IF(A27="N/A"," ",YEAR(A27))</f>
        <v>2003</v>
      </c>
      <c r="C27" s="284" t="e">
        <f aca="false">IF(A27="N/A"," ",VLOOKUP(A27,ScaledPrice,14))</f>
        <v>#N/A</v>
      </c>
      <c r="D27" s="285" t="n">
        <f aca="false">IF(A27="N/A"," ",(VLOOKUP(MONTH($A27),Hrtable,2))/1000)</f>
        <v>9.5</v>
      </c>
      <c r="E27" s="286" t="e">
        <f aca="false">IF($A27="N/A"," ",(C27)*D27)</f>
        <v>#N/A</v>
      </c>
      <c r="F27" s="287" t="n">
        <f aca="false">IF(A27="N/A"," ",VOM*(1+VOMesc)^(YEAR(A27)-YEAR(Today)))</f>
        <v>0</v>
      </c>
      <c r="G27" s="287" t="n">
        <f aca="false">IF(A27="N/A"," ",Perstart/VLOOKUP(Dayrun,'Pricing Inputs'!$AQ$4:$AS$14,3)/(CY27/CX27))</f>
        <v>0</v>
      </c>
      <c r="H27" s="288" t="e">
        <f aca="false">IF(A27="N/A"," ",SUM(E27:G27))</f>
        <v>#N/A</v>
      </c>
      <c r="I27" s="289" t="n">
        <f aca="false">VLOOKUP($A27,ScaledPrice,6)</f>
        <v>58.25</v>
      </c>
      <c r="J27" s="290" t="n">
        <f aca="false">VLOOKUP($A27,ScaledPrice,10)</f>
        <v>58.25</v>
      </c>
      <c r="K27" s="290" t="n">
        <f aca="false">VLOOKUP($A27,ScaledPrice,13)</f>
        <v>22.6800003051758</v>
      </c>
      <c r="L27" s="290" t="n">
        <f aca="false">VLOOKUP($A27,ScaledPrice,7)</f>
        <v>33.8400077819824</v>
      </c>
      <c r="M27" s="290" t="n">
        <f aca="false">VLOOKUP($A27,ScaledPrice,11)</f>
        <v>33.8400077819824</v>
      </c>
      <c r="N27" s="290" t="n">
        <f aca="false">VLOOKUP($A27,ScaledPrice,13)</f>
        <v>22.6800003051758</v>
      </c>
      <c r="O27" s="290" t="n">
        <f aca="false">VLOOKUP($A27,ScaledPrice,8)</f>
        <v>26.3399982452393</v>
      </c>
      <c r="P27" s="290" t="n">
        <f aca="false">VLOOKUP($A27,ScaledPrice,12)</f>
        <v>26.3399982452393</v>
      </c>
      <c r="Q27" s="291" t="n">
        <f aca="false">VLOOKUP($A27,ScaledPrice,13)</f>
        <v>22.6800003051758</v>
      </c>
      <c r="R27" s="292" t="e">
        <f aca="false">IF($A27="N/A"," ",IF(Dayrun&gt;=3,IF(Option=1,MAX($I27-$H27,0),IF(Option=2,MAX($H27-$I27,0),0)),0))</f>
        <v>#N/A</v>
      </c>
      <c r="S27" s="286" t="e">
        <f aca="false">IF($A27="N/A"," ",IF(Dayrun&gt;=6,IF(Option=1,MAX($J27-H27,0),IF(Option=2,MAX(H27-$J27,0),0)),0))</f>
        <v>#N/A</v>
      </c>
      <c r="T27" s="286" t="e">
        <f aca="false">IF($A27="N/A"," ",IF(OR(Dayrun&lt;=2,Dayrun&gt;=9),IF(Option=1,MAX($K27-$H27,0),IF(Option=2,MAX($H27-$K27,0),0)),0))</f>
        <v>#N/A</v>
      </c>
      <c r="U27" s="286" t="e">
        <f aca="false">IF($A27="N/A"," ",IF(OR(Dayrun=1,Dayrun=4,Dayrun=5,Dayrun=7,Dayrun=8,Dayrun=10,Dayrun=11),IF(Option=1,MAX($L27-H27,0),IF(Option=2,MAX(H27-$L27,0),0)),0))</f>
        <v>#N/A</v>
      </c>
      <c r="V27" s="286" t="e">
        <f aca="false">IF($A27="N/A"," ",IF(OR(Dayrun=1,Dayrun=7,Dayrun=8,Dayrun=10,Dayrun=11),IF(Option=1,MAX($M27-H27,0),IF(Option=2,MAX(H27-$M27,0),0)),0))</f>
        <v>#N/A</v>
      </c>
      <c r="W27" s="286" t="e">
        <f aca="false">IF($A27="N/A"," ",IF(OR(Dayrun&lt;=2,Dayrun&gt;=10),IF(Option=1,MAX($N27-$H27,0),IF(Option=2,MAX($H27-$N27,0),0)),0))</f>
        <v>#N/A</v>
      </c>
      <c r="X27" s="286" t="e">
        <f aca="false">IF($A27="N/A"," ",IF(OR(Dayrun=1,Dayrun=5,Dayrun=8,Dayrun=11),IF(Option=1,MAX($O27-H27,0),IF(Option=2,MAX(H27-$O27,0),0)),0))</f>
        <v>#N/A</v>
      </c>
      <c r="Y27" s="286" t="e">
        <f aca="false">IF($A27="N/A"," ",IF(OR(Dayrun=1,Dayrun=8,Dayrun=11),IF(Option=1,MAX($P27-H27,0),IF(Option=2,MAX(H27-$P27,0),0)),0))</f>
        <v>#N/A</v>
      </c>
      <c r="Z27" s="293" t="e">
        <f aca="false">IF($A27="N/A"," ",IF(OR(Dayrun&lt;=2,Dayrun&gt;=11),IF(Option=1,MAX($Q27-$H27,0),IF(Option=2,MAX($H27-$Q27,0),0)),0))</f>
        <v>#N/A</v>
      </c>
      <c r="AA27" s="289" t="e">
        <f aca="false">IF($A27="N/A"," ",IF(Dayrun&gt;=3,(MAX(0,(xSPRDOPT(I27,($E27-'Pricing Inputs'!$X62*$D27),$CV27,0,($CN27+IF(Smile=TRUE(),VLOOKUP(MAX(-5,$H27-I27),Volsmile,2),0)),$CT27,$CU27,($A27-DateToday)+15,ABS(Option-2),0)-R27))),0))</f>
        <v>#N/A</v>
      </c>
      <c r="AB27" s="290" t="e">
        <f aca="false">IF($A27="N/A"," ",IF(Dayrun&gt;=6,MAX(0,(xSPRDOPT(J27,($E27-'Pricing Inputs'!$X62*$D27),$CV27,0,($CN27+IF(Smile=TRUE(),VLOOKUP(MAX(-5,$H27-J27),Volsmile,2),0)),$CT27,$CU27,($A27-DateToday)+15,ABS(Option-2),0)-S27)),0))</f>
        <v>#N/A</v>
      </c>
      <c r="AC27" s="290" t="e">
        <f aca="false">IF($A27="N/A"," ",IF(OR(Dayrun&lt;=2,Dayrun&gt;=9),IF(OffPeakEx=TRUE(),MAX(0,(xSPRDOPT(K27,($E27-'Pricing Inputs'!$X62*$D27),$CV27,0,($CQ27+IF(Smile=TRUE(),VLOOKUP(MAX(-5,$H27-K27),Volsmile,2),0)),$CT27,$CU27,($A27-DateToday)+15,ABS(Option-2),0)-T27)),0),0))</f>
        <v>#N/A</v>
      </c>
      <c r="AD27" s="290" t="e">
        <f aca="false">IF($A27="N/A"," ",IF(OR(Dayrun=1,Dayrun=4,Dayrun=5,Dayrun=7,Dayrun=8,Dayrun=10,Dayrun=11),MAX(0,(xSPRDOPT(L27,($E27-'Pricing Inputs'!$X62*$D27),$CV27,0,($CQ27+IF(Smile=TRUE(),VLOOKUP(MAX(-5,$H27-L27),Volsmile,2),0)),$CT27,$CU27,($A27-DateToday)+15,ABS(Option-2),0)-U27)),0))</f>
        <v>#N/A</v>
      </c>
      <c r="AE27" s="290" t="e">
        <f aca="false">IF($A27="N/A"," ",IF(OR(Dayrun=1,Dayrun=7,Dayrun=8,Dayrun=10,Dayrun=11),MAX(0,(xSPRDOPT(M27,($E27-'Pricing Inputs'!$X62*$D27),$CV27,0,($CQ27+IF(Smile=TRUE(),VLOOKUP(MAX(-5,$H27-M27),Volsmile,2),0)),$CT27,$CU27,($A27-DateToday)+15,ABS(Option-2),0)-V27)),0))</f>
        <v>#N/A</v>
      </c>
      <c r="AF27" s="290" t="e">
        <f aca="false">IF($A27="N/A"," ",IF(OR(Dayrun&lt;=2,Dayrun&gt;=10),IF(OffPeakEx=TRUE(),MAX(0,(xSPRDOPT(N27,($E27-'Pricing Inputs'!$X62*$D27),$CV27,0,($CQ27+IF(Smile=TRUE(),VLOOKUP(MAX(-5,$H27-N27),Volsmile,2),0)),$CT27,$CU27,($A27-DateToday)+15,ABS(Option-2),0)-W27)),0),0))</f>
        <v>#N/A</v>
      </c>
      <c r="AG27" s="290" t="e">
        <f aca="false">IF($A27="N/A"," ",IF(OR(Dayrun=1,Dayrun=5,Dayrun=8,Dayrun=11),MAX(0,(xSPRDOPT(O27,($E27-'Pricing Inputs'!$X62*$D27),$CV27,0,($CQ27+IF(Smile=TRUE(),VLOOKUP(MAX(-5,$H27-O27),Volsmile,2),0)),$CT27,$CU27,($A27-DateToday)+15,ABS(Option-2),0)-X27)),0))</f>
        <v>#N/A</v>
      </c>
      <c r="AH27" s="290" t="e">
        <f aca="false">IF($A27="N/A"," ",IF(OR(Dayrun=1,Dayrun=8,Dayrun=11),MAX(0,(xSPRDOPT(P27,($E27-'Pricing Inputs'!$X62*$D27),$CV27,0,($CQ27+IF(Smile=TRUE(),VLOOKUP(MAX(-5,$H27-P27),Volsmile,2),0)),$CT27,$CU27,($A27-DateToday)+15,ABS(Option-2),0)-Y27)),0))</f>
        <v>#N/A</v>
      </c>
      <c r="AI27" s="290" t="e">
        <f aca="false">IF($A27="N/A"," ",IF(OR(Dayrun&lt;=2,Dayrun&gt;=11),IF(OffPeakEx=TRUE(),MAX(0,(xSPRDOPT(Q27,($E27-'Pricing Inputs'!$X62*$D27),$CV27,0,($CQ27+IF(Smile=TRUE(),VLOOKUP(MAX(-5,$H27-Q27),Volsmile,2),0)),$CT27,$CU27,($A27-DateToday)+15,ABS(Option-2),0)-Z27)),0),0))</f>
        <v>#N/A</v>
      </c>
      <c r="AJ27" s="294" t="e">
        <f aca="false">IF($A27="N/A"," ",IF(Dayrun&gt;=3,IF(Option=1,$I27-$H27,IF(Option=2,$H27-$I27)),0))</f>
        <v>#N/A</v>
      </c>
      <c r="AK27" s="295" t="e">
        <f aca="false">IF($A27="N/A"," ",IF(Dayrun&gt;=6,IF(Option=1,$J27-H27,IF(Option=2,H27-$J27)),0))</f>
        <v>#N/A</v>
      </c>
      <c r="AL27" s="295" t="e">
        <f aca="false">IF($A27="N/A"," ",IF(OR(Dayrun&lt;=2,Dayrun&gt;=9),IF(Option=1,$K27-$H27,IF(Option=2,$H27-$K27)),0))</f>
        <v>#N/A</v>
      </c>
      <c r="AM27" s="295" t="e">
        <f aca="false">IF($A27="N/A"," ",IF(OR(Dayrun=1,Dayrun=4,Dayrun=5,Dayrun=7,Dayrun=8,Dayrun=10,Dayrun=11),IF(Option=1,$L27-H27,IF(Option=2,H27-$L27)),0))</f>
        <v>#N/A</v>
      </c>
      <c r="AN27" s="295" t="e">
        <f aca="false">IF($A27="N/A"," ",IF(OR(Dayrun=1,Dayrun=7,Dayrun=8,Dayrun=10,Dayrun=11),IF(Option=1,$M27-H27,IF(Option=2,H27-$M27)),0))</f>
        <v>#N/A</v>
      </c>
      <c r="AO27" s="295" t="e">
        <f aca="false">IF($A27="N/A"," ",IF(OR(Dayrun&lt;=2,Dayrun&gt;=9),IF(Option=1,$N27-$H27,IF(Option=2,$H27-$N27)),0))</f>
        <v>#N/A</v>
      </c>
      <c r="AP27" s="295" t="e">
        <f aca="false">IF($A27="N/A"," ",IF(OR(Dayrun=1,Dayrun=5,Dayrun=8,Dayrun=11),IF(Option=1,$O27-H27,IF(Option=2,H27-$O27)),0))</f>
        <v>#N/A</v>
      </c>
      <c r="AQ27" s="295" t="e">
        <f aca="false">IF($A27="N/A"," ",IF(OR(Dayrun=1,Dayrun=8,Dayrun=11),IF(Option=1,$P27-H27,IF(Option=2,H27-$P27)),0))</f>
        <v>#N/A</v>
      </c>
      <c r="AR27" s="296" t="e">
        <f aca="false">IF($A27="N/A"," ",IF(OR(Dayrun&lt;=2,Dayrun&gt;=9),IF(Option=1,$Q27-H27,IF(Option=2,H27-$Q27)),0))</f>
        <v>#N/A</v>
      </c>
      <c r="AS27" s="297" t="n">
        <f aca="false">IF($A27="N/A"," ",IF(VLOOKUP(MONTH($A27),ManualTable,2)=1,IF(Dayrun&gt;=3,$DE27*8*$CY27,0),0))</f>
        <v>3.35344346884903E+017</v>
      </c>
      <c r="AT27" s="297" t="n">
        <f aca="false">IF($A27="N/A"," ",IF(VLOOKUP(MONTH($A27),ManualTable,3)=1,IF(Dayrun&gt;=6,$DE27*8*$CY27,0),0))</f>
        <v>3.35344346884903E+017</v>
      </c>
      <c r="AU27" s="297" t="n">
        <f aca="false">IF($A27="N/A"," ",IF(VLOOKUP(MONTH($A27),ManualTable,4)=1,IF(OR(Dayrun&lt;=2,Dayrun&gt;=9),$DE27*8*$CY27,0),0))</f>
        <v>3.35344346884903E+017</v>
      </c>
      <c r="AV27" s="297" t="n">
        <f aca="false">IF($A27="N/A"," ",IF(VLOOKUP(MONTH($A27),ManualTable,5)=1,IF(OR(Dayrun=1,Dayrun=4,Dayrun=5,Dayrun=7,Dayrun=8,Dayrun=10,Dayrun=11),$DF27*8*$CY27,0),0))</f>
        <v>79843892115453100</v>
      </c>
      <c r="AW27" s="297" t="n">
        <f aca="false">IF($A27="N/A"," ",IF(VLOOKUP(MONTH($A27),ManualTable,6)=1,IF(OR(Dayrun=1,Dayrun=7,Dayrun=8,Dayrun=10,Dayrun=11),$DF27*8*$CY27,0),0))</f>
        <v>79843892115453100</v>
      </c>
      <c r="AX27" s="297" t="n">
        <f aca="false">IF($A27="N/A"," ",IF(VLOOKUP(MONTH($A27),ManualTable,7)=1,IF(OR(Dayrun&lt;=2,Dayrun&gt;=9),$DF27*8*$CY27,0),0))</f>
        <v>79843892115453100</v>
      </c>
      <c r="AY27" s="297" t="n">
        <f aca="false">IF($A27="N/A"," ",IF(VLOOKUP(MONTH($A27),ManualTable,8)=1,IF(OR(Dayrun=1,Dayrun=5,Dayrun=8,Dayrun=11),$DG27*8*$CY27,0),0))</f>
        <v>79843892115453100</v>
      </c>
      <c r="AZ27" s="297" t="n">
        <f aca="false">IF($A27="N/A"," ",IF(VLOOKUP(MONTH($A27),ManualTable,9)=1,IF(OR(Dayrun=1,Dayrun=8,Dayrun=11),$DG27*8*$CY27,0),0))</f>
        <v>79843892115453100</v>
      </c>
      <c r="BA27" s="298" t="n">
        <f aca="false">IF($A27="N/A"," ",IF(VLOOKUP(MONTH($A27),ManualTable,10)=1,IF(OR(Dayrun&lt;=2,Dayrun&gt;=9),$DG27*8*$CY27,0),0))</f>
        <v>79843892115453100</v>
      </c>
      <c r="BB27" s="299" t="e">
        <f aca="false">IF($A27="N/A"," ",IF(Dayrun&gt;=3,(MAX(0,(xSPRDOPT(I27,($E27-'Pricing Inputs'!$X62*$D27),$CV27,0,($CN27+IF(Smile=TRUE(),VLOOKUP(MAX(-5,$H27-I27),Volsmile,2),0)),$CT27,$CU27,($A27-DateToday)+15,ABS(Option-2),1)*DE27*8))),0))</f>
        <v>#N/A</v>
      </c>
      <c r="BC27" s="300" t="e">
        <f aca="false">IF($A27="N/A"," ",IF(Dayrun&gt;=6,MAX(0,(xSPRDOPT(J27,($E27-'Pricing Inputs'!$X62*$D27),$CV27,0,($CN27+IF(Smile=TRUE(),VLOOKUP(MAX(-5,$H27-J27),Volsmile,2),0)),$CT27,$CU27,($A27-DateToday)+15,ABS(Option-2),1)*DE27*8)),0))</f>
        <v>#N/A</v>
      </c>
      <c r="BD27" s="300" t="e">
        <f aca="false">IF($A27="N/A"," ",IF(OR(Dayrun&lt;=2,Dayrun&gt;=9),IF(OffPeakEx=TRUE(),MAX(0,(xSPRDOPT(K27,($E27-'Pricing Inputs'!$X62*$D27),$CV27,0,($CQ27+IF(Smile=TRUE(),VLOOKUP(MAX(-5,$H27-K27),Volsmile,2),0)),$CT27,$CU27,($A27-DateToday)+15,ABS(Option-2),1)*DE27*8)),0),0))</f>
        <v>#N/A</v>
      </c>
      <c r="BE27" s="300" t="e">
        <f aca="false">IF($A27="N/A"," ",IF(OR(Dayrun=1,Dayrun=4,Dayrun=5,Dayrun=7,Dayrun=8,Dayrun=10,Dayrun=11),MAX(0,(xSPRDOPT(L27,($E27-'Pricing Inputs'!$X62*$D27),$CV27,0,($CQ27+IF(Smile=TRUE(),VLOOKUP(MAX(-5,$H27-L27),Volsmile,2),0)),$CT27,$CU27,($A27-DateToday)+15,ABS(Option-2),1)*DF27*8)),0))</f>
        <v>#N/A</v>
      </c>
      <c r="BF27" s="300" t="e">
        <f aca="false">IF($A27="N/A"," ",IF(OR(Dayrun=1,Dayrun=7,Dayrun=8,Dayrun=10,Dayrun=11),MAX(0,(xSPRDOPT(M27,($E27-'Pricing Inputs'!$X62*$D27),$CV27,0,($CQ27+IF(Smile=TRUE(),VLOOKUP(MAX(-5,$H27-M27),Volsmile,2),0)),$CT27,$CU27,($A27-DateToday)+15,ABS(Option-2),1)*DF27*8)),0))</f>
        <v>#N/A</v>
      </c>
      <c r="BG27" s="300" t="e">
        <f aca="false">IF($A27="N/A"," ",IF(OR(Dayrun&lt;=2,Dayrun&gt;=10),IF(OffPeakEx=TRUE(),MAX(0,(xSPRDOPT(N27,($E27-'Pricing Inputs'!$X62*$D27),$CV27,0,($CQ27+IF(Smile=TRUE(),VLOOKUP(MAX(-5,$H27-N27),Volsmile,2),0)),$CT27,$CU27,($A27-DateToday)+15,ABS(Option-2),1)*DF27*8)),0),0))</f>
        <v>#N/A</v>
      </c>
      <c r="BH27" s="300" t="e">
        <f aca="false">IF($A27="N/A"," ",IF(OR(Dayrun=1,Dayrun=5,Dayrun=8,Dayrun=11),MAX(0,(xSPRDOPT(O27,($E27-'Pricing Inputs'!$X62*$D27),$CV27,0,($CQ27+IF(Smile=TRUE(),VLOOKUP(MAX(-5,$H27-O27),Volsmile,2),0)),$CT27,$CU27,($A27-DateToday)+15,ABS(Option-2),1)*DG27*8)),0))</f>
        <v>#N/A</v>
      </c>
      <c r="BI27" s="300" t="e">
        <f aca="false">IF($A27="N/A"," ",IF(OR(Dayrun=1,Dayrun=8,Dayrun=11),MAX(0,(xSPRDOPT(P27,($E27-'Pricing Inputs'!$X62*$D27),$CV27,0,($CQ27+IF(Smile=TRUE(),VLOOKUP(MAX(-5,$H27-P27),Volsmile,2),0)),$CT27,$CU27,($A27-DateToday)+15,ABS(Option-2),1)*DG27*8)),0))</f>
        <v>#N/A</v>
      </c>
      <c r="BJ27" s="301" t="e">
        <f aca="false">IF($A27="N/A"," ",IF(OR(Dayrun&lt;=2,Dayrun&gt;=11),IF(OffPeakEx=TRUE(),MAX(0,(xSPRDOPT(Q27,($E27-'Pricing Inputs'!$X62*$D27),$CV27,0,($CQ27+IF(Smile=TRUE(),VLOOKUP(MAX(-5,$H27-Q27),Volsmile,2),0)),$CT27,$CU27,($A27-DateToday)+15,ABS(Option-2),1)*DG27*8)),0),0))</f>
        <v>#N/A</v>
      </c>
      <c r="BK27" s="302" t="e">
        <f aca="false">IF($A27="N/A"," ",R27*$AS27)</f>
        <v>#N/A</v>
      </c>
      <c r="BL27" s="303" t="e">
        <f aca="false">IF($A27="N/A"," ",S27*$AT27)</f>
        <v>#N/A</v>
      </c>
      <c r="BM27" s="303" t="e">
        <f aca="false">IF($A27="N/A"," ",T27*$AU27)</f>
        <v>#N/A</v>
      </c>
      <c r="BN27" s="303" t="e">
        <f aca="false">IF($A27="N/A"," ",U27*$AV27)</f>
        <v>#N/A</v>
      </c>
      <c r="BO27" s="303" t="e">
        <f aca="false">IF($A27="N/A"," ",V27*$AW27)</f>
        <v>#N/A</v>
      </c>
      <c r="BP27" s="303" t="e">
        <f aca="false">IF($A27="N/A"," ",W27*$AX27)</f>
        <v>#N/A</v>
      </c>
      <c r="BQ27" s="303" t="e">
        <f aca="false">IF($A27="N/A"," ",X27*$AY27)</f>
        <v>#N/A</v>
      </c>
      <c r="BR27" s="303" t="e">
        <f aca="false">IF($A27="N/A"," ",Y27*$AZ27)</f>
        <v>#N/A</v>
      </c>
      <c r="BS27" s="304" t="e">
        <f aca="false">IF($A27="N/A"," ",Z27*$BA27)</f>
        <v>#N/A</v>
      </c>
      <c r="BT27" s="305" t="e">
        <f aca="false">IF($A27="N/A"," ",AA27*$AS27)</f>
        <v>#N/A</v>
      </c>
      <c r="BU27" s="306" t="e">
        <f aca="false">IF($A27="N/A"," ",AB27*$AT27)</f>
        <v>#N/A</v>
      </c>
      <c r="BV27" s="306" t="e">
        <f aca="false">IF($A27="N/A"," ",AC27*$AU27)</f>
        <v>#N/A</v>
      </c>
      <c r="BW27" s="306" t="e">
        <f aca="false">IF($A27="N/A"," ",AD27*$AV27)</f>
        <v>#N/A</v>
      </c>
      <c r="BX27" s="306" t="e">
        <f aca="false">IF($A27="N/A"," ",AE27*$AW27)</f>
        <v>#N/A</v>
      </c>
      <c r="BY27" s="306" t="e">
        <f aca="false">IF($A27="N/A"," ",AF27*$AX27)</f>
        <v>#N/A</v>
      </c>
      <c r="BZ27" s="306" t="e">
        <f aca="false">IF($A27="N/A"," ",AG27*$AY27)</f>
        <v>#N/A</v>
      </c>
      <c r="CA27" s="306" t="e">
        <f aca="false">IF($A27="N/A"," ",AH27*$AZ27)</f>
        <v>#N/A</v>
      </c>
      <c r="CB27" s="307" t="e">
        <f aca="false">IF($A27="N/A"," ",AI27*$BA27)</f>
        <v>#N/A</v>
      </c>
      <c r="CC27" s="308" t="e">
        <f aca="false">IF($A27="N/A"," ",AJ27*$AS27)</f>
        <v>#N/A</v>
      </c>
      <c r="CD27" s="309" t="e">
        <f aca="false">IF($A27="N/A"," ",AK27*$AT27)</f>
        <v>#N/A</v>
      </c>
      <c r="CE27" s="309" t="e">
        <f aca="false">IF($A27="N/A"," ",AL27*$AU27)</f>
        <v>#N/A</v>
      </c>
      <c r="CF27" s="309" t="e">
        <f aca="false">IF($A27="N/A"," ",AM27*$AV27)</f>
        <v>#N/A</v>
      </c>
      <c r="CG27" s="309" t="e">
        <f aca="false">IF($A27="N/A"," ",AN27*$AW27)</f>
        <v>#N/A</v>
      </c>
      <c r="CH27" s="309" t="e">
        <f aca="false">IF($A27="N/A"," ",AO27*$AX27)</f>
        <v>#N/A</v>
      </c>
      <c r="CI27" s="309" t="e">
        <f aca="false">IF($A27="N/A"," ",AP27*$AY27)</f>
        <v>#N/A</v>
      </c>
      <c r="CJ27" s="309" t="e">
        <f aca="false">IF($A27="N/A"," ",AQ27*$AZ27)</f>
        <v>#N/A</v>
      </c>
      <c r="CK27" s="310" t="e">
        <f aca="false">IF($A27="N/A"," ",AR27*$BA27)</f>
        <v>#N/A</v>
      </c>
      <c r="CL27" s="311" t="n">
        <f aca="false">IF(A27="N/A"," ",(VLOOKUP(A27,PowerVolTable,(IF(VolBMO=2,7,IF(VolBMO=1,6,8))),FALSE())))</f>
        <v>0.39</v>
      </c>
      <c r="CM27" s="312" t="n">
        <f aca="false">IF(A27="N/A"," ",(VLOOKUP(A27,IntraPowerVol,(IF(VolBMO=2,3,IF(VolBMO=1,2,4))),FALSE())*VLOOKUP(MONTH($A27),Volscale,2)))</f>
        <v>0.7</v>
      </c>
      <c r="CN27" s="312" t="n">
        <f aca="false">IF($A27="N/A"," ",IF(VolType=1,CM27,CL27))</f>
        <v>0.7</v>
      </c>
      <c r="CO27" s="312" t="n">
        <f aca="false">IF($A27="N/A"," ",(VLOOKUP($A27,OffPeakVol,(IF(VolBMO=2,7,IF(VolBMO=1,6,8))),FALSE())))</f>
        <v>0.195</v>
      </c>
      <c r="CP27" s="312" t="n">
        <f aca="false">IF($A27="N/A"," ",(VLOOKUP($A27,OffPeakVol,(IF(VolBMO=2,3,IF(VolBMO=1,2,4))),FALSE())*VLOOKUP(MONTH($A27),Volscale,2)))</f>
        <v>0.42</v>
      </c>
      <c r="CQ27" s="312" t="n">
        <f aca="false">IF($A27="N/A"," ",IF(VolType=1,CP27,CO27))</f>
        <v>0.42</v>
      </c>
      <c r="CR27" s="312" t="e">
        <f aca="false">IF($A27="N/A"," ",(VLOOKUP($A27,GasVolTable,(IF(VolBMO=2,6,IF(VolBMO=1,7,5))),FALSE())))</f>
        <v>#N/A</v>
      </c>
      <c r="CS27" s="312" t="e">
        <f aca="false">IF($A27="N/A"," ",(VLOOKUP($A27,OmicronVol,(IF(VolBMO=2,3,IF(VolBMO=1,4,2))),FALSE())))</f>
        <v>#N/A</v>
      </c>
      <c r="CT27" s="312" t="e">
        <f aca="false">IF($A27="N/A"," ",(IF(DateToday&gt;$A27,$CS27,IF(VolType=1,((($CR27^2)*((($A27-1)-DateToday)/((EOMONTH($A27,0)+1)-DateToday-15)))+((($CS27)^2)*((15)/((EOMONTH($A27,0)+1)-DateToday-15))))^0.5,CR27))))</f>
        <v>#N/A</v>
      </c>
      <c r="CU27" s="312" t="n">
        <f aca="false">IF($A27="N/A"," ",IF('Pricing Inputs'!$AR$23=TRUE(),Inputs!$S$22,VLOOKUP($A27,CorrelationTable,2,FALSE())))</f>
        <v>0.75</v>
      </c>
      <c r="CV27" s="313" t="n">
        <f aca="false">IF($A27="N/A"," ",F27+G27+(D27*('Pricing Inputs'!X62)))</f>
        <v>0</v>
      </c>
      <c r="CW27" s="314" t="n">
        <f aca="false">IF($A27="N/A"," ",IF(PV=1,0,'Pricing Inputs'!Y62))</f>
        <v>2</v>
      </c>
      <c r="CX27" s="315" t="n">
        <f aca="false">IF($A27="N/A"," ",(1+CW27/2)^(-2*((EOMONTH(A27,0)+20)-DateToday)/365.25))</f>
        <v>18031592618666</v>
      </c>
      <c r="CY27" s="316" t="n">
        <f aca="false">IF($A27="N/A"," ",(IF(MONTH(A27)&gt;=4,IF(MONTH(A27)&lt;=10,Inputs!$S$26,Inputs!$S$27),Inputs!$S$27))*$CX27)</f>
        <v>2217885892095918</v>
      </c>
      <c r="CZ27" s="317" t="e">
        <f aca="false">IF($A27="N/A"," ",BK27+BL27+BN27+BO27+BQ27+BR27)</f>
        <v>#N/A</v>
      </c>
      <c r="DA27" s="318" t="e">
        <f aca="false">IF($A27="N/A"," ",BM27+BP27+BS27)</f>
        <v>#N/A</v>
      </c>
      <c r="DB27" s="319" t="e">
        <f aca="false">IF($A27="N/A"," ",BT27+BU27+BW27+BX27+BZ27+CA27)</f>
        <v>#N/A</v>
      </c>
      <c r="DC27" s="319" t="e">
        <f aca="false">IF($A27="N/A"," ",BV27+BY27+CB27)</f>
        <v>#N/A</v>
      </c>
      <c r="DD27" s="320" t="e">
        <f aca="false">IF($A27="N/A"," ",SUM(CC27:CK27))</f>
        <v>#N/A</v>
      </c>
      <c r="DE27" s="321" t="n">
        <f aca="false">IF($A27="N/A"," ",VLOOKUP($A27,NumberofDaysTable,2)*Availability)</f>
        <v>18.9</v>
      </c>
      <c r="DF27" s="94" t="n">
        <f aca="false">IF($A27="N/A"," ",VLOOKUP($A27,NumberofDaysTable,3)*Availability)</f>
        <v>4.5</v>
      </c>
      <c r="DG27" s="322" t="n">
        <f aca="false">IF($A27="N/A"," ",VLOOKUP($A27,NumberofDaysTable,4)*Availability)</f>
        <v>4.5</v>
      </c>
      <c r="DH27" s="323" t="n">
        <f aca="false">IF($A27="N/A"," ",IF(Option=1,$D27*Inputs!$S$15*SUM(AS27:BA27),0))</f>
        <v>0</v>
      </c>
      <c r="DI27" s="324" t="n">
        <f aca="false">IF($A27="N/A"," ",IF(Option=1,$D27*Inputs!$S$16*SUM(AS27:BA27),0))</f>
        <v>0</v>
      </c>
      <c r="DJ27" s="325" t="n">
        <f aca="false">IF($A27="N/A"," ",SUM(AS27:AT27))</f>
        <v>6.70688693769806E+017</v>
      </c>
      <c r="DK27" s="325" t="n">
        <f aca="false">IF($A27="N/A"," ",SUM(AU27:BA27))</f>
        <v>8.14407699577621E+017</v>
      </c>
      <c r="DL27" s="325" t="e">
        <f aca="false">IF($A27="N/A"," ",SUM(BB27:BC27))</f>
        <v>#N/A</v>
      </c>
      <c r="DM27" s="325" t="e">
        <f aca="false">IF($A27="N/A"," ",SUM(BD27:BJ27))</f>
        <v>#N/A</v>
      </c>
    </row>
    <row r="28" customFormat="false" ht="12.75" hidden="false" customHeight="false" outlineLevel="0" collapsed="false">
      <c r="A28" s="282" t="n">
        <f aca="false">IF(A27="N/A","N/A",IF(EDATE(A27,1)&gt;Inputs!$S$5,"N/A",EDATE(A27,1)))</f>
        <v>37865</v>
      </c>
      <c r="B28" s="283" t="n">
        <f aca="false">IF(A28="N/A"," ",YEAR(A28))</f>
        <v>2003</v>
      </c>
      <c r="C28" s="284" t="e">
        <f aca="false">IF(A28="N/A"," ",VLOOKUP(A28,ScaledPrice,14))</f>
        <v>#N/A</v>
      </c>
      <c r="D28" s="285" t="n">
        <f aca="false">IF(A28="N/A"," ",(VLOOKUP(MONTH($A28),Hrtable,2))/1000)</f>
        <v>9.5</v>
      </c>
      <c r="E28" s="286" t="e">
        <f aca="false">IF($A28="N/A"," ",(C28)*D28)</f>
        <v>#N/A</v>
      </c>
      <c r="F28" s="287" t="n">
        <f aca="false">IF(A28="N/A"," ",VOM*(1+VOMesc)^(YEAR(A28)-YEAR(Today)))</f>
        <v>0</v>
      </c>
      <c r="G28" s="287" t="n">
        <f aca="false">IF(A28="N/A"," ",Perstart/VLOOKUP(Dayrun,'Pricing Inputs'!$AQ$4:$AS$14,3)/(CY28/CX28))</f>
        <v>0</v>
      </c>
      <c r="H28" s="288" t="e">
        <f aca="false">IF(A28="N/A"," ",SUM(E28:G28))</f>
        <v>#N/A</v>
      </c>
      <c r="I28" s="289" t="n">
        <f aca="false">VLOOKUP($A28,ScaledPrice,6)</f>
        <v>32.1</v>
      </c>
      <c r="J28" s="290" t="n">
        <f aca="false">VLOOKUP($A28,ScaledPrice,10)</f>
        <v>32.1</v>
      </c>
      <c r="K28" s="290" t="n">
        <f aca="false">VLOOKUP($A28,ScaledPrice,13)</f>
        <v>16.6800003051758</v>
      </c>
      <c r="L28" s="290" t="n">
        <f aca="false">VLOOKUP($A28,ScaledPrice,7)</f>
        <v>25.8399982452393</v>
      </c>
      <c r="M28" s="290" t="n">
        <f aca="false">VLOOKUP($A28,ScaledPrice,11)</f>
        <v>25.8399982452393</v>
      </c>
      <c r="N28" s="290" t="n">
        <f aca="false">VLOOKUP($A28,ScaledPrice,13)</f>
        <v>16.6800003051758</v>
      </c>
      <c r="O28" s="290" t="n">
        <f aca="false">VLOOKUP($A28,ScaledPrice,8)</f>
        <v>20.3399982452393</v>
      </c>
      <c r="P28" s="290" t="n">
        <f aca="false">VLOOKUP($A28,ScaledPrice,12)</f>
        <v>20.3399982452393</v>
      </c>
      <c r="Q28" s="291" t="n">
        <f aca="false">VLOOKUP($A28,ScaledPrice,13)</f>
        <v>16.6800003051758</v>
      </c>
      <c r="R28" s="292" t="e">
        <f aca="false">IF($A28="N/A"," ",IF(Dayrun&gt;=3,IF(Option=1,MAX($I28-$H28,0),IF(Option=2,MAX($H28-$I28,0),0)),0))</f>
        <v>#N/A</v>
      </c>
      <c r="S28" s="286" t="e">
        <f aca="false">IF($A28="N/A"," ",IF(Dayrun&gt;=6,IF(Option=1,MAX($J28-H28,0),IF(Option=2,MAX(H28-$J28,0),0)),0))</f>
        <v>#N/A</v>
      </c>
      <c r="T28" s="286" t="e">
        <f aca="false">IF($A28="N/A"," ",IF(OR(Dayrun&lt;=2,Dayrun&gt;=9),IF(Option=1,MAX($K28-$H28,0),IF(Option=2,MAX($H28-$K28,0),0)),0))</f>
        <v>#N/A</v>
      </c>
      <c r="U28" s="286" t="e">
        <f aca="false">IF($A28="N/A"," ",IF(OR(Dayrun=1,Dayrun=4,Dayrun=5,Dayrun=7,Dayrun=8,Dayrun=10,Dayrun=11),IF(Option=1,MAX($L28-H28,0),IF(Option=2,MAX(H28-$L28,0),0)),0))</f>
        <v>#N/A</v>
      </c>
      <c r="V28" s="286" t="e">
        <f aca="false">IF($A28="N/A"," ",IF(OR(Dayrun=1,Dayrun=7,Dayrun=8,Dayrun=10,Dayrun=11),IF(Option=1,MAX($M28-H28,0),IF(Option=2,MAX(H28-$M28,0),0)),0))</f>
        <v>#N/A</v>
      </c>
      <c r="W28" s="286" t="e">
        <f aca="false">IF($A28="N/A"," ",IF(OR(Dayrun&lt;=2,Dayrun&gt;=10),IF(Option=1,MAX($N28-$H28,0),IF(Option=2,MAX($H28-$N28,0),0)),0))</f>
        <v>#N/A</v>
      </c>
      <c r="X28" s="286" t="e">
        <f aca="false">IF($A28="N/A"," ",IF(OR(Dayrun=1,Dayrun=5,Dayrun=8,Dayrun=11),IF(Option=1,MAX($O28-H28,0),IF(Option=2,MAX(H28-$O28,0),0)),0))</f>
        <v>#N/A</v>
      </c>
      <c r="Y28" s="286" t="e">
        <f aca="false">IF($A28="N/A"," ",IF(OR(Dayrun=1,Dayrun=8,Dayrun=11),IF(Option=1,MAX($P28-H28,0),IF(Option=2,MAX(H28-$P28,0),0)),0))</f>
        <v>#N/A</v>
      </c>
      <c r="Z28" s="293" t="e">
        <f aca="false">IF($A28="N/A"," ",IF(OR(Dayrun&lt;=2,Dayrun&gt;=11),IF(Option=1,MAX($Q28-$H28,0),IF(Option=2,MAX($H28-$Q28,0),0)),0))</f>
        <v>#N/A</v>
      </c>
      <c r="AA28" s="289" t="e">
        <f aca="false">IF($A28="N/A"," ",IF(Dayrun&gt;=3,(MAX(0,(xSPRDOPT(I28,($E28-'Pricing Inputs'!$X63*$D28),$CV28,0,($CN28+IF(Smile=TRUE(),VLOOKUP(MAX(-5,$H28-I28),Volsmile,2),0)),$CT28,$CU28,($A28-DateToday)+15,ABS(Option-2),0)-R28))),0))</f>
        <v>#N/A</v>
      </c>
      <c r="AB28" s="290" t="e">
        <f aca="false">IF($A28="N/A"," ",IF(Dayrun&gt;=6,MAX(0,(xSPRDOPT(J28,($E28-'Pricing Inputs'!$X63*$D28),$CV28,0,($CN28+IF(Smile=TRUE(),VLOOKUP(MAX(-5,$H28-J28),Volsmile,2),0)),$CT28,$CU28,($A28-DateToday)+15,ABS(Option-2),0)-S28)),0))</f>
        <v>#N/A</v>
      </c>
      <c r="AC28" s="290" t="e">
        <f aca="false">IF($A28="N/A"," ",IF(OR(Dayrun&lt;=2,Dayrun&gt;=9),IF(OffPeakEx=TRUE(),MAX(0,(xSPRDOPT(K28,($E28-'Pricing Inputs'!$X63*$D28),$CV28,0,($CQ28+IF(Smile=TRUE(),VLOOKUP(MAX(-5,$H28-K28),Volsmile,2),0)),$CT28,$CU28,($A28-DateToday)+15,ABS(Option-2),0)-T28)),0),0))</f>
        <v>#N/A</v>
      </c>
      <c r="AD28" s="290" t="e">
        <f aca="false">IF($A28="N/A"," ",IF(OR(Dayrun=1,Dayrun=4,Dayrun=5,Dayrun=7,Dayrun=8,Dayrun=10,Dayrun=11),MAX(0,(xSPRDOPT(L28,($E28-'Pricing Inputs'!$X63*$D28),$CV28,0,($CQ28+IF(Smile=TRUE(),VLOOKUP(MAX(-5,$H28-L28),Volsmile,2),0)),$CT28,$CU28,($A28-DateToday)+15,ABS(Option-2),0)-U28)),0))</f>
        <v>#N/A</v>
      </c>
      <c r="AE28" s="290" t="e">
        <f aca="false">IF($A28="N/A"," ",IF(OR(Dayrun=1,Dayrun=7,Dayrun=8,Dayrun=10,Dayrun=11),MAX(0,(xSPRDOPT(M28,($E28-'Pricing Inputs'!$X63*$D28),$CV28,0,($CQ28+IF(Smile=TRUE(),VLOOKUP(MAX(-5,$H28-M28),Volsmile,2),0)),$CT28,$CU28,($A28-DateToday)+15,ABS(Option-2),0)-V28)),0))</f>
        <v>#N/A</v>
      </c>
      <c r="AF28" s="290" t="e">
        <f aca="false">IF($A28="N/A"," ",IF(OR(Dayrun&lt;=2,Dayrun&gt;=10),IF(OffPeakEx=TRUE(),MAX(0,(xSPRDOPT(N28,($E28-'Pricing Inputs'!$X63*$D28),$CV28,0,($CQ28+IF(Smile=TRUE(),VLOOKUP(MAX(-5,$H28-N28),Volsmile,2),0)),$CT28,$CU28,($A28-DateToday)+15,ABS(Option-2),0)-W28)),0),0))</f>
        <v>#N/A</v>
      </c>
      <c r="AG28" s="290" t="e">
        <f aca="false">IF($A28="N/A"," ",IF(OR(Dayrun=1,Dayrun=5,Dayrun=8,Dayrun=11),MAX(0,(xSPRDOPT(O28,($E28-'Pricing Inputs'!$X63*$D28),$CV28,0,($CQ28+IF(Smile=TRUE(),VLOOKUP(MAX(-5,$H28-O28),Volsmile,2),0)),$CT28,$CU28,($A28-DateToday)+15,ABS(Option-2),0)-X28)),0))</f>
        <v>#N/A</v>
      </c>
      <c r="AH28" s="290" t="e">
        <f aca="false">IF($A28="N/A"," ",IF(OR(Dayrun=1,Dayrun=8,Dayrun=11),MAX(0,(xSPRDOPT(P28,($E28-'Pricing Inputs'!$X63*$D28),$CV28,0,($CQ28+IF(Smile=TRUE(),VLOOKUP(MAX(-5,$H28-P28),Volsmile,2),0)),$CT28,$CU28,($A28-DateToday)+15,ABS(Option-2),0)-Y28)),0))</f>
        <v>#N/A</v>
      </c>
      <c r="AI28" s="290" t="e">
        <f aca="false">IF($A28="N/A"," ",IF(OR(Dayrun&lt;=2,Dayrun&gt;=11),IF(OffPeakEx=TRUE(),MAX(0,(xSPRDOPT(Q28,($E28-'Pricing Inputs'!$X63*$D28),$CV28,0,($CQ28+IF(Smile=TRUE(),VLOOKUP(MAX(-5,$H28-Q28),Volsmile,2),0)),$CT28,$CU28,($A28-DateToday)+15,ABS(Option-2),0)-Z28)),0),0))</f>
        <v>#N/A</v>
      </c>
      <c r="AJ28" s="294" t="e">
        <f aca="false">IF($A28="N/A"," ",IF(Dayrun&gt;=3,IF(Option=1,$I28-$H28,IF(Option=2,$H28-$I28)),0))</f>
        <v>#N/A</v>
      </c>
      <c r="AK28" s="295" t="e">
        <f aca="false">IF($A28="N/A"," ",IF(Dayrun&gt;=6,IF(Option=1,$J28-H28,IF(Option=2,H28-$J28)),0))</f>
        <v>#N/A</v>
      </c>
      <c r="AL28" s="295" t="e">
        <f aca="false">IF($A28="N/A"," ",IF(OR(Dayrun&lt;=2,Dayrun&gt;=9),IF(Option=1,$K28-$H28,IF(Option=2,$H28-$K28)),0))</f>
        <v>#N/A</v>
      </c>
      <c r="AM28" s="295" t="e">
        <f aca="false">IF($A28="N/A"," ",IF(OR(Dayrun=1,Dayrun=4,Dayrun=5,Dayrun=7,Dayrun=8,Dayrun=10,Dayrun=11),IF(Option=1,$L28-H28,IF(Option=2,H28-$L28)),0))</f>
        <v>#N/A</v>
      </c>
      <c r="AN28" s="295" t="e">
        <f aca="false">IF($A28="N/A"," ",IF(OR(Dayrun=1,Dayrun=7,Dayrun=8,Dayrun=10,Dayrun=11),IF(Option=1,$M28-H28,IF(Option=2,H28-$M28)),0))</f>
        <v>#N/A</v>
      </c>
      <c r="AO28" s="295" t="e">
        <f aca="false">IF($A28="N/A"," ",IF(OR(Dayrun&lt;=2,Dayrun&gt;=9),IF(Option=1,$N28-$H28,IF(Option=2,$H28-$N28)),0))</f>
        <v>#N/A</v>
      </c>
      <c r="AP28" s="295" t="e">
        <f aca="false">IF($A28="N/A"," ",IF(OR(Dayrun=1,Dayrun=5,Dayrun=8,Dayrun=11),IF(Option=1,$O28-H28,IF(Option=2,H28-$O28)),0))</f>
        <v>#N/A</v>
      </c>
      <c r="AQ28" s="295" t="e">
        <f aca="false">IF($A28="N/A"," ",IF(OR(Dayrun=1,Dayrun=8,Dayrun=11),IF(Option=1,$P28-H28,IF(Option=2,H28-$P28)),0))</f>
        <v>#N/A</v>
      </c>
      <c r="AR28" s="296" t="e">
        <f aca="false">IF($A28="N/A"," ",IF(OR(Dayrun&lt;=2,Dayrun&gt;=9),IF(Option=1,$Q28-H28,IF(Option=2,H28-$Q28)),0))</f>
        <v>#N/A</v>
      </c>
      <c r="AS28" s="297" t="n">
        <f aca="false">IF($A28="N/A"," ",IF(VLOOKUP(MONTH($A28),ManualTable,2)=1,IF(Dayrun&gt;=3,$DE28*8*$CY28,0),0))</f>
        <v>2.99254353333225E+017</v>
      </c>
      <c r="AT28" s="297" t="n">
        <f aca="false">IF($A28="N/A"," ",IF(VLOOKUP(MONTH($A28),ManualTable,3)=1,IF(Dayrun&gt;=6,$DE28*8*$CY28,0),0))</f>
        <v>2.99254353333225E+017</v>
      </c>
      <c r="AU28" s="297" t="n">
        <f aca="false">IF($A28="N/A"," ",IF(VLOOKUP(MONTH($A28),ManualTable,4)=1,IF(OR(Dayrun&lt;=2,Dayrun&gt;=9),$DE28*8*$CY28,0),0))</f>
        <v>2.99254353333225E+017</v>
      </c>
      <c r="AV28" s="297" t="n">
        <f aca="false">IF($A28="N/A"," ",IF(VLOOKUP(MONTH($A28),ManualTable,5)=1,IF(OR(Dayrun=1,Dayrun=4,Dayrun=5,Dayrun=7,Dayrun=8,Dayrun=10,Dayrun=11),$DF28*8*$CY28,0),0))</f>
        <v>57000829206328600</v>
      </c>
      <c r="AW28" s="297" t="n">
        <f aca="false">IF($A28="N/A"," ",IF(VLOOKUP(MONTH($A28),ManualTable,6)=1,IF(OR(Dayrun=1,Dayrun=7,Dayrun=8,Dayrun=10,Dayrun=11),$DF28*8*$CY28,0),0))</f>
        <v>57000829206328600</v>
      </c>
      <c r="AX28" s="297" t="n">
        <f aca="false">IF($A28="N/A"," ",IF(VLOOKUP(MONTH($A28),ManualTable,7)=1,IF(OR(Dayrun&lt;=2,Dayrun&gt;=9),$DF28*8*$CY28,0),0))</f>
        <v>57000829206328600</v>
      </c>
      <c r="AY28" s="297" t="n">
        <f aca="false">IF($A28="N/A"," ",IF(VLOOKUP(MONTH($A28),ManualTable,8)=1,IF(OR(Dayrun=1,Dayrun=5,Dayrun=8,Dayrun=11),$DG28*8*$CY28,0),0))</f>
        <v>71251036507910700</v>
      </c>
      <c r="AZ28" s="297" t="n">
        <f aca="false">IF($A28="N/A"," ",IF(VLOOKUP(MONTH($A28),ManualTable,9)=1,IF(OR(Dayrun=1,Dayrun=8,Dayrun=11),$DG28*8*$CY28,0),0))</f>
        <v>71251036507910700</v>
      </c>
      <c r="BA28" s="298" t="n">
        <f aca="false">IF($A28="N/A"," ",IF(VLOOKUP(MONTH($A28),ManualTable,10)=1,IF(OR(Dayrun&lt;=2,Dayrun&gt;=9),$DG28*8*$CY28,0),0))</f>
        <v>71251036507910700</v>
      </c>
      <c r="BB28" s="299" t="e">
        <f aca="false">IF($A28="N/A"," ",IF(Dayrun&gt;=3,(MAX(0,(xSPRDOPT(I28,($E28-'Pricing Inputs'!$X63*$D28),$CV28,0,($CN28+IF(Smile=TRUE(),VLOOKUP(MAX(-5,$H28-I28),Volsmile,2),0)),$CT28,$CU28,($A28-DateToday)+15,ABS(Option-2),1)*DE28*8))),0))</f>
        <v>#N/A</v>
      </c>
      <c r="BC28" s="300" t="e">
        <f aca="false">IF($A28="N/A"," ",IF(Dayrun&gt;=6,MAX(0,(xSPRDOPT(J28,($E28-'Pricing Inputs'!$X63*$D28),$CV28,0,($CN28+IF(Smile=TRUE(),VLOOKUP(MAX(-5,$H28-J28),Volsmile,2),0)),$CT28,$CU28,($A28-DateToday)+15,ABS(Option-2),1)*DE28*8)),0))</f>
        <v>#N/A</v>
      </c>
      <c r="BD28" s="300" t="e">
        <f aca="false">IF($A28="N/A"," ",IF(OR(Dayrun&lt;=2,Dayrun&gt;=9),IF(OffPeakEx=TRUE(),MAX(0,(xSPRDOPT(K28,($E28-'Pricing Inputs'!$X63*$D28),$CV28,0,($CQ28+IF(Smile=TRUE(),VLOOKUP(MAX(-5,$H28-K28),Volsmile,2),0)),$CT28,$CU28,($A28-DateToday)+15,ABS(Option-2),1)*DE28*8)),0),0))</f>
        <v>#N/A</v>
      </c>
      <c r="BE28" s="300" t="e">
        <f aca="false">IF($A28="N/A"," ",IF(OR(Dayrun=1,Dayrun=4,Dayrun=5,Dayrun=7,Dayrun=8,Dayrun=10,Dayrun=11),MAX(0,(xSPRDOPT(L28,($E28-'Pricing Inputs'!$X63*$D28),$CV28,0,($CQ28+IF(Smile=TRUE(),VLOOKUP(MAX(-5,$H28-L28),Volsmile,2),0)),$CT28,$CU28,($A28-DateToday)+15,ABS(Option-2),1)*DF28*8)),0))</f>
        <v>#N/A</v>
      </c>
      <c r="BF28" s="300" t="e">
        <f aca="false">IF($A28="N/A"," ",IF(OR(Dayrun=1,Dayrun=7,Dayrun=8,Dayrun=10,Dayrun=11),MAX(0,(xSPRDOPT(M28,($E28-'Pricing Inputs'!$X63*$D28),$CV28,0,($CQ28+IF(Smile=TRUE(),VLOOKUP(MAX(-5,$H28-M28),Volsmile,2),0)),$CT28,$CU28,($A28-DateToday)+15,ABS(Option-2),1)*DF28*8)),0))</f>
        <v>#N/A</v>
      </c>
      <c r="BG28" s="300" t="e">
        <f aca="false">IF($A28="N/A"," ",IF(OR(Dayrun&lt;=2,Dayrun&gt;=10),IF(OffPeakEx=TRUE(),MAX(0,(xSPRDOPT(N28,($E28-'Pricing Inputs'!$X63*$D28),$CV28,0,($CQ28+IF(Smile=TRUE(),VLOOKUP(MAX(-5,$H28-N28),Volsmile,2),0)),$CT28,$CU28,($A28-DateToday)+15,ABS(Option-2),1)*DF28*8)),0),0))</f>
        <v>#N/A</v>
      </c>
      <c r="BH28" s="300" t="e">
        <f aca="false">IF($A28="N/A"," ",IF(OR(Dayrun=1,Dayrun=5,Dayrun=8,Dayrun=11),MAX(0,(xSPRDOPT(O28,($E28-'Pricing Inputs'!$X63*$D28),$CV28,0,($CQ28+IF(Smile=TRUE(),VLOOKUP(MAX(-5,$H28-O28),Volsmile,2),0)),$CT28,$CU28,($A28-DateToday)+15,ABS(Option-2),1)*DG28*8)),0))</f>
        <v>#N/A</v>
      </c>
      <c r="BI28" s="300" t="e">
        <f aca="false">IF($A28="N/A"," ",IF(OR(Dayrun=1,Dayrun=8,Dayrun=11),MAX(0,(xSPRDOPT(P28,($E28-'Pricing Inputs'!$X63*$D28),$CV28,0,($CQ28+IF(Smile=TRUE(),VLOOKUP(MAX(-5,$H28-P28),Volsmile,2),0)),$CT28,$CU28,($A28-DateToday)+15,ABS(Option-2),1)*DG28*8)),0))</f>
        <v>#N/A</v>
      </c>
      <c r="BJ28" s="301" t="e">
        <f aca="false">IF($A28="N/A"," ",IF(OR(Dayrun&lt;=2,Dayrun&gt;=11),IF(OffPeakEx=TRUE(),MAX(0,(xSPRDOPT(Q28,($E28-'Pricing Inputs'!$X63*$D28),$CV28,0,($CQ28+IF(Smile=TRUE(),VLOOKUP(MAX(-5,$H28-Q28),Volsmile,2),0)),$CT28,$CU28,($A28-DateToday)+15,ABS(Option-2),1)*DG28*8)),0),0))</f>
        <v>#N/A</v>
      </c>
      <c r="BK28" s="302" t="e">
        <f aca="false">IF($A28="N/A"," ",R28*$AS28)</f>
        <v>#N/A</v>
      </c>
      <c r="BL28" s="303" t="e">
        <f aca="false">IF($A28="N/A"," ",S28*$AT28)</f>
        <v>#N/A</v>
      </c>
      <c r="BM28" s="303" t="e">
        <f aca="false">IF($A28="N/A"," ",T28*$AU28)</f>
        <v>#N/A</v>
      </c>
      <c r="BN28" s="303" t="e">
        <f aca="false">IF($A28="N/A"," ",U28*$AV28)</f>
        <v>#N/A</v>
      </c>
      <c r="BO28" s="303" t="e">
        <f aca="false">IF($A28="N/A"," ",V28*$AW28)</f>
        <v>#N/A</v>
      </c>
      <c r="BP28" s="303" t="e">
        <f aca="false">IF($A28="N/A"," ",W28*$AX28)</f>
        <v>#N/A</v>
      </c>
      <c r="BQ28" s="303" t="e">
        <f aca="false">IF($A28="N/A"," ",X28*$AY28)</f>
        <v>#N/A</v>
      </c>
      <c r="BR28" s="303" t="e">
        <f aca="false">IF($A28="N/A"," ",Y28*$AZ28)</f>
        <v>#N/A</v>
      </c>
      <c r="BS28" s="304" t="e">
        <f aca="false">IF($A28="N/A"," ",Z28*$BA28)</f>
        <v>#N/A</v>
      </c>
      <c r="BT28" s="305" t="e">
        <f aca="false">IF($A28="N/A"," ",AA28*$AS28)</f>
        <v>#N/A</v>
      </c>
      <c r="BU28" s="306" t="e">
        <f aca="false">IF($A28="N/A"," ",AB28*$AT28)</f>
        <v>#N/A</v>
      </c>
      <c r="BV28" s="306" t="e">
        <f aca="false">IF($A28="N/A"," ",AC28*$AU28)</f>
        <v>#N/A</v>
      </c>
      <c r="BW28" s="306" t="e">
        <f aca="false">IF($A28="N/A"," ",AD28*$AV28)</f>
        <v>#N/A</v>
      </c>
      <c r="BX28" s="306" t="e">
        <f aca="false">IF($A28="N/A"," ",AE28*$AW28)</f>
        <v>#N/A</v>
      </c>
      <c r="BY28" s="306" t="e">
        <f aca="false">IF($A28="N/A"," ",AF28*$AX28)</f>
        <v>#N/A</v>
      </c>
      <c r="BZ28" s="306" t="e">
        <f aca="false">IF($A28="N/A"," ",AG28*$AY28)</f>
        <v>#N/A</v>
      </c>
      <c r="CA28" s="306" t="e">
        <f aca="false">IF($A28="N/A"," ",AH28*$AZ28)</f>
        <v>#N/A</v>
      </c>
      <c r="CB28" s="307" t="e">
        <f aca="false">IF($A28="N/A"," ",AI28*$BA28)</f>
        <v>#N/A</v>
      </c>
      <c r="CC28" s="308" t="e">
        <f aca="false">IF($A28="N/A"," ",AJ28*$AS28)</f>
        <v>#N/A</v>
      </c>
      <c r="CD28" s="309" t="e">
        <f aca="false">IF($A28="N/A"," ",AK28*$AT28)</f>
        <v>#N/A</v>
      </c>
      <c r="CE28" s="309" t="e">
        <f aca="false">IF($A28="N/A"," ",AL28*$AU28)</f>
        <v>#N/A</v>
      </c>
      <c r="CF28" s="309" t="e">
        <f aca="false">IF($A28="N/A"," ",AM28*$AV28)</f>
        <v>#N/A</v>
      </c>
      <c r="CG28" s="309" t="e">
        <f aca="false">IF($A28="N/A"," ",AN28*$AW28)</f>
        <v>#N/A</v>
      </c>
      <c r="CH28" s="309" t="e">
        <f aca="false">IF($A28="N/A"," ",AO28*$AX28)</f>
        <v>#N/A</v>
      </c>
      <c r="CI28" s="309" t="e">
        <f aca="false">IF($A28="N/A"," ",AP28*$AY28)</f>
        <v>#N/A</v>
      </c>
      <c r="CJ28" s="309" t="e">
        <f aca="false">IF($A28="N/A"," ",AQ28*$AZ28)</f>
        <v>#N/A</v>
      </c>
      <c r="CK28" s="310" t="e">
        <f aca="false">IF($A28="N/A"," ",AR28*$BA28)</f>
        <v>#N/A</v>
      </c>
      <c r="CL28" s="311" t="n">
        <f aca="false">IF(A28="N/A"," ",(VLOOKUP(A28,PowerVolTable,(IF(VolBMO=2,7,IF(VolBMO=1,6,8))),FALSE())))</f>
        <v>0.39</v>
      </c>
      <c r="CM28" s="312" t="n">
        <f aca="false">IF(A28="N/A"," ",(VLOOKUP(A28,IntraPowerVol,(IF(VolBMO=2,3,IF(VolBMO=1,2,4))),FALSE())*VLOOKUP(MONTH($A28),Volscale,2)))</f>
        <v>0.7</v>
      </c>
      <c r="CN28" s="312" t="n">
        <f aca="false">IF($A28="N/A"," ",IF(VolType=1,CM28,CL28))</f>
        <v>0.7</v>
      </c>
      <c r="CO28" s="312" t="n">
        <f aca="false">IF($A28="N/A"," ",(VLOOKUP($A28,OffPeakVol,(IF(VolBMO=2,7,IF(VolBMO=1,6,8))),FALSE())))</f>
        <v>0.195</v>
      </c>
      <c r="CP28" s="312" t="n">
        <f aca="false">IF($A28="N/A"," ",(VLOOKUP($A28,OffPeakVol,(IF(VolBMO=2,3,IF(VolBMO=1,2,4))),FALSE())*VLOOKUP(MONTH($A28),Volscale,2)))</f>
        <v>0.42</v>
      </c>
      <c r="CQ28" s="312" t="n">
        <f aca="false">IF($A28="N/A"," ",IF(VolType=1,CP28,CO28))</f>
        <v>0.42</v>
      </c>
      <c r="CR28" s="312" t="e">
        <f aca="false">IF($A28="N/A"," ",(VLOOKUP($A28,GasVolTable,(IF(VolBMO=2,6,IF(VolBMO=1,7,5))),FALSE())))</f>
        <v>#N/A</v>
      </c>
      <c r="CS28" s="312" t="e">
        <f aca="false">IF($A28="N/A"," ",(VLOOKUP($A28,OmicronVol,(IF(VolBMO=2,3,IF(VolBMO=1,4,2))),FALSE())))</f>
        <v>#N/A</v>
      </c>
      <c r="CT28" s="312" t="e">
        <f aca="false">IF($A28="N/A"," ",(IF(DateToday&gt;$A28,$CS28,IF(VolType=1,((($CR28^2)*((($A28-1)-DateToday)/((EOMONTH($A28,0)+1)-DateToday-15)))+((($CS28)^2)*((15)/((EOMONTH($A28,0)+1)-DateToday-15))))^0.5,CR28))))</f>
        <v>#N/A</v>
      </c>
      <c r="CU28" s="312" t="n">
        <f aca="false">IF($A28="N/A"," ",IF('Pricing Inputs'!$AR$23=TRUE(),Inputs!$S$22,VLOOKUP($A28,CorrelationTable,2,FALSE())))</f>
        <v>0.75</v>
      </c>
      <c r="CV28" s="313" t="n">
        <f aca="false">IF($A28="N/A"," ",F28+G28+(D28*('Pricing Inputs'!X63)))</f>
        <v>0</v>
      </c>
      <c r="CW28" s="314" t="n">
        <f aca="false">IF($A28="N/A"," ",IF(PV=1,0,'Pricing Inputs'!Y63))</f>
        <v>2</v>
      </c>
      <c r="CX28" s="315" t="n">
        <f aca="false">IF($A28="N/A"," ",(1+CW28/2)^(-2*((EOMONTH(A28,0)+20)-DateToday)/365.25))</f>
        <v>16091019988236.4</v>
      </c>
      <c r="CY28" s="316" t="n">
        <f aca="false">IF($A28="N/A"," ",(IF(MONTH(A28)&gt;=4,IF(MONTH(A28)&lt;=10,Inputs!$S$26,Inputs!$S$27),Inputs!$S$27))*$CX28)</f>
        <v>1979195458553080</v>
      </c>
      <c r="CZ28" s="317" t="e">
        <f aca="false">IF($A28="N/A"," ",BK28+BL28+BN28+BO28+BQ28+BR28)</f>
        <v>#N/A</v>
      </c>
      <c r="DA28" s="318" t="e">
        <f aca="false">IF($A28="N/A"," ",BM28+BP28+BS28)</f>
        <v>#N/A</v>
      </c>
      <c r="DB28" s="319" t="e">
        <f aca="false">IF($A28="N/A"," ",BT28+BU28+BW28+BX28+BZ28+CA28)</f>
        <v>#N/A</v>
      </c>
      <c r="DC28" s="319" t="e">
        <f aca="false">IF($A28="N/A"," ",BV28+BY28+CB28)</f>
        <v>#N/A</v>
      </c>
      <c r="DD28" s="320" t="e">
        <f aca="false">IF($A28="N/A"," ",SUM(CC28:CK28))</f>
        <v>#N/A</v>
      </c>
      <c r="DE28" s="321" t="n">
        <f aca="false">IF($A28="N/A"," ",VLOOKUP($A28,NumberofDaysTable,2)*Availability)</f>
        <v>18.9</v>
      </c>
      <c r="DF28" s="94" t="n">
        <f aca="false">IF($A28="N/A"," ",VLOOKUP($A28,NumberofDaysTable,3)*Availability)</f>
        <v>3.6</v>
      </c>
      <c r="DG28" s="322" t="n">
        <f aca="false">IF($A28="N/A"," ",VLOOKUP($A28,NumberofDaysTable,4)*Availability)</f>
        <v>4.5</v>
      </c>
      <c r="DH28" s="323" t="n">
        <f aca="false">IF($A28="N/A"," ",IF(Option=1,$D28*Inputs!$S$15*SUM(AS28:BA28),0))</f>
        <v>0</v>
      </c>
      <c r="DI28" s="324" t="n">
        <f aca="false">IF($A28="N/A"," ",IF(Option=1,$D28*Inputs!$S$16*SUM(AS28:BA28),0))</f>
        <v>0</v>
      </c>
      <c r="DJ28" s="325" t="n">
        <f aca="false">IF($A28="N/A"," ",SUM(AS28:AT28))</f>
        <v>5.9850870666645E+017</v>
      </c>
      <c r="DK28" s="325" t="n">
        <f aca="false">IF($A28="N/A"," ",SUM(AU28:BA28))</f>
        <v>6.84009950475943E+017</v>
      </c>
      <c r="DL28" s="325" t="e">
        <f aca="false">IF($A28="N/A"," ",SUM(BB28:BC28))</f>
        <v>#N/A</v>
      </c>
      <c r="DM28" s="325" t="e">
        <f aca="false">IF($A28="N/A"," ",SUM(BD28:BJ28))</f>
        <v>#N/A</v>
      </c>
    </row>
    <row r="29" customFormat="false" ht="12.75" hidden="false" customHeight="false" outlineLevel="0" collapsed="false">
      <c r="A29" s="282" t="n">
        <f aca="false">IF(A28="N/A","N/A",IF(EDATE(A28,1)&gt;Inputs!$S$5,"N/A",EDATE(A28,1)))</f>
        <v>37895</v>
      </c>
      <c r="B29" s="283" t="n">
        <f aca="false">IF(A29="N/A"," ",YEAR(A29))</f>
        <v>2003</v>
      </c>
      <c r="C29" s="284" t="e">
        <f aca="false">IF(A29="N/A"," ",VLOOKUP(A29,ScaledPrice,14))</f>
        <v>#N/A</v>
      </c>
      <c r="D29" s="285" t="n">
        <f aca="false">IF(A29="N/A"," ",(VLOOKUP(MONTH($A29),Hrtable,2))/1000)</f>
        <v>9.5</v>
      </c>
      <c r="E29" s="286" t="e">
        <f aca="false">IF($A29="N/A"," ",(C29)*D29)</f>
        <v>#N/A</v>
      </c>
      <c r="F29" s="287" t="n">
        <f aca="false">IF(A29="N/A"," ",VOM*(1+VOMesc)^(YEAR(A29)-YEAR(Today)))</f>
        <v>0</v>
      </c>
      <c r="G29" s="287" t="n">
        <f aca="false">IF(A29="N/A"," ",Perstart/VLOOKUP(Dayrun,'Pricing Inputs'!$AQ$4:$AS$14,3)/(CY29/CX29))</f>
        <v>0</v>
      </c>
      <c r="H29" s="288" t="e">
        <f aca="false">IF(A29="N/A"," ",SUM(E29:G29))</f>
        <v>#N/A</v>
      </c>
      <c r="I29" s="289" t="n">
        <f aca="false">VLOOKUP($A29,ScaledPrice,6)</f>
        <v>31.0015636444092</v>
      </c>
      <c r="J29" s="290" t="n">
        <f aca="false">VLOOKUP($A29,ScaledPrice,10)</f>
        <v>31.0015636444092</v>
      </c>
      <c r="K29" s="290" t="n">
        <f aca="false">VLOOKUP($A29,ScaledPrice,13)</f>
        <v>16.1800022125244</v>
      </c>
      <c r="L29" s="290" t="n">
        <f aca="false">VLOOKUP($A29,ScaledPrice,7)</f>
        <v>20.8359985351563</v>
      </c>
      <c r="M29" s="290" t="n">
        <f aca="false">VLOOKUP($A29,ScaledPrice,11)</f>
        <v>20.8359985351563</v>
      </c>
      <c r="N29" s="290" t="n">
        <f aca="false">VLOOKUP($A29,ScaledPrice,13)</f>
        <v>16.1800022125244</v>
      </c>
      <c r="O29" s="290" t="n">
        <f aca="false">VLOOKUP($A29,ScaledPrice,8)</f>
        <v>15.3365020751953</v>
      </c>
      <c r="P29" s="290" t="n">
        <f aca="false">VLOOKUP($A29,ScaledPrice,12)</f>
        <v>15.3365020751953</v>
      </c>
      <c r="Q29" s="291" t="n">
        <f aca="false">VLOOKUP($A29,ScaledPrice,13)</f>
        <v>16.1800022125244</v>
      </c>
      <c r="R29" s="292" t="e">
        <f aca="false">IF($A29="N/A"," ",IF(Dayrun&gt;=3,IF(Option=1,MAX($I29-$H29,0),IF(Option=2,MAX($H29-$I29,0),0)),0))</f>
        <v>#N/A</v>
      </c>
      <c r="S29" s="286" t="e">
        <f aca="false">IF($A29="N/A"," ",IF(Dayrun&gt;=6,IF(Option=1,MAX($J29-H29,0),IF(Option=2,MAX(H29-$J29,0),0)),0))</f>
        <v>#N/A</v>
      </c>
      <c r="T29" s="286" t="e">
        <f aca="false">IF($A29="N/A"," ",IF(OR(Dayrun&lt;=2,Dayrun&gt;=9),IF(Option=1,MAX($K29-$H29,0),IF(Option=2,MAX($H29-$K29,0),0)),0))</f>
        <v>#N/A</v>
      </c>
      <c r="U29" s="286" t="e">
        <f aca="false">IF($A29="N/A"," ",IF(OR(Dayrun=1,Dayrun=4,Dayrun=5,Dayrun=7,Dayrun=8,Dayrun=10,Dayrun=11),IF(Option=1,MAX($L29-H29,0),IF(Option=2,MAX(H29-$L29,0),0)),0))</f>
        <v>#N/A</v>
      </c>
      <c r="V29" s="286" t="e">
        <f aca="false">IF($A29="N/A"," ",IF(OR(Dayrun=1,Dayrun=7,Dayrun=8,Dayrun=10,Dayrun=11),IF(Option=1,MAX($M29-H29,0),IF(Option=2,MAX(H29-$M29,0),0)),0))</f>
        <v>#N/A</v>
      </c>
      <c r="W29" s="286" t="e">
        <f aca="false">IF($A29="N/A"," ",IF(OR(Dayrun&lt;=2,Dayrun&gt;=10),IF(Option=1,MAX($N29-$H29,0),IF(Option=2,MAX($H29-$N29,0),0)),0))</f>
        <v>#N/A</v>
      </c>
      <c r="X29" s="286" t="e">
        <f aca="false">IF($A29="N/A"," ",IF(OR(Dayrun=1,Dayrun=5,Dayrun=8,Dayrun=11),IF(Option=1,MAX($O29-H29,0),IF(Option=2,MAX(H29-$O29,0),0)),0))</f>
        <v>#N/A</v>
      </c>
      <c r="Y29" s="286" t="e">
        <f aca="false">IF($A29="N/A"," ",IF(OR(Dayrun=1,Dayrun=8,Dayrun=11),IF(Option=1,MAX($P29-H29,0),IF(Option=2,MAX(H29-$P29,0),0)),0))</f>
        <v>#N/A</v>
      </c>
      <c r="Z29" s="293" t="e">
        <f aca="false">IF($A29="N/A"," ",IF(OR(Dayrun&lt;=2,Dayrun&gt;=11),IF(Option=1,MAX($Q29-$H29,0),IF(Option=2,MAX($H29-$Q29,0),0)),0))</f>
        <v>#N/A</v>
      </c>
      <c r="AA29" s="289" t="e">
        <f aca="false">IF($A29="N/A"," ",IF(Dayrun&gt;=3,(MAX(0,(xSPRDOPT(I29,($E29-'Pricing Inputs'!$X64*$D29),$CV29,0,($CN29+IF(Smile=TRUE(),VLOOKUP(MAX(-5,$H29-I29),Volsmile,2),0)),$CT29,$CU29,($A29-DateToday)+15,ABS(Option-2),0)-R29))),0))</f>
        <v>#N/A</v>
      </c>
      <c r="AB29" s="290" t="e">
        <f aca="false">IF($A29="N/A"," ",IF(Dayrun&gt;=6,MAX(0,(xSPRDOPT(J29,($E29-'Pricing Inputs'!$X64*$D29),$CV29,0,($CN29+IF(Smile=TRUE(),VLOOKUP(MAX(-5,$H29-J29),Volsmile,2),0)),$CT29,$CU29,($A29-DateToday)+15,ABS(Option-2),0)-S29)),0))</f>
        <v>#N/A</v>
      </c>
      <c r="AC29" s="290" t="e">
        <f aca="false">IF($A29="N/A"," ",IF(OR(Dayrun&lt;=2,Dayrun&gt;=9),IF(OffPeakEx=TRUE(),MAX(0,(xSPRDOPT(K29,($E29-'Pricing Inputs'!$X64*$D29),$CV29,0,($CQ29+IF(Smile=TRUE(),VLOOKUP(MAX(-5,$H29-K29),Volsmile,2),0)),$CT29,$CU29,($A29-DateToday)+15,ABS(Option-2),0)-T29)),0),0))</f>
        <v>#N/A</v>
      </c>
      <c r="AD29" s="290" t="e">
        <f aca="false">IF($A29="N/A"," ",IF(OR(Dayrun=1,Dayrun=4,Dayrun=5,Dayrun=7,Dayrun=8,Dayrun=10,Dayrun=11),MAX(0,(xSPRDOPT(L29,($E29-'Pricing Inputs'!$X64*$D29),$CV29,0,($CQ29+IF(Smile=TRUE(),VLOOKUP(MAX(-5,$H29-L29),Volsmile,2),0)),$CT29,$CU29,($A29-DateToday)+15,ABS(Option-2),0)-U29)),0))</f>
        <v>#N/A</v>
      </c>
      <c r="AE29" s="290" t="e">
        <f aca="false">IF($A29="N/A"," ",IF(OR(Dayrun=1,Dayrun=7,Dayrun=8,Dayrun=10,Dayrun=11),MAX(0,(xSPRDOPT(M29,($E29-'Pricing Inputs'!$X64*$D29),$CV29,0,($CQ29+IF(Smile=TRUE(),VLOOKUP(MAX(-5,$H29-M29),Volsmile,2),0)),$CT29,$CU29,($A29-DateToday)+15,ABS(Option-2),0)-V29)),0))</f>
        <v>#N/A</v>
      </c>
      <c r="AF29" s="290" t="e">
        <f aca="false">IF($A29="N/A"," ",IF(OR(Dayrun&lt;=2,Dayrun&gt;=10),IF(OffPeakEx=TRUE(),MAX(0,(xSPRDOPT(N29,($E29-'Pricing Inputs'!$X64*$D29),$CV29,0,($CQ29+IF(Smile=TRUE(),VLOOKUP(MAX(-5,$H29-N29),Volsmile,2),0)),$CT29,$CU29,($A29-DateToday)+15,ABS(Option-2),0)-W29)),0),0))</f>
        <v>#N/A</v>
      </c>
      <c r="AG29" s="290" t="e">
        <f aca="false">IF($A29="N/A"," ",IF(OR(Dayrun=1,Dayrun=5,Dayrun=8,Dayrun=11),MAX(0,(xSPRDOPT(O29,($E29-'Pricing Inputs'!$X64*$D29),$CV29,0,($CQ29+IF(Smile=TRUE(),VLOOKUP(MAX(-5,$H29-O29),Volsmile,2),0)),$CT29,$CU29,($A29-DateToday)+15,ABS(Option-2),0)-X29)),0))</f>
        <v>#N/A</v>
      </c>
      <c r="AH29" s="290" t="e">
        <f aca="false">IF($A29="N/A"," ",IF(OR(Dayrun=1,Dayrun=8,Dayrun=11),MAX(0,(xSPRDOPT(P29,($E29-'Pricing Inputs'!$X64*$D29),$CV29,0,($CQ29+IF(Smile=TRUE(),VLOOKUP(MAX(-5,$H29-P29),Volsmile,2),0)),$CT29,$CU29,($A29-DateToday)+15,ABS(Option-2),0)-Y29)),0))</f>
        <v>#N/A</v>
      </c>
      <c r="AI29" s="290" t="e">
        <f aca="false">IF($A29="N/A"," ",IF(OR(Dayrun&lt;=2,Dayrun&gt;=11),IF(OffPeakEx=TRUE(),MAX(0,(xSPRDOPT(Q29,($E29-'Pricing Inputs'!$X64*$D29),$CV29,0,($CQ29+IF(Smile=TRUE(),VLOOKUP(MAX(-5,$H29-Q29),Volsmile,2),0)),$CT29,$CU29,($A29-DateToday)+15,ABS(Option-2),0)-Z29)),0),0))</f>
        <v>#N/A</v>
      </c>
      <c r="AJ29" s="294" t="e">
        <f aca="false">IF($A29="N/A"," ",IF(Dayrun&gt;=3,IF(Option=1,$I29-$H29,IF(Option=2,$H29-$I29)),0))</f>
        <v>#N/A</v>
      </c>
      <c r="AK29" s="295" t="e">
        <f aca="false">IF($A29="N/A"," ",IF(Dayrun&gt;=6,IF(Option=1,$J29-H29,IF(Option=2,H29-$J29)),0))</f>
        <v>#N/A</v>
      </c>
      <c r="AL29" s="295" t="e">
        <f aca="false">IF($A29="N/A"," ",IF(OR(Dayrun&lt;=2,Dayrun&gt;=9),IF(Option=1,$K29-$H29,IF(Option=2,$H29-$K29)),0))</f>
        <v>#N/A</v>
      </c>
      <c r="AM29" s="295" t="e">
        <f aca="false">IF($A29="N/A"," ",IF(OR(Dayrun=1,Dayrun=4,Dayrun=5,Dayrun=7,Dayrun=8,Dayrun=10,Dayrun=11),IF(Option=1,$L29-H29,IF(Option=2,H29-$L29)),0))</f>
        <v>#N/A</v>
      </c>
      <c r="AN29" s="295" t="e">
        <f aca="false">IF($A29="N/A"," ",IF(OR(Dayrun=1,Dayrun=7,Dayrun=8,Dayrun=10,Dayrun=11),IF(Option=1,$M29-H29,IF(Option=2,H29-$M29)),0))</f>
        <v>#N/A</v>
      </c>
      <c r="AO29" s="295" t="e">
        <f aca="false">IF($A29="N/A"," ",IF(OR(Dayrun&lt;=2,Dayrun&gt;=9),IF(Option=1,$N29-$H29,IF(Option=2,$H29-$N29)),0))</f>
        <v>#N/A</v>
      </c>
      <c r="AP29" s="295" t="e">
        <f aca="false">IF($A29="N/A"," ",IF(OR(Dayrun=1,Dayrun=5,Dayrun=8,Dayrun=11),IF(Option=1,$O29-H29,IF(Option=2,H29-$O29)),0))</f>
        <v>#N/A</v>
      </c>
      <c r="AQ29" s="295" t="e">
        <f aca="false">IF($A29="N/A"," ",IF(OR(Dayrun=1,Dayrun=8,Dayrun=11),IF(Option=1,$P29-H29,IF(Option=2,H29-$P29)),0))</f>
        <v>#N/A</v>
      </c>
      <c r="AR29" s="296" t="e">
        <f aca="false">IF($A29="N/A"," ",IF(OR(Dayrun&lt;=2,Dayrun&gt;=9),IF(Option=1,$Q29-H29,IF(Option=2,H29-$Q29)),0))</f>
        <v>#N/A</v>
      </c>
      <c r="AS29" s="297" t="n">
        <f aca="false">IF($A29="N/A"," ",IF(VLOOKUP(MONTH($A29),ManualTable,2)=1,IF(Dayrun&gt;=3,$DE29*8*$CY29,0),0))</f>
        <v>2.91373570028269E+017</v>
      </c>
      <c r="AT29" s="297" t="n">
        <f aca="false">IF($A29="N/A"," ",IF(VLOOKUP(MONTH($A29),ManualTable,3)=1,IF(Dayrun&gt;=6,$DE29*8*$CY29,0),0))</f>
        <v>2.91373570028269E+017</v>
      </c>
      <c r="AU29" s="297" t="n">
        <f aca="false">IF($A29="N/A"," ",IF(VLOOKUP(MONTH($A29),ManualTable,4)=1,IF(OR(Dayrun&lt;=2,Dayrun&gt;=9),$DE29*8*$CY29,0),0))</f>
        <v>2.91373570028269E+017</v>
      </c>
      <c r="AV29" s="297" t="n">
        <f aca="false">IF($A29="N/A"," ",IF(VLOOKUP(MONTH($A29),ManualTable,5)=1,IF(OR(Dayrun=1,Dayrun=4,Dayrun=5,Dayrun=7,Dayrun=8,Dayrun=10,Dayrun=11),$DF29*8*$CY29,0),0))</f>
        <v>50673664352742400</v>
      </c>
      <c r="AW29" s="297" t="n">
        <f aca="false">IF($A29="N/A"," ",IF(VLOOKUP(MONTH($A29),ManualTable,6)=1,IF(OR(Dayrun=1,Dayrun=7,Dayrun=8,Dayrun=10,Dayrun=11),$DF29*8*$CY29,0),0))</f>
        <v>50673664352742400</v>
      </c>
      <c r="AX29" s="297" t="n">
        <f aca="false">IF($A29="N/A"," ",IF(VLOOKUP(MONTH($A29),ManualTable,7)=1,IF(OR(Dayrun&lt;=2,Dayrun&gt;=9),$DF29*8*$CY29,0),0))</f>
        <v>50673664352742400</v>
      </c>
      <c r="AY29" s="297" t="n">
        <f aca="false">IF($A29="N/A"," ",IF(VLOOKUP(MONTH($A29),ManualTable,8)=1,IF(OR(Dayrun=1,Dayrun=5,Dayrun=8,Dayrun=11),$DG29*8*$CY29,0),0))</f>
        <v>50673664352742400</v>
      </c>
      <c r="AZ29" s="297" t="n">
        <f aca="false">IF($A29="N/A"," ",IF(VLOOKUP(MONTH($A29),ManualTable,9)=1,IF(OR(Dayrun=1,Dayrun=8,Dayrun=11),$DG29*8*$CY29,0),0))</f>
        <v>50673664352742400</v>
      </c>
      <c r="BA29" s="298" t="n">
        <f aca="false">IF($A29="N/A"," ",IF(VLOOKUP(MONTH($A29),ManualTable,10)=1,IF(OR(Dayrun&lt;=2,Dayrun&gt;=9),$DG29*8*$CY29,0),0))</f>
        <v>50673664352742400</v>
      </c>
      <c r="BB29" s="299" t="e">
        <f aca="false">IF($A29="N/A"," ",IF(Dayrun&gt;=3,(MAX(0,(xSPRDOPT(I29,($E29-'Pricing Inputs'!$X64*$D29),$CV29,0,($CN29+IF(Smile=TRUE(),VLOOKUP(MAX(-5,$H29-I29),Volsmile,2),0)),$CT29,$CU29,($A29-DateToday)+15,ABS(Option-2),1)*DE29*8))),0))</f>
        <v>#N/A</v>
      </c>
      <c r="BC29" s="300" t="e">
        <f aca="false">IF($A29="N/A"," ",IF(Dayrun&gt;=6,MAX(0,(xSPRDOPT(J29,($E29-'Pricing Inputs'!$X64*$D29),$CV29,0,($CN29+IF(Smile=TRUE(),VLOOKUP(MAX(-5,$H29-J29),Volsmile,2),0)),$CT29,$CU29,($A29-DateToday)+15,ABS(Option-2),1)*DE29*8)),0))</f>
        <v>#N/A</v>
      </c>
      <c r="BD29" s="300" t="e">
        <f aca="false">IF($A29="N/A"," ",IF(OR(Dayrun&lt;=2,Dayrun&gt;=9),IF(OffPeakEx=TRUE(),MAX(0,(xSPRDOPT(K29,($E29-'Pricing Inputs'!$X64*$D29),$CV29,0,($CQ29+IF(Smile=TRUE(),VLOOKUP(MAX(-5,$H29-K29),Volsmile,2),0)),$CT29,$CU29,($A29-DateToday)+15,ABS(Option-2),1)*DE29*8)),0),0))</f>
        <v>#N/A</v>
      </c>
      <c r="BE29" s="300" t="e">
        <f aca="false">IF($A29="N/A"," ",IF(OR(Dayrun=1,Dayrun=4,Dayrun=5,Dayrun=7,Dayrun=8,Dayrun=10,Dayrun=11),MAX(0,(xSPRDOPT(L29,($E29-'Pricing Inputs'!$X64*$D29),$CV29,0,($CQ29+IF(Smile=TRUE(),VLOOKUP(MAX(-5,$H29-L29),Volsmile,2),0)),$CT29,$CU29,($A29-DateToday)+15,ABS(Option-2),1)*DF29*8)),0))</f>
        <v>#N/A</v>
      </c>
      <c r="BF29" s="300" t="e">
        <f aca="false">IF($A29="N/A"," ",IF(OR(Dayrun=1,Dayrun=7,Dayrun=8,Dayrun=10,Dayrun=11),MAX(0,(xSPRDOPT(M29,($E29-'Pricing Inputs'!$X64*$D29),$CV29,0,($CQ29+IF(Smile=TRUE(),VLOOKUP(MAX(-5,$H29-M29),Volsmile,2),0)),$CT29,$CU29,($A29-DateToday)+15,ABS(Option-2),1)*DF29*8)),0))</f>
        <v>#N/A</v>
      </c>
      <c r="BG29" s="300" t="e">
        <f aca="false">IF($A29="N/A"," ",IF(OR(Dayrun&lt;=2,Dayrun&gt;=10),IF(OffPeakEx=TRUE(),MAX(0,(xSPRDOPT(N29,($E29-'Pricing Inputs'!$X64*$D29),$CV29,0,($CQ29+IF(Smile=TRUE(),VLOOKUP(MAX(-5,$H29-N29),Volsmile,2),0)),$CT29,$CU29,($A29-DateToday)+15,ABS(Option-2),1)*DF29*8)),0),0))</f>
        <v>#N/A</v>
      </c>
      <c r="BH29" s="300" t="e">
        <f aca="false">IF($A29="N/A"," ",IF(OR(Dayrun=1,Dayrun=5,Dayrun=8,Dayrun=11),MAX(0,(xSPRDOPT(O29,($E29-'Pricing Inputs'!$X64*$D29),$CV29,0,($CQ29+IF(Smile=TRUE(),VLOOKUP(MAX(-5,$H29-O29),Volsmile,2),0)),$CT29,$CU29,($A29-DateToday)+15,ABS(Option-2),1)*DG29*8)),0))</f>
        <v>#N/A</v>
      </c>
      <c r="BI29" s="300" t="e">
        <f aca="false">IF($A29="N/A"," ",IF(OR(Dayrun=1,Dayrun=8,Dayrun=11),MAX(0,(xSPRDOPT(P29,($E29-'Pricing Inputs'!$X64*$D29),$CV29,0,($CQ29+IF(Smile=TRUE(),VLOOKUP(MAX(-5,$H29-P29),Volsmile,2),0)),$CT29,$CU29,($A29-DateToday)+15,ABS(Option-2),1)*DG29*8)),0))</f>
        <v>#N/A</v>
      </c>
      <c r="BJ29" s="301" t="e">
        <f aca="false">IF($A29="N/A"," ",IF(OR(Dayrun&lt;=2,Dayrun&gt;=11),IF(OffPeakEx=TRUE(),MAX(0,(xSPRDOPT(Q29,($E29-'Pricing Inputs'!$X64*$D29),$CV29,0,($CQ29+IF(Smile=TRUE(),VLOOKUP(MAX(-5,$H29-Q29),Volsmile,2),0)),$CT29,$CU29,($A29-DateToday)+15,ABS(Option-2),1)*DG29*8)),0),0))</f>
        <v>#N/A</v>
      </c>
      <c r="BK29" s="302" t="e">
        <f aca="false">IF($A29="N/A"," ",R29*$AS29)</f>
        <v>#N/A</v>
      </c>
      <c r="BL29" s="303" t="e">
        <f aca="false">IF($A29="N/A"," ",S29*$AT29)</f>
        <v>#N/A</v>
      </c>
      <c r="BM29" s="303" t="e">
        <f aca="false">IF($A29="N/A"," ",T29*$AU29)</f>
        <v>#N/A</v>
      </c>
      <c r="BN29" s="303" t="e">
        <f aca="false">IF($A29="N/A"," ",U29*$AV29)</f>
        <v>#N/A</v>
      </c>
      <c r="BO29" s="303" t="e">
        <f aca="false">IF($A29="N/A"," ",V29*$AW29)</f>
        <v>#N/A</v>
      </c>
      <c r="BP29" s="303" t="e">
        <f aca="false">IF($A29="N/A"," ",W29*$AX29)</f>
        <v>#N/A</v>
      </c>
      <c r="BQ29" s="303" t="e">
        <f aca="false">IF($A29="N/A"," ",X29*$AY29)</f>
        <v>#N/A</v>
      </c>
      <c r="BR29" s="303" t="e">
        <f aca="false">IF($A29="N/A"," ",Y29*$AZ29)</f>
        <v>#N/A</v>
      </c>
      <c r="BS29" s="304" t="e">
        <f aca="false">IF($A29="N/A"," ",Z29*$BA29)</f>
        <v>#N/A</v>
      </c>
      <c r="BT29" s="305" t="e">
        <f aca="false">IF($A29="N/A"," ",AA29*$AS29)</f>
        <v>#N/A</v>
      </c>
      <c r="BU29" s="306" t="e">
        <f aca="false">IF($A29="N/A"," ",AB29*$AT29)</f>
        <v>#N/A</v>
      </c>
      <c r="BV29" s="306" t="e">
        <f aca="false">IF($A29="N/A"," ",AC29*$AU29)</f>
        <v>#N/A</v>
      </c>
      <c r="BW29" s="306" t="e">
        <f aca="false">IF($A29="N/A"," ",AD29*$AV29)</f>
        <v>#N/A</v>
      </c>
      <c r="BX29" s="306" t="e">
        <f aca="false">IF($A29="N/A"," ",AE29*$AW29)</f>
        <v>#N/A</v>
      </c>
      <c r="BY29" s="306" t="e">
        <f aca="false">IF($A29="N/A"," ",AF29*$AX29)</f>
        <v>#N/A</v>
      </c>
      <c r="BZ29" s="306" t="e">
        <f aca="false">IF($A29="N/A"," ",AG29*$AY29)</f>
        <v>#N/A</v>
      </c>
      <c r="CA29" s="306" t="e">
        <f aca="false">IF($A29="N/A"," ",AH29*$AZ29)</f>
        <v>#N/A</v>
      </c>
      <c r="CB29" s="307" t="e">
        <f aca="false">IF($A29="N/A"," ",AI29*$BA29)</f>
        <v>#N/A</v>
      </c>
      <c r="CC29" s="308" t="e">
        <f aca="false">IF($A29="N/A"," ",AJ29*$AS29)</f>
        <v>#N/A</v>
      </c>
      <c r="CD29" s="309" t="e">
        <f aca="false">IF($A29="N/A"," ",AK29*$AT29)</f>
        <v>#N/A</v>
      </c>
      <c r="CE29" s="309" t="e">
        <f aca="false">IF($A29="N/A"," ",AL29*$AU29)</f>
        <v>#N/A</v>
      </c>
      <c r="CF29" s="309" t="e">
        <f aca="false">IF($A29="N/A"," ",AM29*$AV29)</f>
        <v>#N/A</v>
      </c>
      <c r="CG29" s="309" t="e">
        <f aca="false">IF($A29="N/A"," ",AN29*$AW29)</f>
        <v>#N/A</v>
      </c>
      <c r="CH29" s="309" t="e">
        <f aca="false">IF($A29="N/A"," ",AO29*$AX29)</f>
        <v>#N/A</v>
      </c>
      <c r="CI29" s="309" t="e">
        <f aca="false">IF($A29="N/A"," ",AP29*$AY29)</f>
        <v>#N/A</v>
      </c>
      <c r="CJ29" s="309" t="e">
        <f aca="false">IF($A29="N/A"," ",AQ29*$AZ29)</f>
        <v>#N/A</v>
      </c>
      <c r="CK29" s="310" t="e">
        <f aca="false">IF($A29="N/A"," ",AR29*$BA29)</f>
        <v>#N/A</v>
      </c>
      <c r="CL29" s="311" t="n">
        <f aca="false">IF(A29="N/A"," ",(VLOOKUP(A29,PowerVolTable,(IF(VolBMO=2,7,IF(VolBMO=1,6,8))),FALSE())))</f>
        <v>0.25</v>
      </c>
      <c r="CM29" s="312" t="n">
        <f aca="false">IF(A29="N/A"," ",(VLOOKUP(A29,IntraPowerVol,(IF(VolBMO=2,3,IF(VolBMO=1,2,4))),FALSE())*VLOOKUP(MONTH($A29),Volscale,2)))</f>
        <v>0.35</v>
      </c>
      <c r="CN29" s="312" t="n">
        <f aca="false">IF($A29="N/A"," ",IF(VolType=1,CM29,CL29))</f>
        <v>0.35</v>
      </c>
      <c r="CO29" s="312" t="n">
        <f aca="false">IF($A29="N/A"," ",(VLOOKUP($A29,OffPeakVol,(IF(VolBMO=2,7,IF(VolBMO=1,6,8))),FALSE())))</f>
        <v>0.125</v>
      </c>
      <c r="CP29" s="312" t="n">
        <f aca="false">IF($A29="N/A"," ",(VLOOKUP($A29,OffPeakVol,(IF(VolBMO=2,3,IF(VolBMO=1,2,4))),FALSE())*VLOOKUP(MONTH($A29),Volscale,2)))</f>
        <v>0.21</v>
      </c>
      <c r="CQ29" s="312" t="n">
        <f aca="false">IF($A29="N/A"," ",IF(VolType=1,CP29,CO29))</f>
        <v>0.21</v>
      </c>
      <c r="CR29" s="312" t="e">
        <f aca="false">IF($A29="N/A"," ",(VLOOKUP($A29,GasVolTable,(IF(VolBMO=2,6,IF(VolBMO=1,7,5))),FALSE())))</f>
        <v>#N/A</v>
      </c>
      <c r="CS29" s="312" t="e">
        <f aca="false">IF($A29="N/A"," ",(VLOOKUP($A29,OmicronVol,(IF(VolBMO=2,3,IF(VolBMO=1,4,2))),FALSE())))</f>
        <v>#N/A</v>
      </c>
      <c r="CT29" s="312" t="e">
        <f aca="false">IF($A29="N/A"," ",(IF(DateToday&gt;$A29,$CS29,IF(VolType=1,((($CR29^2)*((($A29-1)-DateToday)/((EOMONTH($A29,0)+1)-DateToday-15)))+((($CS29)^2)*((15)/((EOMONTH($A29,0)+1)-DateToday-15))))^0.5,CR29))))</f>
        <v>#N/A</v>
      </c>
      <c r="CU29" s="312" t="n">
        <f aca="false">IF($A29="N/A"," ",IF('Pricing Inputs'!$AR$23=TRUE(),Inputs!$S$22,VLOOKUP($A29,CorrelationTable,2,FALSE())))</f>
        <v>0.75</v>
      </c>
      <c r="CV29" s="313" t="n">
        <f aca="false">IF($A29="N/A"," ",F29+G29+(D29*('Pricing Inputs'!X64)))</f>
        <v>0</v>
      </c>
      <c r="CW29" s="314" t="n">
        <f aca="false">IF($A29="N/A"," ",IF(PV=1,0,'Pricing Inputs'!Y64))</f>
        <v>2</v>
      </c>
      <c r="CX29" s="315" t="n">
        <f aca="false">IF($A29="N/A"," ",(1+CW29/2)^(-2*((EOMONTH(A29,0)+20)-DateToday)/365.25))</f>
        <v>14304896215205.1</v>
      </c>
      <c r="CY29" s="316" t="n">
        <f aca="false">IF($A29="N/A"," ",(IF(MONTH(A29)&gt;=4,IF(MONTH(A29)&lt;=10,Inputs!$S$26,Inputs!$S$27),Inputs!$S$27))*$CX29)</f>
        <v>1759502234470220</v>
      </c>
      <c r="CZ29" s="317" t="e">
        <f aca="false">IF($A29="N/A"," ",BK29+BL29+BN29+BO29+BQ29+BR29)</f>
        <v>#N/A</v>
      </c>
      <c r="DA29" s="318" t="e">
        <f aca="false">IF($A29="N/A"," ",BM29+BP29+BS29)</f>
        <v>#N/A</v>
      </c>
      <c r="DB29" s="319" t="e">
        <f aca="false">IF($A29="N/A"," ",BT29+BU29+BW29+BX29+BZ29+CA29)</f>
        <v>#N/A</v>
      </c>
      <c r="DC29" s="319" t="e">
        <f aca="false">IF($A29="N/A"," ",BV29+BY29+CB29)</f>
        <v>#N/A</v>
      </c>
      <c r="DD29" s="320" t="e">
        <f aca="false">IF($A29="N/A"," ",SUM(CC29:CK29))</f>
        <v>#N/A</v>
      </c>
      <c r="DE29" s="321" t="n">
        <f aca="false">IF($A29="N/A"," ",VLOOKUP($A29,NumberofDaysTable,2)*Availability)</f>
        <v>20.7</v>
      </c>
      <c r="DF29" s="94" t="n">
        <f aca="false">IF($A29="N/A"," ",VLOOKUP($A29,NumberofDaysTable,3)*Availability)</f>
        <v>3.6</v>
      </c>
      <c r="DG29" s="322" t="n">
        <f aca="false">IF($A29="N/A"," ",VLOOKUP($A29,NumberofDaysTable,4)*Availability)</f>
        <v>3.6</v>
      </c>
      <c r="DH29" s="323" t="n">
        <f aca="false">IF($A29="N/A"," ",IF(Option=1,$D29*Inputs!$S$15*SUM(AS29:BA29),0))</f>
        <v>0</v>
      </c>
      <c r="DI29" s="324" t="n">
        <f aca="false">IF($A29="N/A"," ",IF(Option=1,$D29*Inputs!$S$16*SUM(AS29:BA29),0))</f>
        <v>0</v>
      </c>
      <c r="DJ29" s="325" t="n">
        <f aca="false">IF($A29="N/A"," ",SUM(AS29:AT29))</f>
        <v>5.82747140056538E+017</v>
      </c>
      <c r="DK29" s="325" t="n">
        <f aca="false">IF($A29="N/A"," ",SUM(AU29:BA29))</f>
        <v>5.95415556144723E+017</v>
      </c>
      <c r="DL29" s="325" t="e">
        <f aca="false">IF($A29="N/A"," ",SUM(BB29:BC29))</f>
        <v>#N/A</v>
      </c>
      <c r="DM29" s="325" t="e">
        <f aca="false">IF($A29="N/A"," ",SUM(BD29:BJ29))</f>
        <v>#N/A</v>
      </c>
    </row>
    <row r="30" customFormat="false" ht="12.75" hidden="false" customHeight="false" outlineLevel="0" collapsed="false">
      <c r="A30" s="282" t="n">
        <f aca="false">IF(A29="N/A","N/A",IF(EDATE(A29,1)&gt;Inputs!$S$5,"N/A",EDATE(A29,1)))</f>
        <v>37926</v>
      </c>
      <c r="B30" s="283" t="n">
        <f aca="false">IF(A30="N/A"," ",YEAR(A30))</f>
        <v>2003</v>
      </c>
      <c r="C30" s="284" t="e">
        <f aca="false">IF(A30="N/A"," ",VLOOKUP(A30,ScaledPrice,14))</f>
        <v>#N/A</v>
      </c>
      <c r="D30" s="285" t="n">
        <f aca="false">IF(A30="N/A"," ",(VLOOKUP(MONTH($A30),Hrtable,2))/1000)</f>
        <v>9.5</v>
      </c>
      <c r="E30" s="286" t="e">
        <f aca="false">IF($A30="N/A"," ",(C30)*D30)</f>
        <v>#N/A</v>
      </c>
      <c r="F30" s="287" t="n">
        <f aca="false">IF(A30="N/A"," ",VOM*(1+VOMesc)^(YEAR(A30)-YEAR(Today)))</f>
        <v>0</v>
      </c>
      <c r="G30" s="287" t="n">
        <f aca="false">IF(A30="N/A"," ",Perstart/VLOOKUP(Dayrun,'Pricing Inputs'!$AQ$4:$AS$14,3)/(CY30/CX30))</f>
        <v>0</v>
      </c>
      <c r="H30" s="288" t="e">
        <f aca="false">IF(A30="N/A"," ",SUM(E30:G30))</f>
        <v>#N/A</v>
      </c>
      <c r="I30" s="289" t="n">
        <f aca="false">VLOOKUP($A30,ScaledPrice,6)</f>
        <v>31.1015621185303</v>
      </c>
      <c r="J30" s="290" t="n">
        <f aca="false">VLOOKUP($A30,ScaledPrice,10)</f>
        <v>31.1015621185303</v>
      </c>
      <c r="K30" s="290" t="n">
        <f aca="false">VLOOKUP($A30,ScaledPrice,13)</f>
        <v>17.1800003051758</v>
      </c>
      <c r="L30" s="290" t="n">
        <f aca="false">VLOOKUP($A30,ScaledPrice,7)</f>
        <v>22.8399982452393</v>
      </c>
      <c r="M30" s="290" t="n">
        <f aca="false">VLOOKUP($A30,ScaledPrice,11)</f>
        <v>22.8399982452393</v>
      </c>
      <c r="N30" s="290" t="n">
        <f aca="false">VLOOKUP($A30,ScaledPrice,13)</f>
        <v>17.1800003051758</v>
      </c>
      <c r="O30" s="290" t="n">
        <f aca="false">VLOOKUP($A30,ScaledPrice,8)</f>
        <v>15.3400020599365</v>
      </c>
      <c r="P30" s="290" t="n">
        <f aca="false">VLOOKUP($A30,ScaledPrice,12)</f>
        <v>15.3400020599365</v>
      </c>
      <c r="Q30" s="291" t="n">
        <f aca="false">VLOOKUP($A30,ScaledPrice,13)</f>
        <v>17.1800003051758</v>
      </c>
      <c r="R30" s="292" t="e">
        <f aca="false">IF($A30="N/A"," ",IF(Dayrun&gt;=3,IF(Option=1,MAX($I30-$H30,0),IF(Option=2,MAX($H30-$I30,0),0)),0))</f>
        <v>#N/A</v>
      </c>
      <c r="S30" s="286" t="e">
        <f aca="false">IF($A30="N/A"," ",IF(Dayrun&gt;=6,IF(Option=1,MAX($J30-H30,0),IF(Option=2,MAX(H30-$J30,0),0)),0))</f>
        <v>#N/A</v>
      </c>
      <c r="T30" s="286" t="e">
        <f aca="false">IF($A30="N/A"," ",IF(OR(Dayrun&lt;=2,Dayrun&gt;=9),IF(Option=1,MAX($K30-$H30,0),IF(Option=2,MAX($H30-$K30,0),0)),0))</f>
        <v>#N/A</v>
      </c>
      <c r="U30" s="286" t="e">
        <f aca="false">IF($A30="N/A"," ",IF(OR(Dayrun=1,Dayrun=4,Dayrun=5,Dayrun=7,Dayrun=8,Dayrun=10,Dayrun=11),IF(Option=1,MAX($L30-H30,0),IF(Option=2,MAX(H30-$L30,0),0)),0))</f>
        <v>#N/A</v>
      </c>
      <c r="V30" s="286" t="e">
        <f aca="false">IF($A30="N/A"," ",IF(OR(Dayrun=1,Dayrun=7,Dayrun=8,Dayrun=10,Dayrun=11),IF(Option=1,MAX($M30-H30,0),IF(Option=2,MAX(H30-$M30,0),0)),0))</f>
        <v>#N/A</v>
      </c>
      <c r="W30" s="286" t="e">
        <f aca="false">IF($A30="N/A"," ",IF(OR(Dayrun&lt;=2,Dayrun&gt;=10),IF(Option=1,MAX($N30-$H30,0),IF(Option=2,MAX($H30-$N30,0),0)),0))</f>
        <v>#N/A</v>
      </c>
      <c r="X30" s="286" t="e">
        <f aca="false">IF($A30="N/A"," ",IF(OR(Dayrun=1,Dayrun=5,Dayrun=8,Dayrun=11),IF(Option=1,MAX($O30-H30,0),IF(Option=2,MAX(H30-$O30,0),0)),0))</f>
        <v>#N/A</v>
      </c>
      <c r="Y30" s="286" t="e">
        <f aca="false">IF($A30="N/A"," ",IF(OR(Dayrun=1,Dayrun=8,Dayrun=11),IF(Option=1,MAX($P30-H30,0),IF(Option=2,MAX(H30-$P30,0),0)),0))</f>
        <v>#N/A</v>
      </c>
      <c r="Z30" s="293" t="e">
        <f aca="false">IF($A30="N/A"," ",IF(OR(Dayrun&lt;=2,Dayrun&gt;=11),IF(Option=1,MAX($Q30-$H30,0),IF(Option=2,MAX($H30-$Q30,0),0)),0))</f>
        <v>#N/A</v>
      </c>
      <c r="AA30" s="289" t="e">
        <f aca="false">IF($A30="N/A"," ",IF(Dayrun&gt;=3,(MAX(0,(xSPRDOPT(I30,($E30-'Pricing Inputs'!$X65*$D30),$CV30,0,($CN30+IF(Smile=TRUE(),VLOOKUP(MAX(-5,$H30-I30),Volsmile,2),0)),$CT30,$CU30,($A30-DateToday)+15,ABS(Option-2),0)-R30))),0))</f>
        <v>#N/A</v>
      </c>
      <c r="AB30" s="290" t="e">
        <f aca="false">IF($A30="N/A"," ",IF(Dayrun&gt;=6,MAX(0,(xSPRDOPT(J30,($E30-'Pricing Inputs'!$X65*$D30),$CV30,0,($CN30+IF(Smile=TRUE(),VLOOKUP(MAX(-5,$H30-J30),Volsmile,2),0)),$CT30,$CU30,($A30-DateToday)+15,ABS(Option-2),0)-S30)),0))</f>
        <v>#N/A</v>
      </c>
      <c r="AC30" s="290" t="e">
        <f aca="false">IF($A30="N/A"," ",IF(OR(Dayrun&lt;=2,Dayrun&gt;=9),IF(OffPeakEx=TRUE(),MAX(0,(xSPRDOPT(K30,($E30-'Pricing Inputs'!$X65*$D30),$CV30,0,($CQ30+IF(Smile=TRUE(),VLOOKUP(MAX(-5,$H30-K30),Volsmile,2),0)),$CT30,$CU30,($A30-DateToday)+15,ABS(Option-2),0)-T30)),0),0))</f>
        <v>#N/A</v>
      </c>
      <c r="AD30" s="290" t="e">
        <f aca="false">IF($A30="N/A"," ",IF(OR(Dayrun=1,Dayrun=4,Dayrun=5,Dayrun=7,Dayrun=8,Dayrun=10,Dayrun=11),MAX(0,(xSPRDOPT(L30,($E30-'Pricing Inputs'!$X65*$D30),$CV30,0,($CQ30+IF(Smile=TRUE(),VLOOKUP(MAX(-5,$H30-L30),Volsmile,2),0)),$CT30,$CU30,($A30-DateToday)+15,ABS(Option-2),0)-U30)),0))</f>
        <v>#N/A</v>
      </c>
      <c r="AE30" s="290" t="e">
        <f aca="false">IF($A30="N/A"," ",IF(OR(Dayrun=1,Dayrun=7,Dayrun=8,Dayrun=10,Dayrun=11),MAX(0,(xSPRDOPT(M30,($E30-'Pricing Inputs'!$X65*$D30),$CV30,0,($CQ30+IF(Smile=TRUE(),VLOOKUP(MAX(-5,$H30-M30),Volsmile,2),0)),$CT30,$CU30,($A30-DateToday)+15,ABS(Option-2),0)-V30)),0))</f>
        <v>#N/A</v>
      </c>
      <c r="AF30" s="290" t="e">
        <f aca="false">IF($A30="N/A"," ",IF(OR(Dayrun&lt;=2,Dayrun&gt;=10),IF(OffPeakEx=TRUE(),MAX(0,(xSPRDOPT(N30,($E30-'Pricing Inputs'!$X65*$D30),$CV30,0,($CQ30+IF(Smile=TRUE(),VLOOKUP(MAX(-5,$H30-N30),Volsmile,2),0)),$CT30,$CU30,($A30-DateToday)+15,ABS(Option-2),0)-W30)),0),0))</f>
        <v>#N/A</v>
      </c>
      <c r="AG30" s="290" t="e">
        <f aca="false">IF($A30="N/A"," ",IF(OR(Dayrun=1,Dayrun=5,Dayrun=8,Dayrun=11),MAX(0,(xSPRDOPT(O30,($E30-'Pricing Inputs'!$X65*$D30),$CV30,0,($CQ30+IF(Smile=TRUE(),VLOOKUP(MAX(-5,$H30-O30),Volsmile,2),0)),$CT30,$CU30,($A30-DateToday)+15,ABS(Option-2),0)-X30)),0))</f>
        <v>#N/A</v>
      </c>
      <c r="AH30" s="290" t="e">
        <f aca="false">IF($A30="N/A"," ",IF(OR(Dayrun=1,Dayrun=8,Dayrun=11),MAX(0,(xSPRDOPT(P30,($E30-'Pricing Inputs'!$X65*$D30),$CV30,0,($CQ30+IF(Smile=TRUE(),VLOOKUP(MAX(-5,$H30-P30),Volsmile,2),0)),$CT30,$CU30,($A30-DateToday)+15,ABS(Option-2),0)-Y30)),0))</f>
        <v>#N/A</v>
      </c>
      <c r="AI30" s="290" t="e">
        <f aca="false">IF($A30="N/A"," ",IF(OR(Dayrun&lt;=2,Dayrun&gt;=11),IF(OffPeakEx=TRUE(),MAX(0,(xSPRDOPT(Q30,($E30-'Pricing Inputs'!$X65*$D30),$CV30,0,($CQ30+IF(Smile=TRUE(),VLOOKUP(MAX(-5,$H30-Q30),Volsmile,2),0)),$CT30,$CU30,($A30-DateToday)+15,ABS(Option-2),0)-Z30)),0),0))</f>
        <v>#N/A</v>
      </c>
      <c r="AJ30" s="294" t="e">
        <f aca="false">IF($A30="N/A"," ",IF(Dayrun&gt;=3,IF(Option=1,$I30-$H30,IF(Option=2,$H30-$I30)),0))</f>
        <v>#N/A</v>
      </c>
      <c r="AK30" s="295" t="e">
        <f aca="false">IF($A30="N/A"," ",IF(Dayrun&gt;=6,IF(Option=1,$J30-H30,IF(Option=2,H30-$J30)),0))</f>
        <v>#N/A</v>
      </c>
      <c r="AL30" s="295" t="e">
        <f aca="false">IF($A30="N/A"," ",IF(OR(Dayrun&lt;=2,Dayrun&gt;=9),IF(Option=1,$K30-$H30,IF(Option=2,$H30-$K30)),0))</f>
        <v>#N/A</v>
      </c>
      <c r="AM30" s="295" t="e">
        <f aca="false">IF($A30="N/A"," ",IF(OR(Dayrun=1,Dayrun=4,Dayrun=5,Dayrun=7,Dayrun=8,Dayrun=10,Dayrun=11),IF(Option=1,$L30-H30,IF(Option=2,H30-$L30)),0))</f>
        <v>#N/A</v>
      </c>
      <c r="AN30" s="295" t="e">
        <f aca="false">IF($A30="N/A"," ",IF(OR(Dayrun=1,Dayrun=7,Dayrun=8,Dayrun=10,Dayrun=11),IF(Option=1,$M30-H30,IF(Option=2,H30-$M30)),0))</f>
        <v>#N/A</v>
      </c>
      <c r="AO30" s="295" t="e">
        <f aca="false">IF($A30="N/A"," ",IF(OR(Dayrun&lt;=2,Dayrun&gt;=9),IF(Option=1,$N30-$H30,IF(Option=2,$H30-$N30)),0))</f>
        <v>#N/A</v>
      </c>
      <c r="AP30" s="295" t="e">
        <f aca="false">IF($A30="N/A"," ",IF(OR(Dayrun=1,Dayrun=5,Dayrun=8,Dayrun=11),IF(Option=1,$O30-H30,IF(Option=2,H30-$O30)),0))</f>
        <v>#N/A</v>
      </c>
      <c r="AQ30" s="295" t="e">
        <f aca="false">IF($A30="N/A"," ",IF(OR(Dayrun=1,Dayrun=8,Dayrun=11),IF(Option=1,$P30-H30,IF(Option=2,H30-$P30)),0))</f>
        <v>#N/A</v>
      </c>
      <c r="AR30" s="296" t="e">
        <f aca="false">IF($A30="N/A"," ",IF(OR(Dayrun&lt;=2,Dayrun&gt;=9),IF(Option=1,$Q30-H30,IF(Option=2,H30-$Q30)),0))</f>
        <v>#N/A</v>
      </c>
      <c r="AS30" s="297" t="n">
        <f aca="false">IF($A30="N/A"," ",IF(VLOOKUP(MONTH($A30),ManualTable,2)=1,IF(Dayrun&gt;=3,$DE30*8*$CY30,0),0))</f>
        <v>2.14795613194042E+017</v>
      </c>
      <c r="AT30" s="297" t="n">
        <f aca="false">IF($A30="N/A"," ",IF(VLOOKUP(MONTH($A30),ManualTable,3)=1,IF(Dayrun&gt;=6,$DE30*8*$CY30,0),0))</f>
        <v>2.14795613194042E+017</v>
      </c>
      <c r="AU30" s="297" t="n">
        <f aca="false">IF($A30="N/A"," ",IF(VLOOKUP(MONTH($A30),ManualTable,4)=1,IF(OR(Dayrun&lt;=2,Dayrun&gt;=9),$DE30*8*$CY30,0),0))</f>
        <v>2.14795613194042E+017</v>
      </c>
      <c r="AV30" s="297" t="n">
        <f aca="false">IF($A30="N/A"," ",IF(VLOOKUP(MONTH($A30),ManualTable,5)=1,IF(OR(Dayrun=1,Dayrun=4,Dayrun=5,Dayrun=7,Dayrun=8,Dayrun=10,Dayrun=11),$DF30*8*$CY30,0),0))</f>
        <v>56525161366853200</v>
      </c>
      <c r="AW30" s="297" t="n">
        <f aca="false">IF($A30="N/A"," ",IF(VLOOKUP(MONTH($A30),ManualTable,6)=1,IF(OR(Dayrun=1,Dayrun=7,Dayrun=8,Dayrun=10,Dayrun=11),$DF30*8*$CY30,0),0))</f>
        <v>56525161366853200</v>
      </c>
      <c r="AX30" s="297" t="n">
        <f aca="false">IF($A30="N/A"," ",IF(VLOOKUP(MONTH($A30),ManualTable,7)=1,IF(OR(Dayrun&lt;=2,Dayrun&gt;=9),$DF30*8*$CY30,0),0))</f>
        <v>56525161366853200</v>
      </c>
      <c r="AY30" s="297" t="n">
        <f aca="false">IF($A30="N/A"," ",IF(VLOOKUP(MONTH($A30),ManualTable,8)=1,IF(OR(Dayrun=1,Dayrun=5,Dayrun=8,Dayrun=11),$DG30*8*$CY30,0),0))</f>
        <v>67830193640223800</v>
      </c>
      <c r="AZ30" s="297" t="n">
        <f aca="false">IF($A30="N/A"," ",IF(VLOOKUP(MONTH($A30),ManualTable,9)=1,IF(OR(Dayrun=1,Dayrun=8,Dayrun=11),$DG30*8*$CY30,0),0))</f>
        <v>67830193640223800</v>
      </c>
      <c r="BA30" s="298" t="n">
        <f aca="false">IF($A30="N/A"," ",IF(VLOOKUP(MONTH($A30),ManualTable,10)=1,IF(OR(Dayrun&lt;=2,Dayrun&gt;=9),$DG30*8*$CY30,0),0))</f>
        <v>67830193640223800</v>
      </c>
      <c r="BB30" s="299" t="e">
        <f aca="false">IF($A30="N/A"," ",IF(Dayrun&gt;=3,(MAX(0,(xSPRDOPT(I30,($E30-'Pricing Inputs'!$X65*$D30),$CV30,0,($CN30+IF(Smile=TRUE(),VLOOKUP(MAX(-5,$H30-I30),Volsmile,2),0)),$CT30,$CU30,($A30-DateToday)+15,ABS(Option-2),1)*DE30*8))),0))</f>
        <v>#N/A</v>
      </c>
      <c r="BC30" s="300" t="e">
        <f aca="false">IF($A30="N/A"," ",IF(Dayrun&gt;=6,MAX(0,(xSPRDOPT(J30,($E30-'Pricing Inputs'!$X65*$D30),$CV30,0,($CN30+IF(Smile=TRUE(),VLOOKUP(MAX(-5,$H30-J30),Volsmile,2),0)),$CT30,$CU30,($A30-DateToday)+15,ABS(Option-2),1)*DE30*8)),0))</f>
        <v>#N/A</v>
      </c>
      <c r="BD30" s="300" t="e">
        <f aca="false">IF($A30="N/A"," ",IF(OR(Dayrun&lt;=2,Dayrun&gt;=9),IF(OffPeakEx=TRUE(),MAX(0,(xSPRDOPT(K30,($E30-'Pricing Inputs'!$X65*$D30),$CV30,0,($CQ30+IF(Smile=TRUE(),VLOOKUP(MAX(-5,$H30-K30),Volsmile,2),0)),$CT30,$CU30,($A30-DateToday)+15,ABS(Option-2),1)*DE30*8)),0),0))</f>
        <v>#N/A</v>
      </c>
      <c r="BE30" s="300" t="e">
        <f aca="false">IF($A30="N/A"," ",IF(OR(Dayrun=1,Dayrun=4,Dayrun=5,Dayrun=7,Dayrun=8,Dayrun=10,Dayrun=11),MAX(0,(xSPRDOPT(L30,($E30-'Pricing Inputs'!$X65*$D30),$CV30,0,($CQ30+IF(Smile=TRUE(),VLOOKUP(MAX(-5,$H30-L30),Volsmile,2),0)),$CT30,$CU30,($A30-DateToday)+15,ABS(Option-2),1)*DF30*8)),0))</f>
        <v>#N/A</v>
      </c>
      <c r="BF30" s="300" t="e">
        <f aca="false">IF($A30="N/A"," ",IF(OR(Dayrun=1,Dayrun=7,Dayrun=8,Dayrun=10,Dayrun=11),MAX(0,(xSPRDOPT(M30,($E30-'Pricing Inputs'!$X65*$D30),$CV30,0,($CQ30+IF(Smile=TRUE(),VLOOKUP(MAX(-5,$H30-M30),Volsmile,2),0)),$CT30,$CU30,($A30-DateToday)+15,ABS(Option-2),1)*DF30*8)),0))</f>
        <v>#N/A</v>
      </c>
      <c r="BG30" s="300" t="e">
        <f aca="false">IF($A30="N/A"," ",IF(OR(Dayrun&lt;=2,Dayrun&gt;=10),IF(OffPeakEx=TRUE(),MAX(0,(xSPRDOPT(N30,($E30-'Pricing Inputs'!$X65*$D30),$CV30,0,($CQ30+IF(Smile=TRUE(),VLOOKUP(MAX(-5,$H30-N30),Volsmile,2),0)),$CT30,$CU30,($A30-DateToday)+15,ABS(Option-2),1)*DF30*8)),0),0))</f>
        <v>#N/A</v>
      </c>
      <c r="BH30" s="300" t="e">
        <f aca="false">IF($A30="N/A"," ",IF(OR(Dayrun=1,Dayrun=5,Dayrun=8,Dayrun=11),MAX(0,(xSPRDOPT(O30,($E30-'Pricing Inputs'!$X65*$D30),$CV30,0,($CQ30+IF(Smile=TRUE(),VLOOKUP(MAX(-5,$H30-O30),Volsmile,2),0)),$CT30,$CU30,($A30-DateToday)+15,ABS(Option-2),1)*DG30*8)),0))</f>
        <v>#N/A</v>
      </c>
      <c r="BI30" s="300" t="e">
        <f aca="false">IF($A30="N/A"," ",IF(OR(Dayrun=1,Dayrun=8,Dayrun=11),MAX(0,(xSPRDOPT(P30,($E30-'Pricing Inputs'!$X65*$D30),$CV30,0,($CQ30+IF(Smile=TRUE(),VLOOKUP(MAX(-5,$H30-P30),Volsmile,2),0)),$CT30,$CU30,($A30-DateToday)+15,ABS(Option-2),1)*DG30*8)),0))</f>
        <v>#N/A</v>
      </c>
      <c r="BJ30" s="301" t="e">
        <f aca="false">IF($A30="N/A"," ",IF(OR(Dayrun&lt;=2,Dayrun&gt;=11),IF(OffPeakEx=TRUE(),MAX(0,(xSPRDOPT(Q30,($E30-'Pricing Inputs'!$X65*$D30),$CV30,0,($CQ30+IF(Smile=TRUE(),VLOOKUP(MAX(-5,$H30-Q30),Volsmile,2),0)),$CT30,$CU30,($A30-DateToday)+15,ABS(Option-2),1)*DG30*8)),0),0))</f>
        <v>#N/A</v>
      </c>
      <c r="BK30" s="302" t="e">
        <f aca="false">IF($A30="N/A"," ",R30*$AS30)</f>
        <v>#N/A</v>
      </c>
      <c r="BL30" s="303" t="e">
        <f aca="false">IF($A30="N/A"," ",S30*$AT30)</f>
        <v>#N/A</v>
      </c>
      <c r="BM30" s="303" t="e">
        <f aca="false">IF($A30="N/A"," ",T30*$AU30)</f>
        <v>#N/A</v>
      </c>
      <c r="BN30" s="303" t="e">
        <f aca="false">IF($A30="N/A"," ",U30*$AV30)</f>
        <v>#N/A</v>
      </c>
      <c r="BO30" s="303" t="e">
        <f aca="false">IF($A30="N/A"," ",V30*$AW30)</f>
        <v>#N/A</v>
      </c>
      <c r="BP30" s="303" t="e">
        <f aca="false">IF($A30="N/A"," ",W30*$AX30)</f>
        <v>#N/A</v>
      </c>
      <c r="BQ30" s="303" t="e">
        <f aca="false">IF($A30="N/A"," ",X30*$AY30)</f>
        <v>#N/A</v>
      </c>
      <c r="BR30" s="303" t="e">
        <f aca="false">IF($A30="N/A"," ",Y30*$AZ30)</f>
        <v>#N/A</v>
      </c>
      <c r="BS30" s="304" t="e">
        <f aca="false">IF($A30="N/A"," ",Z30*$BA30)</f>
        <v>#N/A</v>
      </c>
      <c r="BT30" s="305" t="e">
        <f aca="false">IF($A30="N/A"," ",AA30*$AS30)</f>
        <v>#N/A</v>
      </c>
      <c r="BU30" s="306" t="e">
        <f aca="false">IF($A30="N/A"," ",AB30*$AT30)</f>
        <v>#N/A</v>
      </c>
      <c r="BV30" s="306" t="e">
        <f aca="false">IF($A30="N/A"," ",AC30*$AU30)</f>
        <v>#N/A</v>
      </c>
      <c r="BW30" s="306" t="e">
        <f aca="false">IF($A30="N/A"," ",AD30*$AV30)</f>
        <v>#N/A</v>
      </c>
      <c r="BX30" s="306" t="e">
        <f aca="false">IF($A30="N/A"," ",AE30*$AW30)</f>
        <v>#N/A</v>
      </c>
      <c r="BY30" s="306" t="e">
        <f aca="false">IF($A30="N/A"," ",AF30*$AX30)</f>
        <v>#N/A</v>
      </c>
      <c r="BZ30" s="306" t="e">
        <f aca="false">IF($A30="N/A"," ",AG30*$AY30)</f>
        <v>#N/A</v>
      </c>
      <c r="CA30" s="306" t="e">
        <f aca="false">IF($A30="N/A"," ",AH30*$AZ30)</f>
        <v>#N/A</v>
      </c>
      <c r="CB30" s="307" t="e">
        <f aca="false">IF($A30="N/A"," ",AI30*$BA30)</f>
        <v>#N/A</v>
      </c>
      <c r="CC30" s="308" t="e">
        <f aca="false">IF($A30="N/A"," ",AJ30*$AS30)</f>
        <v>#N/A</v>
      </c>
      <c r="CD30" s="309" t="e">
        <f aca="false">IF($A30="N/A"," ",AK30*$AT30)</f>
        <v>#N/A</v>
      </c>
      <c r="CE30" s="309" t="e">
        <f aca="false">IF($A30="N/A"," ",AL30*$AU30)</f>
        <v>#N/A</v>
      </c>
      <c r="CF30" s="309" t="e">
        <f aca="false">IF($A30="N/A"," ",AM30*$AV30)</f>
        <v>#N/A</v>
      </c>
      <c r="CG30" s="309" t="e">
        <f aca="false">IF($A30="N/A"," ",AN30*$AW30)</f>
        <v>#N/A</v>
      </c>
      <c r="CH30" s="309" t="e">
        <f aca="false">IF($A30="N/A"," ",AO30*$AX30)</f>
        <v>#N/A</v>
      </c>
      <c r="CI30" s="309" t="e">
        <f aca="false">IF($A30="N/A"," ",AP30*$AY30)</f>
        <v>#N/A</v>
      </c>
      <c r="CJ30" s="309" t="e">
        <f aca="false">IF($A30="N/A"," ",AQ30*$AZ30)</f>
        <v>#N/A</v>
      </c>
      <c r="CK30" s="310" t="e">
        <f aca="false">IF($A30="N/A"," ",AR30*$BA30)</f>
        <v>#N/A</v>
      </c>
      <c r="CL30" s="311" t="n">
        <f aca="false">IF(A30="N/A"," ",(VLOOKUP(A30,PowerVolTable,(IF(VolBMO=2,7,IF(VolBMO=1,6,8))),FALSE())))</f>
        <v>0.25</v>
      </c>
      <c r="CM30" s="312" t="n">
        <f aca="false">IF(A30="N/A"," ",(VLOOKUP(A30,IntraPowerVol,(IF(VolBMO=2,3,IF(VolBMO=1,2,4))),FALSE())*VLOOKUP(MONTH($A30),Volscale,2)))</f>
        <v>0.35</v>
      </c>
      <c r="CN30" s="312" t="n">
        <f aca="false">IF($A30="N/A"," ",IF(VolType=1,CM30,CL30))</f>
        <v>0.35</v>
      </c>
      <c r="CO30" s="312" t="n">
        <f aca="false">IF($A30="N/A"," ",(VLOOKUP($A30,OffPeakVol,(IF(VolBMO=2,7,IF(VolBMO=1,6,8))),FALSE())))</f>
        <v>0.125</v>
      </c>
      <c r="CP30" s="312" t="n">
        <f aca="false">IF($A30="N/A"," ",(VLOOKUP($A30,OffPeakVol,(IF(VolBMO=2,3,IF(VolBMO=1,2,4))),FALSE())*VLOOKUP(MONTH($A30),Volscale,2)))</f>
        <v>0.21</v>
      </c>
      <c r="CQ30" s="312" t="n">
        <f aca="false">IF($A30="N/A"," ",IF(VolType=1,CP30,CO30))</f>
        <v>0.21</v>
      </c>
      <c r="CR30" s="312" t="e">
        <f aca="false">IF($A30="N/A"," ",(VLOOKUP($A30,GasVolTable,(IF(VolBMO=2,6,IF(VolBMO=1,7,5))),FALSE())))</f>
        <v>#N/A</v>
      </c>
      <c r="CS30" s="312" t="e">
        <f aca="false">IF($A30="N/A"," ",(VLOOKUP($A30,OmicronVol,(IF(VolBMO=2,3,IF(VolBMO=1,4,2))),FALSE())))</f>
        <v>#N/A</v>
      </c>
      <c r="CT30" s="312" t="e">
        <f aca="false">IF($A30="N/A"," ",(IF(DateToday&gt;$A30,$CS30,IF(VolType=1,((($CR30^2)*((($A30-1)-DateToday)/((EOMONTH($A30,0)+1)-DateToday-15)))+((($CS30)^2)*((15)/((EOMONTH($A30,0)+1)-DateToday-15))))^0.5,CR30))))</f>
        <v>#N/A</v>
      </c>
      <c r="CU30" s="312" t="n">
        <f aca="false">IF($A30="N/A"," ",IF('Pricing Inputs'!$AR$23=TRUE(),Inputs!$S$22,VLOOKUP($A30,CorrelationTable,2,FALSE())))</f>
        <v>0.75</v>
      </c>
      <c r="CV30" s="313" t="n">
        <f aca="false">IF($A30="N/A"," ",F30+G30+(D30*('Pricing Inputs'!X65)))</f>
        <v>0</v>
      </c>
      <c r="CW30" s="314" t="n">
        <f aca="false">IF($A30="N/A"," ",IF(PV=1,0,'Pricing Inputs'!Y65))</f>
        <v>2</v>
      </c>
      <c r="CX30" s="315" t="n">
        <f aca="false">IF($A30="N/A"," ",(1+CW30/2)^(-2*((EOMONTH(A30,0)+20)-DateToday)/365.25))</f>
        <v>12765393262613.6</v>
      </c>
      <c r="CY30" s="316" t="n">
        <f aca="false">IF($A30="N/A"," ",(IF(MONTH(A30)&gt;=4,IF(MONTH(A30)&lt;=10,Inputs!$S$26,Inputs!$S$27),Inputs!$S$27))*$CX30)</f>
        <v>1570143371301477</v>
      </c>
      <c r="CZ30" s="317" t="e">
        <f aca="false">IF($A30="N/A"," ",BK30+BL30+BN30+BO30+BQ30+BR30)</f>
        <v>#N/A</v>
      </c>
      <c r="DA30" s="318" t="e">
        <f aca="false">IF($A30="N/A"," ",BM30+BP30+BS30)</f>
        <v>#N/A</v>
      </c>
      <c r="DB30" s="319" t="e">
        <f aca="false">IF($A30="N/A"," ",BT30+BU30+BW30+BX30+BZ30+CA30)</f>
        <v>#N/A</v>
      </c>
      <c r="DC30" s="319" t="e">
        <f aca="false">IF($A30="N/A"," ",BV30+BY30+CB30)</f>
        <v>#N/A</v>
      </c>
      <c r="DD30" s="320" t="e">
        <f aca="false">IF($A30="N/A"," ",SUM(CC30:CK30))</f>
        <v>#N/A</v>
      </c>
      <c r="DE30" s="321" t="n">
        <f aca="false">IF($A30="N/A"," ",VLOOKUP($A30,NumberofDaysTable,2)*Availability)</f>
        <v>17.1</v>
      </c>
      <c r="DF30" s="94" t="n">
        <f aca="false">IF($A30="N/A"," ",VLOOKUP($A30,NumberofDaysTable,3)*Availability)</f>
        <v>4.5</v>
      </c>
      <c r="DG30" s="322" t="n">
        <f aca="false">IF($A30="N/A"," ",VLOOKUP($A30,NumberofDaysTable,4)*Availability)</f>
        <v>5.4</v>
      </c>
      <c r="DH30" s="323" t="n">
        <f aca="false">IF($A30="N/A"," ",IF(Option=1,$D30*Inputs!$S$15*SUM(AS30:BA30),0))</f>
        <v>0</v>
      </c>
      <c r="DI30" s="324" t="n">
        <f aca="false">IF($A30="N/A"," ",IF(Option=1,$D30*Inputs!$S$16*SUM(AS30:BA30),0))</f>
        <v>0</v>
      </c>
      <c r="DJ30" s="325" t="n">
        <f aca="false">IF($A30="N/A"," ",SUM(AS30:AT30))</f>
        <v>4.29591226388084E+017</v>
      </c>
      <c r="DK30" s="325" t="n">
        <f aca="false">IF($A30="N/A"," ",SUM(AU30:BA30))</f>
        <v>5.87861678215273E+017</v>
      </c>
      <c r="DL30" s="325" t="e">
        <f aca="false">IF($A30="N/A"," ",SUM(BB30:BC30))</f>
        <v>#N/A</v>
      </c>
      <c r="DM30" s="325" t="e">
        <f aca="false">IF($A30="N/A"," ",SUM(BD30:BJ30))</f>
        <v>#N/A</v>
      </c>
    </row>
    <row r="31" customFormat="false" ht="12.75" hidden="false" customHeight="false" outlineLevel="0" collapsed="false">
      <c r="A31" s="282" t="n">
        <f aca="false">IF(A30="N/A","N/A",IF(EDATE(A30,1)&gt;Inputs!$S$5,"N/A",EDATE(A30,1)))</f>
        <v>37956</v>
      </c>
      <c r="B31" s="283" t="n">
        <f aca="false">IF(A31="N/A"," ",YEAR(A31))</f>
        <v>2003</v>
      </c>
      <c r="C31" s="284" t="e">
        <f aca="false">IF(A31="N/A"," ",VLOOKUP(A31,ScaledPrice,14))</f>
        <v>#N/A</v>
      </c>
      <c r="D31" s="285" t="n">
        <f aca="false">IF(A31="N/A"," ",(VLOOKUP(MONTH($A31),Hrtable,2))/1000)</f>
        <v>9.5</v>
      </c>
      <c r="E31" s="286" t="e">
        <f aca="false">IF($A31="N/A"," ",(C31)*D31)</f>
        <v>#N/A</v>
      </c>
      <c r="F31" s="287" t="n">
        <f aca="false">IF(A31="N/A"," ",VOM*(1+VOMesc)^(YEAR(A31)-YEAR(Today)))</f>
        <v>0</v>
      </c>
      <c r="G31" s="287" t="n">
        <f aca="false">IF(A31="N/A"," ",Perstart/VLOOKUP(Dayrun,'Pricing Inputs'!$AQ$4:$AS$14,3)/(CY31/CX31))</f>
        <v>0</v>
      </c>
      <c r="H31" s="288" t="e">
        <f aca="false">IF(A31="N/A"," ",SUM(E31:G31))</f>
        <v>#N/A</v>
      </c>
      <c r="I31" s="289" t="n">
        <f aca="false">VLOOKUP($A31,ScaledPrice,6)</f>
        <v>31.2015605926514</v>
      </c>
      <c r="J31" s="290" t="n">
        <f aca="false">VLOOKUP($A31,ScaledPrice,10)</f>
        <v>31.2015605926514</v>
      </c>
      <c r="K31" s="290" t="n">
        <f aca="false">VLOOKUP($A31,ScaledPrice,13)</f>
        <v>19.4300003051758</v>
      </c>
      <c r="L31" s="290" t="n">
        <f aca="false">VLOOKUP($A31,ScaledPrice,7)</f>
        <v>27.8399982452393</v>
      </c>
      <c r="M31" s="290" t="n">
        <f aca="false">VLOOKUP($A31,ScaledPrice,11)</f>
        <v>27.8399982452393</v>
      </c>
      <c r="N31" s="290" t="n">
        <f aca="false">VLOOKUP($A31,ScaledPrice,13)</f>
        <v>19.4300003051758</v>
      </c>
      <c r="O31" s="290" t="n">
        <f aca="false">VLOOKUP($A31,ScaledPrice,8)</f>
        <v>22.3399982452393</v>
      </c>
      <c r="P31" s="290" t="n">
        <f aca="false">VLOOKUP($A31,ScaledPrice,12)</f>
        <v>22.3399982452393</v>
      </c>
      <c r="Q31" s="291" t="n">
        <f aca="false">VLOOKUP($A31,ScaledPrice,13)</f>
        <v>19.4300003051758</v>
      </c>
      <c r="R31" s="292" t="e">
        <f aca="false">IF($A31="N/A"," ",IF(Dayrun&gt;=3,IF(Option=1,MAX($I31-$H31,0),IF(Option=2,MAX($H31-$I31,0),0)),0))</f>
        <v>#N/A</v>
      </c>
      <c r="S31" s="286" t="e">
        <f aca="false">IF($A31="N/A"," ",IF(Dayrun&gt;=6,IF(Option=1,MAX($J31-H31,0),IF(Option=2,MAX(H31-$J31,0),0)),0))</f>
        <v>#N/A</v>
      </c>
      <c r="T31" s="286" t="e">
        <f aca="false">IF($A31="N/A"," ",IF(OR(Dayrun&lt;=2,Dayrun&gt;=9),IF(Option=1,MAX($K31-$H31,0),IF(Option=2,MAX($H31-$K31,0),0)),0))</f>
        <v>#N/A</v>
      </c>
      <c r="U31" s="286" t="e">
        <f aca="false">IF($A31="N/A"," ",IF(OR(Dayrun=1,Dayrun=4,Dayrun=5,Dayrun=7,Dayrun=8,Dayrun=10,Dayrun=11),IF(Option=1,MAX($L31-H31,0),IF(Option=2,MAX(H31-$L31,0),0)),0))</f>
        <v>#N/A</v>
      </c>
      <c r="V31" s="286" t="e">
        <f aca="false">IF($A31="N/A"," ",IF(OR(Dayrun=1,Dayrun=7,Dayrun=8,Dayrun=10,Dayrun=11),IF(Option=1,MAX($M31-H31,0),IF(Option=2,MAX(H31-$M31,0),0)),0))</f>
        <v>#N/A</v>
      </c>
      <c r="W31" s="286" t="e">
        <f aca="false">IF($A31="N/A"," ",IF(OR(Dayrun&lt;=2,Dayrun&gt;=10),IF(Option=1,MAX($N31-$H31,0),IF(Option=2,MAX($H31-$N31,0),0)),0))</f>
        <v>#N/A</v>
      </c>
      <c r="X31" s="286" t="e">
        <f aca="false">IF($A31="N/A"," ",IF(OR(Dayrun=1,Dayrun=5,Dayrun=8,Dayrun=11),IF(Option=1,MAX($O31-H31,0),IF(Option=2,MAX(H31-$O31,0),0)),0))</f>
        <v>#N/A</v>
      </c>
      <c r="Y31" s="286" t="e">
        <f aca="false">IF($A31="N/A"," ",IF(OR(Dayrun=1,Dayrun=8,Dayrun=11),IF(Option=1,MAX($P31-H31,0),IF(Option=2,MAX(H31-$P31,0),0)),0))</f>
        <v>#N/A</v>
      </c>
      <c r="Z31" s="293" t="e">
        <f aca="false">IF($A31="N/A"," ",IF(OR(Dayrun&lt;=2,Dayrun&gt;=11),IF(Option=1,MAX($Q31-$H31,0),IF(Option=2,MAX($H31-$Q31,0),0)),0))</f>
        <v>#N/A</v>
      </c>
      <c r="AA31" s="289" t="e">
        <f aca="false">IF($A31="N/A"," ",IF(Dayrun&gt;=3,(MAX(0,(xSPRDOPT(I31,($E31-'Pricing Inputs'!$X66*$D31),$CV31,0,($CN31+IF(Smile=TRUE(),VLOOKUP(MAX(-5,$H31-I31),Volsmile,2),0)),$CT31,$CU31,($A31-DateToday)+15,ABS(Option-2),0)-R31))),0))</f>
        <v>#N/A</v>
      </c>
      <c r="AB31" s="290" t="e">
        <f aca="false">IF($A31="N/A"," ",IF(Dayrun&gt;=6,MAX(0,(xSPRDOPT(J31,($E31-'Pricing Inputs'!$X66*$D31),$CV31,0,($CN31+IF(Smile=TRUE(),VLOOKUP(MAX(-5,$H31-J31),Volsmile,2),0)),$CT31,$CU31,($A31-DateToday)+15,ABS(Option-2),0)-S31)),0))</f>
        <v>#N/A</v>
      </c>
      <c r="AC31" s="290" t="e">
        <f aca="false">IF($A31="N/A"," ",IF(OR(Dayrun&lt;=2,Dayrun&gt;=9),IF(OffPeakEx=TRUE(),MAX(0,(xSPRDOPT(K31,($E31-'Pricing Inputs'!$X66*$D31),$CV31,0,($CQ31+IF(Smile=TRUE(),VLOOKUP(MAX(-5,$H31-K31),Volsmile,2),0)),$CT31,$CU31,($A31-DateToday)+15,ABS(Option-2),0)-T31)),0),0))</f>
        <v>#N/A</v>
      </c>
      <c r="AD31" s="290" t="e">
        <f aca="false">IF($A31="N/A"," ",IF(OR(Dayrun=1,Dayrun=4,Dayrun=5,Dayrun=7,Dayrun=8,Dayrun=10,Dayrun=11),MAX(0,(xSPRDOPT(L31,($E31-'Pricing Inputs'!$X66*$D31),$CV31,0,($CQ31+IF(Smile=TRUE(),VLOOKUP(MAX(-5,$H31-L31),Volsmile,2),0)),$CT31,$CU31,($A31-DateToday)+15,ABS(Option-2),0)-U31)),0))</f>
        <v>#N/A</v>
      </c>
      <c r="AE31" s="290" t="e">
        <f aca="false">IF($A31="N/A"," ",IF(OR(Dayrun=1,Dayrun=7,Dayrun=8,Dayrun=10,Dayrun=11),MAX(0,(xSPRDOPT(M31,($E31-'Pricing Inputs'!$X66*$D31),$CV31,0,($CQ31+IF(Smile=TRUE(),VLOOKUP(MAX(-5,$H31-M31),Volsmile,2),0)),$CT31,$CU31,($A31-DateToday)+15,ABS(Option-2),0)-V31)),0))</f>
        <v>#N/A</v>
      </c>
      <c r="AF31" s="290" t="e">
        <f aca="false">IF($A31="N/A"," ",IF(OR(Dayrun&lt;=2,Dayrun&gt;=10),IF(OffPeakEx=TRUE(),MAX(0,(xSPRDOPT(N31,($E31-'Pricing Inputs'!$X66*$D31),$CV31,0,($CQ31+IF(Smile=TRUE(),VLOOKUP(MAX(-5,$H31-N31),Volsmile,2),0)),$CT31,$CU31,($A31-DateToday)+15,ABS(Option-2),0)-W31)),0),0))</f>
        <v>#N/A</v>
      </c>
      <c r="AG31" s="290" t="e">
        <f aca="false">IF($A31="N/A"," ",IF(OR(Dayrun=1,Dayrun=5,Dayrun=8,Dayrun=11),MAX(0,(xSPRDOPT(O31,($E31-'Pricing Inputs'!$X66*$D31),$CV31,0,($CQ31+IF(Smile=TRUE(),VLOOKUP(MAX(-5,$H31-O31),Volsmile,2),0)),$CT31,$CU31,($A31-DateToday)+15,ABS(Option-2),0)-X31)),0))</f>
        <v>#N/A</v>
      </c>
      <c r="AH31" s="290" t="e">
        <f aca="false">IF($A31="N/A"," ",IF(OR(Dayrun=1,Dayrun=8,Dayrun=11),MAX(0,(xSPRDOPT(P31,($E31-'Pricing Inputs'!$X66*$D31),$CV31,0,($CQ31+IF(Smile=TRUE(),VLOOKUP(MAX(-5,$H31-P31),Volsmile,2),0)),$CT31,$CU31,($A31-DateToday)+15,ABS(Option-2),0)-Y31)),0))</f>
        <v>#N/A</v>
      </c>
      <c r="AI31" s="290" t="e">
        <f aca="false">IF($A31="N/A"," ",IF(OR(Dayrun&lt;=2,Dayrun&gt;=11),IF(OffPeakEx=TRUE(),MAX(0,(xSPRDOPT(Q31,($E31-'Pricing Inputs'!$X66*$D31),$CV31,0,($CQ31+IF(Smile=TRUE(),VLOOKUP(MAX(-5,$H31-Q31),Volsmile,2),0)),$CT31,$CU31,($A31-DateToday)+15,ABS(Option-2),0)-Z31)),0),0))</f>
        <v>#N/A</v>
      </c>
      <c r="AJ31" s="294" t="e">
        <f aca="false">IF($A31="N/A"," ",IF(Dayrun&gt;=3,IF(Option=1,$I31-$H31,IF(Option=2,$H31-$I31)),0))</f>
        <v>#N/A</v>
      </c>
      <c r="AK31" s="295" t="e">
        <f aca="false">IF($A31="N/A"," ",IF(Dayrun&gt;=6,IF(Option=1,$J31-H31,IF(Option=2,H31-$J31)),0))</f>
        <v>#N/A</v>
      </c>
      <c r="AL31" s="295" t="e">
        <f aca="false">IF($A31="N/A"," ",IF(OR(Dayrun&lt;=2,Dayrun&gt;=9),IF(Option=1,$K31-$H31,IF(Option=2,$H31-$K31)),0))</f>
        <v>#N/A</v>
      </c>
      <c r="AM31" s="295" t="e">
        <f aca="false">IF($A31="N/A"," ",IF(OR(Dayrun=1,Dayrun=4,Dayrun=5,Dayrun=7,Dayrun=8,Dayrun=10,Dayrun=11),IF(Option=1,$L31-H31,IF(Option=2,H31-$L31)),0))</f>
        <v>#N/A</v>
      </c>
      <c r="AN31" s="295" t="e">
        <f aca="false">IF($A31="N/A"," ",IF(OR(Dayrun=1,Dayrun=7,Dayrun=8,Dayrun=10,Dayrun=11),IF(Option=1,$M31-H31,IF(Option=2,H31-$M31)),0))</f>
        <v>#N/A</v>
      </c>
      <c r="AO31" s="295" t="e">
        <f aca="false">IF($A31="N/A"," ",IF(OR(Dayrun&lt;=2,Dayrun&gt;=9),IF(Option=1,$N31-$H31,IF(Option=2,$H31-$N31)),0))</f>
        <v>#N/A</v>
      </c>
      <c r="AP31" s="295" t="e">
        <f aca="false">IF($A31="N/A"," ",IF(OR(Dayrun=1,Dayrun=5,Dayrun=8,Dayrun=11),IF(Option=1,$O31-H31,IF(Option=2,H31-$O31)),0))</f>
        <v>#N/A</v>
      </c>
      <c r="AQ31" s="295" t="e">
        <f aca="false">IF($A31="N/A"," ",IF(OR(Dayrun=1,Dayrun=8,Dayrun=11),IF(Option=1,$P31-H31,IF(Option=2,H31-$P31)),0))</f>
        <v>#N/A</v>
      </c>
      <c r="AR31" s="296" t="e">
        <f aca="false">IF($A31="N/A"," ",IF(OR(Dayrun&lt;=2,Dayrun&gt;=9),IF(Option=1,$Q31-H31,IF(Option=2,H31-$Q31)),0))</f>
        <v>#N/A</v>
      </c>
      <c r="AS31" s="297" t="n">
        <f aca="false">IF($A31="N/A"," ",IF(VLOOKUP(MONTH($A31),ManualTable,2)=1,IF(Dayrun&gt;=3,$DE31*8*$CY31,0),0))</f>
        <v>2.21103503504651E+017</v>
      </c>
      <c r="AT31" s="297" t="n">
        <f aca="false">IF($A31="N/A"," ",IF(VLOOKUP(MONTH($A31),ManualTable,3)=1,IF(Dayrun&gt;=6,$DE31*8*$CY31,0),0))</f>
        <v>2.21103503504651E+017</v>
      </c>
      <c r="AU31" s="297" t="n">
        <f aca="false">IF($A31="N/A"," ",IF(VLOOKUP(MONTH($A31),ManualTable,4)=1,IF(OR(Dayrun&lt;=2,Dayrun&gt;=9),$DE31*8*$CY31,0),0))</f>
        <v>2.21103503504651E+017</v>
      </c>
      <c r="AV31" s="297" t="n">
        <f aca="false">IF($A31="N/A"," ",IF(VLOOKUP(MONTH($A31),ManualTable,5)=1,IF(OR(Dayrun=1,Dayrun=4,Dayrun=5,Dayrun=7,Dayrun=8,Dayrun=10,Dayrun=11),$DF31*8*$CY31,0),0))</f>
        <v>40200637000845600</v>
      </c>
      <c r="AW31" s="297" t="n">
        <f aca="false">IF($A31="N/A"," ",IF(VLOOKUP(MONTH($A31),ManualTable,6)=1,IF(OR(Dayrun=1,Dayrun=7,Dayrun=8,Dayrun=10,Dayrun=11),$DF31*8*$CY31,0),0))</f>
        <v>40200637000845600</v>
      </c>
      <c r="AX31" s="297" t="n">
        <f aca="false">IF($A31="N/A"," ",IF(VLOOKUP(MONTH($A31),ManualTable,7)=1,IF(OR(Dayrun&lt;=2,Dayrun&gt;=9),$DF31*8*$CY31,0),0))</f>
        <v>40200637000845600</v>
      </c>
      <c r="AY31" s="297" t="n">
        <f aca="false">IF($A31="N/A"," ",IF(VLOOKUP(MONTH($A31),ManualTable,8)=1,IF(OR(Dayrun=1,Dayrun=5,Dayrun=8,Dayrun=11),$DG31*8*$CY31,0),0))</f>
        <v>50250796251057100</v>
      </c>
      <c r="AZ31" s="297" t="n">
        <f aca="false">IF($A31="N/A"," ",IF(VLOOKUP(MONTH($A31),ManualTable,9)=1,IF(OR(Dayrun=1,Dayrun=8,Dayrun=11),$DG31*8*$CY31,0),0))</f>
        <v>50250796251057100</v>
      </c>
      <c r="BA31" s="298" t="n">
        <f aca="false">IF($A31="N/A"," ",IF(VLOOKUP(MONTH($A31),ManualTable,10)=1,IF(OR(Dayrun&lt;=2,Dayrun&gt;=9),$DG31*8*$CY31,0),0))</f>
        <v>50250796251057100</v>
      </c>
      <c r="BB31" s="299" t="e">
        <f aca="false">IF($A31="N/A"," ",IF(Dayrun&gt;=3,(MAX(0,(xSPRDOPT(I31,($E31-'Pricing Inputs'!$X66*$D31),$CV31,0,($CN31+IF(Smile=TRUE(),VLOOKUP(MAX(-5,$H31-I31),Volsmile,2),0)),$CT31,$CU31,($A31-DateToday)+15,ABS(Option-2),1)*DE31*8))),0))</f>
        <v>#N/A</v>
      </c>
      <c r="BC31" s="300" t="e">
        <f aca="false">IF($A31="N/A"," ",IF(Dayrun&gt;=6,MAX(0,(xSPRDOPT(J31,($E31-'Pricing Inputs'!$X66*$D31),$CV31,0,($CN31+IF(Smile=TRUE(),VLOOKUP(MAX(-5,$H31-J31),Volsmile,2),0)),$CT31,$CU31,($A31-DateToday)+15,ABS(Option-2),1)*DE31*8)),0))</f>
        <v>#N/A</v>
      </c>
      <c r="BD31" s="300" t="e">
        <f aca="false">IF($A31="N/A"," ",IF(OR(Dayrun&lt;=2,Dayrun&gt;=9),IF(OffPeakEx=TRUE(),MAX(0,(xSPRDOPT(K31,($E31-'Pricing Inputs'!$X66*$D31),$CV31,0,($CQ31+IF(Smile=TRUE(),VLOOKUP(MAX(-5,$H31-K31),Volsmile,2),0)),$CT31,$CU31,($A31-DateToday)+15,ABS(Option-2),1)*DE31*8)),0),0))</f>
        <v>#N/A</v>
      </c>
      <c r="BE31" s="300" t="e">
        <f aca="false">IF($A31="N/A"," ",IF(OR(Dayrun=1,Dayrun=4,Dayrun=5,Dayrun=7,Dayrun=8,Dayrun=10,Dayrun=11),MAX(0,(xSPRDOPT(L31,($E31-'Pricing Inputs'!$X66*$D31),$CV31,0,($CQ31+IF(Smile=TRUE(),VLOOKUP(MAX(-5,$H31-L31),Volsmile,2),0)),$CT31,$CU31,($A31-DateToday)+15,ABS(Option-2),1)*DF31*8)),0))</f>
        <v>#N/A</v>
      </c>
      <c r="BF31" s="300" t="e">
        <f aca="false">IF($A31="N/A"," ",IF(OR(Dayrun=1,Dayrun=7,Dayrun=8,Dayrun=10,Dayrun=11),MAX(0,(xSPRDOPT(M31,($E31-'Pricing Inputs'!$X66*$D31),$CV31,0,($CQ31+IF(Smile=TRUE(),VLOOKUP(MAX(-5,$H31-M31),Volsmile,2),0)),$CT31,$CU31,($A31-DateToday)+15,ABS(Option-2),1)*DF31*8)),0))</f>
        <v>#N/A</v>
      </c>
      <c r="BG31" s="300" t="e">
        <f aca="false">IF($A31="N/A"," ",IF(OR(Dayrun&lt;=2,Dayrun&gt;=10),IF(OffPeakEx=TRUE(),MAX(0,(xSPRDOPT(N31,($E31-'Pricing Inputs'!$X66*$D31),$CV31,0,($CQ31+IF(Smile=TRUE(),VLOOKUP(MAX(-5,$H31-N31),Volsmile,2),0)),$CT31,$CU31,($A31-DateToday)+15,ABS(Option-2),1)*DF31*8)),0),0))</f>
        <v>#N/A</v>
      </c>
      <c r="BH31" s="300" t="e">
        <f aca="false">IF($A31="N/A"," ",IF(OR(Dayrun=1,Dayrun=5,Dayrun=8,Dayrun=11),MAX(0,(xSPRDOPT(O31,($E31-'Pricing Inputs'!$X66*$D31),$CV31,0,($CQ31+IF(Smile=TRUE(),VLOOKUP(MAX(-5,$H31-O31),Volsmile,2),0)),$CT31,$CU31,($A31-DateToday)+15,ABS(Option-2),1)*DG31*8)),0))</f>
        <v>#N/A</v>
      </c>
      <c r="BI31" s="300" t="e">
        <f aca="false">IF($A31="N/A"," ",IF(OR(Dayrun=1,Dayrun=8,Dayrun=11),MAX(0,(xSPRDOPT(P31,($E31-'Pricing Inputs'!$X66*$D31),$CV31,0,($CQ31+IF(Smile=TRUE(),VLOOKUP(MAX(-5,$H31-P31),Volsmile,2),0)),$CT31,$CU31,($A31-DateToday)+15,ABS(Option-2),1)*DG31*8)),0))</f>
        <v>#N/A</v>
      </c>
      <c r="BJ31" s="301" t="e">
        <f aca="false">IF($A31="N/A"," ",IF(OR(Dayrun&lt;=2,Dayrun&gt;=11),IF(OffPeakEx=TRUE(),MAX(0,(xSPRDOPT(Q31,($E31-'Pricing Inputs'!$X66*$D31),$CV31,0,($CQ31+IF(Smile=TRUE(),VLOOKUP(MAX(-5,$H31-Q31),Volsmile,2),0)),$CT31,$CU31,($A31-DateToday)+15,ABS(Option-2),1)*DG31*8)),0),0))</f>
        <v>#N/A</v>
      </c>
      <c r="BK31" s="302" t="e">
        <f aca="false">IF($A31="N/A"," ",R31*$AS31)</f>
        <v>#N/A</v>
      </c>
      <c r="BL31" s="303" t="e">
        <f aca="false">IF($A31="N/A"," ",S31*$AT31)</f>
        <v>#N/A</v>
      </c>
      <c r="BM31" s="303" t="e">
        <f aca="false">IF($A31="N/A"," ",T31*$AU31)</f>
        <v>#N/A</v>
      </c>
      <c r="BN31" s="303" t="e">
        <f aca="false">IF($A31="N/A"," ",U31*$AV31)</f>
        <v>#N/A</v>
      </c>
      <c r="BO31" s="303" t="e">
        <f aca="false">IF($A31="N/A"," ",V31*$AW31)</f>
        <v>#N/A</v>
      </c>
      <c r="BP31" s="303" t="e">
        <f aca="false">IF($A31="N/A"," ",W31*$AX31)</f>
        <v>#N/A</v>
      </c>
      <c r="BQ31" s="303" t="e">
        <f aca="false">IF($A31="N/A"," ",X31*$AY31)</f>
        <v>#N/A</v>
      </c>
      <c r="BR31" s="303" t="e">
        <f aca="false">IF($A31="N/A"," ",Y31*$AZ31)</f>
        <v>#N/A</v>
      </c>
      <c r="BS31" s="304" t="e">
        <f aca="false">IF($A31="N/A"," ",Z31*$BA31)</f>
        <v>#N/A</v>
      </c>
      <c r="BT31" s="305" t="e">
        <f aca="false">IF($A31="N/A"," ",AA31*$AS31)</f>
        <v>#N/A</v>
      </c>
      <c r="BU31" s="306" t="e">
        <f aca="false">IF($A31="N/A"," ",AB31*$AT31)</f>
        <v>#N/A</v>
      </c>
      <c r="BV31" s="306" t="e">
        <f aca="false">IF($A31="N/A"," ",AC31*$AU31)</f>
        <v>#N/A</v>
      </c>
      <c r="BW31" s="306" t="e">
        <f aca="false">IF($A31="N/A"," ",AD31*$AV31)</f>
        <v>#N/A</v>
      </c>
      <c r="BX31" s="306" t="e">
        <f aca="false">IF($A31="N/A"," ",AE31*$AW31)</f>
        <v>#N/A</v>
      </c>
      <c r="BY31" s="306" t="e">
        <f aca="false">IF($A31="N/A"," ",AF31*$AX31)</f>
        <v>#N/A</v>
      </c>
      <c r="BZ31" s="306" t="e">
        <f aca="false">IF($A31="N/A"," ",AG31*$AY31)</f>
        <v>#N/A</v>
      </c>
      <c r="CA31" s="306" t="e">
        <f aca="false">IF($A31="N/A"," ",AH31*$AZ31)</f>
        <v>#N/A</v>
      </c>
      <c r="CB31" s="307" t="e">
        <f aca="false">IF($A31="N/A"," ",AI31*$BA31)</f>
        <v>#N/A</v>
      </c>
      <c r="CC31" s="308" t="e">
        <f aca="false">IF($A31="N/A"," ",AJ31*$AS31)</f>
        <v>#N/A</v>
      </c>
      <c r="CD31" s="309" t="e">
        <f aca="false">IF($A31="N/A"," ",AK31*$AT31)</f>
        <v>#N/A</v>
      </c>
      <c r="CE31" s="309" t="e">
        <f aca="false">IF($A31="N/A"," ",AL31*$AU31)</f>
        <v>#N/A</v>
      </c>
      <c r="CF31" s="309" t="e">
        <f aca="false">IF($A31="N/A"," ",AM31*$AV31)</f>
        <v>#N/A</v>
      </c>
      <c r="CG31" s="309" t="e">
        <f aca="false">IF($A31="N/A"," ",AN31*$AW31)</f>
        <v>#N/A</v>
      </c>
      <c r="CH31" s="309" t="e">
        <f aca="false">IF($A31="N/A"," ",AO31*$AX31)</f>
        <v>#N/A</v>
      </c>
      <c r="CI31" s="309" t="e">
        <f aca="false">IF($A31="N/A"," ",AP31*$AY31)</f>
        <v>#N/A</v>
      </c>
      <c r="CJ31" s="309" t="e">
        <f aca="false">IF($A31="N/A"," ",AQ31*$AZ31)</f>
        <v>#N/A</v>
      </c>
      <c r="CK31" s="310" t="e">
        <f aca="false">IF($A31="N/A"," ",AR31*$BA31)</f>
        <v>#N/A</v>
      </c>
      <c r="CL31" s="311" t="n">
        <f aca="false">IF(A31="N/A"," ",(VLOOKUP(A31,PowerVolTable,(IF(VolBMO=2,7,IF(VolBMO=1,6,8))),FALSE())))</f>
        <v>0.25</v>
      </c>
      <c r="CM31" s="312" t="n">
        <f aca="false">IF(A31="N/A"," ",(VLOOKUP(A31,IntraPowerVol,(IF(VolBMO=2,3,IF(VolBMO=1,2,4))),FALSE())*VLOOKUP(MONTH($A31),Volscale,2)))</f>
        <v>0.35</v>
      </c>
      <c r="CN31" s="312" t="n">
        <f aca="false">IF($A31="N/A"," ",IF(VolType=1,CM31,CL31))</f>
        <v>0.35</v>
      </c>
      <c r="CO31" s="312" t="n">
        <f aca="false">IF($A31="N/A"," ",(VLOOKUP($A31,OffPeakVol,(IF(VolBMO=2,7,IF(VolBMO=1,6,8))),FALSE())))</f>
        <v>0.125</v>
      </c>
      <c r="CP31" s="312" t="n">
        <f aca="false">IF($A31="N/A"," ",(VLOOKUP($A31,OffPeakVol,(IF(VolBMO=2,3,IF(VolBMO=1,2,4))),FALSE())*VLOOKUP(MONTH($A31),Volscale,2)))</f>
        <v>0.21</v>
      </c>
      <c r="CQ31" s="312" t="n">
        <f aca="false">IF($A31="N/A"," ",IF(VolType=1,CP31,CO31))</f>
        <v>0.21</v>
      </c>
      <c r="CR31" s="312" t="e">
        <f aca="false">IF($A31="N/A"," ",(VLOOKUP($A31,GasVolTable,(IF(VolBMO=2,6,IF(VolBMO=1,7,5))),FALSE())))</f>
        <v>#N/A</v>
      </c>
      <c r="CS31" s="312" t="e">
        <f aca="false">IF($A31="N/A"," ",(VLOOKUP($A31,OmicronVol,(IF(VolBMO=2,3,IF(VolBMO=1,4,2))),FALSE())))</f>
        <v>#N/A</v>
      </c>
      <c r="CT31" s="312" t="e">
        <f aca="false">IF($A31="N/A"," ",(IF(DateToday&gt;$A31,$CS31,IF(VolType=1,((($CR31^2)*((($A31-1)-DateToday)/((EOMONTH($A31,0)+1)-DateToday-15)))+((($CS31)^2)*((15)/((EOMONTH($A31,0)+1)-DateToday-15))))^0.5,CR31))))</f>
        <v>#N/A</v>
      </c>
      <c r="CU31" s="312" t="n">
        <f aca="false">IF($A31="N/A"," ",IF('Pricing Inputs'!$AR$23=TRUE(),Inputs!$S$22,VLOOKUP($A31,CorrelationTable,2,FALSE())))</f>
        <v>0.75</v>
      </c>
      <c r="CV31" s="313" t="n">
        <f aca="false">IF($A31="N/A"," ",F31+G31+(D31*('Pricing Inputs'!X66)))</f>
        <v>0</v>
      </c>
      <c r="CW31" s="314" t="n">
        <f aca="false">IF($A31="N/A"," ",IF(PV=1,0,'Pricing Inputs'!Y66))</f>
        <v>2</v>
      </c>
      <c r="CX31" s="315" t="n">
        <f aca="false">IF($A31="N/A"," ",(1+CW31/2)^(-2*((EOMONTH(A31,0)+20)-DateToday)/365.25))</f>
        <v>11348418304213.4</v>
      </c>
      <c r="CY31" s="316" t="n">
        <f aca="false">IF($A31="N/A"," ",(IF(MONTH(A31)&gt;=4,IF(MONTH(A31)&lt;=10,Inputs!$S$26,Inputs!$S$27),Inputs!$S$27))*$CX31)</f>
        <v>1395855451418250</v>
      </c>
      <c r="CZ31" s="317" t="e">
        <f aca="false">IF($A31="N/A"," ",BK31+BL31+BN31+BO31+BQ31+BR31)</f>
        <v>#N/A</v>
      </c>
      <c r="DA31" s="318" t="e">
        <f aca="false">IF($A31="N/A"," ",BM31+BP31+BS31)</f>
        <v>#N/A</v>
      </c>
      <c r="DB31" s="319" t="e">
        <f aca="false">IF($A31="N/A"," ",BT31+BU31+BW31+BX31+BZ31+CA31)</f>
        <v>#N/A</v>
      </c>
      <c r="DC31" s="319" t="e">
        <f aca="false">IF($A31="N/A"," ",BV31+BY31+CB31)</f>
        <v>#N/A</v>
      </c>
      <c r="DD31" s="320" t="e">
        <f aca="false">IF($A31="N/A"," ",SUM(CC31:CK31))</f>
        <v>#N/A</v>
      </c>
      <c r="DE31" s="321" t="n">
        <f aca="false">IF($A31="N/A"," ",VLOOKUP($A31,NumberofDaysTable,2)*Availability)</f>
        <v>19.8</v>
      </c>
      <c r="DF31" s="94" t="n">
        <f aca="false">IF($A31="N/A"," ",VLOOKUP($A31,NumberofDaysTable,3)*Availability)</f>
        <v>3.6</v>
      </c>
      <c r="DG31" s="322" t="n">
        <f aca="false">IF($A31="N/A"," ",VLOOKUP($A31,NumberofDaysTable,4)*Availability)</f>
        <v>4.5</v>
      </c>
      <c r="DH31" s="323" t="n">
        <f aca="false">IF($A31="N/A"," ",IF(Option=1,$D31*Inputs!$S$15*SUM(AS31:BA31),0))</f>
        <v>0</v>
      </c>
      <c r="DI31" s="324" t="n">
        <f aca="false">IF($A31="N/A"," ",IF(Option=1,$D31*Inputs!$S$16*SUM(AS31:BA31),0))</f>
        <v>0</v>
      </c>
      <c r="DJ31" s="325" t="n">
        <f aca="false">IF($A31="N/A"," ",SUM(AS31:AT31))</f>
        <v>4.42207007009302E+017</v>
      </c>
      <c r="DK31" s="325" t="n">
        <f aca="false">IF($A31="N/A"," ",SUM(AU31:BA31))</f>
        <v>4.92457803260359E+017</v>
      </c>
      <c r="DL31" s="325" t="e">
        <f aca="false">IF($A31="N/A"," ",SUM(BB31:BC31))</f>
        <v>#N/A</v>
      </c>
      <c r="DM31" s="325" t="e">
        <f aca="false">IF($A31="N/A"," ",SUM(BD31:BJ31))</f>
        <v>#N/A</v>
      </c>
    </row>
    <row r="32" customFormat="false" ht="12.75" hidden="false" customHeight="false" outlineLevel="0" collapsed="false">
      <c r="A32" s="282" t="str">
        <f aca="false">IF(A31="N/A","N/A",IF(EDATE(A31,1)&gt;Inputs!$S$5,"N/A",EDATE(A31,1)))</f>
        <v>N/A</v>
      </c>
      <c r="B32" s="283" t="str">
        <f aca="false">IF(A32="N/A"," ",YEAR(A32))</f>
        <v> </v>
      </c>
      <c r="C32" s="284" t="str">
        <f aca="false">IF(A32="N/A"," ",VLOOKUP(A32,ScaledPrice,14))</f>
        <v> </v>
      </c>
      <c r="D32" s="285" t="str">
        <f aca="false">IF(A32="N/A"," ",(VLOOKUP(MONTH($A32),Hrtable,2))/1000)</f>
        <v> </v>
      </c>
      <c r="E32" s="286" t="str">
        <f aca="false">IF($A32="N/A"," ",(C32)*D32)</f>
        <v> </v>
      </c>
      <c r="F32" s="287" t="str">
        <f aca="false">IF(A32="N/A"," ",VOM*(1+VOMesc)^(YEAR(A32)-YEAR(Today)))</f>
        <v> </v>
      </c>
      <c r="G32" s="287" t="str">
        <f aca="false">IF(A32="N/A"," ",Perstart/VLOOKUP(Dayrun,'Pricing Inputs'!$AQ$4:$AS$14,3)/(CY32/CX32))</f>
        <v> </v>
      </c>
      <c r="H32" s="288" t="str">
        <f aca="false">IF(A32="N/A"," ",SUM(E32:G32))</f>
        <v> </v>
      </c>
      <c r="I32" s="289" t="str">
        <f aca="false">VLOOKUP($A32,ScaledPrice,6)</f>
        <v> </v>
      </c>
      <c r="J32" s="290" t="str">
        <f aca="false">VLOOKUP($A32,ScaledPrice,10)</f>
        <v> </v>
      </c>
      <c r="K32" s="290" t="str">
        <f aca="false">VLOOKUP($A32,ScaledPrice,13)</f>
        <v> </v>
      </c>
      <c r="L32" s="290" t="str">
        <f aca="false">VLOOKUP($A32,ScaledPrice,7)</f>
        <v> </v>
      </c>
      <c r="M32" s="290" t="str">
        <f aca="false">VLOOKUP($A32,ScaledPrice,11)</f>
        <v> </v>
      </c>
      <c r="N32" s="290" t="str">
        <f aca="false">VLOOKUP($A32,ScaledPrice,13)</f>
        <v> </v>
      </c>
      <c r="O32" s="290" t="str">
        <f aca="false">VLOOKUP($A32,ScaledPrice,8)</f>
        <v> </v>
      </c>
      <c r="P32" s="290" t="str">
        <f aca="false">VLOOKUP($A32,ScaledPrice,12)</f>
        <v> </v>
      </c>
      <c r="Q32" s="291" t="str">
        <f aca="false">VLOOKUP($A32,ScaledPrice,13)</f>
        <v> </v>
      </c>
      <c r="R32" s="292" t="str">
        <f aca="false">IF($A32="N/A"," ",IF(Dayrun&gt;=3,IF(Option=1,MAX($I32-$H32,0),IF(Option=2,MAX($H32-$I32,0),0)),0))</f>
        <v> </v>
      </c>
      <c r="S32" s="286" t="str">
        <f aca="false">IF($A32="N/A"," ",IF(Dayrun&gt;=6,IF(Option=1,MAX($J32-H32,0),IF(Option=2,MAX(H32-$J32,0),0)),0))</f>
        <v> </v>
      </c>
      <c r="T32" s="286" t="str">
        <f aca="false">IF($A32="N/A"," ",IF(OR(Dayrun&lt;=2,Dayrun&gt;=9),IF(Option=1,MAX($K32-$H32,0),IF(Option=2,MAX($H32-$K32,0),0)),0))</f>
        <v> </v>
      </c>
      <c r="U32" s="286" t="str">
        <f aca="false">IF($A32="N/A"," ",IF(OR(Dayrun=1,Dayrun=4,Dayrun=5,Dayrun=7,Dayrun=8,Dayrun=10,Dayrun=11),IF(Option=1,MAX($L32-H32,0),IF(Option=2,MAX(H32-$L32,0),0)),0))</f>
        <v> </v>
      </c>
      <c r="V32" s="286" t="str">
        <f aca="false">IF($A32="N/A"," ",IF(OR(Dayrun=1,Dayrun=7,Dayrun=8,Dayrun=10,Dayrun=11),IF(Option=1,MAX($M32-H32,0),IF(Option=2,MAX(H32-$M32,0),0)),0))</f>
        <v> </v>
      </c>
      <c r="W32" s="286" t="str">
        <f aca="false">IF($A32="N/A"," ",IF(OR(Dayrun&lt;=2,Dayrun&gt;=10),IF(Option=1,MAX($N32-$H32,0),IF(Option=2,MAX($H32-$N32,0),0)),0))</f>
        <v> </v>
      </c>
      <c r="X32" s="286" t="str">
        <f aca="false">IF($A32="N/A"," ",IF(OR(Dayrun=1,Dayrun=5,Dayrun=8,Dayrun=11),IF(Option=1,MAX($O32-H32,0),IF(Option=2,MAX(H32-$O32,0),0)),0))</f>
        <v> </v>
      </c>
      <c r="Y32" s="286" t="str">
        <f aca="false">IF($A32="N/A"," ",IF(OR(Dayrun=1,Dayrun=8,Dayrun=11),IF(Option=1,MAX($P32-H32,0),IF(Option=2,MAX(H32-$P32,0),0)),0))</f>
        <v> </v>
      </c>
      <c r="Z32" s="293" t="str">
        <f aca="false">IF($A32="N/A"," ",IF(OR(Dayrun&lt;=2,Dayrun&gt;=11),IF(Option=1,MAX($Q32-$H32,0),IF(Option=2,MAX($H32-$Q32,0),0)),0))</f>
        <v> </v>
      </c>
      <c r="AA32" s="289" t="str">
        <f aca="false">IF($A32="N/A"," ",IF(Dayrun&gt;=3,(MAX(0,(xSPRDOPT(I32,($E32-'Pricing Inputs'!$X67*$D32),$CV32,0,($CN32+IF(Smile=TRUE(),VLOOKUP(MAX(-5,$H32-I32),Volsmile,2),0)),$CT32,$CU32,($A32-DateToday)+15,ABS(Option-2),0)-R32))),0))</f>
        <v> </v>
      </c>
      <c r="AB32" s="290" t="str">
        <f aca="false">IF($A32="N/A"," ",IF(Dayrun&gt;=6,MAX(0,(xSPRDOPT(J32,($E32-'Pricing Inputs'!$X67*$D32),$CV32,0,($CN32+IF(Smile=TRUE(),VLOOKUP(MAX(-5,$H32-J32),Volsmile,2),0)),$CT32,$CU32,($A32-DateToday)+15,ABS(Option-2),0)-S32)),0))</f>
        <v> </v>
      </c>
      <c r="AC32" s="290" t="str">
        <f aca="false">IF($A32="N/A"," ",IF(OR(Dayrun&lt;=2,Dayrun&gt;=9),IF(OffPeakEx=TRUE(),MAX(0,(xSPRDOPT(K32,($E32-'Pricing Inputs'!$X67*$D32),$CV32,0,($CQ32+IF(Smile=TRUE(),VLOOKUP(MAX(-5,$H32-K32),Volsmile,2),0)),$CT32,$CU32,($A32-DateToday)+15,ABS(Option-2),0)-T32)),0),0))</f>
        <v> </v>
      </c>
      <c r="AD32" s="290" t="str">
        <f aca="false">IF($A32="N/A"," ",IF(OR(Dayrun=1,Dayrun=4,Dayrun=5,Dayrun=7,Dayrun=8,Dayrun=10,Dayrun=11),MAX(0,(xSPRDOPT(L32,($E32-'Pricing Inputs'!$X67*$D32),$CV32,0,($CQ32+IF(Smile=TRUE(),VLOOKUP(MAX(-5,$H32-L32),Volsmile,2),0)),$CT32,$CU32,($A32-DateToday)+15,ABS(Option-2),0)-U32)),0))</f>
        <v> </v>
      </c>
      <c r="AE32" s="290" t="str">
        <f aca="false">IF($A32="N/A"," ",IF(OR(Dayrun=1,Dayrun=7,Dayrun=8,Dayrun=10,Dayrun=11),MAX(0,(xSPRDOPT(M32,($E32-'Pricing Inputs'!$X67*$D32),$CV32,0,($CQ32+IF(Smile=TRUE(),VLOOKUP(MAX(-5,$H32-M32),Volsmile,2),0)),$CT32,$CU32,($A32-DateToday)+15,ABS(Option-2),0)-V32)),0))</f>
        <v> </v>
      </c>
      <c r="AF32" s="290" t="str">
        <f aca="false">IF($A32="N/A"," ",IF(OR(Dayrun&lt;=2,Dayrun&gt;=10),IF(OffPeakEx=TRUE(),MAX(0,(xSPRDOPT(N32,($E32-'Pricing Inputs'!$X67*$D32),$CV32,0,($CQ32+IF(Smile=TRUE(),VLOOKUP(MAX(-5,$H32-N32),Volsmile,2),0)),$CT32,$CU32,($A32-DateToday)+15,ABS(Option-2),0)-W32)),0),0))</f>
        <v> </v>
      </c>
      <c r="AG32" s="290" t="str">
        <f aca="false">IF($A32="N/A"," ",IF(OR(Dayrun=1,Dayrun=5,Dayrun=8,Dayrun=11),MAX(0,(xSPRDOPT(O32,($E32-'Pricing Inputs'!$X67*$D32),$CV32,0,($CQ32+IF(Smile=TRUE(),VLOOKUP(MAX(-5,$H32-O32),Volsmile,2),0)),$CT32,$CU32,($A32-DateToday)+15,ABS(Option-2),0)-X32)),0))</f>
        <v> </v>
      </c>
      <c r="AH32" s="290" t="str">
        <f aca="false">IF($A32="N/A"," ",IF(OR(Dayrun=1,Dayrun=8,Dayrun=11),MAX(0,(xSPRDOPT(P32,($E32-'Pricing Inputs'!$X67*$D32),$CV32,0,($CQ32+IF(Smile=TRUE(),VLOOKUP(MAX(-5,$H32-P32),Volsmile,2),0)),$CT32,$CU32,($A32-DateToday)+15,ABS(Option-2),0)-Y32)),0))</f>
        <v> </v>
      </c>
      <c r="AI32" s="290" t="str">
        <f aca="false">IF($A32="N/A"," ",IF(OR(Dayrun&lt;=2,Dayrun&gt;=11),IF(OffPeakEx=TRUE(),MAX(0,(xSPRDOPT(Q32,($E32-'Pricing Inputs'!$X67*$D32),$CV32,0,($CQ32+IF(Smile=TRUE(),VLOOKUP(MAX(-5,$H32-Q32),Volsmile,2),0)),$CT32,$CU32,($A32-DateToday)+15,ABS(Option-2),0)-Z32)),0),0))</f>
        <v> </v>
      </c>
      <c r="AJ32" s="294" t="str">
        <f aca="false">IF($A32="N/A"," ",IF(Dayrun&gt;=3,IF(Option=1,$I32-$H32,IF(Option=2,$H32-$I32)),0))</f>
        <v> </v>
      </c>
      <c r="AK32" s="295" t="str">
        <f aca="false">IF($A32="N/A"," ",IF(Dayrun&gt;=6,IF(Option=1,$J32-H32,IF(Option=2,H32-$J32)),0))</f>
        <v> </v>
      </c>
      <c r="AL32" s="295" t="str">
        <f aca="false">IF($A32="N/A"," ",IF(OR(Dayrun&lt;=2,Dayrun&gt;=9),IF(Option=1,$K32-$H32,IF(Option=2,$H32-$K32)),0))</f>
        <v> </v>
      </c>
      <c r="AM32" s="295" t="str">
        <f aca="false">IF($A32="N/A"," ",IF(OR(Dayrun=1,Dayrun=4,Dayrun=5,Dayrun=7,Dayrun=8,Dayrun=10,Dayrun=11),IF(Option=1,$L32-H32,IF(Option=2,H32-$L32)),0))</f>
        <v> </v>
      </c>
      <c r="AN32" s="295" t="str">
        <f aca="false">IF($A32="N/A"," ",IF(OR(Dayrun=1,Dayrun=7,Dayrun=8,Dayrun=10,Dayrun=11),IF(Option=1,$M32-H32,IF(Option=2,H32-$M32)),0))</f>
        <v> </v>
      </c>
      <c r="AO32" s="295" t="str">
        <f aca="false">IF($A32="N/A"," ",IF(OR(Dayrun&lt;=2,Dayrun&gt;=9),IF(Option=1,$N32-$H32,IF(Option=2,$H32-$N32)),0))</f>
        <v> </v>
      </c>
      <c r="AP32" s="295" t="str">
        <f aca="false">IF($A32="N/A"," ",IF(OR(Dayrun=1,Dayrun=5,Dayrun=8,Dayrun=11),IF(Option=1,$O32-H32,IF(Option=2,H32-$O32)),0))</f>
        <v> </v>
      </c>
      <c r="AQ32" s="295" t="str">
        <f aca="false">IF($A32="N/A"," ",IF(OR(Dayrun=1,Dayrun=8,Dayrun=11),IF(Option=1,$P32-H32,IF(Option=2,H32-$P32)),0))</f>
        <v> </v>
      </c>
      <c r="AR32" s="296" t="str">
        <f aca="false">IF($A32="N/A"," ",IF(OR(Dayrun&lt;=2,Dayrun&gt;=9),IF(Option=1,$Q32-H32,IF(Option=2,H32-$Q32)),0))</f>
        <v> </v>
      </c>
      <c r="AS32" s="297" t="str">
        <f aca="false">IF($A32="N/A"," ",IF(VLOOKUP(MONTH($A32),ManualTable,2)=1,IF(Dayrun&gt;=3,$DE32*8*$CY32,0),0))</f>
        <v> </v>
      </c>
      <c r="AT32" s="297" t="str">
        <f aca="false">IF($A32="N/A"," ",IF(VLOOKUP(MONTH($A32),ManualTable,3)=1,IF(Dayrun&gt;=6,$DE32*8*$CY32,0),0))</f>
        <v> </v>
      </c>
      <c r="AU32" s="297" t="str">
        <f aca="false">IF($A32="N/A"," ",IF(VLOOKUP(MONTH($A32),ManualTable,4)=1,IF(OR(Dayrun&lt;=2,Dayrun&gt;=9),$DE32*8*$CY32,0),0))</f>
        <v> </v>
      </c>
      <c r="AV32" s="297" t="str">
        <f aca="false">IF($A32="N/A"," ",IF(VLOOKUP(MONTH($A32),ManualTable,5)=1,IF(OR(Dayrun=1,Dayrun=4,Dayrun=5,Dayrun=7,Dayrun=8,Dayrun=10,Dayrun=11),$DF32*8*$CY32,0),0))</f>
        <v> </v>
      </c>
      <c r="AW32" s="297" t="str">
        <f aca="false">IF($A32="N/A"," ",IF(VLOOKUP(MONTH($A32),ManualTable,6)=1,IF(OR(Dayrun=1,Dayrun=7,Dayrun=8,Dayrun=10,Dayrun=11),$DF32*8*$CY32,0),0))</f>
        <v> </v>
      </c>
      <c r="AX32" s="297" t="str">
        <f aca="false">IF($A32="N/A"," ",IF(VLOOKUP(MONTH($A32),ManualTable,7)=1,IF(OR(Dayrun&lt;=2,Dayrun&gt;=9),$DF32*8*$CY32,0),0))</f>
        <v> </v>
      </c>
      <c r="AY32" s="297" t="str">
        <f aca="false">IF($A32="N/A"," ",IF(VLOOKUP(MONTH($A32),ManualTable,8)=1,IF(OR(Dayrun=1,Dayrun=5,Dayrun=8,Dayrun=11),$DG32*8*$CY32,0),0))</f>
        <v> </v>
      </c>
      <c r="AZ32" s="297" t="str">
        <f aca="false">IF($A32="N/A"," ",IF(VLOOKUP(MONTH($A32),ManualTable,9)=1,IF(OR(Dayrun=1,Dayrun=8,Dayrun=11),$DG32*8*$CY32,0),0))</f>
        <v> </v>
      </c>
      <c r="BA32" s="298" t="str">
        <f aca="false">IF($A32="N/A"," ",IF(VLOOKUP(MONTH($A32),ManualTable,10)=1,IF(OR(Dayrun&lt;=2,Dayrun&gt;=9),$DG32*8*$CY32,0),0))</f>
        <v> </v>
      </c>
      <c r="BB32" s="299" t="str">
        <f aca="false">IF($A32="N/A"," ",IF(Dayrun&gt;=3,(MAX(0,(xSPRDOPT(I32,($E32-'Pricing Inputs'!$X67*$D32),$CV32,0,($CN32+IF(Smile=TRUE(),VLOOKUP(MAX(-5,$H32-I32),Volsmile,2),0)),$CT32,$CU32,($A32-DateToday)+15,ABS(Option-2),1)*DE32*8))),0))</f>
        <v> </v>
      </c>
      <c r="BC32" s="300" t="str">
        <f aca="false">IF($A32="N/A"," ",IF(Dayrun&gt;=6,MAX(0,(xSPRDOPT(J32,($E32-'Pricing Inputs'!$X67*$D32),$CV32,0,($CN32+IF(Smile=TRUE(),VLOOKUP(MAX(-5,$H32-J32),Volsmile,2),0)),$CT32,$CU32,($A32-DateToday)+15,ABS(Option-2),1)*DE32*8)),0))</f>
        <v> </v>
      </c>
      <c r="BD32" s="300" t="str">
        <f aca="false">IF($A32="N/A"," ",IF(OR(Dayrun&lt;=2,Dayrun&gt;=9),IF(OffPeakEx=TRUE(),MAX(0,(xSPRDOPT(K32,($E32-'Pricing Inputs'!$X67*$D32),$CV32,0,($CQ32+IF(Smile=TRUE(),VLOOKUP(MAX(-5,$H32-K32),Volsmile,2),0)),$CT32,$CU32,($A32-DateToday)+15,ABS(Option-2),1)*DE32*8)),0),0))</f>
        <v> </v>
      </c>
      <c r="BE32" s="300" t="str">
        <f aca="false">IF($A32="N/A"," ",IF(OR(Dayrun=1,Dayrun=4,Dayrun=5,Dayrun=7,Dayrun=8,Dayrun=10,Dayrun=11),MAX(0,(xSPRDOPT(L32,($E32-'Pricing Inputs'!$X67*$D32),$CV32,0,($CQ32+IF(Smile=TRUE(),VLOOKUP(MAX(-5,$H32-L32),Volsmile,2),0)),$CT32,$CU32,($A32-DateToday)+15,ABS(Option-2),1)*DF32*8)),0))</f>
        <v> </v>
      </c>
      <c r="BF32" s="300" t="str">
        <f aca="false">IF($A32="N/A"," ",IF(OR(Dayrun=1,Dayrun=7,Dayrun=8,Dayrun=10,Dayrun=11),MAX(0,(xSPRDOPT(M32,($E32-'Pricing Inputs'!$X67*$D32),$CV32,0,($CQ32+IF(Smile=TRUE(),VLOOKUP(MAX(-5,$H32-M32),Volsmile,2),0)),$CT32,$CU32,($A32-DateToday)+15,ABS(Option-2),1)*DF32*8)),0))</f>
        <v> </v>
      </c>
      <c r="BG32" s="300" t="str">
        <f aca="false">IF($A32="N/A"," ",IF(OR(Dayrun&lt;=2,Dayrun&gt;=10),IF(OffPeakEx=TRUE(),MAX(0,(xSPRDOPT(N32,($E32-'Pricing Inputs'!$X67*$D32),$CV32,0,($CQ32+IF(Smile=TRUE(),VLOOKUP(MAX(-5,$H32-N32),Volsmile,2),0)),$CT32,$CU32,($A32-DateToday)+15,ABS(Option-2),1)*DF32*8)),0),0))</f>
        <v> </v>
      </c>
      <c r="BH32" s="300" t="str">
        <f aca="false">IF($A32="N/A"," ",IF(OR(Dayrun=1,Dayrun=5,Dayrun=8,Dayrun=11),MAX(0,(xSPRDOPT(O32,($E32-'Pricing Inputs'!$X67*$D32),$CV32,0,($CQ32+IF(Smile=TRUE(),VLOOKUP(MAX(-5,$H32-O32),Volsmile,2),0)),$CT32,$CU32,($A32-DateToday)+15,ABS(Option-2),1)*DG32*8)),0))</f>
        <v> </v>
      </c>
      <c r="BI32" s="300" t="str">
        <f aca="false">IF($A32="N/A"," ",IF(OR(Dayrun=1,Dayrun=8,Dayrun=11),MAX(0,(xSPRDOPT(P32,($E32-'Pricing Inputs'!$X67*$D32),$CV32,0,($CQ32+IF(Smile=TRUE(),VLOOKUP(MAX(-5,$H32-P32),Volsmile,2),0)),$CT32,$CU32,($A32-DateToday)+15,ABS(Option-2),1)*DG32*8)),0))</f>
        <v> </v>
      </c>
      <c r="BJ32" s="301" t="str">
        <f aca="false">IF($A32="N/A"," ",IF(OR(Dayrun&lt;=2,Dayrun&gt;=11),IF(OffPeakEx=TRUE(),MAX(0,(xSPRDOPT(Q32,($E32-'Pricing Inputs'!$X67*$D32),$CV32,0,($CQ32+IF(Smile=TRUE(),VLOOKUP(MAX(-5,$H32-Q32),Volsmile,2),0)),$CT32,$CU32,($A32-DateToday)+15,ABS(Option-2),1)*DG32*8)),0),0))</f>
        <v> </v>
      </c>
      <c r="BK32" s="302" t="str">
        <f aca="false">IF($A32="N/A"," ",R32*$AS32)</f>
        <v> </v>
      </c>
      <c r="BL32" s="303" t="str">
        <f aca="false">IF($A32="N/A"," ",S32*$AT32)</f>
        <v> </v>
      </c>
      <c r="BM32" s="303" t="str">
        <f aca="false">IF($A32="N/A"," ",T32*$AU32)</f>
        <v> </v>
      </c>
      <c r="BN32" s="303" t="str">
        <f aca="false">IF($A32="N/A"," ",U32*$AV32)</f>
        <v> </v>
      </c>
      <c r="BO32" s="303" t="str">
        <f aca="false">IF($A32="N/A"," ",V32*$AW32)</f>
        <v> </v>
      </c>
      <c r="BP32" s="303" t="str">
        <f aca="false">IF($A32="N/A"," ",W32*$AX32)</f>
        <v> </v>
      </c>
      <c r="BQ32" s="303" t="str">
        <f aca="false">IF($A32="N/A"," ",X32*$AY32)</f>
        <v> </v>
      </c>
      <c r="BR32" s="303" t="str">
        <f aca="false">IF($A32="N/A"," ",Y32*$AZ32)</f>
        <v> </v>
      </c>
      <c r="BS32" s="304" t="str">
        <f aca="false">IF($A32="N/A"," ",Z32*$BA32)</f>
        <v> </v>
      </c>
      <c r="BT32" s="305" t="str">
        <f aca="false">IF($A32="N/A"," ",AA32*$AS32)</f>
        <v> </v>
      </c>
      <c r="BU32" s="306" t="str">
        <f aca="false">IF($A32="N/A"," ",AB32*$AT32)</f>
        <v> </v>
      </c>
      <c r="BV32" s="306" t="str">
        <f aca="false">IF($A32="N/A"," ",AC32*$AU32)</f>
        <v> </v>
      </c>
      <c r="BW32" s="306" t="str">
        <f aca="false">IF($A32="N/A"," ",AD32*$AV32)</f>
        <v> </v>
      </c>
      <c r="BX32" s="306" t="str">
        <f aca="false">IF($A32="N/A"," ",AE32*$AW32)</f>
        <v> </v>
      </c>
      <c r="BY32" s="306" t="str">
        <f aca="false">IF($A32="N/A"," ",AF32*$AX32)</f>
        <v> </v>
      </c>
      <c r="BZ32" s="306" t="str">
        <f aca="false">IF($A32="N/A"," ",AG32*$AY32)</f>
        <v> </v>
      </c>
      <c r="CA32" s="306" t="str">
        <f aca="false">IF($A32="N/A"," ",AH32*$AZ32)</f>
        <v> </v>
      </c>
      <c r="CB32" s="307" t="str">
        <f aca="false">IF($A32="N/A"," ",AI32*$BA32)</f>
        <v> </v>
      </c>
      <c r="CC32" s="308" t="str">
        <f aca="false">IF($A32="N/A"," ",AJ32*$AS32)</f>
        <v> </v>
      </c>
      <c r="CD32" s="309" t="str">
        <f aca="false">IF($A32="N/A"," ",AK32*$AT32)</f>
        <v> </v>
      </c>
      <c r="CE32" s="309" t="str">
        <f aca="false">IF($A32="N/A"," ",AL32*$AU32)</f>
        <v> </v>
      </c>
      <c r="CF32" s="309" t="str">
        <f aca="false">IF($A32="N/A"," ",AM32*$AV32)</f>
        <v> </v>
      </c>
      <c r="CG32" s="309" t="str">
        <f aca="false">IF($A32="N/A"," ",AN32*$AW32)</f>
        <v> </v>
      </c>
      <c r="CH32" s="309" t="str">
        <f aca="false">IF($A32="N/A"," ",AO32*$AX32)</f>
        <v> </v>
      </c>
      <c r="CI32" s="309" t="str">
        <f aca="false">IF($A32="N/A"," ",AP32*$AY32)</f>
        <v> </v>
      </c>
      <c r="CJ32" s="309" t="str">
        <f aca="false">IF($A32="N/A"," ",AQ32*$AZ32)</f>
        <v> </v>
      </c>
      <c r="CK32" s="310" t="str">
        <f aca="false">IF($A32="N/A"," ",AR32*$BA32)</f>
        <v> </v>
      </c>
      <c r="CL32" s="311" t="str">
        <f aca="false">IF(A32="N/A"," ",(VLOOKUP(A32,PowerVolTable,(IF(VolBMO=2,7,IF(VolBMO=1,6,8))),FALSE())))</f>
        <v> </v>
      </c>
      <c r="CM32" s="312" t="str">
        <f aca="false">IF(A32="N/A"," ",(VLOOKUP(A32,IntraPowerVol,(IF(VolBMO=2,3,IF(VolBMO=1,2,4))),FALSE())*VLOOKUP(MONTH($A32),Volscale,2)))</f>
        <v> </v>
      </c>
      <c r="CN32" s="312" t="str">
        <f aca="false">IF($A32="N/A"," ",IF(VolType=1,CM32,CL32))</f>
        <v> </v>
      </c>
      <c r="CO32" s="312" t="str">
        <f aca="false">IF($A32="N/A"," ",(VLOOKUP($A32,OffPeakVol,(IF(VolBMO=2,7,IF(VolBMO=1,6,8))),FALSE())))</f>
        <v> </v>
      </c>
      <c r="CP32" s="312" t="str">
        <f aca="false">IF($A32="N/A"," ",(VLOOKUP($A32,OffPeakVol,(IF(VolBMO=2,3,IF(VolBMO=1,2,4))),FALSE())*VLOOKUP(MONTH($A32),Volscale,2)))</f>
        <v> </v>
      </c>
      <c r="CQ32" s="312" t="str">
        <f aca="false">IF($A32="N/A"," ",IF(VolType=1,CP32,CO32))</f>
        <v> </v>
      </c>
      <c r="CR32" s="312" t="str">
        <f aca="false">IF($A32="N/A"," ",(VLOOKUP($A32,GasVolTable,(IF(VolBMO=2,6,IF(VolBMO=1,7,5))),FALSE())))</f>
        <v> </v>
      </c>
      <c r="CS32" s="312" t="str">
        <f aca="false">IF($A32="N/A"," ",(VLOOKUP($A32,OmicronVol,(IF(VolBMO=2,3,IF(VolBMO=1,4,2))),FALSE())))</f>
        <v> </v>
      </c>
      <c r="CT32" s="312" t="str">
        <f aca="false">IF($A32="N/A"," ",(IF(DateToday&gt;$A32,$CS32,IF(VolType=1,((($CR32^2)*((($A32-1)-DateToday)/((EOMONTH($A32,0)+1)-DateToday-15)))+((($CS32)^2)*((15)/((EOMONTH($A32,0)+1)-DateToday-15))))^0.5,CR32))))</f>
        <v> </v>
      </c>
      <c r="CU32" s="312" t="str">
        <f aca="false">IF($A32="N/A"," ",IF('Pricing Inputs'!$AR$23=TRUE(),Inputs!$S$22,VLOOKUP($A32,CorrelationTable,2,FALSE())))</f>
        <v> </v>
      </c>
      <c r="CV32" s="313" t="str">
        <f aca="false">IF($A32="N/A"," ",F32+G32+(D32*('Pricing Inputs'!X67)))</f>
        <v> </v>
      </c>
      <c r="CW32" s="314" t="str">
        <f aca="false">IF($A32="N/A"," ",IF(PV=1,0,'Pricing Inputs'!Y67))</f>
        <v> </v>
      </c>
      <c r="CX32" s="315" t="str">
        <f aca="false">IF($A32="N/A"," ",(1+CW32/2)^(-2*((EOMONTH(A32,0)+20)-DateToday)/365.25))</f>
        <v> </v>
      </c>
      <c r="CY32" s="316" t="str">
        <f aca="false">IF($A32="N/A"," ",(IF(MONTH(A32)&gt;=4,IF(MONTH(A32)&lt;=10,Inputs!$S$26,Inputs!$S$27),Inputs!$S$27))*$CX32)</f>
        <v> </v>
      </c>
      <c r="CZ32" s="317" t="str">
        <f aca="false">IF($A32="N/A"," ",BK32+BL32+BN32+BO32+BQ32+BR32)</f>
        <v> </v>
      </c>
      <c r="DA32" s="318" t="str">
        <f aca="false">IF($A32="N/A"," ",BM32+BP32+BS32)</f>
        <v> </v>
      </c>
      <c r="DB32" s="319" t="str">
        <f aca="false">IF($A32="N/A"," ",BT32+BU32+BW32+BX32+BZ32+CA32)</f>
        <v> </v>
      </c>
      <c r="DC32" s="319" t="str">
        <f aca="false">IF($A32="N/A"," ",BV32+BY32+CB32)</f>
        <v> </v>
      </c>
      <c r="DD32" s="320" t="str">
        <f aca="false">IF($A32="N/A"," ",SUM(CC32:CK32))</f>
        <v> </v>
      </c>
      <c r="DE32" s="321" t="str">
        <f aca="false">IF($A32="N/A"," ",VLOOKUP($A32,NumberofDaysTable,2)*Availability)</f>
        <v> </v>
      </c>
      <c r="DF32" s="94" t="str">
        <f aca="false">IF($A32="N/A"," ",VLOOKUP($A32,NumberofDaysTable,3)*Availability)</f>
        <v> </v>
      </c>
      <c r="DG32" s="322" t="str">
        <f aca="false">IF($A32="N/A"," ",VLOOKUP($A32,NumberofDaysTable,4)*Availability)</f>
        <v> </v>
      </c>
      <c r="DH32" s="323" t="str">
        <f aca="false">IF($A32="N/A"," ",IF(Option=1,$D32*Inputs!$S$15*SUM(AS32:BA32),0))</f>
        <v> </v>
      </c>
      <c r="DI32" s="324" t="str">
        <f aca="false">IF($A32="N/A"," ",IF(Option=1,$D32*Inputs!$S$16*SUM(AS32:BA32),0))</f>
        <v> </v>
      </c>
      <c r="DJ32" s="325" t="str">
        <f aca="false">IF($A32="N/A"," ",SUM(AS32:AT32))</f>
        <v> </v>
      </c>
      <c r="DK32" s="325" t="str">
        <f aca="false">IF($A32="N/A"," ",SUM(AU32:BA32))</f>
        <v> </v>
      </c>
      <c r="DL32" s="325" t="str">
        <f aca="false">IF($A32="N/A"," ",SUM(BB32:BC32))</f>
        <v> </v>
      </c>
      <c r="DM32" s="325" t="str">
        <f aca="false">IF($A32="N/A"," ",SUM(BD32:BJ32))</f>
        <v> </v>
      </c>
    </row>
    <row r="33" customFormat="false" ht="12.75" hidden="false" customHeight="false" outlineLevel="0" collapsed="false">
      <c r="A33" s="282" t="str">
        <f aca="false">IF(A32="N/A","N/A",IF(EDATE(A32,1)&gt;Inputs!$S$5,"N/A",EDATE(A32,1)))</f>
        <v>N/A</v>
      </c>
      <c r="B33" s="283" t="str">
        <f aca="false">IF(A33="N/A"," ",YEAR(A33))</f>
        <v> </v>
      </c>
      <c r="C33" s="284" t="str">
        <f aca="false">IF(A33="N/A"," ",VLOOKUP(A33,ScaledPrice,14))</f>
        <v> </v>
      </c>
      <c r="D33" s="285" t="str">
        <f aca="false">IF(A33="N/A"," ",(VLOOKUP(MONTH($A33),Hrtable,2))/1000)</f>
        <v> </v>
      </c>
      <c r="E33" s="286" t="str">
        <f aca="false">IF($A33="N/A"," ",(C33)*D33)</f>
        <v> </v>
      </c>
      <c r="F33" s="287" t="str">
        <f aca="false">IF(A33="N/A"," ",VOM*(1+VOMesc)^(YEAR(A33)-YEAR(Today)))</f>
        <v> </v>
      </c>
      <c r="G33" s="287" t="str">
        <f aca="false">IF(A33="N/A"," ",Perstart/VLOOKUP(Dayrun,'Pricing Inputs'!$AQ$4:$AS$14,3)/(CY33/CX33))</f>
        <v> </v>
      </c>
      <c r="H33" s="288" t="str">
        <f aca="false">IF(A33="N/A"," ",SUM(E33:G33))</f>
        <v> </v>
      </c>
      <c r="I33" s="289" t="str">
        <f aca="false">VLOOKUP($A33,ScaledPrice,6)</f>
        <v> </v>
      </c>
      <c r="J33" s="290" t="str">
        <f aca="false">VLOOKUP($A33,ScaledPrice,10)</f>
        <v> </v>
      </c>
      <c r="K33" s="290" t="str">
        <f aca="false">VLOOKUP($A33,ScaledPrice,13)</f>
        <v> </v>
      </c>
      <c r="L33" s="290" t="str">
        <f aca="false">VLOOKUP($A33,ScaledPrice,7)</f>
        <v> </v>
      </c>
      <c r="M33" s="290" t="str">
        <f aca="false">VLOOKUP($A33,ScaledPrice,11)</f>
        <v> </v>
      </c>
      <c r="N33" s="290" t="str">
        <f aca="false">VLOOKUP($A33,ScaledPrice,13)</f>
        <v> </v>
      </c>
      <c r="O33" s="290" t="str">
        <f aca="false">VLOOKUP($A33,ScaledPrice,8)</f>
        <v> </v>
      </c>
      <c r="P33" s="290" t="str">
        <f aca="false">VLOOKUP($A33,ScaledPrice,12)</f>
        <v> </v>
      </c>
      <c r="Q33" s="291" t="str">
        <f aca="false">VLOOKUP($A33,ScaledPrice,13)</f>
        <v> </v>
      </c>
      <c r="R33" s="292" t="str">
        <f aca="false">IF($A33="N/A"," ",IF(Dayrun&gt;=3,IF(Option=1,MAX($I33-$H33,0),IF(Option=2,MAX($H33-$I33,0),0)),0))</f>
        <v> </v>
      </c>
      <c r="S33" s="286" t="str">
        <f aca="false">IF($A33="N/A"," ",IF(Dayrun&gt;=6,IF(Option=1,MAX($J33-H33,0),IF(Option=2,MAX(H33-$J33,0),0)),0))</f>
        <v> </v>
      </c>
      <c r="T33" s="286" t="str">
        <f aca="false">IF($A33="N/A"," ",IF(OR(Dayrun&lt;=2,Dayrun&gt;=9),IF(Option=1,MAX($K33-$H33,0),IF(Option=2,MAX($H33-$K33,0),0)),0))</f>
        <v> </v>
      </c>
      <c r="U33" s="286" t="str">
        <f aca="false">IF($A33="N/A"," ",IF(OR(Dayrun=1,Dayrun=4,Dayrun=5,Dayrun=7,Dayrun=8,Dayrun=10,Dayrun=11),IF(Option=1,MAX($L33-H33,0),IF(Option=2,MAX(H33-$L33,0),0)),0))</f>
        <v> </v>
      </c>
      <c r="V33" s="286" t="str">
        <f aca="false">IF($A33="N/A"," ",IF(OR(Dayrun=1,Dayrun=7,Dayrun=8,Dayrun=10,Dayrun=11),IF(Option=1,MAX($M33-H33,0),IF(Option=2,MAX(H33-$M33,0),0)),0))</f>
        <v> </v>
      </c>
      <c r="W33" s="286" t="str">
        <f aca="false">IF($A33="N/A"," ",IF(OR(Dayrun&lt;=2,Dayrun&gt;=10),IF(Option=1,MAX($N33-$H33,0),IF(Option=2,MAX($H33-$N33,0),0)),0))</f>
        <v> </v>
      </c>
      <c r="X33" s="286" t="str">
        <f aca="false">IF($A33="N/A"," ",IF(OR(Dayrun=1,Dayrun=5,Dayrun=8,Dayrun=11),IF(Option=1,MAX($O33-H33,0),IF(Option=2,MAX(H33-$O33,0),0)),0))</f>
        <v> </v>
      </c>
      <c r="Y33" s="286" t="str">
        <f aca="false">IF($A33="N/A"," ",IF(OR(Dayrun=1,Dayrun=8,Dayrun=11),IF(Option=1,MAX($P33-H33,0),IF(Option=2,MAX(H33-$P33,0),0)),0))</f>
        <v> </v>
      </c>
      <c r="Z33" s="293" t="str">
        <f aca="false">IF($A33="N/A"," ",IF(OR(Dayrun&lt;=2,Dayrun&gt;=11),IF(Option=1,MAX($Q33-$H33,0),IF(Option=2,MAX($H33-$Q33,0),0)),0))</f>
        <v> </v>
      </c>
      <c r="AA33" s="289" t="str">
        <f aca="false">IF($A33="N/A"," ",IF(Dayrun&gt;=3,(MAX(0,(xSPRDOPT(I33,($E33-'Pricing Inputs'!$X68*$D33),$CV33,0,($CN33+IF(Smile=TRUE(),VLOOKUP(MAX(-5,$H33-I33),Volsmile,2),0)),$CT33,$CU33,($A33-DateToday)+15,ABS(Option-2),0)-R33))),0))</f>
        <v> </v>
      </c>
      <c r="AB33" s="290" t="str">
        <f aca="false">IF($A33="N/A"," ",IF(Dayrun&gt;=6,MAX(0,(xSPRDOPT(J33,($E33-'Pricing Inputs'!$X68*$D33),$CV33,0,($CN33+IF(Smile=TRUE(),VLOOKUP(MAX(-5,$H33-J33),Volsmile,2),0)),$CT33,$CU33,($A33-DateToday)+15,ABS(Option-2),0)-S33)),0))</f>
        <v> </v>
      </c>
      <c r="AC33" s="290" t="str">
        <f aca="false">IF($A33="N/A"," ",IF(OR(Dayrun&lt;=2,Dayrun&gt;=9),IF(OffPeakEx=TRUE(),MAX(0,(xSPRDOPT(K33,($E33-'Pricing Inputs'!$X68*$D33),$CV33,0,($CQ33+IF(Smile=TRUE(),VLOOKUP(MAX(-5,$H33-K33),Volsmile,2),0)),$CT33,$CU33,($A33-DateToday)+15,ABS(Option-2),0)-T33)),0),0))</f>
        <v> </v>
      </c>
      <c r="AD33" s="290" t="str">
        <f aca="false">IF($A33="N/A"," ",IF(OR(Dayrun=1,Dayrun=4,Dayrun=5,Dayrun=7,Dayrun=8,Dayrun=10,Dayrun=11),MAX(0,(xSPRDOPT(L33,($E33-'Pricing Inputs'!$X68*$D33),$CV33,0,($CQ33+IF(Smile=TRUE(),VLOOKUP(MAX(-5,$H33-L33),Volsmile,2),0)),$CT33,$CU33,($A33-DateToday)+15,ABS(Option-2),0)-U33)),0))</f>
        <v> </v>
      </c>
      <c r="AE33" s="290" t="str">
        <f aca="false">IF($A33="N/A"," ",IF(OR(Dayrun=1,Dayrun=7,Dayrun=8,Dayrun=10,Dayrun=11),MAX(0,(xSPRDOPT(M33,($E33-'Pricing Inputs'!$X68*$D33),$CV33,0,($CQ33+IF(Smile=TRUE(),VLOOKUP(MAX(-5,$H33-M33),Volsmile,2),0)),$CT33,$CU33,($A33-DateToday)+15,ABS(Option-2),0)-V33)),0))</f>
        <v> </v>
      </c>
      <c r="AF33" s="290" t="str">
        <f aca="false">IF($A33="N/A"," ",IF(OR(Dayrun&lt;=2,Dayrun&gt;=10),IF(OffPeakEx=TRUE(),MAX(0,(xSPRDOPT(N33,($E33-'Pricing Inputs'!$X68*$D33),$CV33,0,($CQ33+IF(Smile=TRUE(),VLOOKUP(MAX(-5,$H33-N33),Volsmile,2),0)),$CT33,$CU33,($A33-DateToday)+15,ABS(Option-2),0)-W33)),0),0))</f>
        <v> </v>
      </c>
      <c r="AG33" s="290" t="str">
        <f aca="false">IF($A33="N/A"," ",IF(OR(Dayrun=1,Dayrun=5,Dayrun=8,Dayrun=11),MAX(0,(xSPRDOPT(O33,($E33-'Pricing Inputs'!$X68*$D33),$CV33,0,($CQ33+IF(Smile=TRUE(),VLOOKUP(MAX(-5,$H33-O33),Volsmile,2),0)),$CT33,$CU33,($A33-DateToday)+15,ABS(Option-2),0)-X33)),0))</f>
        <v> </v>
      </c>
      <c r="AH33" s="290" t="str">
        <f aca="false">IF($A33="N/A"," ",IF(OR(Dayrun=1,Dayrun=8,Dayrun=11),MAX(0,(xSPRDOPT(P33,($E33-'Pricing Inputs'!$X68*$D33),$CV33,0,($CQ33+IF(Smile=TRUE(),VLOOKUP(MAX(-5,$H33-P33),Volsmile,2),0)),$CT33,$CU33,($A33-DateToday)+15,ABS(Option-2),0)-Y33)),0))</f>
        <v> </v>
      </c>
      <c r="AI33" s="290" t="str">
        <f aca="false">IF($A33="N/A"," ",IF(OR(Dayrun&lt;=2,Dayrun&gt;=11),IF(OffPeakEx=TRUE(),MAX(0,(xSPRDOPT(Q33,($E33-'Pricing Inputs'!$X68*$D33),$CV33,0,($CQ33+IF(Smile=TRUE(),VLOOKUP(MAX(-5,$H33-Q33),Volsmile,2),0)),$CT33,$CU33,($A33-DateToday)+15,ABS(Option-2),0)-Z33)),0),0))</f>
        <v> </v>
      </c>
      <c r="AJ33" s="294" t="str">
        <f aca="false">IF($A33="N/A"," ",IF(Dayrun&gt;=3,IF(Option=1,$I33-$H33,IF(Option=2,$H33-$I33)),0))</f>
        <v> </v>
      </c>
      <c r="AK33" s="295" t="str">
        <f aca="false">IF($A33="N/A"," ",IF(Dayrun&gt;=6,IF(Option=1,$J33-H33,IF(Option=2,H33-$J33)),0))</f>
        <v> </v>
      </c>
      <c r="AL33" s="295" t="str">
        <f aca="false">IF($A33="N/A"," ",IF(OR(Dayrun&lt;=2,Dayrun&gt;=9),IF(Option=1,$K33-$H33,IF(Option=2,$H33-$K33)),0))</f>
        <v> </v>
      </c>
      <c r="AM33" s="295" t="str">
        <f aca="false">IF($A33="N/A"," ",IF(OR(Dayrun=1,Dayrun=4,Dayrun=5,Dayrun=7,Dayrun=8,Dayrun=10,Dayrun=11),IF(Option=1,$L33-H33,IF(Option=2,H33-$L33)),0))</f>
        <v> </v>
      </c>
      <c r="AN33" s="295" t="str">
        <f aca="false">IF($A33="N/A"," ",IF(OR(Dayrun=1,Dayrun=7,Dayrun=8,Dayrun=10,Dayrun=11),IF(Option=1,$M33-H33,IF(Option=2,H33-$M33)),0))</f>
        <v> </v>
      </c>
      <c r="AO33" s="295" t="str">
        <f aca="false">IF($A33="N/A"," ",IF(OR(Dayrun&lt;=2,Dayrun&gt;=9),IF(Option=1,$N33-$H33,IF(Option=2,$H33-$N33)),0))</f>
        <v> </v>
      </c>
      <c r="AP33" s="295" t="str">
        <f aca="false">IF($A33="N/A"," ",IF(OR(Dayrun=1,Dayrun=5,Dayrun=8,Dayrun=11),IF(Option=1,$O33-H33,IF(Option=2,H33-$O33)),0))</f>
        <v> </v>
      </c>
      <c r="AQ33" s="295" t="str">
        <f aca="false">IF($A33="N/A"," ",IF(OR(Dayrun=1,Dayrun=8,Dayrun=11),IF(Option=1,$P33-H33,IF(Option=2,H33-$P33)),0))</f>
        <v> </v>
      </c>
      <c r="AR33" s="296" t="str">
        <f aca="false">IF($A33="N/A"," ",IF(OR(Dayrun&lt;=2,Dayrun&gt;=9),IF(Option=1,$Q33-H33,IF(Option=2,H33-$Q33)),0))</f>
        <v> </v>
      </c>
      <c r="AS33" s="297" t="str">
        <f aca="false">IF($A33="N/A"," ",IF(VLOOKUP(MONTH($A33),ManualTable,2)=1,IF(Dayrun&gt;=3,$DE33*8*$CY33,0),0))</f>
        <v> </v>
      </c>
      <c r="AT33" s="297" t="str">
        <f aca="false">IF($A33="N/A"," ",IF(VLOOKUP(MONTH($A33),ManualTable,3)=1,IF(Dayrun&gt;=6,$DE33*8*$CY33,0),0))</f>
        <v> </v>
      </c>
      <c r="AU33" s="297" t="str">
        <f aca="false">IF($A33="N/A"," ",IF(VLOOKUP(MONTH($A33),ManualTable,4)=1,IF(OR(Dayrun&lt;=2,Dayrun&gt;=9),$DE33*8*$CY33,0),0))</f>
        <v> </v>
      </c>
      <c r="AV33" s="297" t="str">
        <f aca="false">IF($A33="N/A"," ",IF(VLOOKUP(MONTH($A33),ManualTable,5)=1,IF(OR(Dayrun=1,Dayrun=4,Dayrun=5,Dayrun=7,Dayrun=8,Dayrun=10,Dayrun=11),$DF33*8*$CY33,0),0))</f>
        <v> </v>
      </c>
      <c r="AW33" s="297" t="str">
        <f aca="false">IF($A33="N/A"," ",IF(VLOOKUP(MONTH($A33),ManualTable,6)=1,IF(OR(Dayrun=1,Dayrun=7,Dayrun=8,Dayrun=10,Dayrun=11),$DF33*8*$CY33,0),0))</f>
        <v> </v>
      </c>
      <c r="AX33" s="297" t="str">
        <f aca="false">IF($A33="N/A"," ",IF(VLOOKUP(MONTH($A33),ManualTable,7)=1,IF(OR(Dayrun&lt;=2,Dayrun&gt;=9),$DF33*8*$CY33,0),0))</f>
        <v> </v>
      </c>
      <c r="AY33" s="297" t="str">
        <f aca="false">IF($A33="N/A"," ",IF(VLOOKUP(MONTH($A33),ManualTable,8)=1,IF(OR(Dayrun=1,Dayrun=5,Dayrun=8,Dayrun=11),$DG33*8*$CY33,0),0))</f>
        <v> </v>
      </c>
      <c r="AZ33" s="297" t="str">
        <f aca="false">IF($A33="N/A"," ",IF(VLOOKUP(MONTH($A33),ManualTable,9)=1,IF(OR(Dayrun=1,Dayrun=8,Dayrun=11),$DG33*8*$CY33,0),0))</f>
        <v> </v>
      </c>
      <c r="BA33" s="298" t="str">
        <f aca="false">IF($A33="N/A"," ",IF(VLOOKUP(MONTH($A33),ManualTable,10)=1,IF(OR(Dayrun&lt;=2,Dayrun&gt;=9),$DG33*8*$CY33,0),0))</f>
        <v> </v>
      </c>
      <c r="BB33" s="299" t="str">
        <f aca="false">IF($A33="N/A"," ",IF(Dayrun&gt;=3,(MAX(0,(xSPRDOPT(I33,($E33-'Pricing Inputs'!$X68*$D33),$CV33,0,($CN33+IF(Smile=TRUE(),VLOOKUP(MAX(-5,$H33-I33),Volsmile,2),0)),$CT33,$CU33,($A33-DateToday)+15,ABS(Option-2),1)*DE33*8))),0))</f>
        <v> </v>
      </c>
      <c r="BC33" s="300" t="str">
        <f aca="false">IF($A33="N/A"," ",IF(Dayrun&gt;=6,MAX(0,(xSPRDOPT(J33,($E33-'Pricing Inputs'!$X68*$D33),$CV33,0,($CN33+IF(Smile=TRUE(),VLOOKUP(MAX(-5,$H33-J33),Volsmile,2),0)),$CT33,$CU33,($A33-DateToday)+15,ABS(Option-2),1)*DE33*8)),0))</f>
        <v> </v>
      </c>
      <c r="BD33" s="300" t="str">
        <f aca="false">IF($A33="N/A"," ",IF(OR(Dayrun&lt;=2,Dayrun&gt;=9),IF(OffPeakEx=TRUE(),MAX(0,(xSPRDOPT(K33,($E33-'Pricing Inputs'!$X68*$D33),$CV33,0,($CQ33+IF(Smile=TRUE(),VLOOKUP(MAX(-5,$H33-K33),Volsmile,2),0)),$CT33,$CU33,($A33-DateToday)+15,ABS(Option-2),1)*DE33*8)),0),0))</f>
        <v> </v>
      </c>
      <c r="BE33" s="300" t="str">
        <f aca="false">IF($A33="N/A"," ",IF(OR(Dayrun=1,Dayrun=4,Dayrun=5,Dayrun=7,Dayrun=8,Dayrun=10,Dayrun=11),MAX(0,(xSPRDOPT(L33,($E33-'Pricing Inputs'!$X68*$D33),$CV33,0,($CQ33+IF(Smile=TRUE(),VLOOKUP(MAX(-5,$H33-L33),Volsmile,2),0)),$CT33,$CU33,($A33-DateToday)+15,ABS(Option-2),1)*DF33*8)),0))</f>
        <v> </v>
      </c>
      <c r="BF33" s="300" t="str">
        <f aca="false">IF($A33="N/A"," ",IF(OR(Dayrun=1,Dayrun=7,Dayrun=8,Dayrun=10,Dayrun=11),MAX(0,(xSPRDOPT(M33,($E33-'Pricing Inputs'!$X68*$D33),$CV33,0,($CQ33+IF(Smile=TRUE(),VLOOKUP(MAX(-5,$H33-M33),Volsmile,2),0)),$CT33,$CU33,($A33-DateToday)+15,ABS(Option-2),1)*DF33*8)),0))</f>
        <v> </v>
      </c>
      <c r="BG33" s="300" t="str">
        <f aca="false">IF($A33="N/A"," ",IF(OR(Dayrun&lt;=2,Dayrun&gt;=10),IF(OffPeakEx=TRUE(),MAX(0,(xSPRDOPT(N33,($E33-'Pricing Inputs'!$X68*$D33),$CV33,0,($CQ33+IF(Smile=TRUE(),VLOOKUP(MAX(-5,$H33-N33),Volsmile,2),0)),$CT33,$CU33,($A33-DateToday)+15,ABS(Option-2),1)*DF33*8)),0),0))</f>
        <v> </v>
      </c>
      <c r="BH33" s="300" t="str">
        <f aca="false">IF($A33="N/A"," ",IF(OR(Dayrun=1,Dayrun=5,Dayrun=8,Dayrun=11),MAX(0,(xSPRDOPT(O33,($E33-'Pricing Inputs'!$X68*$D33),$CV33,0,($CQ33+IF(Smile=TRUE(),VLOOKUP(MAX(-5,$H33-O33),Volsmile,2),0)),$CT33,$CU33,($A33-DateToday)+15,ABS(Option-2),1)*DG33*8)),0))</f>
        <v> </v>
      </c>
      <c r="BI33" s="300" t="str">
        <f aca="false">IF($A33="N/A"," ",IF(OR(Dayrun=1,Dayrun=8,Dayrun=11),MAX(0,(xSPRDOPT(P33,($E33-'Pricing Inputs'!$X68*$D33),$CV33,0,($CQ33+IF(Smile=TRUE(),VLOOKUP(MAX(-5,$H33-P33),Volsmile,2),0)),$CT33,$CU33,($A33-DateToday)+15,ABS(Option-2),1)*DG33*8)),0))</f>
        <v> </v>
      </c>
      <c r="BJ33" s="301" t="str">
        <f aca="false">IF($A33="N/A"," ",IF(OR(Dayrun&lt;=2,Dayrun&gt;=11),IF(OffPeakEx=TRUE(),MAX(0,(xSPRDOPT(Q33,($E33-'Pricing Inputs'!$X68*$D33),$CV33,0,($CQ33+IF(Smile=TRUE(),VLOOKUP(MAX(-5,$H33-Q33),Volsmile,2),0)),$CT33,$CU33,($A33-DateToday)+15,ABS(Option-2),1)*DG33*8)),0),0))</f>
        <v> </v>
      </c>
      <c r="BK33" s="302" t="str">
        <f aca="false">IF($A33="N/A"," ",R33*$AS33)</f>
        <v> </v>
      </c>
      <c r="BL33" s="303" t="str">
        <f aca="false">IF($A33="N/A"," ",S33*$AT33)</f>
        <v> </v>
      </c>
      <c r="BM33" s="303" t="str">
        <f aca="false">IF($A33="N/A"," ",T33*$AU33)</f>
        <v> </v>
      </c>
      <c r="BN33" s="303" t="str">
        <f aca="false">IF($A33="N/A"," ",U33*$AV33)</f>
        <v> </v>
      </c>
      <c r="BO33" s="303" t="str">
        <f aca="false">IF($A33="N/A"," ",V33*$AW33)</f>
        <v> </v>
      </c>
      <c r="BP33" s="303" t="str">
        <f aca="false">IF($A33="N/A"," ",W33*$AX33)</f>
        <v> </v>
      </c>
      <c r="BQ33" s="303" t="str">
        <f aca="false">IF($A33="N/A"," ",X33*$AY33)</f>
        <v> </v>
      </c>
      <c r="BR33" s="303" t="str">
        <f aca="false">IF($A33="N/A"," ",Y33*$AZ33)</f>
        <v> </v>
      </c>
      <c r="BS33" s="304" t="str">
        <f aca="false">IF($A33="N/A"," ",Z33*$BA33)</f>
        <v> </v>
      </c>
      <c r="BT33" s="305" t="str">
        <f aca="false">IF($A33="N/A"," ",AA33*$AS33)</f>
        <v> </v>
      </c>
      <c r="BU33" s="306" t="str">
        <f aca="false">IF($A33="N/A"," ",AB33*$AT33)</f>
        <v> </v>
      </c>
      <c r="BV33" s="306" t="str">
        <f aca="false">IF($A33="N/A"," ",AC33*$AU33)</f>
        <v> </v>
      </c>
      <c r="BW33" s="306" t="str">
        <f aca="false">IF($A33="N/A"," ",AD33*$AV33)</f>
        <v> </v>
      </c>
      <c r="BX33" s="306" t="str">
        <f aca="false">IF($A33="N/A"," ",AE33*$AW33)</f>
        <v> </v>
      </c>
      <c r="BY33" s="306" t="str">
        <f aca="false">IF($A33="N/A"," ",AF33*$AX33)</f>
        <v> </v>
      </c>
      <c r="BZ33" s="306" t="str">
        <f aca="false">IF($A33="N/A"," ",AG33*$AY33)</f>
        <v> </v>
      </c>
      <c r="CA33" s="306" t="str">
        <f aca="false">IF($A33="N/A"," ",AH33*$AZ33)</f>
        <v> </v>
      </c>
      <c r="CB33" s="307" t="str">
        <f aca="false">IF($A33="N/A"," ",AI33*$BA33)</f>
        <v> </v>
      </c>
      <c r="CC33" s="308" t="str">
        <f aca="false">IF($A33="N/A"," ",AJ33*$AS33)</f>
        <v> </v>
      </c>
      <c r="CD33" s="309" t="str">
        <f aca="false">IF($A33="N/A"," ",AK33*$AT33)</f>
        <v> </v>
      </c>
      <c r="CE33" s="309" t="str">
        <f aca="false">IF($A33="N/A"," ",AL33*$AU33)</f>
        <v> </v>
      </c>
      <c r="CF33" s="309" t="str">
        <f aca="false">IF($A33="N/A"," ",AM33*$AV33)</f>
        <v> </v>
      </c>
      <c r="CG33" s="309" t="str">
        <f aca="false">IF($A33="N/A"," ",AN33*$AW33)</f>
        <v> </v>
      </c>
      <c r="CH33" s="309" t="str">
        <f aca="false">IF($A33="N/A"," ",AO33*$AX33)</f>
        <v> </v>
      </c>
      <c r="CI33" s="309" t="str">
        <f aca="false">IF($A33="N/A"," ",AP33*$AY33)</f>
        <v> </v>
      </c>
      <c r="CJ33" s="309" t="str">
        <f aca="false">IF($A33="N/A"," ",AQ33*$AZ33)</f>
        <v> </v>
      </c>
      <c r="CK33" s="310" t="str">
        <f aca="false">IF($A33="N/A"," ",AR33*$BA33)</f>
        <v> </v>
      </c>
      <c r="CL33" s="311" t="str">
        <f aca="false">IF(A33="N/A"," ",(VLOOKUP(A33,PowerVolTable,(IF(VolBMO=2,7,IF(VolBMO=1,6,8))),FALSE())))</f>
        <v> </v>
      </c>
      <c r="CM33" s="312" t="str">
        <f aca="false">IF(A33="N/A"," ",(VLOOKUP(A33,IntraPowerVol,(IF(VolBMO=2,3,IF(VolBMO=1,2,4))),FALSE())*VLOOKUP(MONTH($A33),Volscale,2)))</f>
        <v> </v>
      </c>
      <c r="CN33" s="312" t="str">
        <f aca="false">IF($A33="N/A"," ",IF(VolType=1,CM33,CL33))</f>
        <v> </v>
      </c>
      <c r="CO33" s="312" t="str">
        <f aca="false">IF($A33="N/A"," ",(VLOOKUP($A33,OffPeakVol,(IF(VolBMO=2,7,IF(VolBMO=1,6,8))),FALSE())))</f>
        <v> </v>
      </c>
      <c r="CP33" s="312" t="str">
        <f aca="false">IF($A33="N/A"," ",(VLOOKUP($A33,OffPeakVol,(IF(VolBMO=2,3,IF(VolBMO=1,2,4))),FALSE())*VLOOKUP(MONTH($A33),Volscale,2)))</f>
        <v> </v>
      </c>
      <c r="CQ33" s="312" t="str">
        <f aca="false">IF($A33="N/A"," ",IF(VolType=1,CP33,CO33))</f>
        <v> </v>
      </c>
      <c r="CR33" s="312" t="str">
        <f aca="false">IF($A33="N/A"," ",(VLOOKUP($A33,GasVolTable,(IF(VolBMO=2,6,IF(VolBMO=1,7,5))),FALSE())))</f>
        <v> </v>
      </c>
      <c r="CS33" s="312" t="str">
        <f aca="false">IF($A33="N/A"," ",(VLOOKUP($A33,OmicronVol,(IF(VolBMO=2,3,IF(VolBMO=1,4,2))),FALSE())))</f>
        <v> </v>
      </c>
      <c r="CT33" s="312" t="str">
        <f aca="false">IF($A33="N/A"," ",(IF(DateToday&gt;$A33,$CS33,IF(VolType=1,((($CR33^2)*((($A33-1)-DateToday)/((EOMONTH($A33,0)+1)-DateToday-15)))+((($CS33)^2)*((15)/((EOMONTH($A33,0)+1)-DateToday-15))))^0.5,CR33))))</f>
        <v> </v>
      </c>
      <c r="CU33" s="312" t="str">
        <f aca="false">IF($A33="N/A"," ",IF('Pricing Inputs'!$AR$23=TRUE(),Inputs!$S$22,VLOOKUP($A33,CorrelationTable,2,FALSE())))</f>
        <v> </v>
      </c>
      <c r="CV33" s="313" t="str">
        <f aca="false">IF($A33="N/A"," ",F33+G33+(D33*('Pricing Inputs'!X68)))</f>
        <v> </v>
      </c>
      <c r="CW33" s="314" t="str">
        <f aca="false">IF($A33="N/A"," ",IF(PV=1,0,'Pricing Inputs'!Y68))</f>
        <v> </v>
      </c>
      <c r="CX33" s="315" t="str">
        <f aca="false">IF($A33="N/A"," ",(1+CW33/2)^(-2*((EOMONTH(A33,0)+20)-DateToday)/365.25))</f>
        <v> </v>
      </c>
      <c r="CY33" s="316" t="str">
        <f aca="false">IF($A33="N/A"," ",(IF(MONTH(A33)&gt;=4,IF(MONTH(A33)&lt;=10,Inputs!$S$26,Inputs!$S$27),Inputs!$S$27))*$CX33)</f>
        <v> </v>
      </c>
      <c r="CZ33" s="317" t="str">
        <f aca="false">IF($A33="N/A"," ",BK33+BL33+BN33+BO33+BQ33+BR33)</f>
        <v> </v>
      </c>
      <c r="DA33" s="318" t="str">
        <f aca="false">IF($A33="N/A"," ",BM33+BP33+BS33)</f>
        <v> </v>
      </c>
      <c r="DB33" s="319" t="str">
        <f aca="false">IF($A33="N/A"," ",BT33+BU33+BW33+BX33+BZ33+CA33)</f>
        <v> </v>
      </c>
      <c r="DC33" s="319" t="str">
        <f aca="false">IF($A33="N/A"," ",BV33+BY33+CB33)</f>
        <v> </v>
      </c>
      <c r="DD33" s="320" t="str">
        <f aca="false">IF($A33="N/A"," ",SUM(CC33:CK33))</f>
        <v> </v>
      </c>
      <c r="DE33" s="321" t="str">
        <f aca="false">IF($A33="N/A"," ",VLOOKUP($A33,NumberofDaysTable,2)*Availability)</f>
        <v> </v>
      </c>
      <c r="DF33" s="94" t="str">
        <f aca="false">IF($A33="N/A"," ",VLOOKUP($A33,NumberofDaysTable,3)*Availability)</f>
        <v> </v>
      </c>
      <c r="DG33" s="322" t="str">
        <f aca="false">IF($A33="N/A"," ",VLOOKUP($A33,NumberofDaysTable,4)*Availability)</f>
        <v> </v>
      </c>
      <c r="DH33" s="323" t="str">
        <f aca="false">IF($A33="N/A"," ",IF(Option=1,$D33*Inputs!$S$15*SUM(AS33:BA33),0))</f>
        <v> </v>
      </c>
      <c r="DI33" s="324" t="str">
        <f aca="false">IF($A33="N/A"," ",IF(Option=1,$D33*Inputs!$S$16*SUM(AS33:BA33),0))</f>
        <v> </v>
      </c>
      <c r="DJ33" s="325" t="str">
        <f aca="false">IF($A33="N/A"," ",SUM(AS33:AT33))</f>
        <v> </v>
      </c>
      <c r="DK33" s="325" t="str">
        <f aca="false">IF($A33="N/A"," ",SUM(AU33:BA33))</f>
        <v> </v>
      </c>
      <c r="DL33" s="325" t="str">
        <f aca="false">IF($A33="N/A"," ",SUM(BB33:BC33))</f>
        <v> </v>
      </c>
      <c r="DM33" s="325" t="str">
        <f aca="false">IF($A33="N/A"," ",SUM(BD33:BJ33))</f>
        <v> </v>
      </c>
    </row>
    <row r="34" customFormat="false" ht="12.75" hidden="false" customHeight="false" outlineLevel="0" collapsed="false">
      <c r="A34" s="282" t="str">
        <f aca="false">IF(A33="N/A","N/A",IF(EDATE(A33,1)&gt;Inputs!$S$5,"N/A",EDATE(A33,1)))</f>
        <v>N/A</v>
      </c>
      <c r="B34" s="283" t="str">
        <f aca="false">IF(A34="N/A"," ",YEAR(A34))</f>
        <v> </v>
      </c>
      <c r="C34" s="284" t="str">
        <f aca="false">IF(A34="N/A"," ",VLOOKUP(A34,ScaledPrice,14))</f>
        <v> </v>
      </c>
      <c r="D34" s="285" t="str">
        <f aca="false">IF(A34="N/A"," ",(VLOOKUP(MONTH($A34),Hrtable,2))/1000)</f>
        <v> </v>
      </c>
      <c r="E34" s="286" t="str">
        <f aca="false">IF($A34="N/A"," ",(C34)*D34)</f>
        <v> </v>
      </c>
      <c r="F34" s="287" t="str">
        <f aca="false">IF(A34="N/A"," ",VOM*(1+VOMesc)^(YEAR(A34)-YEAR(Today)))</f>
        <v> </v>
      </c>
      <c r="G34" s="287" t="str">
        <f aca="false">IF(A34="N/A"," ",Perstart/VLOOKUP(Dayrun,'Pricing Inputs'!$AQ$4:$AS$14,3)/(CY34/CX34))</f>
        <v> </v>
      </c>
      <c r="H34" s="288" t="str">
        <f aca="false">IF(A34="N/A"," ",SUM(E34:G34))</f>
        <v> </v>
      </c>
      <c r="I34" s="289" t="str">
        <f aca="false">VLOOKUP($A34,ScaledPrice,6)</f>
        <v> </v>
      </c>
      <c r="J34" s="290" t="str">
        <f aca="false">VLOOKUP($A34,ScaledPrice,10)</f>
        <v> </v>
      </c>
      <c r="K34" s="290" t="str">
        <f aca="false">VLOOKUP($A34,ScaledPrice,13)</f>
        <v> </v>
      </c>
      <c r="L34" s="290" t="str">
        <f aca="false">VLOOKUP($A34,ScaledPrice,7)</f>
        <v> </v>
      </c>
      <c r="M34" s="290" t="str">
        <f aca="false">VLOOKUP($A34,ScaledPrice,11)</f>
        <v> </v>
      </c>
      <c r="N34" s="290" t="str">
        <f aca="false">VLOOKUP($A34,ScaledPrice,13)</f>
        <v> </v>
      </c>
      <c r="O34" s="290" t="str">
        <f aca="false">VLOOKUP($A34,ScaledPrice,8)</f>
        <v> </v>
      </c>
      <c r="P34" s="290" t="str">
        <f aca="false">VLOOKUP($A34,ScaledPrice,12)</f>
        <v> </v>
      </c>
      <c r="Q34" s="291" t="str">
        <f aca="false">VLOOKUP($A34,ScaledPrice,13)</f>
        <v> </v>
      </c>
      <c r="R34" s="292" t="str">
        <f aca="false">IF($A34="N/A"," ",IF(Dayrun&gt;=3,IF(Option=1,MAX($I34-$H34,0),IF(Option=2,MAX($H34-$I34,0),0)),0))</f>
        <v> </v>
      </c>
      <c r="S34" s="286" t="str">
        <f aca="false">IF($A34="N/A"," ",IF(Dayrun&gt;=6,IF(Option=1,MAX($J34-H34,0),IF(Option=2,MAX(H34-$J34,0),0)),0))</f>
        <v> </v>
      </c>
      <c r="T34" s="286" t="str">
        <f aca="false">IF($A34="N/A"," ",IF(OR(Dayrun&lt;=2,Dayrun&gt;=9),IF(Option=1,MAX($K34-$H34,0),IF(Option=2,MAX($H34-$K34,0),0)),0))</f>
        <v> </v>
      </c>
      <c r="U34" s="286" t="str">
        <f aca="false">IF($A34="N/A"," ",IF(OR(Dayrun=1,Dayrun=4,Dayrun=5,Dayrun=7,Dayrun=8,Dayrun=10,Dayrun=11),IF(Option=1,MAX($L34-H34,0),IF(Option=2,MAX(H34-$L34,0),0)),0))</f>
        <v> </v>
      </c>
      <c r="V34" s="286" t="str">
        <f aca="false">IF($A34="N/A"," ",IF(OR(Dayrun=1,Dayrun=7,Dayrun=8,Dayrun=10,Dayrun=11),IF(Option=1,MAX($M34-H34,0),IF(Option=2,MAX(H34-$M34,0),0)),0))</f>
        <v> </v>
      </c>
      <c r="W34" s="286" t="str">
        <f aca="false">IF($A34="N/A"," ",IF(OR(Dayrun&lt;=2,Dayrun&gt;=10),IF(Option=1,MAX($N34-$H34,0),IF(Option=2,MAX($H34-$N34,0),0)),0))</f>
        <v> </v>
      </c>
      <c r="X34" s="286" t="str">
        <f aca="false">IF($A34="N/A"," ",IF(OR(Dayrun=1,Dayrun=5,Dayrun=8,Dayrun=11),IF(Option=1,MAX($O34-H34,0),IF(Option=2,MAX(H34-$O34,0),0)),0))</f>
        <v> </v>
      </c>
      <c r="Y34" s="286" t="str">
        <f aca="false">IF($A34="N/A"," ",IF(OR(Dayrun=1,Dayrun=8,Dayrun=11),IF(Option=1,MAX($P34-H34,0),IF(Option=2,MAX(H34-$P34,0),0)),0))</f>
        <v> </v>
      </c>
      <c r="Z34" s="293" t="str">
        <f aca="false">IF($A34="N/A"," ",IF(OR(Dayrun&lt;=2,Dayrun&gt;=11),IF(Option=1,MAX($Q34-$H34,0),IF(Option=2,MAX($H34-$Q34,0),0)),0))</f>
        <v> </v>
      </c>
      <c r="AA34" s="289" t="str">
        <f aca="false">IF($A34="N/A"," ",IF(Dayrun&gt;=3,(MAX(0,(xSPRDOPT(I34,($E34-'Pricing Inputs'!$X69*$D34),$CV34,0,($CN34+IF(Smile=TRUE(),VLOOKUP(MAX(-5,$H34-I34),Volsmile,2),0)),$CT34,$CU34,($A34-DateToday)+15,ABS(Option-2),0)-R34))),0))</f>
        <v> </v>
      </c>
      <c r="AB34" s="290" t="str">
        <f aca="false">IF($A34="N/A"," ",IF(Dayrun&gt;=6,MAX(0,(xSPRDOPT(J34,($E34-'Pricing Inputs'!$X69*$D34),$CV34,0,($CN34+IF(Smile=TRUE(),VLOOKUP(MAX(-5,$H34-J34),Volsmile,2),0)),$CT34,$CU34,($A34-DateToday)+15,ABS(Option-2),0)-S34)),0))</f>
        <v> </v>
      </c>
      <c r="AC34" s="290" t="str">
        <f aca="false">IF($A34="N/A"," ",IF(OR(Dayrun&lt;=2,Dayrun&gt;=9),IF(OffPeakEx=TRUE(),MAX(0,(xSPRDOPT(K34,($E34-'Pricing Inputs'!$X69*$D34),$CV34,0,($CQ34+IF(Smile=TRUE(),VLOOKUP(MAX(-5,$H34-K34),Volsmile,2),0)),$CT34,$CU34,($A34-DateToday)+15,ABS(Option-2),0)-T34)),0),0))</f>
        <v> </v>
      </c>
      <c r="AD34" s="290" t="str">
        <f aca="false">IF($A34="N/A"," ",IF(OR(Dayrun=1,Dayrun=4,Dayrun=5,Dayrun=7,Dayrun=8,Dayrun=10,Dayrun=11),MAX(0,(xSPRDOPT(L34,($E34-'Pricing Inputs'!$X69*$D34),$CV34,0,($CQ34+IF(Smile=TRUE(),VLOOKUP(MAX(-5,$H34-L34),Volsmile,2),0)),$CT34,$CU34,($A34-DateToday)+15,ABS(Option-2),0)-U34)),0))</f>
        <v> </v>
      </c>
      <c r="AE34" s="290" t="str">
        <f aca="false">IF($A34="N/A"," ",IF(OR(Dayrun=1,Dayrun=7,Dayrun=8,Dayrun=10,Dayrun=11),MAX(0,(xSPRDOPT(M34,($E34-'Pricing Inputs'!$X69*$D34),$CV34,0,($CQ34+IF(Smile=TRUE(),VLOOKUP(MAX(-5,$H34-M34),Volsmile,2),0)),$CT34,$CU34,($A34-DateToday)+15,ABS(Option-2),0)-V34)),0))</f>
        <v> </v>
      </c>
      <c r="AF34" s="290" t="str">
        <f aca="false">IF($A34="N/A"," ",IF(OR(Dayrun&lt;=2,Dayrun&gt;=10),IF(OffPeakEx=TRUE(),MAX(0,(xSPRDOPT(N34,($E34-'Pricing Inputs'!$X69*$D34),$CV34,0,($CQ34+IF(Smile=TRUE(),VLOOKUP(MAX(-5,$H34-N34),Volsmile,2),0)),$CT34,$CU34,($A34-DateToday)+15,ABS(Option-2),0)-W34)),0),0))</f>
        <v> </v>
      </c>
      <c r="AG34" s="290" t="str">
        <f aca="false">IF($A34="N/A"," ",IF(OR(Dayrun=1,Dayrun=5,Dayrun=8,Dayrun=11),MAX(0,(xSPRDOPT(O34,($E34-'Pricing Inputs'!$X69*$D34),$CV34,0,($CQ34+IF(Smile=TRUE(),VLOOKUP(MAX(-5,$H34-O34),Volsmile,2),0)),$CT34,$CU34,($A34-DateToday)+15,ABS(Option-2),0)-X34)),0))</f>
        <v> </v>
      </c>
      <c r="AH34" s="290" t="str">
        <f aca="false">IF($A34="N/A"," ",IF(OR(Dayrun=1,Dayrun=8,Dayrun=11),MAX(0,(xSPRDOPT(P34,($E34-'Pricing Inputs'!$X69*$D34),$CV34,0,($CQ34+IF(Smile=TRUE(),VLOOKUP(MAX(-5,$H34-P34),Volsmile,2),0)),$CT34,$CU34,($A34-DateToday)+15,ABS(Option-2),0)-Y34)),0))</f>
        <v> </v>
      </c>
      <c r="AI34" s="290" t="str">
        <f aca="false">IF($A34="N/A"," ",IF(OR(Dayrun&lt;=2,Dayrun&gt;=11),IF(OffPeakEx=TRUE(),MAX(0,(xSPRDOPT(Q34,($E34-'Pricing Inputs'!$X69*$D34),$CV34,0,($CQ34+IF(Smile=TRUE(),VLOOKUP(MAX(-5,$H34-Q34),Volsmile,2),0)),$CT34,$CU34,($A34-DateToday)+15,ABS(Option-2),0)-Z34)),0),0))</f>
        <v> </v>
      </c>
      <c r="AJ34" s="294" t="str">
        <f aca="false">IF($A34="N/A"," ",IF(Dayrun&gt;=3,IF(Option=1,$I34-$H34,IF(Option=2,$H34-$I34)),0))</f>
        <v> </v>
      </c>
      <c r="AK34" s="295" t="str">
        <f aca="false">IF($A34="N/A"," ",IF(Dayrun&gt;=6,IF(Option=1,$J34-H34,IF(Option=2,H34-$J34)),0))</f>
        <v> </v>
      </c>
      <c r="AL34" s="295" t="str">
        <f aca="false">IF($A34="N/A"," ",IF(OR(Dayrun&lt;=2,Dayrun&gt;=9),IF(Option=1,$K34-$H34,IF(Option=2,$H34-$K34)),0))</f>
        <v> </v>
      </c>
      <c r="AM34" s="295" t="str">
        <f aca="false">IF($A34="N/A"," ",IF(OR(Dayrun=1,Dayrun=4,Dayrun=5,Dayrun=7,Dayrun=8,Dayrun=10,Dayrun=11),IF(Option=1,$L34-H34,IF(Option=2,H34-$L34)),0))</f>
        <v> </v>
      </c>
      <c r="AN34" s="295" t="str">
        <f aca="false">IF($A34="N/A"," ",IF(OR(Dayrun=1,Dayrun=7,Dayrun=8,Dayrun=10,Dayrun=11),IF(Option=1,$M34-H34,IF(Option=2,H34-$M34)),0))</f>
        <v> </v>
      </c>
      <c r="AO34" s="295" t="str">
        <f aca="false">IF($A34="N/A"," ",IF(OR(Dayrun&lt;=2,Dayrun&gt;=9),IF(Option=1,$N34-$H34,IF(Option=2,$H34-$N34)),0))</f>
        <v> </v>
      </c>
      <c r="AP34" s="295" t="str">
        <f aca="false">IF($A34="N/A"," ",IF(OR(Dayrun=1,Dayrun=5,Dayrun=8,Dayrun=11),IF(Option=1,$O34-H34,IF(Option=2,H34-$O34)),0))</f>
        <v> </v>
      </c>
      <c r="AQ34" s="295" t="str">
        <f aca="false">IF($A34="N/A"," ",IF(OR(Dayrun=1,Dayrun=8,Dayrun=11),IF(Option=1,$P34-H34,IF(Option=2,H34-$P34)),0))</f>
        <v> </v>
      </c>
      <c r="AR34" s="296" t="str">
        <f aca="false">IF($A34="N/A"," ",IF(OR(Dayrun&lt;=2,Dayrun&gt;=9),IF(Option=1,$Q34-H34,IF(Option=2,H34-$Q34)),0))</f>
        <v> </v>
      </c>
      <c r="AS34" s="297" t="str">
        <f aca="false">IF($A34="N/A"," ",IF(VLOOKUP(MONTH($A34),ManualTable,2)=1,IF(Dayrun&gt;=3,$DE34*8*$CY34,0),0))</f>
        <v> </v>
      </c>
      <c r="AT34" s="297" t="str">
        <f aca="false">IF($A34="N/A"," ",IF(VLOOKUP(MONTH($A34),ManualTable,3)=1,IF(Dayrun&gt;=6,$DE34*8*$CY34,0),0))</f>
        <v> </v>
      </c>
      <c r="AU34" s="297" t="str">
        <f aca="false">IF($A34="N/A"," ",IF(VLOOKUP(MONTH($A34),ManualTable,4)=1,IF(OR(Dayrun&lt;=2,Dayrun&gt;=9),$DE34*8*$CY34,0),0))</f>
        <v> </v>
      </c>
      <c r="AV34" s="297" t="str">
        <f aca="false">IF($A34="N/A"," ",IF(VLOOKUP(MONTH($A34),ManualTable,5)=1,IF(OR(Dayrun=1,Dayrun=4,Dayrun=5,Dayrun=7,Dayrun=8,Dayrun=10,Dayrun=11),$DF34*8*$CY34,0),0))</f>
        <v> </v>
      </c>
      <c r="AW34" s="297" t="str">
        <f aca="false">IF($A34="N/A"," ",IF(VLOOKUP(MONTH($A34),ManualTable,6)=1,IF(OR(Dayrun=1,Dayrun=7,Dayrun=8,Dayrun=10,Dayrun=11),$DF34*8*$CY34,0),0))</f>
        <v> </v>
      </c>
      <c r="AX34" s="297" t="str">
        <f aca="false">IF($A34="N/A"," ",IF(VLOOKUP(MONTH($A34),ManualTable,7)=1,IF(OR(Dayrun&lt;=2,Dayrun&gt;=9),$DF34*8*$CY34,0),0))</f>
        <v> </v>
      </c>
      <c r="AY34" s="297" t="str">
        <f aca="false">IF($A34="N/A"," ",IF(VLOOKUP(MONTH($A34),ManualTable,8)=1,IF(OR(Dayrun=1,Dayrun=5,Dayrun=8,Dayrun=11),$DG34*8*$CY34,0),0))</f>
        <v> </v>
      </c>
      <c r="AZ34" s="297" t="str">
        <f aca="false">IF($A34="N/A"," ",IF(VLOOKUP(MONTH($A34),ManualTable,9)=1,IF(OR(Dayrun=1,Dayrun=8,Dayrun=11),$DG34*8*$CY34,0),0))</f>
        <v> </v>
      </c>
      <c r="BA34" s="298" t="str">
        <f aca="false">IF($A34="N/A"," ",IF(VLOOKUP(MONTH($A34),ManualTable,10)=1,IF(OR(Dayrun&lt;=2,Dayrun&gt;=9),$DG34*8*$CY34,0),0))</f>
        <v> </v>
      </c>
      <c r="BB34" s="299" t="str">
        <f aca="false">IF($A34="N/A"," ",IF(Dayrun&gt;=3,(MAX(0,(xSPRDOPT(I34,($E34-'Pricing Inputs'!$X69*$D34),$CV34,0,($CN34+IF(Smile=TRUE(),VLOOKUP(MAX(-5,$H34-I34),Volsmile,2),0)),$CT34,$CU34,($A34-DateToday)+15,ABS(Option-2),1)*DE34*8))),0))</f>
        <v> </v>
      </c>
      <c r="BC34" s="300" t="str">
        <f aca="false">IF($A34="N/A"," ",IF(Dayrun&gt;=6,MAX(0,(xSPRDOPT(J34,($E34-'Pricing Inputs'!$X69*$D34),$CV34,0,($CN34+IF(Smile=TRUE(),VLOOKUP(MAX(-5,$H34-J34),Volsmile,2),0)),$CT34,$CU34,($A34-DateToday)+15,ABS(Option-2),1)*DE34*8)),0))</f>
        <v> </v>
      </c>
      <c r="BD34" s="300" t="str">
        <f aca="false">IF($A34="N/A"," ",IF(OR(Dayrun&lt;=2,Dayrun&gt;=9),IF(OffPeakEx=TRUE(),MAX(0,(xSPRDOPT(K34,($E34-'Pricing Inputs'!$X69*$D34),$CV34,0,($CQ34+IF(Smile=TRUE(),VLOOKUP(MAX(-5,$H34-K34),Volsmile,2),0)),$CT34,$CU34,($A34-DateToday)+15,ABS(Option-2),1)*DE34*8)),0),0))</f>
        <v> </v>
      </c>
      <c r="BE34" s="300" t="str">
        <f aca="false">IF($A34="N/A"," ",IF(OR(Dayrun=1,Dayrun=4,Dayrun=5,Dayrun=7,Dayrun=8,Dayrun=10,Dayrun=11),MAX(0,(xSPRDOPT(L34,($E34-'Pricing Inputs'!$X69*$D34),$CV34,0,($CQ34+IF(Smile=TRUE(),VLOOKUP(MAX(-5,$H34-L34),Volsmile,2),0)),$CT34,$CU34,($A34-DateToday)+15,ABS(Option-2),1)*DF34*8)),0))</f>
        <v> </v>
      </c>
      <c r="BF34" s="300" t="str">
        <f aca="false">IF($A34="N/A"," ",IF(OR(Dayrun=1,Dayrun=7,Dayrun=8,Dayrun=10,Dayrun=11),MAX(0,(xSPRDOPT(M34,($E34-'Pricing Inputs'!$X69*$D34),$CV34,0,($CQ34+IF(Smile=TRUE(),VLOOKUP(MAX(-5,$H34-M34),Volsmile,2),0)),$CT34,$CU34,($A34-DateToday)+15,ABS(Option-2),1)*DF34*8)),0))</f>
        <v> </v>
      </c>
      <c r="BG34" s="300" t="str">
        <f aca="false">IF($A34="N/A"," ",IF(OR(Dayrun&lt;=2,Dayrun&gt;=10),IF(OffPeakEx=TRUE(),MAX(0,(xSPRDOPT(N34,($E34-'Pricing Inputs'!$X69*$D34),$CV34,0,($CQ34+IF(Smile=TRUE(),VLOOKUP(MAX(-5,$H34-N34),Volsmile,2),0)),$CT34,$CU34,($A34-DateToday)+15,ABS(Option-2),1)*DF34*8)),0),0))</f>
        <v> </v>
      </c>
      <c r="BH34" s="300" t="str">
        <f aca="false">IF($A34="N/A"," ",IF(OR(Dayrun=1,Dayrun=5,Dayrun=8,Dayrun=11),MAX(0,(xSPRDOPT(O34,($E34-'Pricing Inputs'!$X69*$D34),$CV34,0,($CQ34+IF(Smile=TRUE(),VLOOKUP(MAX(-5,$H34-O34),Volsmile,2),0)),$CT34,$CU34,($A34-DateToday)+15,ABS(Option-2),1)*DG34*8)),0))</f>
        <v> </v>
      </c>
      <c r="BI34" s="300" t="str">
        <f aca="false">IF($A34="N/A"," ",IF(OR(Dayrun=1,Dayrun=8,Dayrun=11),MAX(0,(xSPRDOPT(P34,($E34-'Pricing Inputs'!$X69*$D34),$CV34,0,($CQ34+IF(Smile=TRUE(),VLOOKUP(MAX(-5,$H34-P34),Volsmile,2),0)),$CT34,$CU34,($A34-DateToday)+15,ABS(Option-2),1)*DG34*8)),0))</f>
        <v> </v>
      </c>
      <c r="BJ34" s="301" t="str">
        <f aca="false">IF($A34="N/A"," ",IF(OR(Dayrun&lt;=2,Dayrun&gt;=11),IF(OffPeakEx=TRUE(),MAX(0,(xSPRDOPT(Q34,($E34-'Pricing Inputs'!$X69*$D34),$CV34,0,($CQ34+IF(Smile=TRUE(),VLOOKUP(MAX(-5,$H34-Q34),Volsmile,2),0)),$CT34,$CU34,($A34-DateToday)+15,ABS(Option-2),1)*DG34*8)),0),0))</f>
        <v> </v>
      </c>
      <c r="BK34" s="302" t="str">
        <f aca="false">IF($A34="N/A"," ",R34*$AS34)</f>
        <v> </v>
      </c>
      <c r="BL34" s="303" t="str">
        <f aca="false">IF($A34="N/A"," ",S34*$AT34)</f>
        <v> </v>
      </c>
      <c r="BM34" s="303" t="str">
        <f aca="false">IF($A34="N/A"," ",T34*$AU34)</f>
        <v> </v>
      </c>
      <c r="BN34" s="303" t="str">
        <f aca="false">IF($A34="N/A"," ",U34*$AV34)</f>
        <v> </v>
      </c>
      <c r="BO34" s="303" t="str">
        <f aca="false">IF($A34="N/A"," ",V34*$AW34)</f>
        <v> </v>
      </c>
      <c r="BP34" s="303" t="str">
        <f aca="false">IF($A34="N/A"," ",W34*$AX34)</f>
        <v> </v>
      </c>
      <c r="BQ34" s="303" t="str">
        <f aca="false">IF($A34="N/A"," ",X34*$AY34)</f>
        <v> </v>
      </c>
      <c r="BR34" s="303" t="str">
        <f aca="false">IF($A34="N/A"," ",Y34*$AZ34)</f>
        <v> </v>
      </c>
      <c r="BS34" s="304" t="str">
        <f aca="false">IF($A34="N/A"," ",Z34*$BA34)</f>
        <v> </v>
      </c>
      <c r="BT34" s="305" t="str">
        <f aca="false">IF($A34="N/A"," ",AA34*$AS34)</f>
        <v> </v>
      </c>
      <c r="BU34" s="306" t="str">
        <f aca="false">IF($A34="N/A"," ",AB34*$AT34)</f>
        <v> </v>
      </c>
      <c r="BV34" s="306" t="str">
        <f aca="false">IF($A34="N/A"," ",AC34*$AU34)</f>
        <v> </v>
      </c>
      <c r="BW34" s="306" t="str">
        <f aca="false">IF($A34="N/A"," ",AD34*$AV34)</f>
        <v> </v>
      </c>
      <c r="BX34" s="306" t="str">
        <f aca="false">IF($A34="N/A"," ",AE34*$AW34)</f>
        <v> </v>
      </c>
      <c r="BY34" s="306" t="str">
        <f aca="false">IF($A34="N/A"," ",AF34*$AX34)</f>
        <v> </v>
      </c>
      <c r="BZ34" s="306" t="str">
        <f aca="false">IF($A34="N/A"," ",AG34*$AY34)</f>
        <v> </v>
      </c>
      <c r="CA34" s="306" t="str">
        <f aca="false">IF($A34="N/A"," ",AH34*$AZ34)</f>
        <v> </v>
      </c>
      <c r="CB34" s="307" t="str">
        <f aca="false">IF($A34="N/A"," ",AI34*$BA34)</f>
        <v> </v>
      </c>
      <c r="CC34" s="308" t="str">
        <f aca="false">IF($A34="N/A"," ",AJ34*$AS34)</f>
        <v> </v>
      </c>
      <c r="CD34" s="309" t="str">
        <f aca="false">IF($A34="N/A"," ",AK34*$AT34)</f>
        <v> </v>
      </c>
      <c r="CE34" s="309" t="str">
        <f aca="false">IF($A34="N/A"," ",AL34*$AU34)</f>
        <v> </v>
      </c>
      <c r="CF34" s="309" t="str">
        <f aca="false">IF($A34="N/A"," ",AM34*$AV34)</f>
        <v> </v>
      </c>
      <c r="CG34" s="309" t="str">
        <f aca="false">IF($A34="N/A"," ",AN34*$AW34)</f>
        <v> </v>
      </c>
      <c r="CH34" s="309" t="str">
        <f aca="false">IF($A34="N/A"," ",AO34*$AX34)</f>
        <v> </v>
      </c>
      <c r="CI34" s="309" t="str">
        <f aca="false">IF($A34="N/A"," ",AP34*$AY34)</f>
        <v> </v>
      </c>
      <c r="CJ34" s="309" t="str">
        <f aca="false">IF($A34="N/A"," ",AQ34*$AZ34)</f>
        <v> </v>
      </c>
      <c r="CK34" s="310" t="str">
        <f aca="false">IF($A34="N/A"," ",AR34*$BA34)</f>
        <v> </v>
      </c>
      <c r="CL34" s="311" t="str">
        <f aca="false">IF(A34="N/A"," ",(VLOOKUP(A34,PowerVolTable,(IF(VolBMO=2,7,IF(VolBMO=1,6,8))),FALSE())))</f>
        <v> </v>
      </c>
      <c r="CM34" s="312" t="str">
        <f aca="false">IF(A34="N/A"," ",(VLOOKUP(A34,IntraPowerVol,(IF(VolBMO=2,3,IF(VolBMO=1,2,4))),FALSE())*VLOOKUP(MONTH($A34),Volscale,2)))</f>
        <v> </v>
      </c>
      <c r="CN34" s="312" t="str">
        <f aca="false">IF($A34="N/A"," ",IF(VolType=1,CM34,CL34))</f>
        <v> </v>
      </c>
      <c r="CO34" s="312" t="str">
        <f aca="false">IF($A34="N/A"," ",(VLOOKUP($A34,OffPeakVol,(IF(VolBMO=2,7,IF(VolBMO=1,6,8))),FALSE())))</f>
        <v> </v>
      </c>
      <c r="CP34" s="312" t="str">
        <f aca="false">IF($A34="N/A"," ",(VLOOKUP($A34,OffPeakVol,(IF(VolBMO=2,3,IF(VolBMO=1,2,4))),FALSE())*VLOOKUP(MONTH($A34),Volscale,2)))</f>
        <v> </v>
      </c>
      <c r="CQ34" s="312" t="str">
        <f aca="false">IF($A34="N/A"," ",IF(VolType=1,CP34,CO34))</f>
        <v> </v>
      </c>
      <c r="CR34" s="312" t="str">
        <f aca="false">IF($A34="N/A"," ",(VLOOKUP($A34,GasVolTable,(IF(VolBMO=2,6,IF(VolBMO=1,7,5))),FALSE())))</f>
        <v> </v>
      </c>
      <c r="CS34" s="312" t="str">
        <f aca="false">IF($A34="N/A"," ",(VLOOKUP($A34,OmicronVol,(IF(VolBMO=2,3,IF(VolBMO=1,4,2))),FALSE())))</f>
        <v> </v>
      </c>
      <c r="CT34" s="312" t="str">
        <f aca="false">IF($A34="N/A"," ",(IF(DateToday&gt;$A34,$CS34,IF(VolType=1,((($CR34^2)*((($A34-1)-DateToday)/((EOMONTH($A34,0)+1)-DateToday-15)))+((($CS34)^2)*((15)/((EOMONTH($A34,0)+1)-DateToday-15))))^0.5,CR34))))</f>
        <v> </v>
      </c>
      <c r="CU34" s="312" t="str">
        <f aca="false">IF($A34="N/A"," ",IF('Pricing Inputs'!$AR$23=TRUE(),Inputs!$S$22,VLOOKUP($A34,CorrelationTable,2,FALSE())))</f>
        <v> </v>
      </c>
      <c r="CV34" s="313" t="str">
        <f aca="false">IF($A34="N/A"," ",F34+G34+(D34*('Pricing Inputs'!X69)))</f>
        <v> </v>
      </c>
      <c r="CW34" s="314" t="str">
        <f aca="false">IF($A34="N/A"," ",IF(PV=1,0,'Pricing Inputs'!Y69))</f>
        <v> </v>
      </c>
      <c r="CX34" s="315" t="str">
        <f aca="false">IF($A34="N/A"," ",(1+CW34/2)^(-2*((EOMONTH(A34,0)+20)-DateToday)/365.25))</f>
        <v> </v>
      </c>
      <c r="CY34" s="316" t="str">
        <f aca="false">IF($A34="N/A"," ",(IF(MONTH(A34)&gt;=4,IF(MONTH(A34)&lt;=10,Inputs!$S$26,Inputs!$S$27),Inputs!$S$27))*$CX34)</f>
        <v> </v>
      </c>
      <c r="CZ34" s="317" t="str">
        <f aca="false">IF($A34="N/A"," ",BK34+BL34+BN34+BO34+BQ34+BR34)</f>
        <v> </v>
      </c>
      <c r="DA34" s="318" t="str">
        <f aca="false">IF($A34="N/A"," ",BM34+BP34+BS34)</f>
        <v> </v>
      </c>
      <c r="DB34" s="319" t="str">
        <f aca="false">IF($A34="N/A"," ",BT34+BU34+BW34+BX34+BZ34+CA34)</f>
        <v> </v>
      </c>
      <c r="DC34" s="319" t="str">
        <f aca="false">IF($A34="N/A"," ",BV34+BY34+CB34)</f>
        <v> </v>
      </c>
      <c r="DD34" s="320" t="str">
        <f aca="false">IF($A34="N/A"," ",SUM(CC34:CK34))</f>
        <v> </v>
      </c>
      <c r="DE34" s="321" t="str">
        <f aca="false">IF($A34="N/A"," ",VLOOKUP($A34,NumberofDaysTable,2)*Availability)</f>
        <v> </v>
      </c>
      <c r="DF34" s="94" t="str">
        <f aca="false">IF($A34="N/A"," ",VLOOKUP($A34,NumberofDaysTable,3)*Availability)</f>
        <v> </v>
      </c>
      <c r="DG34" s="322" t="str">
        <f aca="false">IF($A34="N/A"," ",VLOOKUP($A34,NumberofDaysTable,4)*Availability)</f>
        <v> </v>
      </c>
      <c r="DH34" s="323" t="str">
        <f aca="false">IF($A34="N/A"," ",IF(Option=1,$D34*Inputs!$S$15*SUM(AS34:BA34),0))</f>
        <v> </v>
      </c>
      <c r="DI34" s="324" t="str">
        <f aca="false">IF($A34="N/A"," ",IF(Option=1,$D34*Inputs!$S$16*SUM(AS34:BA34),0))</f>
        <v> </v>
      </c>
      <c r="DJ34" s="325" t="str">
        <f aca="false">IF($A34="N/A"," ",SUM(AS34:AT34))</f>
        <v> </v>
      </c>
      <c r="DK34" s="325" t="str">
        <f aca="false">IF($A34="N/A"," ",SUM(AU34:BA34))</f>
        <v> </v>
      </c>
      <c r="DL34" s="325" t="str">
        <f aca="false">IF($A34="N/A"," ",SUM(BB34:BC34))</f>
        <v> </v>
      </c>
      <c r="DM34" s="325" t="str">
        <f aca="false">IF($A34="N/A"," ",SUM(BD34:BJ34))</f>
        <v> </v>
      </c>
    </row>
    <row r="35" customFormat="false" ht="12.75" hidden="false" customHeight="false" outlineLevel="0" collapsed="false">
      <c r="A35" s="282" t="str">
        <f aca="false">IF(A34="N/A","N/A",IF(EDATE(A34,1)&gt;Inputs!$S$5,"N/A",EDATE(A34,1)))</f>
        <v>N/A</v>
      </c>
      <c r="B35" s="283" t="str">
        <f aca="false">IF(A35="N/A"," ",YEAR(A35))</f>
        <v> </v>
      </c>
      <c r="C35" s="284" t="str">
        <f aca="false">IF(A35="N/A"," ",VLOOKUP(A35,ScaledPrice,14))</f>
        <v> </v>
      </c>
      <c r="D35" s="285" t="str">
        <f aca="false">IF(A35="N/A"," ",(VLOOKUP(MONTH($A35),Hrtable,2))/1000)</f>
        <v> </v>
      </c>
      <c r="E35" s="286" t="str">
        <f aca="false">IF($A35="N/A"," ",(C35)*D35)</f>
        <v> </v>
      </c>
      <c r="F35" s="287" t="str">
        <f aca="false">IF(A35="N/A"," ",VOM*(1+VOMesc)^(YEAR(A35)-YEAR(Today)))</f>
        <v> </v>
      </c>
      <c r="G35" s="287" t="str">
        <f aca="false">IF(A35="N/A"," ",Perstart/VLOOKUP(Dayrun,'Pricing Inputs'!$AQ$4:$AS$14,3)/(CY35/CX35))</f>
        <v> </v>
      </c>
      <c r="H35" s="288" t="str">
        <f aca="false">IF(A35="N/A"," ",SUM(E35:G35))</f>
        <v> </v>
      </c>
      <c r="I35" s="289" t="str">
        <f aca="false">VLOOKUP($A35,ScaledPrice,6)</f>
        <v> </v>
      </c>
      <c r="J35" s="290" t="str">
        <f aca="false">VLOOKUP($A35,ScaledPrice,10)</f>
        <v> </v>
      </c>
      <c r="K35" s="290" t="str">
        <f aca="false">VLOOKUP($A35,ScaledPrice,13)</f>
        <v> </v>
      </c>
      <c r="L35" s="290" t="str">
        <f aca="false">VLOOKUP($A35,ScaledPrice,7)</f>
        <v> </v>
      </c>
      <c r="M35" s="290" t="str">
        <f aca="false">VLOOKUP($A35,ScaledPrice,11)</f>
        <v> </v>
      </c>
      <c r="N35" s="290" t="str">
        <f aca="false">VLOOKUP($A35,ScaledPrice,13)</f>
        <v> </v>
      </c>
      <c r="O35" s="290" t="str">
        <f aca="false">VLOOKUP($A35,ScaledPrice,8)</f>
        <v> </v>
      </c>
      <c r="P35" s="290" t="str">
        <f aca="false">VLOOKUP($A35,ScaledPrice,12)</f>
        <v> </v>
      </c>
      <c r="Q35" s="291" t="str">
        <f aca="false">VLOOKUP($A35,ScaledPrice,13)</f>
        <v> </v>
      </c>
      <c r="R35" s="292" t="str">
        <f aca="false">IF($A35="N/A"," ",IF(Dayrun&gt;=3,IF(Option=1,MAX($I35-$H35,0),IF(Option=2,MAX($H35-$I35,0),0)),0))</f>
        <v> </v>
      </c>
      <c r="S35" s="286" t="str">
        <f aca="false">IF($A35="N/A"," ",IF(Dayrun&gt;=6,IF(Option=1,MAX($J35-H35,0),IF(Option=2,MAX(H35-$J35,0),0)),0))</f>
        <v> </v>
      </c>
      <c r="T35" s="286" t="str">
        <f aca="false">IF($A35="N/A"," ",IF(OR(Dayrun&lt;=2,Dayrun&gt;=9),IF(Option=1,MAX($K35-$H35,0),IF(Option=2,MAX($H35-$K35,0),0)),0))</f>
        <v> </v>
      </c>
      <c r="U35" s="286" t="str">
        <f aca="false">IF($A35="N/A"," ",IF(OR(Dayrun=1,Dayrun=4,Dayrun=5,Dayrun=7,Dayrun=8,Dayrun=10,Dayrun=11),IF(Option=1,MAX($L35-H35,0),IF(Option=2,MAX(H35-$L35,0),0)),0))</f>
        <v> </v>
      </c>
      <c r="V35" s="286" t="str">
        <f aca="false">IF($A35="N/A"," ",IF(OR(Dayrun=1,Dayrun=7,Dayrun=8,Dayrun=10,Dayrun=11),IF(Option=1,MAX($M35-H35,0),IF(Option=2,MAX(H35-$M35,0),0)),0))</f>
        <v> </v>
      </c>
      <c r="W35" s="286" t="str">
        <f aca="false">IF($A35="N/A"," ",IF(OR(Dayrun&lt;=2,Dayrun&gt;=10),IF(Option=1,MAX($N35-$H35,0),IF(Option=2,MAX($H35-$N35,0),0)),0))</f>
        <v> </v>
      </c>
      <c r="X35" s="286" t="str">
        <f aca="false">IF($A35="N/A"," ",IF(OR(Dayrun=1,Dayrun=5,Dayrun=8,Dayrun=11),IF(Option=1,MAX($O35-H35,0),IF(Option=2,MAX(H35-$O35,0),0)),0))</f>
        <v> </v>
      </c>
      <c r="Y35" s="286" t="str">
        <f aca="false">IF($A35="N/A"," ",IF(OR(Dayrun=1,Dayrun=8,Dayrun=11),IF(Option=1,MAX($P35-H35,0),IF(Option=2,MAX(H35-$P35,0),0)),0))</f>
        <v> </v>
      </c>
      <c r="Z35" s="293" t="str">
        <f aca="false">IF($A35="N/A"," ",IF(OR(Dayrun&lt;=2,Dayrun&gt;=11),IF(Option=1,MAX($Q35-$H35,0),IF(Option=2,MAX($H35-$Q35,0),0)),0))</f>
        <v> </v>
      </c>
      <c r="AA35" s="289" t="str">
        <f aca="false">IF($A35="N/A"," ",IF(Dayrun&gt;=3,(MAX(0,(xSPRDOPT(I35,($E35-'Pricing Inputs'!$X70*$D35),$CV35,0,($CN35+IF(Smile=TRUE(),VLOOKUP(MAX(-5,$H35-I35),Volsmile,2),0)),$CT35,$CU35,($A35-DateToday)+15,ABS(Option-2),0)-R35))),0))</f>
        <v> </v>
      </c>
      <c r="AB35" s="290" t="str">
        <f aca="false">IF($A35="N/A"," ",IF(Dayrun&gt;=6,MAX(0,(xSPRDOPT(J35,($E35-'Pricing Inputs'!$X70*$D35),$CV35,0,($CN35+IF(Smile=TRUE(),VLOOKUP(MAX(-5,$H35-J35),Volsmile,2),0)),$CT35,$CU35,($A35-DateToday)+15,ABS(Option-2),0)-S35)),0))</f>
        <v> </v>
      </c>
      <c r="AC35" s="290" t="str">
        <f aca="false">IF($A35="N/A"," ",IF(OR(Dayrun&lt;=2,Dayrun&gt;=9),IF(OffPeakEx=TRUE(),MAX(0,(xSPRDOPT(K35,($E35-'Pricing Inputs'!$X70*$D35),$CV35,0,($CQ35+IF(Smile=TRUE(),VLOOKUP(MAX(-5,$H35-K35),Volsmile,2),0)),$CT35,$CU35,($A35-DateToday)+15,ABS(Option-2),0)-T35)),0),0))</f>
        <v> </v>
      </c>
      <c r="AD35" s="290" t="str">
        <f aca="false">IF($A35="N/A"," ",IF(OR(Dayrun=1,Dayrun=4,Dayrun=5,Dayrun=7,Dayrun=8,Dayrun=10,Dayrun=11),MAX(0,(xSPRDOPT(L35,($E35-'Pricing Inputs'!$X70*$D35),$CV35,0,($CQ35+IF(Smile=TRUE(),VLOOKUP(MAX(-5,$H35-L35),Volsmile,2),0)),$CT35,$CU35,($A35-DateToday)+15,ABS(Option-2),0)-U35)),0))</f>
        <v> </v>
      </c>
      <c r="AE35" s="290" t="str">
        <f aca="false">IF($A35="N/A"," ",IF(OR(Dayrun=1,Dayrun=7,Dayrun=8,Dayrun=10,Dayrun=11),MAX(0,(xSPRDOPT(M35,($E35-'Pricing Inputs'!$X70*$D35),$CV35,0,($CQ35+IF(Smile=TRUE(),VLOOKUP(MAX(-5,$H35-M35),Volsmile,2),0)),$CT35,$CU35,($A35-DateToday)+15,ABS(Option-2),0)-V35)),0))</f>
        <v> </v>
      </c>
      <c r="AF35" s="290" t="str">
        <f aca="false">IF($A35="N/A"," ",IF(OR(Dayrun&lt;=2,Dayrun&gt;=10),IF(OffPeakEx=TRUE(),MAX(0,(xSPRDOPT(N35,($E35-'Pricing Inputs'!$X70*$D35),$CV35,0,($CQ35+IF(Smile=TRUE(),VLOOKUP(MAX(-5,$H35-N35),Volsmile,2),0)),$CT35,$CU35,($A35-DateToday)+15,ABS(Option-2),0)-W35)),0),0))</f>
        <v> </v>
      </c>
      <c r="AG35" s="290" t="str">
        <f aca="false">IF($A35="N/A"," ",IF(OR(Dayrun=1,Dayrun=5,Dayrun=8,Dayrun=11),MAX(0,(xSPRDOPT(O35,($E35-'Pricing Inputs'!$X70*$D35),$CV35,0,($CQ35+IF(Smile=TRUE(),VLOOKUP(MAX(-5,$H35-O35),Volsmile,2),0)),$CT35,$CU35,($A35-DateToday)+15,ABS(Option-2),0)-X35)),0))</f>
        <v> </v>
      </c>
      <c r="AH35" s="290" t="str">
        <f aca="false">IF($A35="N/A"," ",IF(OR(Dayrun=1,Dayrun=8,Dayrun=11),MAX(0,(xSPRDOPT(P35,($E35-'Pricing Inputs'!$X70*$D35),$CV35,0,($CQ35+IF(Smile=TRUE(),VLOOKUP(MAX(-5,$H35-P35),Volsmile,2),0)),$CT35,$CU35,($A35-DateToday)+15,ABS(Option-2),0)-Y35)),0))</f>
        <v> </v>
      </c>
      <c r="AI35" s="290" t="str">
        <f aca="false">IF($A35="N/A"," ",IF(OR(Dayrun&lt;=2,Dayrun&gt;=11),IF(OffPeakEx=TRUE(),MAX(0,(xSPRDOPT(Q35,($E35-'Pricing Inputs'!$X70*$D35),$CV35,0,($CQ35+IF(Smile=TRUE(),VLOOKUP(MAX(-5,$H35-Q35),Volsmile,2),0)),$CT35,$CU35,($A35-DateToday)+15,ABS(Option-2),0)-Z35)),0),0))</f>
        <v> </v>
      </c>
      <c r="AJ35" s="294" t="str">
        <f aca="false">IF($A35="N/A"," ",IF(Dayrun&gt;=3,IF(Option=1,$I35-$H35,IF(Option=2,$H35-$I35)),0))</f>
        <v> </v>
      </c>
      <c r="AK35" s="295" t="str">
        <f aca="false">IF($A35="N/A"," ",IF(Dayrun&gt;=6,IF(Option=1,$J35-H35,IF(Option=2,H35-$J35)),0))</f>
        <v> </v>
      </c>
      <c r="AL35" s="295" t="str">
        <f aca="false">IF($A35="N/A"," ",IF(OR(Dayrun&lt;=2,Dayrun&gt;=9),IF(Option=1,$K35-$H35,IF(Option=2,$H35-$K35)),0))</f>
        <v> </v>
      </c>
      <c r="AM35" s="295" t="str">
        <f aca="false">IF($A35="N/A"," ",IF(OR(Dayrun=1,Dayrun=4,Dayrun=5,Dayrun=7,Dayrun=8,Dayrun=10,Dayrun=11),IF(Option=1,$L35-H35,IF(Option=2,H35-$L35)),0))</f>
        <v> </v>
      </c>
      <c r="AN35" s="295" t="str">
        <f aca="false">IF($A35="N/A"," ",IF(OR(Dayrun=1,Dayrun=7,Dayrun=8,Dayrun=10,Dayrun=11),IF(Option=1,$M35-H35,IF(Option=2,H35-$M35)),0))</f>
        <v> </v>
      </c>
      <c r="AO35" s="295" t="str">
        <f aca="false">IF($A35="N/A"," ",IF(OR(Dayrun&lt;=2,Dayrun&gt;=9),IF(Option=1,$N35-$H35,IF(Option=2,$H35-$N35)),0))</f>
        <v> </v>
      </c>
      <c r="AP35" s="295" t="str">
        <f aca="false">IF($A35="N/A"," ",IF(OR(Dayrun=1,Dayrun=5,Dayrun=8,Dayrun=11),IF(Option=1,$O35-H35,IF(Option=2,H35-$O35)),0))</f>
        <v> </v>
      </c>
      <c r="AQ35" s="295" t="str">
        <f aca="false">IF($A35="N/A"," ",IF(OR(Dayrun=1,Dayrun=8,Dayrun=11),IF(Option=1,$P35-H35,IF(Option=2,H35-$P35)),0))</f>
        <v> </v>
      </c>
      <c r="AR35" s="296" t="str">
        <f aca="false">IF($A35="N/A"," ",IF(OR(Dayrun&lt;=2,Dayrun&gt;=9),IF(Option=1,$Q35-H35,IF(Option=2,H35-$Q35)),0))</f>
        <v> </v>
      </c>
      <c r="AS35" s="297" t="str">
        <f aca="false">IF($A35="N/A"," ",IF(VLOOKUP(MONTH($A35),ManualTable,2)=1,IF(Dayrun&gt;=3,$DE35*8*$CY35,0),0))</f>
        <v> </v>
      </c>
      <c r="AT35" s="297" t="str">
        <f aca="false">IF($A35="N/A"," ",IF(VLOOKUP(MONTH($A35),ManualTable,3)=1,IF(Dayrun&gt;=6,$DE35*8*$CY35,0),0))</f>
        <v> </v>
      </c>
      <c r="AU35" s="297" t="str">
        <f aca="false">IF($A35="N/A"," ",IF(VLOOKUP(MONTH($A35),ManualTable,4)=1,IF(OR(Dayrun&lt;=2,Dayrun&gt;=9),$DE35*8*$CY35,0),0))</f>
        <v> </v>
      </c>
      <c r="AV35" s="297" t="str">
        <f aca="false">IF($A35="N/A"," ",IF(VLOOKUP(MONTH($A35),ManualTable,5)=1,IF(OR(Dayrun=1,Dayrun=4,Dayrun=5,Dayrun=7,Dayrun=8,Dayrun=10,Dayrun=11),$DF35*8*$CY35,0),0))</f>
        <v> </v>
      </c>
      <c r="AW35" s="297" t="str">
        <f aca="false">IF($A35="N/A"," ",IF(VLOOKUP(MONTH($A35),ManualTable,6)=1,IF(OR(Dayrun=1,Dayrun=7,Dayrun=8,Dayrun=10,Dayrun=11),$DF35*8*$CY35,0),0))</f>
        <v> </v>
      </c>
      <c r="AX35" s="297" t="str">
        <f aca="false">IF($A35="N/A"," ",IF(VLOOKUP(MONTH($A35),ManualTable,7)=1,IF(OR(Dayrun&lt;=2,Dayrun&gt;=9),$DF35*8*$CY35,0),0))</f>
        <v> </v>
      </c>
      <c r="AY35" s="297" t="str">
        <f aca="false">IF($A35="N/A"," ",IF(VLOOKUP(MONTH($A35),ManualTable,8)=1,IF(OR(Dayrun=1,Dayrun=5,Dayrun=8,Dayrun=11),$DG35*8*$CY35,0),0))</f>
        <v> </v>
      </c>
      <c r="AZ35" s="297" t="str">
        <f aca="false">IF($A35="N/A"," ",IF(VLOOKUP(MONTH($A35),ManualTable,9)=1,IF(OR(Dayrun=1,Dayrun=8,Dayrun=11),$DG35*8*$CY35,0),0))</f>
        <v> </v>
      </c>
      <c r="BA35" s="298" t="str">
        <f aca="false">IF($A35="N/A"," ",IF(VLOOKUP(MONTH($A35),ManualTable,10)=1,IF(OR(Dayrun&lt;=2,Dayrun&gt;=9),$DG35*8*$CY35,0),0))</f>
        <v> </v>
      </c>
      <c r="BB35" s="299" t="str">
        <f aca="false">IF($A35="N/A"," ",IF(Dayrun&gt;=3,(MAX(0,(xSPRDOPT(I35,($E35-'Pricing Inputs'!$X70*$D35),$CV35,0,($CN35+IF(Smile=TRUE(),VLOOKUP(MAX(-5,$H35-I35),Volsmile,2),0)),$CT35,$CU35,($A35-DateToday)+15,ABS(Option-2),1)*DE35*8))),0))</f>
        <v> </v>
      </c>
      <c r="BC35" s="300" t="str">
        <f aca="false">IF($A35="N/A"," ",IF(Dayrun&gt;=6,MAX(0,(xSPRDOPT(J35,($E35-'Pricing Inputs'!$X70*$D35),$CV35,0,($CN35+IF(Smile=TRUE(),VLOOKUP(MAX(-5,$H35-J35),Volsmile,2),0)),$CT35,$CU35,($A35-DateToday)+15,ABS(Option-2),1)*DE35*8)),0))</f>
        <v> </v>
      </c>
      <c r="BD35" s="300" t="str">
        <f aca="false">IF($A35="N/A"," ",IF(OR(Dayrun&lt;=2,Dayrun&gt;=9),IF(OffPeakEx=TRUE(),MAX(0,(xSPRDOPT(K35,($E35-'Pricing Inputs'!$X70*$D35),$CV35,0,($CQ35+IF(Smile=TRUE(),VLOOKUP(MAX(-5,$H35-K35),Volsmile,2),0)),$CT35,$CU35,($A35-DateToday)+15,ABS(Option-2),1)*DE35*8)),0),0))</f>
        <v> </v>
      </c>
      <c r="BE35" s="300" t="str">
        <f aca="false">IF($A35="N/A"," ",IF(OR(Dayrun=1,Dayrun=4,Dayrun=5,Dayrun=7,Dayrun=8,Dayrun=10,Dayrun=11),MAX(0,(xSPRDOPT(L35,($E35-'Pricing Inputs'!$X70*$D35),$CV35,0,($CQ35+IF(Smile=TRUE(),VLOOKUP(MAX(-5,$H35-L35),Volsmile,2),0)),$CT35,$CU35,($A35-DateToday)+15,ABS(Option-2),1)*DF35*8)),0))</f>
        <v> </v>
      </c>
      <c r="BF35" s="300" t="str">
        <f aca="false">IF($A35="N/A"," ",IF(OR(Dayrun=1,Dayrun=7,Dayrun=8,Dayrun=10,Dayrun=11),MAX(0,(xSPRDOPT(M35,($E35-'Pricing Inputs'!$X70*$D35),$CV35,0,($CQ35+IF(Smile=TRUE(),VLOOKUP(MAX(-5,$H35-M35),Volsmile,2),0)),$CT35,$CU35,($A35-DateToday)+15,ABS(Option-2),1)*DF35*8)),0))</f>
        <v> </v>
      </c>
      <c r="BG35" s="300" t="str">
        <f aca="false">IF($A35="N/A"," ",IF(OR(Dayrun&lt;=2,Dayrun&gt;=10),IF(OffPeakEx=TRUE(),MAX(0,(xSPRDOPT(N35,($E35-'Pricing Inputs'!$X70*$D35),$CV35,0,($CQ35+IF(Smile=TRUE(),VLOOKUP(MAX(-5,$H35-N35),Volsmile,2),0)),$CT35,$CU35,($A35-DateToday)+15,ABS(Option-2),1)*DF35*8)),0),0))</f>
        <v> </v>
      </c>
      <c r="BH35" s="300" t="str">
        <f aca="false">IF($A35="N/A"," ",IF(OR(Dayrun=1,Dayrun=5,Dayrun=8,Dayrun=11),MAX(0,(xSPRDOPT(O35,($E35-'Pricing Inputs'!$X70*$D35),$CV35,0,($CQ35+IF(Smile=TRUE(),VLOOKUP(MAX(-5,$H35-O35),Volsmile,2),0)),$CT35,$CU35,($A35-DateToday)+15,ABS(Option-2),1)*DG35*8)),0))</f>
        <v> </v>
      </c>
      <c r="BI35" s="300" t="str">
        <f aca="false">IF($A35="N/A"," ",IF(OR(Dayrun=1,Dayrun=8,Dayrun=11),MAX(0,(xSPRDOPT(P35,($E35-'Pricing Inputs'!$X70*$D35),$CV35,0,($CQ35+IF(Smile=TRUE(),VLOOKUP(MAX(-5,$H35-P35),Volsmile,2),0)),$CT35,$CU35,($A35-DateToday)+15,ABS(Option-2),1)*DG35*8)),0))</f>
        <v> </v>
      </c>
      <c r="BJ35" s="301" t="str">
        <f aca="false">IF($A35="N/A"," ",IF(OR(Dayrun&lt;=2,Dayrun&gt;=11),IF(OffPeakEx=TRUE(),MAX(0,(xSPRDOPT(Q35,($E35-'Pricing Inputs'!$X70*$D35),$CV35,0,($CQ35+IF(Smile=TRUE(),VLOOKUP(MAX(-5,$H35-Q35),Volsmile,2),0)),$CT35,$CU35,($A35-DateToday)+15,ABS(Option-2),1)*DG35*8)),0),0))</f>
        <v> </v>
      </c>
      <c r="BK35" s="302" t="str">
        <f aca="false">IF($A35="N/A"," ",R35*$AS35)</f>
        <v> </v>
      </c>
      <c r="BL35" s="303" t="str">
        <f aca="false">IF($A35="N/A"," ",S35*$AT35)</f>
        <v> </v>
      </c>
      <c r="BM35" s="303" t="str">
        <f aca="false">IF($A35="N/A"," ",T35*$AU35)</f>
        <v> </v>
      </c>
      <c r="BN35" s="303" t="str">
        <f aca="false">IF($A35="N/A"," ",U35*$AV35)</f>
        <v> </v>
      </c>
      <c r="BO35" s="303" t="str">
        <f aca="false">IF($A35="N/A"," ",V35*$AW35)</f>
        <v> </v>
      </c>
      <c r="BP35" s="303" t="str">
        <f aca="false">IF($A35="N/A"," ",W35*$AX35)</f>
        <v> </v>
      </c>
      <c r="BQ35" s="303" t="str">
        <f aca="false">IF($A35="N/A"," ",X35*$AY35)</f>
        <v> </v>
      </c>
      <c r="BR35" s="303" t="str">
        <f aca="false">IF($A35="N/A"," ",Y35*$AZ35)</f>
        <v> </v>
      </c>
      <c r="BS35" s="304" t="str">
        <f aca="false">IF($A35="N/A"," ",Z35*$BA35)</f>
        <v> </v>
      </c>
      <c r="BT35" s="305" t="str">
        <f aca="false">IF($A35="N/A"," ",AA35*$AS35)</f>
        <v> </v>
      </c>
      <c r="BU35" s="306" t="str">
        <f aca="false">IF($A35="N/A"," ",AB35*$AT35)</f>
        <v> </v>
      </c>
      <c r="BV35" s="306" t="str">
        <f aca="false">IF($A35="N/A"," ",AC35*$AU35)</f>
        <v> </v>
      </c>
      <c r="BW35" s="306" t="str">
        <f aca="false">IF($A35="N/A"," ",AD35*$AV35)</f>
        <v> </v>
      </c>
      <c r="BX35" s="306" t="str">
        <f aca="false">IF($A35="N/A"," ",AE35*$AW35)</f>
        <v> </v>
      </c>
      <c r="BY35" s="306" t="str">
        <f aca="false">IF($A35="N/A"," ",AF35*$AX35)</f>
        <v> </v>
      </c>
      <c r="BZ35" s="306" t="str">
        <f aca="false">IF($A35="N/A"," ",AG35*$AY35)</f>
        <v> </v>
      </c>
      <c r="CA35" s="306" t="str">
        <f aca="false">IF($A35="N/A"," ",AH35*$AZ35)</f>
        <v> </v>
      </c>
      <c r="CB35" s="307" t="str">
        <f aca="false">IF($A35="N/A"," ",AI35*$BA35)</f>
        <v> </v>
      </c>
      <c r="CC35" s="308" t="str">
        <f aca="false">IF($A35="N/A"," ",AJ35*$AS35)</f>
        <v> </v>
      </c>
      <c r="CD35" s="309" t="str">
        <f aca="false">IF($A35="N/A"," ",AK35*$AT35)</f>
        <v> </v>
      </c>
      <c r="CE35" s="309" t="str">
        <f aca="false">IF($A35="N/A"," ",AL35*$AU35)</f>
        <v> </v>
      </c>
      <c r="CF35" s="309" t="str">
        <f aca="false">IF($A35="N/A"," ",AM35*$AV35)</f>
        <v> </v>
      </c>
      <c r="CG35" s="309" t="str">
        <f aca="false">IF($A35="N/A"," ",AN35*$AW35)</f>
        <v> </v>
      </c>
      <c r="CH35" s="309" t="str">
        <f aca="false">IF($A35="N/A"," ",AO35*$AX35)</f>
        <v> </v>
      </c>
      <c r="CI35" s="309" t="str">
        <f aca="false">IF($A35="N/A"," ",AP35*$AY35)</f>
        <v> </v>
      </c>
      <c r="CJ35" s="309" t="str">
        <f aca="false">IF($A35="N/A"," ",AQ35*$AZ35)</f>
        <v> </v>
      </c>
      <c r="CK35" s="310" t="str">
        <f aca="false">IF($A35="N/A"," ",AR35*$BA35)</f>
        <v> </v>
      </c>
      <c r="CL35" s="311" t="str">
        <f aca="false">IF(A35="N/A"," ",(VLOOKUP(A35,PowerVolTable,(IF(VolBMO=2,7,IF(VolBMO=1,6,8))),FALSE())))</f>
        <v> </v>
      </c>
      <c r="CM35" s="312" t="str">
        <f aca="false">IF(A35="N/A"," ",(VLOOKUP(A35,IntraPowerVol,(IF(VolBMO=2,3,IF(VolBMO=1,2,4))),FALSE())*VLOOKUP(MONTH($A35),Volscale,2)))</f>
        <v> </v>
      </c>
      <c r="CN35" s="312" t="str">
        <f aca="false">IF($A35="N/A"," ",IF(VolType=1,CM35,CL35))</f>
        <v> </v>
      </c>
      <c r="CO35" s="312" t="str">
        <f aca="false">IF($A35="N/A"," ",(VLOOKUP($A35,OffPeakVol,(IF(VolBMO=2,7,IF(VolBMO=1,6,8))),FALSE())))</f>
        <v> </v>
      </c>
      <c r="CP35" s="312" t="str">
        <f aca="false">IF($A35="N/A"," ",(VLOOKUP($A35,OffPeakVol,(IF(VolBMO=2,3,IF(VolBMO=1,2,4))),FALSE())*VLOOKUP(MONTH($A35),Volscale,2)))</f>
        <v> </v>
      </c>
      <c r="CQ35" s="312" t="str">
        <f aca="false">IF($A35="N/A"," ",IF(VolType=1,CP35,CO35))</f>
        <v> </v>
      </c>
      <c r="CR35" s="312" t="str">
        <f aca="false">IF($A35="N/A"," ",(VLOOKUP($A35,GasVolTable,(IF(VolBMO=2,6,IF(VolBMO=1,7,5))),FALSE())))</f>
        <v> </v>
      </c>
      <c r="CS35" s="312" t="str">
        <f aca="false">IF($A35="N/A"," ",(VLOOKUP($A35,OmicronVol,(IF(VolBMO=2,3,IF(VolBMO=1,4,2))),FALSE())))</f>
        <v> </v>
      </c>
      <c r="CT35" s="312" t="str">
        <f aca="false">IF($A35="N/A"," ",(IF(DateToday&gt;$A35,$CS35,IF(VolType=1,((($CR35^2)*((($A35-1)-DateToday)/((EOMONTH($A35,0)+1)-DateToday-15)))+((($CS35)^2)*((15)/((EOMONTH($A35,0)+1)-DateToday-15))))^0.5,CR35))))</f>
        <v> </v>
      </c>
      <c r="CU35" s="312" t="str">
        <f aca="false">IF($A35="N/A"," ",IF('Pricing Inputs'!$AR$23=TRUE(),Inputs!$S$22,VLOOKUP($A35,CorrelationTable,2,FALSE())))</f>
        <v> </v>
      </c>
      <c r="CV35" s="313" t="str">
        <f aca="false">IF($A35="N/A"," ",F35+G35+(D35*('Pricing Inputs'!X70)))</f>
        <v> </v>
      </c>
      <c r="CW35" s="314" t="str">
        <f aca="false">IF($A35="N/A"," ",IF(PV=1,0,'Pricing Inputs'!Y70))</f>
        <v> </v>
      </c>
      <c r="CX35" s="315" t="str">
        <f aca="false">IF($A35="N/A"," ",(1+CW35/2)^(-2*((EOMONTH(A35,0)+20)-DateToday)/365.25))</f>
        <v> </v>
      </c>
      <c r="CY35" s="316" t="str">
        <f aca="false">IF($A35="N/A"," ",(IF(MONTH(A35)&gt;=4,IF(MONTH(A35)&lt;=10,Inputs!$S$26,Inputs!$S$27),Inputs!$S$27))*$CX35)</f>
        <v> </v>
      </c>
      <c r="CZ35" s="317" t="str">
        <f aca="false">IF($A35="N/A"," ",BK35+BL35+BN35+BO35+BQ35+BR35)</f>
        <v> </v>
      </c>
      <c r="DA35" s="318" t="str">
        <f aca="false">IF($A35="N/A"," ",BM35+BP35+BS35)</f>
        <v> </v>
      </c>
      <c r="DB35" s="319" t="str">
        <f aca="false">IF($A35="N/A"," ",BT35+BU35+BW35+BX35+BZ35+CA35)</f>
        <v> </v>
      </c>
      <c r="DC35" s="319" t="str">
        <f aca="false">IF($A35="N/A"," ",BV35+BY35+CB35)</f>
        <v> </v>
      </c>
      <c r="DD35" s="320" t="str">
        <f aca="false">IF($A35="N/A"," ",SUM(CC35:CK35))</f>
        <v> </v>
      </c>
      <c r="DE35" s="321" t="str">
        <f aca="false">IF($A35="N/A"," ",VLOOKUP($A35,NumberofDaysTable,2)*Availability)</f>
        <v> </v>
      </c>
      <c r="DF35" s="94" t="str">
        <f aca="false">IF($A35="N/A"," ",VLOOKUP($A35,NumberofDaysTable,3)*Availability)</f>
        <v> </v>
      </c>
      <c r="DG35" s="322" t="str">
        <f aca="false">IF($A35="N/A"," ",VLOOKUP($A35,NumberofDaysTable,4)*Availability)</f>
        <v> </v>
      </c>
      <c r="DH35" s="323" t="str">
        <f aca="false">IF($A35="N/A"," ",IF(Option=1,$D35*Inputs!$S$15*SUM(AS35:BA35),0))</f>
        <v> </v>
      </c>
      <c r="DI35" s="324" t="str">
        <f aca="false">IF($A35="N/A"," ",IF(Option=1,$D35*Inputs!$S$16*SUM(AS35:BA35),0))</f>
        <v> </v>
      </c>
      <c r="DJ35" s="325" t="str">
        <f aca="false">IF($A35="N/A"," ",SUM(AS35:AT35))</f>
        <v> </v>
      </c>
      <c r="DK35" s="325" t="str">
        <f aca="false">IF($A35="N/A"," ",SUM(AU35:BA35))</f>
        <v> </v>
      </c>
      <c r="DL35" s="325" t="str">
        <f aca="false">IF($A35="N/A"," ",SUM(BB35:BC35))</f>
        <v> </v>
      </c>
      <c r="DM35" s="325" t="str">
        <f aca="false">IF($A35="N/A"," ",SUM(BD35:BJ35))</f>
        <v> </v>
      </c>
    </row>
    <row r="36" customFormat="false" ht="12.75" hidden="false" customHeight="false" outlineLevel="0" collapsed="false">
      <c r="A36" s="282" t="str">
        <f aca="false">IF(A35="N/A","N/A",IF(EDATE(A35,1)&gt;Inputs!$S$5,"N/A",EDATE(A35,1)))</f>
        <v>N/A</v>
      </c>
      <c r="B36" s="283" t="str">
        <f aca="false">IF(A36="N/A"," ",YEAR(A36))</f>
        <v> </v>
      </c>
      <c r="C36" s="284" t="str">
        <f aca="false">IF(A36="N/A"," ",VLOOKUP(A36,ScaledPrice,14))</f>
        <v> </v>
      </c>
      <c r="D36" s="285" t="str">
        <f aca="false">IF(A36="N/A"," ",(VLOOKUP(MONTH($A36),Hrtable,2))/1000)</f>
        <v> </v>
      </c>
      <c r="E36" s="286" t="str">
        <f aca="false">IF($A36="N/A"," ",(C36)*D36)</f>
        <v> </v>
      </c>
      <c r="F36" s="287" t="str">
        <f aca="false">IF(A36="N/A"," ",VOM*(1+VOMesc)^(YEAR(A36)-YEAR(Today)))</f>
        <v> </v>
      </c>
      <c r="G36" s="287" t="str">
        <f aca="false">IF(A36="N/A"," ",Perstart/VLOOKUP(Dayrun,'Pricing Inputs'!$AQ$4:$AS$14,3)/(CY36/CX36))</f>
        <v> </v>
      </c>
      <c r="H36" s="288" t="str">
        <f aca="false">IF(A36="N/A"," ",SUM(E36:G36))</f>
        <v> </v>
      </c>
      <c r="I36" s="289" t="str">
        <f aca="false">VLOOKUP($A36,ScaledPrice,6)</f>
        <v> </v>
      </c>
      <c r="J36" s="290" t="str">
        <f aca="false">VLOOKUP($A36,ScaledPrice,10)</f>
        <v> </v>
      </c>
      <c r="K36" s="290" t="str">
        <f aca="false">VLOOKUP($A36,ScaledPrice,13)</f>
        <v> </v>
      </c>
      <c r="L36" s="290" t="str">
        <f aca="false">VLOOKUP($A36,ScaledPrice,7)</f>
        <v> </v>
      </c>
      <c r="M36" s="290" t="str">
        <f aca="false">VLOOKUP($A36,ScaledPrice,11)</f>
        <v> </v>
      </c>
      <c r="N36" s="290" t="str">
        <f aca="false">VLOOKUP($A36,ScaledPrice,13)</f>
        <v> </v>
      </c>
      <c r="O36" s="290" t="str">
        <f aca="false">VLOOKUP($A36,ScaledPrice,8)</f>
        <v> </v>
      </c>
      <c r="P36" s="290" t="str">
        <f aca="false">VLOOKUP($A36,ScaledPrice,12)</f>
        <v> </v>
      </c>
      <c r="Q36" s="291" t="str">
        <f aca="false">VLOOKUP($A36,ScaledPrice,13)</f>
        <v> </v>
      </c>
      <c r="R36" s="292" t="str">
        <f aca="false">IF($A36="N/A"," ",IF(Dayrun&gt;=3,IF(Option=1,MAX($I36-$H36,0),IF(Option=2,MAX($H36-$I36,0),0)),0))</f>
        <v> </v>
      </c>
      <c r="S36" s="286" t="str">
        <f aca="false">IF($A36="N/A"," ",IF(Dayrun&gt;=6,IF(Option=1,MAX($J36-H36,0),IF(Option=2,MAX(H36-$J36,0),0)),0))</f>
        <v> </v>
      </c>
      <c r="T36" s="286" t="str">
        <f aca="false">IF($A36="N/A"," ",IF(OR(Dayrun&lt;=2,Dayrun&gt;=9),IF(Option=1,MAX($K36-$H36,0),IF(Option=2,MAX($H36-$K36,0),0)),0))</f>
        <v> </v>
      </c>
      <c r="U36" s="286" t="str">
        <f aca="false">IF($A36="N/A"," ",IF(OR(Dayrun=1,Dayrun=4,Dayrun=5,Dayrun=7,Dayrun=8,Dayrun=10,Dayrun=11),IF(Option=1,MAX($L36-H36,0),IF(Option=2,MAX(H36-$L36,0),0)),0))</f>
        <v> </v>
      </c>
      <c r="V36" s="286" t="str">
        <f aca="false">IF($A36="N/A"," ",IF(OR(Dayrun=1,Dayrun=7,Dayrun=8,Dayrun=10,Dayrun=11),IF(Option=1,MAX($M36-H36,0),IF(Option=2,MAX(H36-$M36,0),0)),0))</f>
        <v> </v>
      </c>
      <c r="W36" s="286" t="str">
        <f aca="false">IF($A36="N/A"," ",IF(OR(Dayrun&lt;=2,Dayrun&gt;=10),IF(Option=1,MAX($N36-$H36,0),IF(Option=2,MAX($H36-$N36,0),0)),0))</f>
        <v> </v>
      </c>
      <c r="X36" s="286" t="str">
        <f aca="false">IF($A36="N/A"," ",IF(OR(Dayrun=1,Dayrun=5,Dayrun=8,Dayrun=11),IF(Option=1,MAX($O36-H36,0),IF(Option=2,MAX(H36-$O36,0),0)),0))</f>
        <v> </v>
      </c>
      <c r="Y36" s="286" t="str">
        <f aca="false">IF($A36="N/A"," ",IF(OR(Dayrun=1,Dayrun=8,Dayrun=11),IF(Option=1,MAX($P36-H36,0),IF(Option=2,MAX(H36-$P36,0),0)),0))</f>
        <v> </v>
      </c>
      <c r="Z36" s="293" t="str">
        <f aca="false">IF($A36="N/A"," ",IF(OR(Dayrun&lt;=2,Dayrun&gt;=11),IF(Option=1,MAX($Q36-$H36,0),IF(Option=2,MAX($H36-$Q36,0),0)),0))</f>
        <v> </v>
      </c>
      <c r="AA36" s="289" t="str">
        <f aca="false">IF($A36="N/A"," ",IF(Dayrun&gt;=3,(MAX(0,(xSPRDOPT(I36,($E36-'Pricing Inputs'!$X71*$D36),$CV36,0,($CN36+IF(Smile=TRUE(),VLOOKUP(MAX(-5,$H36-I36),Volsmile,2),0)),$CT36,$CU36,($A36-DateToday)+15,ABS(Option-2),0)-R36))),0))</f>
        <v> </v>
      </c>
      <c r="AB36" s="290" t="str">
        <f aca="false">IF($A36="N/A"," ",IF(Dayrun&gt;=6,MAX(0,(xSPRDOPT(J36,($E36-'Pricing Inputs'!$X71*$D36),$CV36,0,($CN36+IF(Smile=TRUE(),VLOOKUP(MAX(-5,$H36-J36),Volsmile,2),0)),$CT36,$CU36,($A36-DateToday)+15,ABS(Option-2),0)-S36)),0))</f>
        <v> </v>
      </c>
      <c r="AC36" s="290" t="str">
        <f aca="false">IF($A36="N/A"," ",IF(OR(Dayrun&lt;=2,Dayrun&gt;=9),IF(OffPeakEx=TRUE(),MAX(0,(xSPRDOPT(K36,($E36-'Pricing Inputs'!$X71*$D36),$CV36,0,($CQ36+IF(Smile=TRUE(),VLOOKUP(MAX(-5,$H36-K36),Volsmile,2),0)),$CT36,$CU36,($A36-DateToday)+15,ABS(Option-2),0)-T36)),0),0))</f>
        <v> </v>
      </c>
      <c r="AD36" s="290" t="str">
        <f aca="false">IF($A36="N/A"," ",IF(OR(Dayrun=1,Dayrun=4,Dayrun=5,Dayrun=7,Dayrun=8,Dayrun=10,Dayrun=11),MAX(0,(xSPRDOPT(L36,($E36-'Pricing Inputs'!$X71*$D36),$CV36,0,($CQ36+IF(Smile=TRUE(),VLOOKUP(MAX(-5,$H36-L36),Volsmile,2),0)),$CT36,$CU36,($A36-DateToday)+15,ABS(Option-2),0)-U36)),0))</f>
        <v> </v>
      </c>
      <c r="AE36" s="290" t="str">
        <f aca="false">IF($A36="N/A"," ",IF(OR(Dayrun=1,Dayrun=7,Dayrun=8,Dayrun=10,Dayrun=11),MAX(0,(xSPRDOPT(M36,($E36-'Pricing Inputs'!$X71*$D36),$CV36,0,($CQ36+IF(Smile=TRUE(),VLOOKUP(MAX(-5,$H36-M36),Volsmile,2),0)),$CT36,$CU36,($A36-DateToday)+15,ABS(Option-2),0)-V36)),0))</f>
        <v> </v>
      </c>
      <c r="AF36" s="290" t="str">
        <f aca="false">IF($A36="N/A"," ",IF(OR(Dayrun&lt;=2,Dayrun&gt;=10),IF(OffPeakEx=TRUE(),MAX(0,(xSPRDOPT(N36,($E36-'Pricing Inputs'!$X71*$D36),$CV36,0,($CQ36+IF(Smile=TRUE(),VLOOKUP(MAX(-5,$H36-N36),Volsmile,2),0)),$CT36,$CU36,($A36-DateToday)+15,ABS(Option-2),0)-W36)),0),0))</f>
        <v> </v>
      </c>
      <c r="AG36" s="290" t="str">
        <f aca="false">IF($A36="N/A"," ",IF(OR(Dayrun=1,Dayrun=5,Dayrun=8,Dayrun=11),MAX(0,(xSPRDOPT(O36,($E36-'Pricing Inputs'!$X71*$D36),$CV36,0,($CQ36+IF(Smile=TRUE(),VLOOKUP(MAX(-5,$H36-O36),Volsmile,2),0)),$CT36,$CU36,($A36-DateToday)+15,ABS(Option-2),0)-X36)),0))</f>
        <v> </v>
      </c>
      <c r="AH36" s="290" t="str">
        <f aca="false">IF($A36="N/A"," ",IF(OR(Dayrun=1,Dayrun=8,Dayrun=11),MAX(0,(xSPRDOPT(P36,($E36-'Pricing Inputs'!$X71*$D36),$CV36,0,($CQ36+IF(Smile=TRUE(),VLOOKUP(MAX(-5,$H36-P36),Volsmile,2),0)),$CT36,$CU36,($A36-DateToday)+15,ABS(Option-2),0)-Y36)),0))</f>
        <v> </v>
      </c>
      <c r="AI36" s="290" t="str">
        <f aca="false">IF($A36="N/A"," ",IF(OR(Dayrun&lt;=2,Dayrun&gt;=11),IF(OffPeakEx=TRUE(),MAX(0,(xSPRDOPT(Q36,($E36-'Pricing Inputs'!$X71*$D36),$CV36,0,($CQ36+IF(Smile=TRUE(),VLOOKUP(MAX(-5,$H36-Q36),Volsmile,2),0)),$CT36,$CU36,($A36-DateToday)+15,ABS(Option-2),0)-Z36)),0),0))</f>
        <v> </v>
      </c>
      <c r="AJ36" s="294" t="str">
        <f aca="false">IF($A36="N/A"," ",IF(Dayrun&gt;=3,IF(Option=1,$I36-$H36,IF(Option=2,$H36-$I36)),0))</f>
        <v> </v>
      </c>
      <c r="AK36" s="295" t="str">
        <f aca="false">IF($A36="N/A"," ",IF(Dayrun&gt;=6,IF(Option=1,$J36-H36,IF(Option=2,H36-$J36)),0))</f>
        <v> </v>
      </c>
      <c r="AL36" s="295" t="str">
        <f aca="false">IF($A36="N/A"," ",IF(OR(Dayrun&lt;=2,Dayrun&gt;=9),IF(Option=1,$K36-$H36,IF(Option=2,$H36-$K36)),0))</f>
        <v> </v>
      </c>
      <c r="AM36" s="295" t="str">
        <f aca="false">IF($A36="N/A"," ",IF(OR(Dayrun=1,Dayrun=4,Dayrun=5,Dayrun=7,Dayrun=8,Dayrun=10,Dayrun=11),IF(Option=1,$L36-H36,IF(Option=2,H36-$L36)),0))</f>
        <v> </v>
      </c>
      <c r="AN36" s="295" t="str">
        <f aca="false">IF($A36="N/A"," ",IF(OR(Dayrun=1,Dayrun=7,Dayrun=8,Dayrun=10,Dayrun=11),IF(Option=1,$M36-H36,IF(Option=2,H36-$M36)),0))</f>
        <v> </v>
      </c>
      <c r="AO36" s="295" t="str">
        <f aca="false">IF($A36="N/A"," ",IF(OR(Dayrun&lt;=2,Dayrun&gt;=9),IF(Option=1,$N36-$H36,IF(Option=2,$H36-$N36)),0))</f>
        <v> </v>
      </c>
      <c r="AP36" s="295" t="str">
        <f aca="false">IF($A36="N/A"," ",IF(OR(Dayrun=1,Dayrun=5,Dayrun=8,Dayrun=11),IF(Option=1,$O36-H36,IF(Option=2,H36-$O36)),0))</f>
        <v> </v>
      </c>
      <c r="AQ36" s="295" t="str">
        <f aca="false">IF($A36="N/A"," ",IF(OR(Dayrun=1,Dayrun=8,Dayrun=11),IF(Option=1,$P36-H36,IF(Option=2,H36-$P36)),0))</f>
        <v> </v>
      </c>
      <c r="AR36" s="296" t="str">
        <f aca="false">IF($A36="N/A"," ",IF(OR(Dayrun&lt;=2,Dayrun&gt;=9),IF(Option=1,$Q36-H36,IF(Option=2,H36-$Q36)),0))</f>
        <v> </v>
      </c>
      <c r="AS36" s="297" t="str">
        <f aca="false">IF($A36="N/A"," ",IF(VLOOKUP(MONTH($A36),ManualTable,2)=1,IF(Dayrun&gt;=3,$DE36*8*$CY36,0),0))</f>
        <v> </v>
      </c>
      <c r="AT36" s="297" t="str">
        <f aca="false">IF($A36="N/A"," ",IF(VLOOKUP(MONTH($A36),ManualTable,3)=1,IF(Dayrun&gt;=6,$DE36*8*$CY36,0),0))</f>
        <v> </v>
      </c>
      <c r="AU36" s="297" t="str">
        <f aca="false">IF($A36="N/A"," ",IF(VLOOKUP(MONTH($A36),ManualTable,4)=1,IF(OR(Dayrun&lt;=2,Dayrun&gt;=9),$DE36*8*$CY36,0),0))</f>
        <v> </v>
      </c>
      <c r="AV36" s="297" t="str">
        <f aca="false">IF($A36="N/A"," ",IF(VLOOKUP(MONTH($A36),ManualTable,5)=1,IF(OR(Dayrun=1,Dayrun=4,Dayrun=5,Dayrun=7,Dayrun=8,Dayrun=10,Dayrun=11),$DF36*8*$CY36,0),0))</f>
        <v> </v>
      </c>
      <c r="AW36" s="297" t="str">
        <f aca="false">IF($A36="N/A"," ",IF(VLOOKUP(MONTH($A36),ManualTable,6)=1,IF(OR(Dayrun=1,Dayrun=7,Dayrun=8,Dayrun=10,Dayrun=11),$DF36*8*$CY36,0),0))</f>
        <v> </v>
      </c>
      <c r="AX36" s="297" t="str">
        <f aca="false">IF($A36="N/A"," ",IF(VLOOKUP(MONTH($A36),ManualTable,7)=1,IF(OR(Dayrun&lt;=2,Dayrun&gt;=9),$DF36*8*$CY36,0),0))</f>
        <v> </v>
      </c>
      <c r="AY36" s="297" t="str">
        <f aca="false">IF($A36="N/A"," ",IF(VLOOKUP(MONTH($A36),ManualTable,8)=1,IF(OR(Dayrun=1,Dayrun=5,Dayrun=8,Dayrun=11),$DG36*8*$CY36,0),0))</f>
        <v> </v>
      </c>
      <c r="AZ36" s="297" t="str">
        <f aca="false">IF($A36="N/A"," ",IF(VLOOKUP(MONTH($A36),ManualTable,9)=1,IF(OR(Dayrun=1,Dayrun=8,Dayrun=11),$DG36*8*$CY36,0),0))</f>
        <v> </v>
      </c>
      <c r="BA36" s="298" t="str">
        <f aca="false">IF($A36="N/A"," ",IF(VLOOKUP(MONTH($A36),ManualTable,10)=1,IF(OR(Dayrun&lt;=2,Dayrun&gt;=9),$DG36*8*$CY36,0),0))</f>
        <v> </v>
      </c>
      <c r="BB36" s="299" t="str">
        <f aca="false">IF($A36="N/A"," ",IF(Dayrun&gt;=3,(MAX(0,(xSPRDOPT(I36,($E36-'Pricing Inputs'!$X71*$D36),$CV36,0,($CN36+IF(Smile=TRUE(),VLOOKUP(MAX(-5,$H36-I36),Volsmile,2),0)),$CT36,$CU36,($A36-DateToday)+15,ABS(Option-2),1)*DE36*8))),0))</f>
        <v> </v>
      </c>
      <c r="BC36" s="300" t="str">
        <f aca="false">IF($A36="N/A"," ",IF(Dayrun&gt;=6,MAX(0,(xSPRDOPT(J36,($E36-'Pricing Inputs'!$X71*$D36),$CV36,0,($CN36+IF(Smile=TRUE(),VLOOKUP(MAX(-5,$H36-J36),Volsmile,2),0)),$CT36,$CU36,($A36-DateToday)+15,ABS(Option-2),1)*DE36*8)),0))</f>
        <v> </v>
      </c>
      <c r="BD36" s="300" t="str">
        <f aca="false">IF($A36="N/A"," ",IF(OR(Dayrun&lt;=2,Dayrun&gt;=9),IF(OffPeakEx=TRUE(),MAX(0,(xSPRDOPT(K36,($E36-'Pricing Inputs'!$X71*$D36),$CV36,0,($CQ36+IF(Smile=TRUE(),VLOOKUP(MAX(-5,$H36-K36),Volsmile,2),0)),$CT36,$CU36,($A36-DateToday)+15,ABS(Option-2),1)*DE36*8)),0),0))</f>
        <v> </v>
      </c>
      <c r="BE36" s="300" t="str">
        <f aca="false">IF($A36="N/A"," ",IF(OR(Dayrun=1,Dayrun=4,Dayrun=5,Dayrun=7,Dayrun=8,Dayrun=10,Dayrun=11),MAX(0,(xSPRDOPT(L36,($E36-'Pricing Inputs'!$X71*$D36),$CV36,0,($CQ36+IF(Smile=TRUE(),VLOOKUP(MAX(-5,$H36-L36),Volsmile,2),0)),$CT36,$CU36,($A36-DateToday)+15,ABS(Option-2),1)*DF36*8)),0))</f>
        <v> </v>
      </c>
      <c r="BF36" s="300" t="str">
        <f aca="false">IF($A36="N/A"," ",IF(OR(Dayrun=1,Dayrun=7,Dayrun=8,Dayrun=10,Dayrun=11),MAX(0,(xSPRDOPT(M36,($E36-'Pricing Inputs'!$X71*$D36),$CV36,0,($CQ36+IF(Smile=TRUE(),VLOOKUP(MAX(-5,$H36-M36),Volsmile,2),0)),$CT36,$CU36,($A36-DateToday)+15,ABS(Option-2),1)*DF36*8)),0))</f>
        <v> </v>
      </c>
      <c r="BG36" s="300" t="str">
        <f aca="false">IF($A36="N/A"," ",IF(OR(Dayrun&lt;=2,Dayrun&gt;=10),IF(OffPeakEx=TRUE(),MAX(0,(xSPRDOPT(N36,($E36-'Pricing Inputs'!$X71*$D36),$CV36,0,($CQ36+IF(Smile=TRUE(),VLOOKUP(MAX(-5,$H36-N36),Volsmile,2),0)),$CT36,$CU36,($A36-DateToday)+15,ABS(Option-2),1)*DF36*8)),0),0))</f>
        <v> </v>
      </c>
      <c r="BH36" s="300" t="str">
        <f aca="false">IF($A36="N/A"," ",IF(OR(Dayrun=1,Dayrun=5,Dayrun=8,Dayrun=11),MAX(0,(xSPRDOPT(O36,($E36-'Pricing Inputs'!$X71*$D36),$CV36,0,($CQ36+IF(Smile=TRUE(),VLOOKUP(MAX(-5,$H36-O36),Volsmile,2),0)),$CT36,$CU36,($A36-DateToday)+15,ABS(Option-2),1)*DG36*8)),0))</f>
        <v> </v>
      </c>
      <c r="BI36" s="300" t="str">
        <f aca="false">IF($A36="N/A"," ",IF(OR(Dayrun=1,Dayrun=8,Dayrun=11),MAX(0,(xSPRDOPT(P36,($E36-'Pricing Inputs'!$X71*$D36),$CV36,0,($CQ36+IF(Smile=TRUE(),VLOOKUP(MAX(-5,$H36-P36),Volsmile,2),0)),$CT36,$CU36,($A36-DateToday)+15,ABS(Option-2),1)*DG36*8)),0))</f>
        <v> </v>
      </c>
      <c r="BJ36" s="301" t="str">
        <f aca="false">IF($A36="N/A"," ",IF(OR(Dayrun&lt;=2,Dayrun&gt;=11),IF(OffPeakEx=TRUE(),MAX(0,(xSPRDOPT(Q36,($E36-'Pricing Inputs'!$X71*$D36),$CV36,0,($CQ36+IF(Smile=TRUE(),VLOOKUP(MAX(-5,$H36-Q36),Volsmile,2),0)),$CT36,$CU36,($A36-DateToday)+15,ABS(Option-2),1)*DG36*8)),0),0))</f>
        <v> </v>
      </c>
      <c r="BK36" s="302" t="str">
        <f aca="false">IF($A36="N/A"," ",R36*$AS36)</f>
        <v> </v>
      </c>
      <c r="BL36" s="303" t="str">
        <f aca="false">IF($A36="N/A"," ",S36*$AT36)</f>
        <v> </v>
      </c>
      <c r="BM36" s="303" t="str">
        <f aca="false">IF($A36="N/A"," ",T36*$AU36)</f>
        <v> </v>
      </c>
      <c r="BN36" s="303" t="str">
        <f aca="false">IF($A36="N/A"," ",U36*$AV36)</f>
        <v> </v>
      </c>
      <c r="BO36" s="303" t="str">
        <f aca="false">IF($A36="N/A"," ",V36*$AW36)</f>
        <v> </v>
      </c>
      <c r="BP36" s="303" t="str">
        <f aca="false">IF($A36="N/A"," ",W36*$AX36)</f>
        <v> </v>
      </c>
      <c r="BQ36" s="303" t="str">
        <f aca="false">IF($A36="N/A"," ",X36*$AY36)</f>
        <v> </v>
      </c>
      <c r="BR36" s="303" t="str">
        <f aca="false">IF($A36="N/A"," ",Y36*$AZ36)</f>
        <v> </v>
      </c>
      <c r="BS36" s="304" t="str">
        <f aca="false">IF($A36="N/A"," ",Z36*$BA36)</f>
        <v> </v>
      </c>
      <c r="BT36" s="305" t="str">
        <f aca="false">IF($A36="N/A"," ",AA36*$AS36)</f>
        <v> </v>
      </c>
      <c r="BU36" s="306" t="str">
        <f aca="false">IF($A36="N/A"," ",AB36*$AT36)</f>
        <v> </v>
      </c>
      <c r="BV36" s="306" t="str">
        <f aca="false">IF($A36="N/A"," ",AC36*$AU36)</f>
        <v> </v>
      </c>
      <c r="BW36" s="306" t="str">
        <f aca="false">IF($A36="N/A"," ",AD36*$AV36)</f>
        <v> </v>
      </c>
      <c r="BX36" s="306" t="str">
        <f aca="false">IF($A36="N/A"," ",AE36*$AW36)</f>
        <v> </v>
      </c>
      <c r="BY36" s="306" t="str">
        <f aca="false">IF($A36="N/A"," ",AF36*$AX36)</f>
        <v> </v>
      </c>
      <c r="BZ36" s="306" t="str">
        <f aca="false">IF($A36="N/A"," ",AG36*$AY36)</f>
        <v> </v>
      </c>
      <c r="CA36" s="306" t="str">
        <f aca="false">IF($A36="N/A"," ",AH36*$AZ36)</f>
        <v> </v>
      </c>
      <c r="CB36" s="307" t="str">
        <f aca="false">IF($A36="N/A"," ",AI36*$BA36)</f>
        <v> </v>
      </c>
      <c r="CC36" s="308" t="str">
        <f aca="false">IF($A36="N/A"," ",AJ36*$AS36)</f>
        <v> </v>
      </c>
      <c r="CD36" s="309" t="str">
        <f aca="false">IF($A36="N/A"," ",AK36*$AT36)</f>
        <v> </v>
      </c>
      <c r="CE36" s="309" t="str">
        <f aca="false">IF($A36="N/A"," ",AL36*$AU36)</f>
        <v> </v>
      </c>
      <c r="CF36" s="309" t="str">
        <f aca="false">IF($A36="N/A"," ",AM36*$AV36)</f>
        <v> </v>
      </c>
      <c r="CG36" s="309" t="str">
        <f aca="false">IF($A36="N/A"," ",AN36*$AW36)</f>
        <v> </v>
      </c>
      <c r="CH36" s="309" t="str">
        <f aca="false">IF($A36="N/A"," ",AO36*$AX36)</f>
        <v> </v>
      </c>
      <c r="CI36" s="309" t="str">
        <f aca="false">IF($A36="N/A"," ",AP36*$AY36)</f>
        <v> </v>
      </c>
      <c r="CJ36" s="309" t="str">
        <f aca="false">IF($A36="N/A"," ",AQ36*$AZ36)</f>
        <v> </v>
      </c>
      <c r="CK36" s="310" t="str">
        <f aca="false">IF($A36="N/A"," ",AR36*$BA36)</f>
        <v> </v>
      </c>
      <c r="CL36" s="311" t="str">
        <f aca="false">IF(A36="N/A"," ",(VLOOKUP(A36,PowerVolTable,(IF(VolBMO=2,7,IF(VolBMO=1,6,8))),FALSE())))</f>
        <v> </v>
      </c>
      <c r="CM36" s="312" t="str">
        <f aca="false">IF(A36="N/A"," ",(VLOOKUP(A36,IntraPowerVol,(IF(VolBMO=2,3,IF(VolBMO=1,2,4))),FALSE())*VLOOKUP(MONTH($A36),Volscale,2)))</f>
        <v> </v>
      </c>
      <c r="CN36" s="312" t="str">
        <f aca="false">IF($A36="N/A"," ",IF(VolType=1,CM36,CL36))</f>
        <v> </v>
      </c>
      <c r="CO36" s="312" t="str">
        <f aca="false">IF($A36="N/A"," ",(VLOOKUP($A36,OffPeakVol,(IF(VolBMO=2,7,IF(VolBMO=1,6,8))),FALSE())))</f>
        <v> </v>
      </c>
      <c r="CP36" s="312" t="str">
        <f aca="false">IF($A36="N/A"," ",(VLOOKUP($A36,OffPeakVol,(IF(VolBMO=2,3,IF(VolBMO=1,2,4))),FALSE())*VLOOKUP(MONTH($A36),Volscale,2)))</f>
        <v> </v>
      </c>
      <c r="CQ36" s="312" t="str">
        <f aca="false">IF($A36="N/A"," ",IF(VolType=1,CP36,CO36))</f>
        <v> </v>
      </c>
      <c r="CR36" s="312" t="str">
        <f aca="false">IF($A36="N/A"," ",(VLOOKUP($A36,GasVolTable,(IF(VolBMO=2,6,IF(VolBMO=1,7,5))),FALSE())))</f>
        <v> </v>
      </c>
      <c r="CS36" s="312" t="str">
        <f aca="false">IF($A36="N/A"," ",(VLOOKUP($A36,OmicronVol,(IF(VolBMO=2,3,IF(VolBMO=1,4,2))),FALSE())))</f>
        <v> </v>
      </c>
      <c r="CT36" s="312" t="str">
        <f aca="false">IF($A36="N/A"," ",(IF(DateToday&gt;$A36,$CS36,IF(VolType=1,((($CR36^2)*((($A36-1)-DateToday)/((EOMONTH($A36,0)+1)-DateToday-15)))+((($CS36)^2)*((15)/((EOMONTH($A36,0)+1)-DateToday-15))))^0.5,CR36))))</f>
        <v> </v>
      </c>
      <c r="CU36" s="312" t="str">
        <f aca="false">IF($A36="N/A"," ",IF('Pricing Inputs'!$AR$23=TRUE(),Inputs!$S$22,VLOOKUP($A36,CorrelationTable,2,FALSE())))</f>
        <v> </v>
      </c>
      <c r="CV36" s="313" t="str">
        <f aca="false">IF($A36="N/A"," ",F36+G36+(D36*('Pricing Inputs'!X71)))</f>
        <v> </v>
      </c>
      <c r="CW36" s="314" t="str">
        <f aca="false">IF($A36="N/A"," ",IF(PV=1,0,'Pricing Inputs'!Y71))</f>
        <v> </v>
      </c>
      <c r="CX36" s="315" t="str">
        <f aca="false">IF($A36="N/A"," ",(1+CW36/2)^(-2*((EOMONTH(A36,0)+20)-DateToday)/365.25))</f>
        <v> </v>
      </c>
      <c r="CY36" s="316" t="str">
        <f aca="false">IF($A36="N/A"," ",(IF(MONTH(A36)&gt;=4,IF(MONTH(A36)&lt;=10,Inputs!$S$26,Inputs!$S$27),Inputs!$S$27))*$CX36)</f>
        <v> </v>
      </c>
      <c r="CZ36" s="317" t="str">
        <f aca="false">IF($A36="N/A"," ",BK36+BL36+BN36+BO36+BQ36+BR36)</f>
        <v> </v>
      </c>
      <c r="DA36" s="318" t="str">
        <f aca="false">IF($A36="N/A"," ",BM36+BP36+BS36)</f>
        <v> </v>
      </c>
      <c r="DB36" s="319" t="str">
        <f aca="false">IF($A36="N/A"," ",BT36+BU36+BW36+BX36+BZ36+CA36)</f>
        <v> </v>
      </c>
      <c r="DC36" s="319" t="str">
        <f aca="false">IF($A36="N/A"," ",BV36+BY36+CB36)</f>
        <v> </v>
      </c>
      <c r="DD36" s="320" t="str">
        <f aca="false">IF($A36="N/A"," ",SUM(CC36:CK36))</f>
        <v> </v>
      </c>
      <c r="DE36" s="321" t="str">
        <f aca="false">IF($A36="N/A"," ",VLOOKUP($A36,NumberofDaysTable,2)*Availability)</f>
        <v> </v>
      </c>
      <c r="DF36" s="94" t="str">
        <f aca="false">IF($A36="N/A"," ",VLOOKUP($A36,NumberofDaysTable,3)*Availability)</f>
        <v> </v>
      </c>
      <c r="DG36" s="322" t="str">
        <f aca="false">IF($A36="N/A"," ",VLOOKUP($A36,NumberofDaysTable,4)*Availability)</f>
        <v> </v>
      </c>
      <c r="DH36" s="323" t="str">
        <f aca="false">IF($A36="N/A"," ",IF(Option=1,$D36*Inputs!$S$15*SUM(AS36:BA36),0))</f>
        <v> </v>
      </c>
      <c r="DI36" s="324" t="str">
        <f aca="false">IF($A36="N/A"," ",IF(Option=1,$D36*Inputs!$S$16*SUM(AS36:BA36),0))</f>
        <v> </v>
      </c>
      <c r="DJ36" s="325" t="str">
        <f aca="false">IF($A36="N/A"," ",SUM(AS36:AT36))</f>
        <v> </v>
      </c>
      <c r="DK36" s="325" t="str">
        <f aca="false">IF($A36="N/A"," ",SUM(AU36:BA36))</f>
        <v> </v>
      </c>
      <c r="DL36" s="325" t="str">
        <f aca="false">IF($A36="N/A"," ",SUM(BB36:BC36))</f>
        <v> </v>
      </c>
      <c r="DM36" s="325" t="str">
        <f aca="false">IF($A36="N/A"," ",SUM(BD36:BJ36))</f>
        <v> </v>
      </c>
    </row>
    <row r="37" customFormat="false" ht="12.75" hidden="false" customHeight="false" outlineLevel="0" collapsed="false">
      <c r="A37" s="282" t="str">
        <f aca="false">IF(A36="N/A","N/A",IF(EDATE(A36,1)&gt;Inputs!$S$5,"N/A",EDATE(A36,1)))</f>
        <v>N/A</v>
      </c>
      <c r="B37" s="283" t="str">
        <f aca="false">IF(A37="N/A"," ",YEAR(A37))</f>
        <v> </v>
      </c>
      <c r="C37" s="284" t="str">
        <f aca="false">IF(A37="N/A"," ",VLOOKUP(A37,ScaledPrice,14))</f>
        <v> </v>
      </c>
      <c r="D37" s="285" t="str">
        <f aca="false">IF(A37="N/A"," ",(VLOOKUP(MONTH($A37),Hrtable,2))/1000)</f>
        <v> </v>
      </c>
      <c r="E37" s="286" t="str">
        <f aca="false">IF($A37="N/A"," ",(C37)*D37)</f>
        <v> </v>
      </c>
      <c r="F37" s="287" t="str">
        <f aca="false">IF(A37="N/A"," ",VOM*(1+VOMesc)^(YEAR(A37)-YEAR(Today)))</f>
        <v> </v>
      </c>
      <c r="G37" s="287" t="str">
        <f aca="false">IF(A37="N/A"," ",Perstart/VLOOKUP(Dayrun,'Pricing Inputs'!$AQ$4:$AS$14,3)/(CY37/CX37))</f>
        <v> </v>
      </c>
      <c r="H37" s="288" t="str">
        <f aca="false">IF(A37="N/A"," ",SUM(E37:G37))</f>
        <v> </v>
      </c>
      <c r="I37" s="289" t="str">
        <f aca="false">VLOOKUP($A37,ScaledPrice,6)</f>
        <v> </v>
      </c>
      <c r="J37" s="290" t="str">
        <f aca="false">VLOOKUP($A37,ScaledPrice,10)</f>
        <v> </v>
      </c>
      <c r="K37" s="290" t="str">
        <f aca="false">VLOOKUP($A37,ScaledPrice,13)</f>
        <v> </v>
      </c>
      <c r="L37" s="290" t="str">
        <f aca="false">VLOOKUP($A37,ScaledPrice,7)</f>
        <v> </v>
      </c>
      <c r="M37" s="290" t="str">
        <f aca="false">VLOOKUP($A37,ScaledPrice,11)</f>
        <v> </v>
      </c>
      <c r="N37" s="290" t="str">
        <f aca="false">VLOOKUP($A37,ScaledPrice,13)</f>
        <v> </v>
      </c>
      <c r="O37" s="290" t="str">
        <f aca="false">VLOOKUP($A37,ScaledPrice,8)</f>
        <v> </v>
      </c>
      <c r="P37" s="290" t="str">
        <f aca="false">VLOOKUP($A37,ScaledPrice,12)</f>
        <v> </v>
      </c>
      <c r="Q37" s="291" t="str">
        <f aca="false">VLOOKUP($A37,ScaledPrice,13)</f>
        <v> </v>
      </c>
      <c r="R37" s="292" t="str">
        <f aca="false">IF($A37="N/A"," ",IF(Dayrun&gt;=3,IF(Option=1,MAX($I37-$H37,0),IF(Option=2,MAX($H37-$I37,0),0)),0))</f>
        <v> </v>
      </c>
      <c r="S37" s="286" t="str">
        <f aca="false">IF($A37="N/A"," ",IF(Dayrun&gt;=6,IF(Option=1,MAX($J37-H37,0),IF(Option=2,MAX(H37-$J37,0),0)),0))</f>
        <v> </v>
      </c>
      <c r="T37" s="286" t="str">
        <f aca="false">IF($A37="N/A"," ",IF(OR(Dayrun&lt;=2,Dayrun&gt;=9),IF(Option=1,MAX($K37-$H37,0),IF(Option=2,MAX($H37-$K37,0),0)),0))</f>
        <v> </v>
      </c>
      <c r="U37" s="286" t="str">
        <f aca="false">IF($A37="N/A"," ",IF(OR(Dayrun=1,Dayrun=4,Dayrun=5,Dayrun=7,Dayrun=8,Dayrun=10,Dayrun=11),IF(Option=1,MAX($L37-H37,0),IF(Option=2,MAX(H37-$L37,0),0)),0))</f>
        <v> </v>
      </c>
      <c r="V37" s="286" t="str">
        <f aca="false">IF($A37="N/A"," ",IF(OR(Dayrun=1,Dayrun=7,Dayrun=8,Dayrun=10,Dayrun=11),IF(Option=1,MAX($M37-H37,0),IF(Option=2,MAX(H37-$M37,0),0)),0))</f>
        <v> </v>
      </c>
      <c r="W37" s="286" t="str">
        <f aca="false">IF($A37="N/A"," ",IF(OR(Dayrun&lt;=2,Dayrun&gt;=10),IF(Option=1,MAX($N37-$H37,0),IF(Option=2,MAX($H37-$N37,0),0)),0))</f>
        <v> </v>
      </c>
      <c r="X37" s="286" t="str">
        <f aca="false">IF($A37="N/A"," ",IF(OR(Dayrun=1,Dayrun=5,Dayrun=8,Dayrun=11),IF(Option=1,MAX($O37-H37,0),IF(Option=2,MAX(H37-$O37,0),0)),0))</f>
        <v> </v>
      </c>
      <c r="Y37" s="286" t="str">
        <f aca="false">IF($A37="N/A"," ",IF(OR(Dayrun=1,Dayrun=8,Dayrun=11),IF(Option=1,MAX($P37-H37,0),IF(Option=2,MAX(H37-$P37,0),0)),0))</f>
        <v> </v>
      </c>
      <c r="Z37" s="293" t="str">
        <f aca="false">IF($A37="N/A"," ",IF(OR(Dayrun&lt;=2,Dayrun&gt;=11),IF(Option=1,MAX($Q37-$H37,0),IF(Option=2,MAX($H37-$Q37,0),0)),0))</f>
        <v> </v>
      </c>
      <c r="AA37" s="289" t="str">
        <f aca="false">IF($A37="N/A"," ",IF(Dayrun&gt;=3,(MAX(0,(xSPRDOPT(I37,($E37-'Pricing Inputs'!$X72*$D37),$CV37,0,($CN37+IF(Smile=TRUE(),VLOOKUP(MAX(-5,$H37-I37),Volsmile,2),0)),$CT37,$CU37,($A37-DateToday)+15,ABS(Option-2),0)-R37))),0))</f>
        <v> </v>
      </c>
      <c r="AB37" s="290" t="str">
        <f aca="false">IF($A37="N/A"," ",IF(Dayrun&gt;=6,MAX(0,(xSPRDOPT(J37,($E37-'Pricing Inputs'!$X72*$D37),$CV37,0,($CN37+IF(Smile=TRUE(),VLOOKUP(MAX(-5,$H37-J37),Volsmile,2),0)),$CT37,$CU37,($A37-DateToday)+15,ABS(Option-2),0)-S37)),0))</f>
        <v> </v>
      </c>
      <c r="AC37" s="290" t="str">
        <f aca="false">IF($A37="N/A"," ",IF(OR(Dayrun&lt;=2,Dayrun&gt;=9),IF(OffPeakEx=TRUE(),MAX(0,(xSPRDOPT(K37,($E37-'Pricing Inputs'!$X72*$D37),$CV37,0,($CQ37+IF(Smile=TRUE(),VLOOKUP(MAX(-5,$H37-K37),Volsmile,2),0)),$CT37,$CU37,($A37-DateToday)+15,ABS(Option-2),0)-T37)),0),0))</f>
        <v> </v>
      </c>
      <c r="AD37" s="290" t="str">
        <f aca="false">IF($A37="N/A"," ",IF(OR(Dayrun=1,Dayrun=4,Dayrun=5,Dayrun=7,Dayrun=8,Dayrun=10,Dayrun=11),MAX(0,(xSPRDOPT(L37,($E37-'Pricing Inputs'!$X72*$D37),$CV37,0,($CQ37+IF(Smile=TRUE(),VLOOKUP(MAX(-5,$H37-L37),Volsmile,2),0)),$CT37,$CU37,($A37-DateToday)+15,ABS(Option-2),0)-U37)),0))</f>
        <v> </v>
      </c>
      <c r="AE37" s="290" t="str">
        <f aca="false">IF($A37="N/A"," ",IF(OR(Dayrun=1,Dayrun=7,Dayrun=8,Dayrun=10,Dayrun=11),MAX(0,(xSPRDOPT(M37,($E37-'Pricing Inputs'!$X72*$D37),$CV37,0,($CQ37+IF(Smile=TRUE(),VLOOKUP(MAX(-5,$H37-M37),Volsmile,2),0)),$CT37,$CU37,($A37-DateToday)+15,ABS(Option-2),0)-V37)),0))</f>
        <v> </v>
      </c>
      <c r="AF37" s="290" t="str">
        <f aca="false">IF($A37="N/A"," ",IF(OR(Dayrun&lt;=2,Dayrun&gt;=10),IF(OffPeakEx=TRUE(),MAX(0,(xSPRDOPT(N37,($E37-'Pricing Inputs'!$X72*$D37),$CV37,0,($CQ37+IF(Smile=TRUE(),VLOOKUP(MAX(-5,$H37-N37),Volsmile,2),0)),$CT37,$CU37,($A37-DateToday)+15,ABS(Option-2),0)-W37)),0),0))</f>
        <v> </v>
      </c>
      <c r="AG37" s="290" t="str">
        <f aca="false">IF($A37="N/A"," ",IF(OR(Dayrun=1,Dayrun=5,Dayrun=8,Dayrun=11),MAX(0,(xSPRDOPT(O37,($E37-'Pricing Inputs'!$X72*$D37),$CV37,0,($CQ37+IF(Smile=TRUE(),VLOOKUP(MAX(-5,$H37-O37),Volsmile,2),0)),$CT37,$CU37,($A37-DateToday)+15,ABS(Option-2),0)-X37)),0))</f>
        <v> </v>
      </c>
      <c r="AH37" s="290" t="str">
        <f aca="false">IF($A37="N/A"," ",IF(OR(Dayrun=1,Dayrun=8,Dayrun=11),MAX(0,(xSPRDOPT(P37,($E37-'Pricing Inputs'!$X72*$D37),$CV37,0,($CQ37+IF(Smile=TRUE(),VLOOKUP(MAX(-5,$H37-P37),Volsmile,2),0)),$CT37,$CU37,($A37-DateToday)+15,ABS(Option-2),0)-Y37)),0))</f>
        <v> </v>
      </c>
      <c r="AI37" s="290" t="str">
        <f aca="false">IF($A37="N/A"," ",IF(OR(Dayrun&lt;=2,Dayrun&gt;=11),IF(OffPeakEx=TRUE(),MAX(0,(xSPRDOPT(Q37,($E37-'Pricing Inputs'!$X72*$D37),$CV37,0,($CQ37+IF(Smile=TRUE(),VLOOKUP(MAX(-5,$H37-Q37),Volsmile,2),0)),$CT37,$CU37,($A37-DateToday)+15,ABS(Option-2),0)-Z37)),0),0))</f>
        <v> </v>
      </c>
      <c r="AJ37" s="294" t="str">
        <f aca="false">IF($A37="N/A"," ",IF(Dayrun&gt;=3,IF(Option=1,$I37-$H37,IF(Option=2,$H37-$I37)),0))</f>
        <v> </v>
      </c>
      <c r="AK37" s="295" t="str">
        <f aca="false">IF($A37="N/A"," ",IF(Dayrun&gt;=6,IF(Option=1,$J37-H37,IF(Option=2,H37-$J37)),0))</f>
        <v> </v>
      </c>
      <c r="AL37" s="295" t="str">
        <f aca="false">IF($A37="N/A"," ",IF(OR(Dayrun&lt;=2,Dayrun&gt;=9),IF(Option=1,$K37-$H37,IF(Option=2,$H37-$K37)),0))</f>
        <v> </v>
      </c>
      <c r="AM37" s="295" t="str">
        <f aca="false">IF($A37="N/A"," ",IF(OR(Dayrun=1,Dayrun=4,Dayrun=5,Dayrun=7,Dayrun=8,Dayrun=10,Dayrun=11),IF(Option=1,$L37-H37,IF(Option=2,H37-$L37)),0))</f>
        <v> </v>
      </c>
      <c r="AN37" s="295" t="str">
        <f aca="false">IF($A37="N/A"," ",IF(OR(Dayrun=1,Dayrun=7,Dayrun=8,Dayrun=10,Dayrun=11),IF(Option=1,$M37-H37,IF(Option=2,H37-$M37)),0))</f>
        <v> </v>
      </c>
      <c r="AO37" s="295" t="str">
        <f aca="false">IF($A37="N/A"," ",IF(OR(Dayrun&lt;=2,Dayrun&gt;=9),IF(Option=1,$N37-$H37,IF(Option=2,$H37-$N37)),0))</f>
        <v> </v>
      </c>
      <c r="AP37" s="295" t="str">
        <f aca="false">IF($A37="N/A"," ",IF(OR(Dayrun=1,Dayrun=5,Dayrun=8,Dayrun=11),IF(Option=1,$O37-H37,IF(Option=2,H37-$O37)),0))</f>
        <v> </v>
      </c>
      <c r="AQ37" s="295" t="str">
        <f aca="false">IF($A37="N/A"," ",IF(OR(Dayrun=1,Dayrun=8,Dayrun=11),IF(Option=1,$P37-H37,IF(Option=2,H37-$P37)),0))</f>
        <v> </v>
      </c>
      <c r="AR37" s="296" t="str">
        <f aca="false">IF($A37="N/A"," ",IF(OR(Dayrun&lt;=2,Dayrun&gt;=9),IF(Option=1,$Q37-H37,IF(Option=2,H37-$Q37)),0))</f>
        <v> </v>
      </c>
      <c r="AS37" s="297" t="str">
        <f aca="false">IF($A37="N/A"," ",IF(VLOOKUP(MONTH($A37),ManualTable,2)=1,IF(Dayrun&gt;=3,$DE37*8*$CY37,0),0))</f>
        <v> </v>
      </c>
      <c r="AT37" s="297" t="str">
        <f aca="false">IF($A37="N/A"," ",IF(VLOOKUP(MONTH($A37),ManualTable,3)=1,IF(Dayrun&gt;=6,$DE37*8*$CY37,0),0))</f>
        <v> </v>
      </c>
      <c r="AU37" s="297" t="str">
        <f aca="false">IF($A37="N/A"," ",IF(VLOOKUP(MONTH($A37),ManualTable,4)=1,IF(OR(Dayrun&lt;=2,Dayrun&gt;=9),$DE37*8*$CY37,0),0))</f>
        <v> </v>
      </c>
      <c r="AV37" s="297" t="str">
        <f aca="false">IF($A37="N/A"," ",IF(VLOOKUP(MONTH($A37),ManualTable,5)=1,IF(OR(Dayrun=1,Dayrun=4,Dayrun=5,Dayrun=7,Dayrun=8,Dayrun=10,Dayrun=11),$DF37*8*$CY37,0),0))</f>
        <v> </v>
      </c>
      <c r="AW37" s="297" t="str">
        <f aca="false">IF($A37="N/A"," ",IF(VLOOKUP(MONTH($A37),ManualTable,6)=1,IF(OR(Dayrun=1,Dayrun=7,Dayrun=8,Dayrun=10,Dayrun=11),$DF37*8*$CY37,0),0))</f>
        <v> </v>
      </c>
      <c r="AX37" s="297" t="str">
        <f aca="false">IF($A37="N/A"," ",IF(VLOOKUP(MONTH($A37),ManualTable,7)=1,IF(OR(Dayrun&lt;=2,Dayrun&gt;=9),$DF37*8*$CY37,0),0))</f>
        <v> </v>
      </c>
      <c r="AY37" s="297" t="str">
        <f aca="false">IF($A37="N/A"," ",IF(VLOOKUP(MONTH($A37),ManualTable,8)=1,IF(OR(Dayrun=1,Dayrun=5,Dayrun=8,Dayrun=11),$DG37*8*$CY37,0),0))</f>
        <v> </v>
      </c>
      <c r="AZ37" s="297" t="str">
        <f aca="false">IF($A37="N/A"," ",IF(VLOOKUP(MONTH($A37),ManualTable,9)=1,IF(OR(Dayrun=1,Dayrun=8,Dayrun=11),$DG37*8*$CY37,0),0))</f>
        <v> </v>
      </c>
      <c r="BA37" s="298" t="str">
        <f aca="false">IF($A37="N/A"," ",IF(VLOOKUP(MONTH($A37),ManualTable,10)=1,IF(OR(Dayrun&lt;=2,Dayrun&gt;=9),$DG37*8*$CY37,0),0))</f>
        <v> </v>
      </c>
      <c r="BB37" s="299" t="str">
        <f aca="false">IF($A37="N/A"," ",IF(Dayrun&gt;=3,(MAX(0,(xSPRDOPT(I37,($E37-'Pricing Inputs'!$X72*$D37),$CV37,0,($CN37+IF(Smile=TRUE(),VLOOKUP(MAX(-5,$H37-I37),Volsmile,2),0)),$CT37,$CU37,($A37-DateToday)+15,ABS(Option-2),1)*DE37*8))),0))</f>
        <v> </v>
      </c>
      <c r="BC37" s="300" t="str">
        <f aca="false">IF($A37="N/A"," ",IF(Dayrun&gt;=6,MAX(0,(xSPRDOPT(J37,($E37-'Pricing Inputs'!$X72*$D37),$CV37,0,($CN37+IF(Smile=TRUE(),VLOOKUP(MAX(-5,$H37-J37),Volsmile,2),0)),$CT37,$CU37,($A37-DateToday)+15,ABS(Option-2),1)*DE37*8)),0))</f>
        <v> </v>
      </c>
      <c r="BD37" s="300" t="str">
        <f aca="false">IF($A37="N/A"," ",IF(OR(Dayrun&lt;=2,Dayrun&gt;=9),IF(OffPeakEx=TRUE(),MAX(0,(xSPRDOPT(K37,($E37-'Pricing Inputs'!$X72*$D37),$CV37,0,($CQ37+IF(Smile=TRUE(),VLOOKUP(MAX(-5,$H37-K37),Volsmile,2),0)),$CT37,$CU37,($A37-DateToday)+15,ABS(Option-2),1)*DE37*8)),0),0))</f>
        <v> </v>
      </c>
      <c r="BE37" s="300" t="str">
        <f aca="false">IF($A37="N/A"," ",IF(OR(Dayrun=1,Dayrun=4,Dayrun=5,Dayrun=7,Dayrun=8,Dayrun=10,Dayrun=11),MAX(0,(xSPRDOPT(L37,($E37-'Pricing Inputs'!$X72*$D37),$CV37,0,($CQ37+IF(Smile=TRUE(),VLOOKUP(MAX(-5,$H37-L37),Volsmile,2),0)),$CT37,$CU37,($A37-DateToday)+15,ABS(Option-2),1)*DF37*8)),0))</f>
        <v> </v>
      </c>
      <c r="BF37" s="300" t="str">
        <f aca="false">IF($A37="N/A"," ",IF(OR(Dayrun=1,Dayrun=7,Dayrun=8,Dayrun=10,Dayrun=11),MAX(0,(xSPRDOPT(M37,($E37-'Pricing Inputs'!$X72*$D37),$CV37,0,($CQ37+IF(Smile=TRUE(),VLOOKUP(MAX(-5,$H37-M37),Volsmile,2),0)),$CT37,$CU37,($A37-DateToday)+15,ABS(Option-2),1)*DF37*8)),0))</f>
        <v> </v>
      </c>
      <c r="BG37" s="300" t="str">
        <f aca="false">IF($A37="N/A"," ",IF(OR(Dayrun&lt;=2,Dayrun&gt;=10),IF(OffPeakEx=TRUE(),MAX(0,(xSPRDOPT(N37,($E37-'Pricing Inputs'!$X72*$D37),$CV37,0,($CQ37+IF(Smile=TRUE(),VLOOKUP(MAX(-5,$H37-N37),Volsmile,2),0)),$CT37,$CU37,($A37-DateToday)+15,ABS(Option-2),1)*DF37*8)),0),0))</f>
        <v> </v>
      </c>
      <c r="BH37" s="300" t="str">
        <f aca="false">IF($A37="N/A"," ",IF(OR(Dayrun=1,Dayrun=5,Dayrun=8,Dayrun=11),MAX(0,(xSPRDOPT(O37,($E37-'Pricing Inputs'!$X72*$D37),$CV37,0,($CQ37+IF(Smile=TRUE(),VLOOKUP(MAX(-5,$H37-O37),Volsmile,2),0)),$CT37,$CU37,($A37-DateToday)+15,ABS(Option-2),1)*DG37*8)),0))</f>
        <v> </v>
      </c>
      <c r="BI37" s="300" t="str">
        <f aca="false">IF($A37="N/A"," ",IF(OR(Dayrun=1,Dayrun=8,Dayrun=11),MAX(0,(xSPRDOPT(P37,($E37-'Pricing Inputs'!$X72*$D37),$CV37,0,($CQ37+IF(Smile=TRUE(),VLOOKUP(MAX(-5,$H37-P37),Volsmile,2),0)),$CT37,$CU37,($A37-DateToday)+15,ABS(Option-2),1)*DG37*8)),0))</f>
        <v> </v>
      </c>
      <c r="BJ37" s="301" t="str">
        <f aca="false">IF($A37="N/A"," ",IF(OR(Dayrun&lt;=2,Dayrun&gt;=11),IF(OffPeakEx=TRUE(),MAX(0,(xSPRDOPT(Q37,($E37-'Pricing Inputs'!$X72*$D37),$CV37,0,($CQ37+IF(Smile=TRUE(),VLOOKUP(MAX(-5,$H37-Q37),Volsmile,2),0)),$CT37,$CU37,($A37-DateToday)+15,ABS(Option-2),1)*DG37*8)),0),0))</f>
        <v> </v>
      </c>
      <c r="BK37" s="302" t="str">
        <f aca="false">IF($A37="N/A"," ",R37*$AS37)</f>
        <v> </v>
      </c>
      <c r="BL37" s="303" t="str">
        <f aca="false">IF($A37="N/A"," ",S37*$AT37)</f>
        <v> </v>
      </c>
      <c r="BM37" s="303" t="str">
        <f aca="false">IF($A37="N/A"," ",T37*$AU37)</f>
        <v> </v>
      </c>
      <c r="BN37" s="303" t="str">
        <f aca="false">IF($A37="N/A"," ",U37*$AV37)</f>
        <v> </v>
      </c>
      <c r="BO37" s="303" t="str">
        <f aca="false">IF($A37="N/A"," ",V37*$AW37)</f>
        <v> </v>
      </c>
      <c r="BP37" s="303" t="str">
        <f aca="false">IF($A37="N/A"," ",W37*$AX37)</f>
        <v> </v>
      </c>
      <c r="BQ37" s="303" t="str">
        <f aca="false">IF($A37="N/A"," ",X37*$AY37)</f>
        <v> </v>
      </c>
      <c r="BR37" s="303" t="str">
        <f aca="false">IF($A37="N/A"," ",Y37*$AZ37)</f>
        <v> </v>
      </c>
      <c r="BS37" s="304" t="str">
        <f aca="false">IF($A37="N/A"," ",Z37*$BA37)</f>
        <v> </v>
      </c>
      <c r="BT37" s="305" t="str">
        <f aca="false">IF($A37="N/A"," ",AA37*$AS37)</f>
        <v> </v>
      </c>
      <c r="BU37" s="306" t="str">
        <f aca="false">IF($A37="N/A"," ",AB37*$AT37)</f>
        <v> </v>
      </c>
      <c r="BV37" s="306" t="str">
        <f aca="false">IF($A37="N/A"," ",AC37*$AU37)</f>
        <v> </v>
      </c>
      <c r="BW37" s="306" t="str">
        <f aca="false">IF($A37="N/A"," ",AD37*$AV37)</f>
        <v> </v>
      </c>
      <c r="BX37" s="306" t="str">
        <f aca="false">IF($A37="N/A"," ",AE37*$AW37)</f>
        <v> </v>
      </c>
      <c r="BY37" s="306" t="str">
        <f aca="false">IF($A37="N/A"," ",AF37*$AX37)</f>
        <v> </v>
      </c>
      <c r="BZ37" s="306" t="str">
        <f aca="false">IF($A37="N/A"," ",AG37*$AY37)</f>
        <v> </v>
      </c>
      <c r="CA37" s="306" t="str">
        <f aca="false">IF($A37="N/A"," ",AH37*$AZ37)</f>
        <v> </v>
      </c>
      <c r="CB37" s="307" t="str">
        <f aca="false">IF($A37="N/A"," ",AI37*$BA37)</f>
        <v> </v>
      </c>
      <c r="CC37" s="308" t="str">
        <f aca="false">IF($A37="N/A"," ",AJ37*$AS37)</f>
        <v> </v>
      </c>
      <c r="CD37" s="309" t="str">
        <f aca="false">IF($A37="N/A"," ",AK37*$AT37)</f>
        <v> </v>
      </c>
      <c r="CE37" s="309" t="str">
        <f aca="false">IF($A37="N/A"," ",AL37*$AU37)</f>
        <v> </v>
      </c>
      <c r="CF37" s="309" t="str">
        <f aca="false">IF($A37="N/A"," ",AM37*$AV37)</f>
        <v> </v>
      </c>
      <c r="CG37" s="309" t="str">
        <f aca="false">IF($A37="N/A"," ",AN37*$AW37)</f>
        <v> </v>
      </c>
      <c r="CH37" s="309" t="str">
        <f aca="false">IF($A37="N/A"," ",AO37*$AX37)</f>
        <v> </v>
      </c>
      <c r="CI37" s="309" t="str">
        <f aca="false">IF($A37="N/A"," ",AP37*$AY37)</f>
        <v> </v>
      </c>
      <c r="CJ37" s="309" t="str">
        <f aca="false">IF($A37="N/A"," ",AQ37*$AZ37)</f>
        <v> </v>
      </c>
      <c r="CK37" s="310" t="str">
        <f aca="false">IF($A37="N/A"," ",AR37*$BA37)</f>
        <v> </v>
      </c>
      <c r="CL37" s="311" t="str">
        <f aca="false">IF(A37="N/A"," ",(VLOOKUP(A37,PowerVolTable,(IF(VolBMO=2,7,IF(VolBMO=1,6,8))),FALSE())))</f>
        <v> </v>
      </c>
      <c r="CM37" s="312" t="str">
        <f aca="false">IF(A37="N/A"," ",(VLOOKUP(A37,IntraPowerVol,(IF(VolBMO=2,3,IF(VolBMO=1,2,4))),FALSE())*VLOOKUP(MONTH($A37),Volscale,2)))</f>
        <v> </v>
      </c>
      <c r="CN37" s="312" t="str">
        <f aca="false">IF($A37="N/A"," ",IF(VolType=1,CM37,CL37))</f>
        <v> </v>
      </c>
      <c r="CO37" s="312" t="str">
        <f aca="false">IF($A37="N/A"," ",(VLOOKUP($A37,OffPeakVol,(IF(VolBMO=2,7,IF(VolBMO=1,6,8))),FALSE())))</f>
        <v> </v>
      </c>
      <c r="CP37" s="312" t="str">
        <f aca="false">IF($A37="N/A"," ",(VLOOKUP($A37,OffPeakVol,(IF(VolBMO=2,3,IF(VolBMO=1,2,4))),FALSE())*VLOOKUP(MONTH($A37),Volscale,2)))</f>
        <v> </v>
      </c>
      <c r="CQ37" s="312" t="str">
        <f aca="false">IF($A37="N/A"," ",IF(VolType=1,CP37,CO37))</f>
        <v> </v>
      </c>
      <c r="CR37" s="312" t="str">
        <f aca="false">IF($A37="N/A"," ",(VLOOKUP($A37,GasVolTable,(IF(VolBMO=2,6,IF(VolBMO=1,7,5))),FALSE())))</f>
        <v> </v>
      </c>
      <c r="CS37" s="312" t="str">
        <f aca="false">IF($A37="N/A"," ",(VLOOKUP($A37,OmicronVol,(IF(VolBMO=2,3,IF(VolBMO=1,4,2))),FALSE())))</f>
        <v> </v>
      </c>
      <c r="CT37" s="312" t="str">
        <f aca="false">IF($A37="N/A"," ",(IF(DateToday&gt;$A37,$CS37,IF(VolType=1,((($CR37^2)*((($A37-1)-DateToday)/((EOMONTH($A37,0)+1)-DateToday-15)))+((($CS37)^2)*((15)/((EOMONTH($A37,0)+1)-DateToday-15))))^0.5,CR37))))</f>
        <v> </v>
      </c>
      <c r="CU37" s="312" t="str">
        <f aca="false">IF($A37="N/A"," ",IF('Pricing Inputs'!$AR$23=TRUE(),Inputs!$S$22,VLOOKUP($A37,CorrelationTable,2,FALSE())))</f>
        <v> </v>
      </c>
      <c r="CV37" s="313" t="str">
        <f aca="false">IF($A37="N/A"," ",F37+G37+(D37*('Pricing Inputs'!X72)))</f>
        <v> </v>
      </c>
      <c r="CW37" s="314" t="str">
        <f aca="false">IF($A37="N/A"," ",IF(PV=1,0,'Pricing Inputs'!Y72))</f>
        <v> </v>
      </c>
      <c r="CX37" s="315" t="str">
        <f aca="false">IF($A37="N/A"," ",(1+CW37/2)^(-2*((EOMONTH(A37,0)+20)-DateToday)/365.25))</f>
        <v> </v>
      </c>
      <c r="CY37" s="316" t="str">
        <f aca="false">IF($A37="N/A"," ",(IF(MONTH(A37)&gt;=4,IF(MONTH(A37)&lt;=10,Inputs!$S$26,Inputs!$S$27),Inputs!$S$27))*$CX37)</f>
        <v> </v>
      </c>
      <c r="CZ37" s="317" t="str">
        <f aca="false">IF($A37="N/A"," ",BK37+BL37+BN37+BO37+BQ37+BR37)</f>
        <v> </v>
      </c>
      <c r="DA37" s="318" t="str">
        <f aca="false">IF($A37="N/A"," ",BM37+BP37+BS37)</f>
        <v> </v>
      </c>
      <c r="DB37" s="319" t="str">
        <f aca="false">IF($A37="N/A"," ",BT37+BU37+BW37+BX37+BZ37+CA37)</f>
        <v> </v>
      </c>
      <c r="DC37" s="319" t="str">
        <f aca="false">IF($A37="N/A"," ",BV37+BY37+CB37)</f>
        <v> </v>
      </c>
      <c r="DD37" s="320" t="str">
        <f aca="false">IF($A37="N/A"," ",SUM(CC37:CK37))</f>
        <v> </v>
      </c>
      <c r="DE37" s="321" t="str">
        <f aca="false">IF($A37="N/A"," ",VLOOKUP($A37,NumberofDaysTable,2)*Availability)</f>
        <v> </v>
      </c>
      <c r="DF37" s="94" t="str">
        <f aca="false">IF($A37="N/A"," ",VLOOKUP($A37,NumberofDaysTable,3)*Availability)</f>
        <v> </v>
      </c>
      <c r="DG37" s="322" t="str">
        <f aca="false">IF($A37="N/A"," ",VLOOKUP($A37,NumberofDaysTable,4)*Availability)</f>
        <v> </v>
      </c>
      <c r="DH37" s="323" t="str">
        <f aca="false">IF($A37="N/A"," ",IF(Option=1,$D37*Inputs!$S$15*SUM(AS37:BA37),0))</f>
        <v> </v>
      </c>
      <c r="DI37" s="324" t="str">
        <f aca="false">IF($A37="N/A"," ",IF(Option=1,$D37*Inputs!$S$16*SUM(AS37:BA37),0))</f>
        <v> </v>
      </c>
      <c r="DJ37" s="325" t="str">
        <f aca="false">IF($A37="N/A"," ",SUM(AS37:AT37))</f>
        <v> </v>
      </c>
      <c r="DK37" s="325" t="str">
        <f aca="false">IF($A37="N/A"," ",SUM(AU37:BA37))</f>
        <v> </v>
      </c>
      <c r="DL37" s="325" t="str">
        <f aca="false">IF($A37="N/A"," ",SUM(BB37:BC37))</f>
        <v> </v>
      </c>
      <c r="DM37" s="325" t="str">
        <f aca="false">IF($A37="N/A"," ",SUM(BD37:BJ37))</f>
        <v> </v>
      </c>
    </row>
    <row r="38" customFormat="false" ht="12.75" hidden="false" customHeight="false" outlineLevel="0" collapsed="false">
      <c r="A38" s="282" t="str">
        <f aca="false">IF(A37="N/A","N/A",IF(EDATE(A37,1)&gt;Inputs!$S$5,"N/A",EDATE(A37,1)))</f>
        <v>N/A</v>
      </c>
      <c r="B38" s="283" t="str">
        <f aca="false">IF(A38="N/A"," ",YEAR(A38))</f>
        <v> </v>
      </c>
      <c r="C38" s="284" t="str">
        <f aca="false">IF(A38="N/A"," ",VLOOKUP(A38,ScaledPrice,14))</f>
        <v> </v>
      </c>
      <c r="D38" s="285" t="str">
        <f aca="false">IF(A38="N/A"," ",(VLOOKUP(MONTH($A38),Hrtable,2))/1000)</f>
        <v> </v>
      </c>
      <c r="E38" s="286" t="str">
        <f aca="false">IF($A38="N/A"," ",(C38)*D38)</f>
        <v> </v>
      </c>
      <c r="F38" s="287" t="str">
        <f aca="false">IF(A38="N/A"," ",VOM*(1+VOMesc)^(YEAR(A38)-YEAR(Today)))</f>
        <v> </v>
      </c>
      <c r="G38" s="287" t="str">
        <f aca="false">IF(A38="N/A"," ",Perstart/VLOOKUP(Dayrun,'Pricing Inputs'!$AQ$4:$AS$14,3)/(CY38/CX38))</f>
        <v> </v>
      </c>
      <c r="H38" s="288" t="str">
        <f aca="false">IF(A38="N/A"," ",SUM(E38:G38))</f>
        <v> </v>
      </c>
      <c r="I38" s="289" t="str">
        <f aca="false">VLOOKUP($A38,ScaledPrice,6)</f>
        <v> </v>
      </c>
      <c r="J38" s="290" t="str">
        <f aca="false">VLOOKUP($A38,ScaledPrice,10)</f>
        <v> </v>
      </c>
      <c r="K38" s="290" t="str">
        <f aca="false">VLOOKUP($A38,ScaledPrice,13)</f>
        <v> </v>
      </c>
      <c r="L38" s="290" t="str">
        <f aca="false">VLOOKUP($A38,ScaledPrice,7)</f>
        <v> </v>
      </c>
      <c r="M38" s="290" t="str">
        <f aca="false">VLOOKUP($A38,ScaledPrice,11)</f>
        <v> </v>
      </c>
      <c r="N38" s="290" t="str">
        <f aca="false">VLOOKUP($A38,ScaledPrice,13)</f>
        <v> </v>
      </c>
      <c r="O38" s="290" t="str">
        <f aca="false">VLOOKUP($A38,ScaledPrice,8)</f>
        <v> </v>
      </c>
      <c r="P38" s="290" t="str">
        <f aca="false">VLOOKUP($A38,ScaledPrice,12)</f>
        <v> </v>
      </c>
      <c r="Q38" s="291" t="str">
        <f aca="false">VLOOKUP($A38,ScaledPrice,13)</f>
        <v> </v>
      </c>
      <c r="R38" s="292" t="str">
        <f aca="false">IF($A38="N/A"," ",IF(Dayrun&gt;=3,IF(Option=1,MAX($I38-$H38,0),IF(Option=2,MAX($H38-$I38,0),0)),0))</f>
        <v> </v>
      </c>
      <c r="S38" s="286" t="str">
        <f aca="false">IF($A38="N/A"," ",IF(Dayrun&gt;=6,IF(Option=1,MAX($J38-H38,0),IF(Option=2,MAX(H38-$J38,0),0)),0))</f>
        <v> </v>
      </c>
      <c r="T38" s="286" t="str">
        <f aca="false">IF($A38="N/A"," ",IF(OR(Dayrun&lt;=2,Dayrun&gt;=9),IF(Option=1,MAX($K38-$H38,0),IF(Option=2,MAX($H38-$K38,0),0)),0))</f>
        <v> </v>
      </c>
      <c r="U38" s="286" t="str">
        <f aca="false">IF($A38="N/A"," ",IF(OR(Dayrun=1,Dayrun=4,Dayrun=5,Dayrun=7,Dayrun=8,Dayrun=10,Dayrun=11),IF(Option=1,MAX($L38-H38,0),IF(Option=2,MAX(H38-$L38,0),0)),0))</f>
        <v> </v>
      </c>
      <c r="V38" s="286" t="str">
        <f aca="false">IF($A38="N/A"," ",IF(OR(Dayrun=1,Dayrun=7,Dayrun=8,Dayrun=10,Dayrun=11),IF(Option=1,MAX($M38-H38,0),IF(Option=2,MAX(H38-$M38,0),0)),0))</f>
        <v> </v>
      </c>
      <c r="W38" s="286" t="str">
        <f aca="false">IF($A38="N/A"," ",IF(OR(Dayrun&lt;=2,Dayrun&gt;=10),IF(Option=1,MAX($N38-$H38,0),IF(Option=2,MAX($H38-$N38,0),0)),0))</f>
        <v> </v>
      </c>
      <c r="X38" s="286" t="str">
        <f aca="false">IF($A38="N/A"," ",IF(OR(Dayrun=1,Dayrun=5,Dayrun=8,Dayrun=11),IF(Option=1,MAX($O38-H38,0),IF(Option=2,MAX(H38-$O38,0),0)),0))</f>
        <v> </v>
      </c>
      <c r="Y38" s="286" t="str">
        <f aca="false">IF($A38="N/A"," ",IF(OR(Dayrun=1,Dayrun=8,Dayrun=11),IF(Option=1,MAX($P38-H38,0),IF(Option=2,MAX(H38-$P38,0),0)),0))</f>
        <v> </v>
      </c>
      <c r="Z38" s="293" t="str">
        <f aca="false">IF($A38="N/A"," ",IF(OR(Dayrun&lt;=2,Dayrun&gt;=11),IF(Option=1,MAX($Q38-$H38,0),IF(Option=2,MAX($H38-$Q38,0),0)),0))</f>
        <v> </v>
      </c>
      <c r="AA38" s="289" t="str">
        <f aca="false">IF($A38="N/A"," ",IF(Dayrun&gt;=3,(MAX(0,(xSPRDOPT(I38,($E38-'Pricing Inputs'!$X73*$D38),$CV38,0,($CN38+IF(Smile=TRUE(),VLOOKUP(MAX(-5,$H38-I38),Volsmile,2),0)),$CT38,$CU38,($A38-DateToday)+15,ABS(Option-2),0)-R38))),0))</f>
        <v> </v>
      </c>
      <c r="AB38" s="290" t="str">
        <f aca="false">IF($A38="N/A"," ",IF(Dayrun&gt;=6,MAX(0,(xSPRDOPT(J38,($E38-'Pricing Inputs'!$X73*$D38),$CV38,0,($CN38+IF(Smile=TRUE(),VLOOKUP(MAX(-5,$H38-J38),Volsmile,2),0)),$CT38,$CU38,($A38-DateToday)+15,ABS(Option-2),0)-S38)),0))</f>
        <v> </v>
      </c>
      <c r="AC38" s="290" t="str">
        <f aca="false">IF($A38="N/A"," ",IF(OR(Dayrun&lt;=2,Dayrun&gt;=9),IF(OffPeakEx=TRUE(),MAX(0,(xSPRDOPT(K38,($E38-'Pricing Inputs'!$X73*$D38),$CV38,0,($CQ38+IF(Smile=TRUE(),VLOOKUP(MAX(-5,$H38-K38),Volsmile,2),0)),$CT38,$CU38,($A38-DateToday)+15,ABS(Option-2),0)-T38)),0),0))</f>
        <v> </v>
      </c>
      <c r="AD38" s="290" t="str">
        <f aca="false">IF($A38="N/A"," ",IF(OR(Dayrun=1,Dayrun=4,Dayrun=5,Dayrun=7,Dayrun=8,Dayrun=10,Dayrun=11),MAX(0,(xSPRDOPT(L38,($E38-'Pricing Inputs'!$X73*$D38),$CV38,0,($CQ38+IF(Smile=TRUE(),VLOOKUP(MAX(-5,$H38-L38),Volsmile,2),0)),$CT38,$CU38,($A38-DateToday)+15,ABS(Option-2),0)-U38)),0))</f>
        <v> </v>
      </c>
      <c r="AE38" s="290" t="str">
        <f aca="false">IF($A38="N/A"," ",IF(OR(Dayrun=1,Dayrun=7,Dayrun=8,Dayrun=10,Dayrun=11),MAX(0,(xSPRDOPT(M38,($E38-'Pricing Inputs'!$X73*$D38),$CV38,0,($CQ38+IF(Smile=TRUE(),VLOOKUP(MAX(-5,$H38-M38),Volsmile,2),0)),$CT38,$CU38,($A38-DateToday)+15,ABS(Option-2),0)-V38)),0))</f>
        <v> </v>
      </c>
      <c r="AF38" s="290" t="str">
        <f aca="false">IF($A38="N/A"," ",IF(OR(Dayrun&lt;=2,Dayrun&gt;=10),IF(OffPeakEx=TRUE(),MAX(0,(xSPRDOPT(N38,($E38-'Pricing Inputs'!$X73*$D38),$CV38,0,($CQ38+IF(Smile=TRUE(),VLOOKUP(MAX(-5,$H38-N38),Volsmile,2),0)),$CT38,$CU38,($A38-DateToday)+15,ABS(Option-2),0)-W38)),0),0))</f>
        <v> </v>
      </c>
      <c r="AG38" s="290" t="str">
        <f aca="false">IF($A38="N/A"," ",IF(OR(Dayrun=1,Dayrun=5,Dayrun=8,Dayrun=11),MAX(0,(xSPRDOPT(O38,($E38-'Pricing Inputs'!$X73*$D38),$CV38,0,($CQ38+IF(Smile=TRUE(),VLOOKUP(MAX(-5,$H38-O38),Volsmile,2),0)),$CT38,$CU38,($A38-DateToday)+15,ABS(Option-2),0)-X38)),0))</f>
        <v> </v>
      </c>
      <c r="AH38" s="290" t="str">
        <f aca="false">IF($A38="N/A"," ",IF(OR(Dayrun=1,Dayrun=8,Dayrun=11),MAX(0,(xSPRDOPT(P38,($E38-'Pricing Inputs'!$X73*$D38),$CV38,0,($CQ38+IF(Smile=TRUE(),VLOOKUP(MAX(-5,$H38-P38),Volsmile,2),0)),$CT38,$CU38,($A38-DateToday)+15,ABS(Option-2),0)-Y38)),0))</f>
        <v> </v>
      </c>
      <c r="AI38" s="290" t="str">
        <f aca="false">IF($A38="N/A"," ",IF(OR(Dayrun&lt;=2,Dayrun&gt;=11),IF(OffPeakEx=TRUE(),MAX(0,(xSPRDOPT(Q38,($E38-'Pricing Inputs'!$X73*$D38),$CV38,0,($CQ38+IF(Smile=TRUE(),VLOOKUP(MAX(-5,$H38-Q38),Volsmile,2),0)),$CT38,$CU38,($A38-DateToday)+15,ABS(Option-2),0)-Z38)),0),0))</f>
        <v> </v>
      </c>
      <c r="AJ38" s="294" t="str">
        <f aca="false">IF($A38="N/A"," ",IF(Dayrun&gt;=3,IF(Option=1,$I38-$H38,IF(Option=2,$H38-$I38)),0))</f>
        <v> </v>
      </c>
      <c r="AK38" s="295" t="str">
        <f aca="false">IF($A38="N/A"," ",IF(Dayrun&gt;=6,IF(Option=1,$J38-H38,IF(Option=2,H38-$J38)),0))</f>
        <v> </v>
      </c>
      <c r="AL38" s="295" t="str">
        <f aca="false">IF($A38="N/A"," ",IF(OR(Dayrun&lt;=2,Dayrun&gt;=9),IF(Option=1,$K38-$H38,IF(Option=2,$H38-$K38)),0))</f>
        <v> </v>
      </c>
      <c r="AM38" s="295" t="str">
        <f aca="false">IF($A38="N/A"," ",IF(OR(Dayrun=1,Dayrun=4,Dayrun=5,Dayrun=7,Dayrun=8,Dayrun=10,Dayrun=11),IF(Option=1,$L38-H38,IF(Option=2,H38-$L38)),0))</f>
        <v> </v>
      </c>
      <c r="AN38" s="295" t="str">
        <f aca="false">IF($A38="N/A"," ",IF(OR(Dayrun=1,Dayrun=7,Dayrun=8,Dayrun=10,Dayrun=11),IF(Option=1,$M38-H38,IF(Option=2,H38-$M38)),0))</f>
        <v> </v>
      </c>
      <c r="AO38" s="295" t="str">
        <f aca="false">IF($A38="N/A"," ",IF(OR(Dayrun&lt;=2,Dayrun&gt;=9),IF(Option=1,$N38-$H38,IF(Option=2,$H38-$N38)),0))</f>
        <v> </v>
      </c>
      <c r="AP38" s="295" t="str">
        <f aca="false">IF($A38="N/A"," ",IF(OR(Dayrun=1,Dayrun=5,Dayrun=8,Dayrun=11),IF(Option=1,$O38-H38,IF(Option=2,H38-$O38)),0))</f>
        <v> </v>
      </c>
      <c r="AQ38" s="295" t="str">
        <f aca="false">IF($A38="N/A"," ",IF(OR(Dayrun=1,Dayrun=8,Dayrun=11),IF(Option=1,$P38-H38,IF(Option=2,H38-$P38)),0))</f>
        <v> </v>
      </c>
      <c r="AR38" s="296" t="str">
        <f aca="false">IF($A38="N/A"," ",IF(OR(Dayrun&lt;=2,Dayrun&gt;=9),IF(Option=1,$Q38-H38,IF(Option=2,H38-$Q38)),0))</f>
        <v> </v>
      </c>
      <c r="AS38" s="297" t="str">
        <f aca="false">IF($A38="N/A"," ",IF(VLOOKUP(MONTH($A38),ManualTable,2)=1,IF(Dayrun&gt;=3,$DE38*8*$CY38,0),0))</f>
        <v> </v>
      </c>
      <c r="AT38" s="297" t="str">
        <f aca="false">IF($A38="N/A"," ",IF(VLOOKUP(MONTH($A38),ManualTable,3)=1,IF(Dayrun&gt;=6,$DE38*8*$CY38,0),0))</f>
        <v> </v>
      </c>
      <c r="AU38" s="297" t="str">
        <f aca="false">IF($A38="N/A"," ",IF(VLOOKUP(MONTH($A38),ManualTable,4)=1,IF(OR(Dayrun&lt;=2,Dayrun&gt;=9),$DE38*8*$CY38,0),0))</f>
        <v> </v>
      </c>
      <c r="AV38" s="297" t="str">
        <f aca="false">IF($A38="N/A"," ",IF(VLOOKUP(MONTH($A38),ManualTable,5)=1,IF(OR(Dayrun=1,Dayrun=4,Dayrun=5,Dayrun=7,Dayrun=8,Dayrun=10,Dayrun=11),$DF38*8*$CY38,0),0))</f>
        <v> </v>
      </c>
      <c r="AW38" s="297" t="str">
        <f aca="false">IF($A38="N/A"," ",IF(VLOOKUP(MONTH($A38),ManualTable,6)=1,IF(OR(Dayrun=1,Dayrun=7,Dayrun=8,Dayrun=10,Dayrun=11),$DF38*8*$CY38,0),0))</f>
        <v> </v>
      </c>
      <c r="AX38" s="297" t="str">
        <f aca="false">IF($A38="N/A"," ",IF(VLOOKUP(MONTH($A38),ManualTable,7)=1,IF(OR(Dayrun&lt;=2,Dayrun&gt;=9),$DF38*8*$CY38,0),0))</f>
        <v> </v>
      </c>
      <c r="AY38" s="297" t="str">
        <f aca="false">IF($A38="N/A"," ",IF(VLOOKUP(MONTH($A38),ManualTable,8)=1,IF(OR(Dayrun=1,Dayrun=5,Dayrun=8,Dayrun=11),$DG38*8*$CY38,0),0))</f>
        <v> </v>
      </c>
      <c r="AZ38" s="297" t="str">
        <f aca="false">IF($A38="N/A"," ",IF(VLOOKUP(MONTH($A38),ManualTable,9)=1,IF(OR(Dayrun=1,Dayrun=8,Dayrun=11),$DG38*8*$CY38,0),0))</f>
        <v> </v>
      </c>
      <c r="BA38" s="298" t="str">
        <f aca="false">IF($A38="N/A"," ",IF(VLOOKUP(MONTH($A38),ManualTable,10)=1,IF(OR(Dayrun&lt;=2,Dayrun&gt;=9),$DG38*8*$CY38,0),0))</f>
        <v> </v>
      </c>
      <c r="BB38" s="299" t="str">
        <f aca="false">IF($A38="N/A"," ",IF(Dayrun&gt;=3,(MAX(0,(xSPRDOPT(I38,($E38-'Pricing Inputs'!$X73*$D38),$CV38,0,($CN38+IF(Smile=TRUE(),VLOOKUP(MAX(-5,$H38-I38),Volsmile,2),0)),$CT38,$CU38,($A38-DateToday)+15,ABS(Option-2),1)*DE38*8))),0))</f>
        <v> </v>
      </c>
      <c r="BC38" s="300" t="str">
        <f aca="false">IF($A38="N/A"," ",IF(Dayrun&gt;=6,MAX(0,(xSPRDOPT(J38,($E38-'Pricing Inputs'!$X73*$D38),$CV38,0,($CN38+IF(Smile=TRUE(),VLOOKUP(MAX(-5,$H38-J38),Volsmile,2),0)),$CT38,$CU38,($A38-DateToday)+15,ABS(Option-2),1)*DE38*8)),0))</f>
        <v> </v>
      </c>
      <c r="BD38" s="300" t="str">
        <f aca="false">IF($A38="N/A"," ",IF(OR(Dayrun&lt;=2,Dayrun&gt;=9),IF(OffPeakEx=TRUE(),MAX(0,(xSPRDOPT(K38,($E38-'Pricing Inputs'!$X73*$D38),$CV38,0,($CQ38+IF(Smile=TRUE(),VLOOKUP(MAX(-5,$H38-K38),Volsmile,2),0)),$CT38,$CU38,($A38-DateToday)+15,ABS(Option-2),1)*DE38*8)),0),0))</f>
        <v> </v>
      </c>
      <c r="BE38" s="300" t="str">
        <f aca="false">IF($A38="N/A"," ",IF(OR(Dayrun=1,Dayrun=4,Dayrun=5,Dayrun=7,Dayrun=8,Dayrun=10,Dayrun=11),MAX(0,(xSPRDOPT(L38,($E38-'Pricing Inputs'!$X73*$D38),$CV38,0,($CQ38+IF(Smile=TRUE(),VLOOKUP(MAX(-5,$H38-L38),Volsmile,2),0)),$CT38,$CU38,($A38-DateToday)+15,ABS(Option-2),1)*DF38*8)),0))</f>
        <v> </v>
      </c>
      <c r="BF38" s="300" t="str">
        <f aca="false">IF($A38="N/A"," ",IF(OR(Dayrun=1,Dayrun=7,Dayrun=8,Dayrun=10,Dayrun=11),MAX(0,(xSPRDOPT(M38,($E38-'Pricing Inputs'!$X73*$D38),$CV38,0,($CQ38+IF(Smile=TRUE(),VLOOKUP(MAX(-5,$H38-M38),Volsmile,2),0)),$CT38,$CU38,($A38-DateToday)+15,ABS(Option-2),1)*DF38*8)),0))</f>
        <v> </v>
      </c>
      <c r="BG38" s="300" t="str">
        <f aca="false">IF($A38="N/A"," ",IF(OR(Dayrun&lt;=2,Dayrun&gt;=10),IF(OffPeakEx=TRUE(),MAX(0,(xSPRDOPT(N38,($E38-'Pricing Inputs'!$X73*$D38),$CV38,0,($CQ38+IF(Smile=TRUE(),VLOOKUP(MAX(-5,$H38-N38),Volsmile,2),0)),$CT38,$CU38,($A38-DateToday)+15,ABS(Option-2),1)*DF38*8)),0),0))</f>
        <v> </v>
      </c>
      <c r="BH38" s="300" t="str">
        <f aca="false">IF($A38="N/A"," ",IF(OR(Dayrun=1,Dayrun=5,Dayrun=8,Dayrun=11),MAX(0,(xSPRDOPT(O38,($E38-'Pricing Inputs'!$X73*$D38),$CV38,0,($CQ38+IF(Smile=TRUE(),VLOOKUP(MAX(-5,$H38-O38),Volsmile,2),0)),$CT38,$CU38,($A38-DateToday)+15,ABS(Option-2),1)*DG38*8)),0))</f>
        <v> </v>
      </c>
      <c r="BI38" s="300" t="str">
        <f aca="false">IF($A38="N/A"," ",IF(OR(Dayrun=1,Dayrun=8,Dayrun=11),MAX(0,(xSPRDOPT(P38,($E38-'Pricing Inputs'!$X73*$D38),$CV38,0,($CQ38+IF(Smile=TRUE(),VLOOKUP(MAX(-5,$H38-P38),Volsmile,2),0)),$CT38,$CU38,($A38-DateToday)+15,ABS(Option-2),1)*DG38*8)),0))</f>
        <v> </v>
      </c>
      <c r="BJ38" s="301" t="str">
        <f aca="false">IF($A38="N/A"," ",IF(OR(Dayrun&lt;=2,Dayrun&gt;=11),IF(OffPeakEx=TRUE(),MAX(0,(xSPRDOPT(Q38,($E38-'Pricing Inputs'!$X73*$D38),$CV38,0,($CQ38+IF(Smile=TRUE(),VLOOKUP(MAX(-5,$H38-Q38),Volsmile,2),0)),$CT38,$CU38,($A38-DateToday)+15,ABS(Option-2),1)*DG38*8)),0),0))</f>
        <v> </v>
      </c>
      <c r="BK38" s="302" t="str">
        <f aca="false">IF($A38="N/A"," ",R38*$AS38)</f>
        <v> </v>
      </c>
      <c r="BL38" s="303" t="str">
        <f aca="false">IF($A38="N/A"," ",S38*$AT38)</f>
        <v> </v>
      </c>
      <c r="BM38" s="303" t="str">
        <f aca="false">IF($A38="N/A"," ",T38*$AU38)</f>
        <v> </v>
      </c>
      <c r="BN38" s="303" t="str">
        <f aca="false">IF($A38="N/A"," ",U38*$AV38)</f>
        <v> </v>
      </c>
      <c r="BO38" s="303" t="str">
        <f aca="false">IF($A38="N/A"," ",V38*$AW38)</f>
        <v> </v>
      </c>
      <c r="BP38" s="303" t="str">
        <f aca="false">IF($A38="N/A"," ",W38*$AX38)</f>
        <v> </v>
      </c>
      <c r="BQ38" s="303" t="str">
        <f aca="false">IF($A38="N/A"," ",X38*$AY38)</f>
        <v> </v>
      </c>
      <c r="BR38" s="303" t="str">
        <f aca="false">IF($A38="N/A"," ",Y38*$AZ38)</f>
        <v> </v>
      </c>
      <c r="BS38" s="304" t="str">
        <f aca="false">IF($A38="N/A"," ",Z38*$BA38)</f>
        <v> </v>
      </c>
      <c r="BT38" s="305" t="str">
        <f aca="false">IF($A38="N/A"," ",AA38*$AS38)</f>
        <v> </v>
      </c>
      <c r="BU38" s="306" t="str">
        <f aca="false">IF($A38="N/A"," ",AB38*$AT38)</f>
        <v> </v>
      </c>
      <c r="BV38" s="306" t="str">
        <f aca="false">IF($A38="N/A"," ",AC38*$AU38)</f>
        <v> </v>
      </c>
      <c r="BW38" s="306" t="str">
        <f aca="false">IF($A38="N/A"," ",AD38*$AV38)</f>
        <v> </v>
      </c>
      <c r="BX38" s="306" t="str">
        <f aca="false">IF($A38="N/A"," ",AE38*$AW38)</f>
        <v> </v>
      </c>
      <c r="BY38" s="306" t="str">
        <f aca="false">IF($A38="N/A"," ",AF38*$AX38)</f>
        <v> </v>
      </c>
      <c r="BZ38" s="306" t="str">
        <f aca="false">IF($A38="N/A"," ",AG38*$AY38)</f>
        <v> </v>
      </c>
      <c r="CA38" s="306" t="str">
        <f aca="false">IF($A38="N/A"," ",AH38*$AZ38)</f>
        <v> </v>
      </c>
      <c r="CB38" s="307" t="str">
        <f aca="false">IF($A38="N/A"," ",AI38*$BA38)</f>
        <v> </v>
      </c>
      <c r="CC38" s="308" t="str">
        <f aca="false">IF($A38="N/A"," ",AJ38*$AS38)</f>
        <v> </v>
      </c>
      <c r="CD38" s="309" t="str">
        <f aca="false">IF($A38="N/A"," ",AK38*$AT38)</f>
        <v> </v>
      </c>
      <c r="CE38" s="309" t="str">
        <f aca="false">IF($A38="N/A"," ",AL38*$AU38)</f>
        <v> </v>
      </c>
      <c r="CF38" s="309" t="str">
        <f aca="false">IF($A38="N/A"," ",AM38*$AV38)</f>
        <v> </v>
      </c>
      <c r="CG38" s="309" t="str">
        <f aca="false">IF($A38="N/A"," ",AN38*$AW38)</f>
        <v> </v>
      </c>
      <c r="CH38" s="309" t="str">
        <f aca="false">IF($A38="N/A"," ",AO38*$AX38)</f>
        <v> </v>
      </c>
      <c r="CI38" s="309" t="str">
        <f aca="false">IF($A38="N/A"," ",AP38*$AY38)</f>
        <v> </v>
      </c>
      <c r="CJ38" s="309" t="str">
        <f aca="false">IF($A38="N/A"," ",AQ38*$AZ38)</f>
        <v> </v>
      </c>
      <c r="CK38" s="310" t="str">
        <f aca="false">IF($A38="N/A"," ",AR38*$BA38)</f>
        <v> </v>
      </c>
      <c r="CL38" s="311" t="str">
        <f aca="false">IF(A38="N/A"," ",(VLOOKUP(A38,PowerVolTable,(IF(VolBMO=2,7,IF(VolBMO=1,6,8))),FALSE())))</f>
        <v> </v>
      </c>
      <c r="CM38" s="312" t="str">
        <f aca="false">IF(A38="N/A"," ",(VLOOKUP(A38,IntraPowerVol,(IF(VolBMO=2,3,IF(VolBMO=1,2,4))),FALSE())*VLOOKUP(MONTH($A38),Volscale,2)))</f>
        <v> </v>
      </c>
      <c r="CN38" s="312" t="str">
        <f aca="false">IF($A38="N/A"," ",IF(VolType=1,CM38,CL38))</f>
        <v> </v>
      </c>
      <c r="CO38" s="312" t="str">
        <f aca="false">IF($A38="N/A"," ",(VLOOKUP($A38,OffPeakVol,(IF(VolBMO=2,7,IF(VolBMO=1,6,8))),FALSE())))</f>
        <v> </v>
      </c>
      <c r="CP38" s="312" t="str">
        <f aca="false">IF($A38="N/A"," ",(VLOOKUP($A38,OffPeakVol,(IF(VolBMO=2,3,IF(VolBMO=1,2,4))),FALSE())*VLOOKUP(MONTH($A38),Volscale,2)))</f>
        <v> </v>
      </c>
      <c r="CQ38" s="312" t="str">
        <f aca="false">IF($A38="N/A"," ",IF(VolType=1,CP38,CO38))</f>
        <v> </v>
      </c>
      <c r="CR38" s="312" t="str">
        <f aca="false">IF($A38="N/A"," ",(VLOOKUP($A38,GasVolTable,(IF(VolBMO=2,6,IF(VolBMO=1,7,5))),FALSE())))</f>
        <v> </v>
      </c>
      <c r="CS38" s="312" t="str">
        <f aca="false">IF($A38="N/A"," ",(VLOOKUP($A38,OmicronVol,(IF(VolBMO=2,3,IF(VolBMO=1,4,2))),FALSE())))</f>
        <v> </v>
      </c>
      <c r="CT38" s="312" t="str">
        <f aca="false">IF($A38="N/A"," ",(IF(DateToday&gt;$A38,$CS38,IF(VolType=1,((($CR38^2)*((($A38-1)-DateToday)/((EOMONTH($A38,0)+1)-DateToday-15)))+((($CS38)^2)*((15)/((EOMONTH($A38,0)+1)-DateToday-15))))^0.5,CR38))))</f>
        <v> </v>
      </c>
      <c r="CU38" s="312" t="str">
        <f aca="false">IF($A38="N/A"," ",IF('Pricing Inputs'!$AR$23=TRUE(),Inputs!$S$22,VLOOKUP($A38,CorrelationTable,2,FALSE())))</f>
        <v> </v>
      </c>
      <c r="CV38" s="313" t="str">
        <f aca="false">IF($A38="N/A"," ",F38+G38+(D38*('Pricing Inputs'!X73)))</f>
        <v> </v>
      </c>
      <c r="CW38" s="314" t="str">
        <f aca="false">IF($A38="N/A"," ",IF(PV=1,0,'Pricing Inputs'!Y73))</f>
        <v> </v>
      </c>
      <c r="CX38" s="315" t="str">
        <f aca="false">IF($A38="N/A"," ",(1+CW38/2)^(-2*((EOMONTH(A38,0)+20)-DateToday)/365.25))</f>
        <v> </v>
      </c>
      <c r="CY38" s="316" t="str">
        <f aca="false">IF($A38="N/A"," ",(IF(MONTH(A38)&gt;=4,IF(MONTH(A38)&lt;=10,Inputs!$S$26,Inputs!$S$27),Inputs!$S$27))*$CX38)</f>
        <v> </v>
      </c>
      <c r="CZ38" s="317" t="str">
        <f aca="false">IF($A38="N/A"," ",BK38+BL38+BN38+BO38+BQ38+BR38)</f>
        <v> </v>
      </c>
      <c r="DA38" s="318" t="str">
        <f aca="false">IF($A38="N/A"," ",BM38+BP38+BS38)</f>
        <v> </v>
      </c>
      <c r="DB38" s="319" t="str">
        <f aca="false">IF($A38="N/A"," ",BT38+BU38+BW38+BX38+BZ38+CA38)</f>
        <v> </v>
      </c>
      <c r="DC38" s="319" t="str">
        <f aca="false">IF($A38="N/A"," ",BV38+BY38+CB38)</f>
        <v> </v>
      </c>
      <c r="DD38" s="320" t="str">
        <f aca="false">IF($A38="N/A"," ",SUM(CC38:CK38))</f>
        <v> </v>
      </c>
      <c r="DE38" s="321" t="str">
        <f aca="false">IF($A38="N/A"," ",VLOOKUP($A38,NumberofDaysTable,2)*Availability)</f>
        <v> </v>
      </c>
      <c r="DF38" s="94" t="str">
        <f aca="false">IF($A38="N/A"," ",VLOOKUP($A38,NumberofDaysTable,3)*Availability)</f>
        <v> </v>
      </c>
      <c r="DG38" s="322" t="str">
        <f aca="false">IF($A38="N/A"," ",VLOOKUP($A38,NumberofDaysTable,4)*Availability)</f>
        <v> </v>
      </c>
      <c r="DH38" s="323" t="str">
        <f aca="false">IF($A38="N/A"," ",IF(Option=1,$D38*Inputs!$S$15*SUM(AS38:BA38),0))</f>
        <v> </v>
      </c>
      <c r="DI38" s="324" t="str">
        <f aca="false">IF($A38="N/A"," ",IF(Option=1,$D38*Inputs!$S$16*SUM(AS38:BA38),0))</f>
        <v> </v>
      </c>
      <c r="DJ38" s="325" t="str">
        <f aca="false">IF($A38="N/A"," ",SUM(AS38:AT38))</f>
        <v> </v>
      </c>
      <c r="DK38" s="325" t="str">
        <f aca="false">IF($A38="N/A"," ",SUM(AU38:BA38))</f>
        <v> </v>
      </c>
      <c r="DL38" s="325" t="str">
        <f aca="false">IF($A38="N/A"," ",SUM(BB38:BC38))</f>
        <v> </v>
      </c>
      <c r="DM38" s="325" t="str">
        <f aca="false">IF($A38="N/A"," ",SUM(BD38:BJ38))</f>
        <v> </v>
      </c>
    </row>
    <row r="39" customFormat="false" ht="12.75" hidden="false" customHeight="false" outlineLevel="0" collapsed="false">
      <c r="A39" s="282" t="str">
        <f aca="false">IF(A38="N/A","N/A",IF(EDATE(A38,1)&gt;Inputs!$S$5,"N/A",EDATE(A38,1)))</f>
        <v>N/A</v>
      </c>
      <c r="B39" s="283" t="str">
        <f aca="false">IF(A39="N/A"," ",YEAR(A39))</f>
        <v> </v>
      </c>
      <c r="C39" s="284" t="str">
        <f aca="false">IF(A39="N/A"," ",VLOOKUP(A39,ScaledPrice,14))</f>
        <v> </v>
      </c>
      <c r="D39" s="285" t="str">
        <f aca="false">IF(A39="N/A"," ",(VLOOKUP(MONTH($A39),Hrtable,2))/1000)</f>
        <v> </v>
      </c>
      <c r="E39" s="286" t="str">
        <f aca="false">IF($A39="N/A"," ",(C39)*D39)</f>
        <v> </v>
      </c>
      <c r="F39" s="287" t="str">
        <f aca="false">IF(A39="N/A"," ",VOM*(1+VOMesc)^(YEAR(A39)-YEAR(Today)))</f>
        <v> </v>
      </c>
      <c r="G39" s="287" t="str">
        <f aca="false">IF(A39="N/A"," ",Perstart/VLOOKUP(Dayrun,'Pricing Inputs'!$AQ$4:$AS$14,3)/(CY39/CX39))</f>
        <v> </v>
      </c>
      <c r="H39" s="288" t="str">
        <f aca="false">IF(A39="N/A"," ",SUM(E39:G39))</f>
        <v> </v>
      </c>
      <c r="I39" s="289" t="str">
        <f aca="false">VLOOKUP($A39,ScaledPrice,6)</f>
        <v> </v>
      </c>
      <c r="J39" s="290" t="str">
        <f aca="false">VLOOKUP($A39,ScaledPrice,10)</f>
        <v> </v>
      </c>
      <c r="K39" s="290" t="str">
        <f aca="false">VLOOKUP($A39,ScaledPrice,13)</f>
        <v> </v>
      </c>
      <c r="L39" s="290" t="str">
        <f aca="false">VLOOKUP($A39,ScaledPrice,7)</f>
        <v> </v>
      </c>
      <c r="M39" s="290" t="str">
        <f aca="false">VLOOKUP($A39,ScaledPrice,11)</f>
        <v> </v>
      </c>
      <c r="N39" s="290" t="str">
        <f aca="false">VLOOKUP($A39,ScaledPrice,13)</f>
        <v> </v>
      </c>
      <c r="O39" s="290" t="str">
        <f aca="false">VLOOKUP($A39,ScaledPrice,8)</f>
        <v> </v>
      </c>
      <c r="P39" s="290" t="str">
        <f aca="false">VLOOKUP($A39,ScaledPrice,12)</f>
        <v> </v>
      </c>
      <c r="Q39" s="291" t="str">
        <f aca="false">VLOOKUP($A39,ScaledPrice,13)</f>
        <v> </v>
      </c>
      <c r="R39" s="292" t="str">
        <f aca="false">IF($A39="N/A"," ",IF(Dayrun&gt;=3,IF(Option=1,MAX($I39-$H39,0),IF(Option=2,MAX($H39-$I39,0),0)),0))</f>
        <v> </v>
      </c>
      <c r="S39" s="286" t="str">
        <f aca="false">IF($A39="N/A"," ",IF(Dayrun&gt;=6,IF(Option=1,MAX($J39-H39,0),IF(Option=2,MAX(H39-$J39,0),0)),0))</f>
        <v> </v>
      </c>
      <c r="T39" s="286" t="str">
        <f aca="false">IF($A39="N/A"," ",IF(OR(Dayrun&lt;=2,Dayrun&gt;=9),IF(Option=1,MAX($K39-$H39,0),IF(Option=2,MAX($H39-$K39,0),0)),0))</f>
        <v> </v>
      </c>
      <c r="U39" s="286" t="str">
        <f aca="false">IF($A39="N/A"," ",IF(OR(Dayrun=1,Dayrun=4,Dayrun=5,Dayrun=7,Dayrun=8,Dayrun=10,Dayrun=11),IF(Option=1,MAX($L39-H39,0),IF(Option=2,MAX(H39-$L39,0),0)),0))</f>
        <v> </v>
      </c>
      <c r="V39" s="286" t="str">
        <f aca="false">IF($A39="N/A"," ",IF(OR(Dayrun=1,Dayrun=7,Dayrun=8,Dayrun=10,Dayrun=11),IF(Option=1,MAX($M39-H39,0),IF(Option=2,MAX(H39-$M39,0),0)),0))</f>
        <v> </v>
      </c>
      <c r="W39" s="286" t="str">
        <f aca="false">IF($A39="N/A"," ",IF(OR(Dayrun&lt;=2,Dayrun&gt;=10),IF(Option=1,MAX($N39-$H39,0),IF(Option=2,MAX($H39-$N39,0),0)),0))</f>
        <v> </v>
      </c>
      <c r="X39" s="286" t="str">
        <f aca="false">IF($A39="N/A"," ",IF(OR(Dayrun=1,Dayrun=5,Dayrun=8,Dayrun=11),IF(Option=1,MAX($O39-H39,0),IF(Option=2,MAX(H39-$O39,0),0)),0))</f>
        <v> </v>
      </c>
      <c r="Y39" s="286" t="str">
        <f aca="false">IF($A39="N/A"," ",IF(OR(Dayrun=1,Dayrun=8,Dayrun=11),IF(Option=1,MAX($P39-H39,0),IF(Option=2,MAX(H39-$P39,0),0)),0))</f>
        <v> </v>
      </c>
      <c r="Z39" s="293" t="str">
        <f aca="false">IF($A39="N/A"," ",IF(OR(Dayrun&lt;=2,Dayrun&gt;=11),IF(Option=1,MAX($Q39-$H39,0),IF(Option=2,MAX($H39-$Q39,0),0)),0))</f>
        <v> </v>
      </c>
      <c r="AA39" s="289" t="str">
        <f aca="false">IF($A39="N/A"," ",IF(Dayrun&gt;=3,(MAX(0,(xSPRDOPT(I39,($E39-'Pricing Inputs'!$X74*$D39),$CV39,0,($CN39+IF(Smile=TRUE(),VLOOKUP(MAX(-5,$H39-I39),Volsmile,2),0)),$CT39,$CU39,($A39-DateToday)+15,ABS(Option-2),0)-R39))),0))</f>
        <v> </v>
      </c>
      <c r="AB39" s="290" t="str">
        <f aca="false">IF($A39="N/A"," ",IF(Dayrun&gt;=6,MAX(0,(xSPRDOPT(J39,($E39-'Pricing Inputs'!$X74*$D39),$CV39,0,($CN39+IF(Smile=TRUE(),VLOOKUP(MAX(-5,$H39-J39),Volsmile,2),0)),$CT39,$CU39,($A39-DateToday)+15,ABS(Option-2),0)-S39)),0))</f>
        <v> </v>
      </c>
      <c r="AC39" s="290" t="str">
        <f aca="false">IF($A39="N/A"," ",IF(OR(Dayrun&lt;=2,Dayrun&gt;=9),IF(OffPeakEx=TRUE(),MAX(0,(xSPRDOPT(K39,($E39-'Pricing Inputs'!$X74*$D39),$CV39,0,($CQ39+IF(Smile=TRUE(),VLOOKUP(MAX(-5,$H39-K39),Volsmile,2),0)),$CT39,$CU39,($A39-DateToday)+15,ABS(Option-2),0)-T39)),0),0))</f>
        <v> </v>
      </c>
      <c r="AD39" s="290" t="str">
        <f aca="false">IF($A39="N/A"," ",IF(OR(Dayrun=1,Dayrun=4,Dayrun=5,Dayrun=7,Dayrun=8,Dayrun=10,Dayrun=11),MAX(0,(xSPRDOPT(L39,($E39-'Pricing Inputs'!$X74*$D39),$CV39,0,($CQ39+IF(Smile=TRUE(),VLOOKUP(MAX(-5,$H39-L39),Volsmile,2),0)),$CT39,$CU39,($A39-DateToday)+15,ABS(Option-2),0)-U39)),0))</f>
        <v> </v>
      </c>
      <c r="AE39" s="290" t="str">
        <f aca="false">IF($A39="N/A"," ",IF(OR(Dayrun=1,Dayrun=7,Dayrun=8,Dayrun=10,Dayrun=11),MAX(0,(xSPRDOPT(M39,($E39-'Pricing Inputs'!$X74*$D39),$CV39,0,($CQ39+IF(Smile=TRUE(),VLOOKUP(MAX(-5,$H39-M39),Volsmile,2),0)),$CT39,$CU39,($A39-DateToday)+15,ABS(Option-2),0)-V39)),0))</f>
        <v> </v>
      </c>
      <c r="AF39" s="290" t="str">
        <f aca="false">IF($A39="N/A"," ",IF(OR(Dayrun&lt;=2,Dayrun&gt;=10),IF(OffPeakEx=TRUE(),MAX(0,(xSPRDOPT(N39,($E39-'Pricing Inputs'!$X74*$D39),$CV39,0,($CQ39+IF(Smile=TRUE(),VLOOKUP(MAX(-5,$H39-N39),Volsmile,2),0)),$CT39,$CU39,($A39-DateToday)+15,ABS(Option-2),0)-W39)),0),0))</f>
        <v> </v>
      </c>
      <c r="AG39" s="290" t="str">
        <f aca="false">IF($A39="N/A"," ",IF(OR(Dayrun=1,Dayrun=5,Dayrun=8,Dayrun=11),MAX(0,(xSPRDOPT(O39,($E39-'Pricing Inputs'!$X74*$D39),$CV39,0,($CQ39+IF(Smile=TRUE(),VLOOKUP(MAX(-5,$H39-O39),Volsmile,2),0)),$CT39,$CU39,($A39-DateToday)+15,ABS(Option-2),0)-X39)),0))</f>
        <v> </v>
      </c>
      <c r="AH39" s="290" t="str">
        <f aca="false">IF($A39="N/A"," ",IF(OR(Dayrun=1,Dayrun=8,Dayrun=11),MAX(0,(xSPRDOPT(P39,($E39-'Pricing Inputs'!$X74*$D39),$CV39,0,($CQ39+IF(Smile=TRUE(),VLOOKUP(MAX(-5,$H39-P39),Volsmile,2),0)),$CT39,$CU39,($A39-DateToday)+15,ABS(Option-2),0)-Y39)),0))</f>
        <v> </v>
      </c>
      <c r="AI39" s="290" t="str">
        <f aca="false">IF($A39="N/A"," ",IF(OR(Dayrun&lt;=2,Dayrun&gt;=11),IF(OffPeakEx=TRUE(),MAX(0,(xSPRDOPT(Q39,($E39-'Pricing Inputs'!$X74*$D39),$CV39,0,($CQ39+IF(Smile=TRUE(),VLOOKUP(MAX(-5,$H39-Q39),Volsmile,2),0)),$CT39,$CU39,($A39-DateToday)+15,ABS(Option-2),0)-Z39)),0),0))</f>
        <v> </v>
      </c>
      <c r="AJ39" s="294" t="str">
        <f aca="false">IF($A39="N/A"," ",IF(Dayrun&gt;=3,IF(Option=1,$I39-$H39,IF(Option=2,$H39-$I39)),0))</f>
        <v> </v>
      </c>
      <c r="AK39" s="295" t="str">
        <f aca="false">IF($A39="N/A"," ",IF(Dayrun&gt;=6,IF(Option=1,$J39-H39,IF(Option=2,H39-$J39)),0))</f>
        <v> </v>
      </c>
      <c r="AL39" s="295" t="str">
        <f aca="false">IF($A39="N/A"," ",IF(OR(Dayrun&lt;=2,Dayrun&gt;=9),IF(Option=1,$K39-$H39,IF(Option=2,$H39-$K39)),0))</f>
        <v> </v>
      </c>
      <c r="AM39" s="295" t="str">
        <f aca="false">IF($A39="N/A"," ",IF(OR(Dayrun=1,Dayrun=4,Dayrun=5,Dayrun=7,Dayrun=8,Dayrun=10,Dayrun=11),IF(Option=1,$L39-H39,IF(Option=2,H39-$L39)),0))</f>
        <v> </v>
      </c>
      <c r="AN39" s="295" t="str">
        <f aca="false">IF($A39="N/A"," ",IF(OR(Dayrun=1,Dayrun=7,Dayrun=8,Dayrun=10,Dayrun=11),IF(Option=1,$M39-H39,IF(Option=2,H39-$M39)),0))</f>
        <v> </v>
      </c>
      <c r="AO39" s="295" t="str">
        <f aca="false">IF($A39="N/A"," ",IF(OR(Dayrun&lt;=2,Dayrun&gt;=9),IF(Option=1,$N39-$H39,IF(Option=2,$H39-$N39)),0))</f>
        <v> </v>
      </c>
      <c r="AP39" s="295" t="str">
        <f aca="false">IF($A39="N/A"," ",IF(OR(Dayrun=1,Dayrun=5,Dayrun=8,Dayrun=11),IF(Option=1,$O39-H39,IF(Option=2,H39-$O39)),0))</f>
        <v> </v>
      </c>
      <c r="AQ39" s="295" t="str">
        <f aca="false">IF($A39="N/A"," ",IF(OR(Dayrun=1,Dayrun=8,Dayrun=11),IF(Option=1,$P39-H39,IF(Option=2,H39-$P39)),0))</f>
        <v> </v>
      </c>
      <c r="AR39" s="296" t="str">
        <f aca="false">IF($A39="N/A"," ",IF(OR(Dayrun&lt;=2,Dayrun&gt;=9),IF(Option=1,$Q39-H39,IF(Option=2,H39-$Q39)),0))</f>
        <v> </v>
      </c>
      <c r="AS39" s="297" t="str">
        <f aca="false">IF($A39="N/A"," ",IF(VLOOKUP(MONTH($A39),ManualTable,2)=1,IF(Dayrun&gt;=3,$DE39*8*$CY39,0),0))</f>
        <v> </v>
      </c>
      <c r="AT39" s="297" t="str">
        <f aca="false">IF($A39="N/A"," ",IF(VLOOKUP(MONTH($A39),ManualTable,3)=1,IF(Dayrun&gt;=6,$DE39*8*$CY39,0),0))</f>
        <v> </v>
      </c>
      <c r="AU39" s="297" t="str">
        <f aca="false">IF($A39="N/A"," ",IF(VLOOKUP(MONTH($A39),ManualTable,4)=1,IF(OR(Dayrun&lt;=2,Dayrun&gt;=9),$DE39*8*$CY39,0),0))</f>
        <v> </v>
      </c>
      <c r="AV39" s="297" t="str">
        <f aca="false">IF($A39="N/A"," ",IF(VLOOKUP(MONTH($A39),ManualTable,5)=1,IF(OR(Dayrun=1,Dayrun=4,Dayrun=5,Dayrun=7,Dayrun=8,Dayrun=10,Dayrun=11),$DF39*8*$CY39,0),0))</f>
        <v> </v>
      </c>
      <c r="AW39" s="297" t="str">
        <f aca="false">IF($A39="N/A"," ",IF(VLOOKUP(MONTH($A39),ManualTable,6)=1,IF(OR(Dayrun=1,Dayrun=7,Dayrun=8,Dayrun=10,Dayrun=11),$DF39*8*$CY39,0),0))</f>
        <v> </v>
      </c>
      <c r="AX39" s="297" t="str">
        <f aca="false">IF($A39="N/A"," ",IF(VLOOKUP(MONTH($A39),ManualTable,7)=1,IF(OR(Dayrun&lt;=2,Dayrun&gt;=9),$DF39*8*$CY39,0),0))</f>
        <v> </v>
      </c>
      <c r="AY39" s="297" t="str">
        <f aca="false">IF($A39="N/A"," ",IF(VLOOKUP(MONTH($A39),ManualTable,8)=1,IF(OR(Dayrun=1,Dayrun=5,Dayrun=8,Dayrun=11),$DG39*8*$CY39,0),0))</f>
        <v> </v>
      </c>
      <c r="AZ39" s="297" t="str">
        <f aca="false">IF($A39="N/A"," ",IF(VLOOKUP(MONTH($A39),ManualTable,9)=1,IF(OR(Dayrun=1,Dayrun=8,Dayrun=11),$DG39*8*$CY39,0),0))</f>
        <v> </v>
      </c>
      <c r="BA39" s="298" t="str">
        <f aca="false">IF($A39="N/A"," ",IF(VLOOKUP(MONTH($A39),ManualTable,10)=1,IF(OR(Dayrun&lt;=2,Dayrun&gt;=9),$DG39*8*$CY39,0),0))</f>
        <v> </v>
      </c>
      <c r="BB39" s="299" t="str">
        <f aca="false">IF($A39="N/A"," ",IF(Dayrun&gt;=3,(MAX(0,(xSPRDOPT(I39,($E39-'Pricing Inputs'!$X74*$D39),$CV39,0,($CN39+IF(Smile=TRUE(),VLOOKUP(MAX(-5,$H39-I39),Volsmile,2),0)),$CT39,$CU39,($A39-DateToday)+15,ABS(Option-2),1)*DE39*8))),0))</f>
        <v> </v>
      </c>
      <c r="BC39" s="300" t="str">
        <f aca="false">IF($A39="N/A"," ",IF(Dayrun&gt;=6,MAX(0,(xSPRDOPT(J39,($E39-'Pricing Inputs'!$X74*$D39),$CV39,0,($CN39+IF(Smile=TRUE(),VLOOKUP(MAX(-5,$H39-J39),Volsmile,2),0)),$CT39,$CU39,($A39-DateToday)+15,ABS(Option-2),1)*DE39*8)),0))</f>
        <v> </v>
      </c>
      <c r="BD39" s="300" t="str">
        <f aca="false">IF($A39="N/A"," ",IF(OR(Dayrun&lt;=2,Dayrun&gt;=9),IF(OffPeakEx=TRUE(),MAX(0,(xSPRDOPT(K39,($E39-'Pricing Inputs'!$X74*$D39),$CV39,0,($CQ39+IF(Smile=TRUE(),VLOOKUP(MAX(-5,$H39-K39),Volsmile,2),0)),$CT39,$CU39,($A39-DateToday)+15,ABS(Option-2),1)*DE39*8)),0),0))</f>
        <v> </v>
      </c>
      <c r="BE39" s="300" t="str">
        <f aca="false">IF($A39="N/A"," ",IF(OR(Dayrun=1,Dayrun=4,Dayrun=5,Dayrun=7,Dayrun=8,Dayrun=10,Dayrun=11),MAX(0,(xSPRDOPT(L39,($E39-'Pricing Inputs'!$X74*$D39),$CV39,0,($CQ39+IF(Smile=TRUE(),VLOOKUP(MAX(-5,$H39-L39),Volsmile,2),0)),$CT39,$CU39,($A39-DateToday)+15,ABS(Option-2),1)*DF39*8)),0))</f>
        <v> </v>
      </c>
      <c r="BF39" s="300" t="str">
        <f aca="false">IF($A39="N/A"," ",IF(OR(Dayrun=1,Dayrun=7,Dayrun=8,Dayrun=10,Dayrun=11),MAX(0,(xSPRDOPT(M39,($E39-'Pricing Inputs'!$X74*$D39),$CV39,0,($CQ39+IF(Smile=TRUE(),VLOOKUP(MAX(-5,$H39-M39),Volsmile,2),0)),$CT39,$CU39,($A39-DateToday)+15,ABS(Option-2),1)*DF39*8)),0))</f>
        <v> </v>
      </c>
      <c r="BG39" s="300" t="str">
        <f aca="false">IF($A39="N/A"," ",IF(OR(Dayrun&lt;=2,Dayrun&gt;=10),IF(OffPeakEx=TRUE(),MAX(0,(xSPRDOPT(N39,($E39-'Pricing Inputs'!$X74*$D39),$CV39,0,($CQ39+IF(Smile=TRUE(),VLOOKUP(MAX(-5,$H39-N39),Volsmile,2),0)),$CT39,$CU39,($A39-DateToday)+15,ABS(Option-2),1)*DF39*8)),0),0))</f>
        <v> </v>
      </c>
      <c r="BH39" s="300" t="str">
        <f aca="false">IF($A39="N/A"," ",IF(OR(Dayrun=1,Dayrun=5,Dayrun=8,Dayrun=11),MAX(0,(xSPRDOPT(O39,($E39-'Pricing Inputs'!$X74*$D39),$CV39,0,($CQ39+IF(Smile=TRUE(),VLOOKUP(MAX(-5,$H39-O39),Volsmile,2),0)),$CT39,$CU39,($A39-DateToday)+15,ABS(Option-2),1)*DG39*8)),0))</f>
        <v> </v>
      </c>
      <c r="BI39" s="300" t="str">
        <f aca="false">IF($A39="N/A"," ",IF(OR(Dayrun=1,Dayrun=8,Dayrun=11),MAX(0,(xSPRDOPT(P39,($E39-'Pricing Inputs'!$X74*$D39),$CV39,0,($CQ39+IF(Smile=TRUE(),VLOOKUP(MAX(-5,$H39-P39),Volsmile,2),0)),$CT39,$CU39,($A39-DateToday)+15,ABS(Option-2),1)*DG39*8)),0))</f>
        <v> </v>
      </c>
      <c r="BJ39" s="301" t="str">
        <f aca="false">IF($A39="N/A"," ",IF(OR(Dayrun&lt;=2,Dayrun&gt;=11),IF(OffPeakEx=TRUE(),MAX(0,(xSPRDOPT(Q39,($E39-'Pricing Inputs'!$X74*$D39),$CV39,0,($CQ39+IF(Smile=TRUE(),VLOOKUP(MAX(-5,$H39-Q39),Volsmile,2),0)),$CT39,$CU39,($A39-DateToday)+15,ABS(Option-2),1)*DG39*8)),0),0))</f>
        <v> </v>
      </c>
      <c r="BK39" s="302" t="str">
        <f aca="false">IF($A39="N/A"," ",R39*$AS39)</f>
        <v> </v>
      </c>
      <c r="BL39" s="303" t="str">
        <f aca="false">IF($A39="N/A"," ",S39*$AT39)</f>
        <v> </v>
      </c>
      <c r="BM39" s="303" t="str">
        <f aca="false">IF($A39="N/A"," ",T39*$AU39)</f>
        <v> </v>
      </c>
      <c r="BN39" s="303" t="str">
        <f aca="false">IF($A39="N/A"," ",U39*$AV39)</f>
        <v> </v>
      </c>
      <c r="BO39" s="303" t="str">
        <f aca="false">IF($A39="N/A"," ",V39*$AW39)</f>
        <v> </v>
      </c>
      <c r="BP39" s="303" t="str">
        <f aca="false">IF($A39="N/A"," ",W39*$AX39)</f>
        <v> </v>
      </c>
      <c r="BQ39" s="303" t="str">
        <f aca="false">IF($A39="N/A"," ",X39*$AY39)</f>
        <v> </v>
      </c>
      <c r="BR39" s="303" t="str">
        <f aca="false">IF($A39="N/A"," ",Y39*$AZ39)</f>
        <v> </v>
      </c>
      <c r="BS39" s="304" t="str">
        <f aca="false">IF($A39="N/A"," ",Z39*$BA39)</f>
        <v> </v>
      </c>
      <c r="BT39" s="305" t="str">
        <f aca="false">IF($A39="N/A"," ",AA39*$AS39)</f>
        <v> </v>
      </c>
      <c r="BU39" s="306" t="str">
        <f aca="false">IF($A39="N/A"," ",AB39*$AT39)</f>
        <v> </v>
      </c>
      <c r="BV39" s="306" t="str">
        <f aca="false">IF($A39="N/A"," ",AC39*$AU39)</f>
        <v> </v>
      </c>
      <c r="BW39" s="306" t="str">
        <f aca="false">IF($A39="N/A"," ",AD39*$AV39)</f>
        <v> </v>
      </c>
      <c r="BX39" s="306" t="str">
        <f aca="false">IF($A39="N/A"," ",AE39*$AW39)</f>
        <v> </v>
      </c>
      <c r="BY39" s="306" t="str">
        <f aca="false">IF($A39="N/A"," ",AF39*$AX39)</f>
        <v> </v>
      </c>
      <c r="BZ39" s="306" t="str">
        <f aca="false">IF($A39="N/A"," ",AG39*$AY39)</f>
        <v> </v>
      </c>
      <c r="CA39" s="306" t="str">
        <f aca="false">IF($A39="N/A"," ",AH39*$AZ39)</f>
        <v> </v>
      </c>
      <c r="CB39" s="307" t="str">
        <f aca="false">IF($A39="N/A"," ",AI39*$BA39)</f>
        <v> </v>
      </c>
      <c r="CC39" s="308" t="str">
        <f aca="false">IF($A39="N/A"," ",AJ39*$AS39)</f>
        <v> </v>
      </c>
      <c r="CD39" s="309" t="str">
        <f aca="false">IF($A39="N/A"," ",AK39*$AT39)</f>
        <v> </v>
      </c>
      <c r="CE39" s="309" t="str">
        <f aca="false">IF($A39="N/A"," ",AL39*$AU39)</f>
        <v> </v>
      </c>
      <c r="CF39" s="309" t="str">
        <f aca="false">IF($A39="N/A"," ",AM39*$AV39)</f>
        <v> </v>
      </c>
      <c r="CG39" s="309" t="str">
        <f aca="false">IF($A39="N/A"," ",AN39*$AW39)</f>
        <v> </v>
      </c>
      <c r="CH39" s="309" t="str">
        <f aca="false">IF($A39="N/A"," ",AO39*$AX39)</f>
        <v> </v>
      </c>
      <c r="CI39" s="309" t="str">
        <f aca="false">IF($A39="N/A"," ",AP39*$AY39)</f>
        <v> </v>
      </c>
      <c r="CJ39" s="309" t="str">
        <f aca="false">IF($A39="N/A"," ",AQ39*$AZ39)</f>
        <v> </v>
      </c>
      <c r="CK39" s="310" t="str">
        <f aca="false">IF($A39="N/A"," ",AR39*$BA39)</f>
        <v> </v>
      </c>
      <c r="CL39" s="311" t="str">
        <f aca="false">IF(A39="N/A"," ",(VLOOKUP(A39,PowerVolTable,(IF(VolBMO=2,7,IF(VolBMO=1,6,8))),FALSE())))</f>
        <v> </v>
      </c>
      <c r="CM39" s="312" t="str">
        <f aca="false">IF(A39="N/A"," ",(VLOOKUP(A39,IntraPowerVol,(IF(VolBMO=2,3,IF(VolBMO=1,2,4))),FALSE())*VLOOKUP(MONTH($A39),Volscale,2)))</f>
        <v> </v>
      </c>
      <c r="CN39" s="312" t="str">
        <f aca="false">IF($A39="N/A"," ",IF(VolType=1,CM39,CL39))</f>
        <v> </v>
      </c>
      <c r="CO39" s="312" t="str">
        <f aca="false">IF($A39="N/A"," ",(VLOOKUP($A39,OffPeakVol,(IF(VolBMO=2,7,IF(VolBMO=1,6,8))),FALSE())))</f>
        <v> </v>
      </c>
      <c r="CP39" s="312" t="str">
        <f aca="false">IF($A39="N/A"," ",(VLOOKUP($A39,OffPeakVol,(IF(VolBMO=2,3,IF(VolBMO=1,2,4))),FALSE())*VLOOKUP(MONTH($A39),Volscale,2)))</f>
        <v> </v>
      </c>
      <c r="CQ39" s="312" t="str">
        <f aca="false">IF($A39="N/A"," ",IF(VolType=1,CP39,CO39))</f>
        <v> </v>
      </c>
      <c r="CR39" s="312" t="str">
        <f aca="false">IF($A39="N/A"," ",(VLOOKUP($A39,GasVolTable,(IF(VolBMO=2,6,IF(VolBMO=1,7,5))),FALSE())))</f>
        <v> </v>
      </c>
      <c r="CS39" s="312" t="str">
        <f aca="false">IF($A39="N/A"," ",(VLOOKUP($A39,OmicronVol,(IF(VolBMO=2,3,IF(VolBMO=1,4,2))),FALSE())))</f>
        <v> </v>
      </c>
      <c r="CT39" s="312" t="str">
        <f aca="false">IF($A39="N/A"," ",(IF(DateToday&gt;$A39,$CS39,IF(VolType=1,((($CR39^2)*((($A39-1)-DateToday)/((EOMONTH($A39,0)+1)-DateToday-15)))+((($CS39)^2)*((15)/((EOMONTH($A39,0)+1)-DateToday-15))))^0.5,CR39))))</f>
        <v> </v>
      </c>
      <c r="CU39" s="312" t="str">
        <f aca="false">IF($A39="N/A"," ",IF('Pricing Inputs'!$AR$23=TRUE(),Inputs!$S$22,VLOOKUP($A39,CorrelationTable,2,FALSE())))</f>
        <v> </v>
      </c>
      <c r="CV39" s="313" t="str">
        <f aca="false">IF($A39="N/A"," ",F39+G39+(D39*('Pricing Inputs'!X74)))</f>
        <v> </v>
      </c>
      <c r="CW39" s="314" t="str">
        <f aca="false">IF($A39="N/A"," ",IF(PV=1,0,'Pricing Inputs'!Y74))</f>
        <v> </v>
      </c>
      <c r="CX39" s="315" t="str">
        <f aca="false">IF($A39="N/A"," ",(1+CW39/2)^(-2*((EOMONTH(A39,0)+20)-DateToday)/365.25))</f>
        <v> </v>
      </c>
      <c r="CY39" s="316" t="str">
        <f aca="false">IF($A39="N/A"," ",(IF(MONTH(A39)&gt;=4,IF(MONTH(A39)&lt;=10,Inputs!$S$26,Inputs!$S$27),Inputs!$S$27))*$CX39)</f>
        <v> </v>
      </c>
      <c r="CZ39" s="317" t="str">
        <f aca="false">IF($A39="N/A"," ",BK39+BL39+BN39+BO39+BQ39+BR39)</f>
        <v> </v>
      </c>
      <c r="DA39" s="318" t="str">
        <f aca="false">IF($A39="N/A"," ",BM39+BP39+BS39)</f>
        <v> </v>
      </c>
      <c r="DB39" s="319" t="str">
        <f aca="false">IF($A39="N/A"," ",BT39+BU39+BW39+BX39+BZ39+CA39)</f>
        <v> </v>
      </c>
      <c r="DC39" s="319" t="str">
        <f aca="false">IF($A39="N/A"," ",BV39+BY39+CB39)</f>
        <v> </v>
      </c>
      <c r="DD39" s="320" t="str">
        <f aca="false">IF($A39="N/A"," ",SUM(CC39:CK39))</f>
        <v> </v>
      </c>
      <c r="DE39" s="321" t="str">
        <f aca="false">IF($A39="N/A"," ",VLOOKUP($A39,NumberofDaysTable,2)*Availability)</f>
        <v> </v>
      </c>
      <c r="DF39" s="94" t="str">
        <f aca="false">IF($A39="N/A"," ",VLOOKUP($A39,NumberofDaysTable,3)*Availability)</f>
        <v> </v>
      </c>
      <c r="DG39" s="322" t="str">
        <f aca="false">IF($A39="N/A"," ",VLOOKUP($A39,NumberofDaysTable,4)*Availability)</f>
        <v> </v>
      </c>
      <c r="DH39" s="323" t="str">
        <f aca="false">IF($A39="N/A"," ",IF(Option=1,$D39*Inputs!$S$15*SUM(AS39:BA39),0))</f>
        <v> </v>
      </c>
      <c r="DI39" s="324" t="str">
        <f aca="false">IF($A39="N/A"," ",IF(Option=1,$D39*Inputs!$S$16*SUM(AS39:BA39),0))</f>
        <v> </v>
      </c>
      <c r="DJ39" s="325" t="str">
        <f aca="false">IF($A39="N/A"," ",SUM(AS39:AT39))</f>
        <v> </v>
      </c>
      <c r="DK39" s="325" t="str">
        <f aca="false">IF($A39="N/A"," ",SUM(AU39:BA39))</f>
        <v> </v>
      </c>
      <c r="DL39" s="325" t="str">
        <f aca="false">IF($A39="N/A"," ",SUM(BB39:BC39))</f>
        <v> </v>
      </c>
      <c r="DM39" s="325" t="str">
        <f aca="false">IF($A39="N/A"," ",SUM(BD39:BJ39))</f>
        <v> </v>
      </c>
    </row>
    <row r="40" customFormat="false" ht="12.75" hidden="false" customHeight="false" outlineLevel="0" collapsed="false">
      <c r="A40" s="282" t="str">
        <f aca="false">IF(A39="N/A","N/A",IF(EDATE(A39,1)&gt;Inputs!$S$5,"N/A",EDATE(A39,1)))</f>
        <v>N/A</v>
      </c>
      <c r="B40" s="283" t="str">
        <f aca="false">IF(A40="N/A"," ",YEAR(A40))</f>
        <v> </v>
      </c>
      <c r="C40" s="284" t="str">
        <f aca="false">IF(A40="N/A"," ",VLOOKUP(A40,ScaledPrice,14))</f>
        <v> </v>
      </c>
      <c r="D40" s="285" t="str">
        <f aca="false">IF(A40="N/A"," ",(VLOOKUP(MONTH($A40),Hrtable,2))/1000)</f>
        <v> </v>
      </c>
      <c r="E40" s="286" t="str">
        <f aca="false">IF($A40="N/A"," ",(C40)*D40)</f>
        <v> </v>
      </c>
      <c r="F40" s="287" t="str">
        <f aca="false">IF(A40="N/A"," ",VOM*(1+VOMesc)^(YEAR(A40)-YEAR(Today)))</f>
        <v> </v>
      </c>
      <c r="G40" s="287" t="str">
        <f aca="false">IF(A40="N/A"," ",Perstart/VLOOKUP(Dayrun,'Pricing Inputs'!$AQ$4:$AS$14,3)/(CY40/CX40))</f>
        <v> </v>
      </c>
      <c r="H40" s="288" t="str">
        <f aca="false">IF(A40="N/A"," ",SUM(E40:G40))</f>
        <v> </v>
      </c>
      <c r="I40" s="289" t="str">
        <f aca="false">VLOOKUP($A40,ScaledPrice,6)</f>
        <v> </v>
      </c>
      <c r="J40" s="290" t="str">
        <f aca="false">VLOOKUP($A40,ScaledPrice,10)</f>
        <v> </v>
      </c>
      <c r="K40" s="290" t="str">
        <f aca="false">VLOOKUP($A40,ScaledPrice,13)</f>
        <v> </v>
      </c>
      <c r="L40" s="290" t="str">
        <f aca="false">VLOOKUP($A40,ScaledPrice,7)</f>
        <v> </v>
      </c>
      <c r="M40" s="290" t="str">
        <f aca="false">VLOOKUP($A40,ScaledPrice,11)</f>
        <v> </v>
      </c>
      <c r="N40" s="290" t="str">
        <f aca="false">VLOOKUP($A40,ScaledPrice,13)</f>
        <v> </v>
      </c>
      <c r="O40" s="290" t="str">
        <f aca="false">VLOOKUP($A40,ScaledPrice,8)</f>
        <v> </v>
      </c>
      <c r="P40" s="290" t="str">
        <f aca="false">VLOOKUP($A40,ScaledPrice,12)</f>
        <v> </v>
      </c>
      <c r="Q40" s="291" t="str">
        <f aca="false">VLOOKUP($A40,ScaledPrice,13)</f>
        <v> </v>
      </c>
      <c r="R40" s="292" t="str">
        <f aca="false">IF($A40="N/A"," ",IF(Dayrun&gt;=3,IF(Option=1,MAX($I40-$H40,0),IF(Option=2,MAX($H40-$I40,0),0)),0))</f>
        <v> </v>
      </c>
      <c r="S40" s="286" t="str">
        <f aca="false">IF($A40="N/A"," ",IF(Dayrun&gt;=6,IF(Option=1,MAX($J40-H40,0),IF(Option=2,MAX(H40-$J40,0),0)),0))</f>
        <v> </v>
      </c>
      <c r="T40" s="286" t="str">
        <f aca="false">IF($A40="N/A"," ",IF(OR(Dayrun&lt;=2,Dayrun&gt;=9),IF(Option=1,MAX($K40-$H40,0),IF(Option=2,MAX($H40-$K40,0),0)),0))</f>
        <v> </v>
      </c>
      <c r="U40" s="286" t="str">
        <f aca="false">IF($A40="N/A"," ",IF(OR(Dayrun=1,Dayrun=4,Dayrun=5,Dayrun=7,Dayrun=8,Dayrun=10,Dayrun=11),IF(Option=1,MAX($L40-H40,0),IF(Option=2,MAX(H40-$L40,0),0)),0))</f>
        <v> </v>
      </c>
      <c r="V40" s="286" t="str">
        <f aca="false">IF($A40="N/A"," ",IF(OR(Dayrun=1,Dayrun=7,Dayrun=8,Dayrun=10,Dayrun=11),IF(Option=1,MAX($M40-H40,0),IF(Option=2,MAX(H40-$M40,0),0)),0))</f>
        <v> </v>
      </c>
      <c r="W40" s="286" t="str">
        <f aca="false">IF($A40="N/A"," ",IF(OR(Dayrun&lt;=2,Dayrun&gt;=10),IF(Option=1,MAX($N40-$H40,0),IF(Option=2,MAX($H40-$N40,0),0)),0))</f>
        <v> </v>
      </c>
      <c r="X40" s="286" t="str">
        <f aca="false">IF($A40="N/A"," ",IF(OR(Dayrun=1,Dayrun=5,Dayrun=8,Dayrun=11),IF(Option=1,MAX($O40-H40,0),IF(Option=2,MAX(H40-$O40,0),0)),0))</f>
        <v> </v>
      </c>
      <c r="Y40" s="286" t="str">
        <f aca="false">IF($A40="N/A"," ",IF(OR(Dayrun=1,Dayrun=8,Dayrun=11),IF(Option=1,MAX($P40-H40,0),IF(Option=2,MAX(H40-$P40,0),0)),0))</f>
        <v> </v>
      </c>
      <c r="Z40" s="293" t="str">
        <f aca="false">IF($A40="N/A"," ",IF(OR(Dayrun&lt;=2,Dayrun&gt;=11),IF(Option=1,MAX($Q40-$H40,0),IF(Option=2,MAX($H40-$Q40,0),0)),0))</f>
        <v> </v>
      </c>
      <c r="AA40" s="289" t="str">
        <f aca="false">IF($A40="N/A"," ",IF(Dayrun&gt;=3,(MAX(0,(xSPRDOPT(I40,($E40-'Pricing Inputs'!$X75*$D40),$CV40,0,($CN40+IF(Smile=TRUE(),VLOOKUP(MAX(-5,$H40-I40),Volsmile,2),0)),$CT40,$CU40,($A40-DateToday)+15,ABS(Option-2),0)-R40))),0))</f>
        <v> </v>
      </c>
      <c r="AB40" s="290" t="str">
        <f aca="false">IF($A40="N/A"," ",IF(Dayrun&gt;=6,MAX(0,(xSPRDOPT(J40,($E40-'Pricing Inputs'!$X75*$D40),$CV40,0,($CN40+IF(Smile=TRUE(),VLOOKUP(MAX(-5,$H40-J40),Volsmile,2),0)),$CT40,$CU40,($A40-DateToday)+15,ABS(Option-2),0)-S40)),0))</f>
        <v> </v>
      </c>
      <c r="AC40" s="290" t="str">
        <f aca="false">IF($A40="N/A"," ",IF(OR(Dayrun&lt;=2,Dayrun&gt;=9),IF(OffPeakEx=TRUE(),MAX(0,(xSPRDOPT(K40,($E40-'Pricing Inputs'!$X75*$D40),$CV40,0,($CQ40+IF(Smile=TRUE(),VLOOKUP(MAX(-5,$H40-K40),Volsmile,2),0)),$CT40,$CU40,($A40-DateToday)+15,ABS(Option-2),0)-T40)),0),0))</f>
        <v> </v>
      </c>
      <c r="AD40" s="290" t="str">
        <f aca="false">IF($A40="N/A"," ",IF(OR(Dayrun=1,Dayrun=4,Dayrun=5,Dayrun=7,Dayrun=8,Dayrun=10,Dayrun=11),MAX(0,(xSPRDOPT(L40,($E40-'Pricing Inputs'!$X75*$D40),$CV40,0,($CQ40+IF(Smile=TRUE(),VLOOKUP(MAX(-5,$H40-L40),Volsmile,2),0)),$CT40,$CU40,($A40-DateToday)+15,ABS(Option-2),0)-U40)),0))</f>
        <v> </v>
      </c>
      <c r="AE40" s="290" t="str">
        <f aca="false">IF($A40="N/A"," ",IF(OR(Dayrun=1,Dayrun=7,Dayrun=8,Dayrun=10,Dayrun=11),MAX(0,(xSPRDOPT(M40,($E40-'Pricing Inputs'!$X75*$D40),$CV40,0,($CQ40+IF(Smile=TRUE(),VLOOKUP(MAX(-5,$H40-M40),Volsmile,2),0)),$CT40,$CU40,($A40-DateToday)+15,ABS(Option-2),0)-V40)),0))</f>
        <v> </v>
      </c>
      <c r="AF40" s="290" t="str">
        <f aca="false">IF($A40="N/A"," ",IF(OR(Dayrun&lt;=2,Dayrun&gt;=10),IF(OffPeakEx=TRUE(),MAX(0,(xSPRDOPT(N40,($E40-'Pricing Inputs'!$X75*$D40),$CV40,0,($CQ40+IF(Smile=TRUE(),VLOOKUP(MAX(-5,$H40-N40),Volsmile,2),0)),$CT40,$CU40,($A40-DateToday)+15,ABS(Option-2),0)-W40)),0),0))</f>
        <v> </v>
      </c>
      <c r="AG40" s="290" t="str">
        <f aca="false">IF($A40="N/A"," ",IF(OR(Dayrun=1,Dayrun=5,Dayrun=8,Dayrun=11),MAX(0,(xSPRDOPT(O40,($E40-'Pricing Inputs'!$X75*$D40),$CV40,0,($CQ40+IF(Smile=TRUE(),VLOOKUP(MAX(-5,$H40-O40),Volsmile,2),0)),$CT40,$CU40,($A40-DateToday)+15,ABS(Option-2),0)-X40)),0))</f>
        <v> </v>
      </c>
      <c r="AH40" s="290" t="str">
        <f aca="false">IF($A40="N/A"," ",IF(OR(Dayrun=1,Dayrun=8,Dayrun=11),MAX(0,(xSPRDOPT(P40,($E40-'Pricing Inputs'!$X75*$D40),$CV40,0,($CQ40+IF(Smile=TRUE(),VLOOKUP(MAX(-5,$H40-P40),Volsmile,2),0)),$CT40,$CU40,($A40-DateToday)+15,ABS(Option-2),0)-Y40)),0))</f>
        <v> </v>
      </c>
      <c r="AI40" s="290" t="str">
        <f aca="false">IF($A40="N/A"," ",IF(OR(Dayrun&lt;=2,Dayrun&gt;=11),IF(OffPeakEx=TRUE(),MAX(0,(xSPRDOPT(Q40,($E40-'Pricing Inputs'!$X75*$D40),$CV40,0,($CQ40+IF(Smile=TRUE(),VLOOKUP(MAX(-5,$H40-Q40),Volsmile,2),0)),$CT40,$CU40,($A40-DateToday)+15,ABS(Option-2),0)-Z40)),0),0))</f>
        <v> </v>
      </c>
      <c r="AJ40" s="294" t="str">
        <f aca="false">IF($A40="N/A"," ",IF(Dayrun&gt;=3,IF(Option=1,$I40-$H40,IF(Option=2,$H40-$I40)),0))</f>
        <v> </v>
      </c>
      <c r="AK40" s="295" t="str">
        <f aca="false">IF($A40="N/A"," ",IF(Dayrun&gt;=6,IF(Option=1,$J40-H40,IF(Option=2,H40-$J40)),0))</f>
        <v> </v>
      </c>
      <c r="AL40" s="295" t="str">
        <f aca="false">IF($A40="N/A"," ",IF(OR(Dayrun&lt;=2,Dayrun&gt;=9),IF(Option=1,$K40-$H40,IF(Option=2,$H40-$K40)),0))</f>
        <v> </v>
      </c>
      <c r="AM40" s="295" t="str">
        <f aca="false">IF($A40="N/A"," ",IF(OR(Dayrun=1,Dayrun=4,Dayrun=5,Dayrun=7,Dayrun=8,Dayrun=10,Dayrun=11),IF(Option=1,$L40-H40,IF(Option=2,H40-$L40)),0))</f>
        <v> </v>
      </c>
      <c r="AN40" s="295" t="str">
        <f aca="false">IF($A40="N/A"," ",IF(OR(Dayrun=1,Dayrun=7,Dayrun=8,Dayrun=10,Dayrun=11),IF(Option=1,$M40-H40,IF(Option=2,H40-$M40)),0))</f>
        <v> </v>
      </c>
      <c r="AO40" s="295" t="str">
        <f aca="false">IF($A40="N/A"," ",IF(OR(Dayrun&lt;=2,Dayrun&gt;=9),IF(Option=1,$N40-$H40,IF(Option=2,$H40-$N40)),0))</f>
        <v> </v>
      </c>
      <c r="AP40" s="295" t="str">
        <f aca="false">IF($A40="N/A"," ",IF(OR(Dayrun=1,Dayrun=5,Dayrun=8,Dayrun=11),IF(Option=1,$O40-H40,IF(Option=2,H40-$O40)),0))</f>
        <v> </v>
      </c>
      <c r="AQ40" s="295" t="str">
        <f aca="false">IF($A40="N/A"," ",IF(OR(Dayrun=1,Dayrun=8,Dayrun=11),IF(Option=1,$P40-H40,IF(Option=2,H40-$P40)),0))</f>
        <v> </v>
      </c>
      <c r="AR40" s="296" t="str">
        <f aca="false">IF($A40="N/A"," ",IF(OR(Dayrun&lt;=2,Dayrun&gt;=9),IF(Option=1,$Q40-H40,IF(Option=2,H40-$Q40)),0))</f>
        <v> </v>
      </c>
      <c r="AS40" s="297" t="str">
        <f aca="false">IF($A40="N/A"," ",IF(VLOOKUP(MONTH($A40),ManualTable,2)=1,IF(Dayrun&gt;=3,$DE40*8*$CY40,0),0))</f>
        <v> </v>
      </c>
      <c r="AT40" s="297" t="str">
        <f aca="false">IF($A40="N/A"," ",IF(VLOOKUP(MONTH($A40),ManualTable,3)=1,IF(Dayrun&gt;=6,$DE40*8*$CY40,0),0))</f>
        <v> </v>
      </c>
      <c r="AU40" s="297" t="str">
        <f aca="false">IF($A40="N/A"," ",IF(VLOOKUP(MONTH($A40),ManualTable,4)=1,IF(OR(Dayrun&lt;=2,Dayrun&gt;=9),$DE40*8*$CY40,0),0))</f>
        <v> </v>
      </c>
      <c r="AV40" s="297" t="str">
        <f aca="false">IF($A40="N/A"," ",IF(VLOOKUP(MONTH($A40),ManualTable,5)=1,IF(OR(Dayrun=1,Dayrun=4,Dayrun=5,Dayrun=7,Dayrun=8,Dayrun=10,Dayrun=11),$DF40*8*$CY40,0),0))</f>
        <v> </v>
      </c>
      <c r="AW40" s="297" t="str">
        <f aca="false">IF($A40="N/A"," ",IF(VLOOKUP(MONTH($A40),ManualTable,6)=1,IF(OR(Dayrun=1,Dayrun=7,Dayrun=8,Dayrun=10,Dayrun=11),$DF40*8*$CY40,0),0))</f>
        <v> </v>
      </c>
      <c r="AX40" s="297" t="str">
        <f aca="false">IF($A40="N/A"," ",IF(VLOOKUP(MONTH($A40),ManualTable,7)=1,IF(OR(Dayrun&lt;=2,Dayrun&gt;=9),$DF40*8*$CY40,0),0))</f>
        <v> </v>
      </c>
      <c r="AY40" s="297" t="str">
        <f aca="false">IF($A40="N/A"," ",IF(VLOOKUP(MONTH($A40),ManualTable,8)=1,IF(OR(Dayrun=1,Dayrun=5,Dayrun=8,Dayrun=11),$DG40*8*$CY40,0),0))</f>
        <v> </v>
      </c>
      <c r="AZ40" s="297" t="str">
        <f aca="false">IF($A40="N/A"," ",IF(VLOOKUP(MONTH($A40),ManualTable,9)=1,IF(OR(Dayrun=1,Dayrun=8,Dayrun=11),$DG40*8*$CY40,0),0))</f>
        <v> </v>
      </c>
      <c r="BA40" s="298" t="str">
        <f aca="false">IF($A40="N/A"," ",IF(VLOOKUP(MONTH($A40),ManualTable,10)=1,IF(OR(Dayrun&lt;=2,Dayrun&gt;=9),$DG40*8*$CY40,0),0))</f>
        <v> </v>
      </c>
      <c r="BB40" s="299" t="str">
        <f aca="false">IF($A40="N/A"," ",IF(Dayrun&gt;=3,(MAX(0,(xSPRDOPT(I40,($E40-'Pricing Inputs'!$X75*$D40),$CV40,0,($CN40+IF(Smile=TRUE(),VLOOKUP(MAX(-5,$H40-I40),Volsmile,2),0)),$CT40,$CU40,($A40-DateToday)+15,ABS(Option-2),1)*DE40*8))),0))</f>
        <v> </v>
      </c>
      <c r="BC40" s="300" t="str">
        <f aca="false">IF($A40="N/A"," ",IF(Dayrun&gt;=6,MAX(0,(xSPRDOPT(J40,($E40-'Pricing Inputs'!$X75*$D40),$CV40,0,($CN40+IF(Smile=TRUE(),VLOOKUP(MAX(-5,$H40-J40),Volsmile,2),0)),$CT40,$CU40,($A40-DateToday)+15,ABS(Option-2),1)*DE40*8)),0))</f>
        <v> </v>
      </c>
      <c r="BD40" s="300" t="str">
        <f aca="false">IF($A40="N/A"," ",IF(OR(Dayrun&lt;=2,Dayrun&gt;=9),IF(OffPeakEx=TRUE(),MAX(0,(xSPRDOPT(K40,($E40-'Pricing Inputs'!$X75*$D40),$CV40,0,($CQ40+IF(Smile=TRUE(),VLOOKUP(MAX(-5,$H40-K40),Volsmile,2),0)),$CT40,$CU40,($A40-DateToday)+15,ABS(Option-2),1)*DE40*8)),0),0))</f>
        <v> </v>
      </c>
      <c r="BE40" s="300" t="str">
        <f aca="false">IF($A40="N/A"," ",IF(OR(Dayrun=1,Dayrun=4,Dayrun=5,Dayrun=7,Dayrun=8,Dayrun=10,Dayrun=11),MAX(0,(xSPRDOPT(L40,($E40-'Pricing Inputs'!$X75*$D40),$CV40,0,($CQ40+IF(Smile=TRUE(),VLOOKUP(MAX(-5,$H40-L40),Volsmile,2),0)),$CT40,$CU40,($A40-DateToday)+15,ABS(Option-2),1)*DF40*8)),0))</f>
        <v> </v>
      </c>
      <c r="BF40" s="300" t="str">
        <f aca="false">IF($A40="N/A"," ",IF(OR(Dayrun=1,Dayrun=7,Dayrun=8,Dayrun=10,Dayrun=11),MAX(0,(xSPRDOPT(M40,($E40-'Pricing Inputs'!$X75*$D40),$CV40,0,($CQ40+IF(Smile=TRUE(),VLOOKUP(MAX(-5,$H40-M40),Volsmile,2),0)),$CT40,$CU40,($A40-DateToday)+15,ABS(Option-2),1)*DF40*8)),0))</f>
        <v> </v>
      </c>
      <c r="BG40" s="300" t="str">
        <f aca="false">IF($A40="N/A"," ",IF(OR(Dayrun&lt;=2,Dayrun&gt;=10),IF(OffPeakEx=TRUE(),MAX(0,(xSPRDOPT(N40,($E40-'Pricing Inputs'!$X75*$D40),$CV40,0,($CQ40+IF(Smile=TRUE(),VLOOKUP(MAX(-5,$H40-N40),Volsmile,2),0)),$CT40,$CU40,($A40-DateToday)+15,ABS(Option-2),1)*DF40*8)),0),0))</f>
        <v> </v>
      </c>
      <c r="BH40" s="300" t="str">
        <f aca="false">IF($A40="N/A"," ",IF(OR(Dayrun=1,Dayrun=5,Dayrun=8,Dayrun=11),MAX(0,(xSPRDOPT(O40,($E40-'Pricing Inputs'!$X75*$D40),$CV40,0,($CQ40+IF(Smile=TRUE(),VLOOKUP(MAX(-5,$H40-O40),Volsmile,2),0)),$CT40,$CU40,($A40-DateToday)+15,ABS(Option-2),1)*DG40*8)),0))</f>
        <v> </v>
      </c>
      <c r="BI40" s="300" t="str">
        <f aca="false">IF($A40="N/A"," ",IF(OR(Dayrun=1,Dayrun=8,Dayrun=11),MAX(0,(xSPRDOPT(P40,($E40-'Pricing Inputs'!$X75*$D40),$CV40,0,($CQ40+IF(Smile=TRUE(),VLOOKUP(MAX(-5,$H40-P40),Volsmile,2),0)),$CT40,$CU40,($A40-DateToday)+15,ABS(Option-2),1)*DG40*8)),0))</f>
        <v> </v>
      </c>
      <c r="BJ40" s="301" t="str">
        <f aca="false">IF($A40="N/A"," ",IF(OR(Dayrun&lt;=2,Dayrun&gt;=11),IF(OffPeakEx=TRUE(),MAX(0,(xSPRDOPT(Q40,($E40-'Pricing Inputs'!$X75*$D40),$CV40,0,($CQ40+IF(Smile=TRUE(),VLOOKUP(MAX(-5,$H40-Q40),Volsmile,2),0)),$CT40,$CU40,($A40-DateToday)+15,ABS(Option-2),1)*DG40*8)),0),0))</f>
        <v> </v>
      </c>
      <c r="BK40" s="302" t="str">
        <f aca="false">IF($A40="N/A"," ",R40*$AS40)</f>
        <v> </v>
      </c>
      <c r="BL40" s="303" t="str">
        <f aca="false">IF($A40="N/A"," ",S40*$AT40)</f>
        <v> </v>
      </c>
      <c r="BM40" s="303" t="str">
        <f aca="false">IF($A40="N/A"," ",T40*$AU40)</f>
        <v> </v>
      </c>
      <c r="BN40" s="303" t="str">
        <f aca="false">IF($A40="N/A"," ",U40*$AV40)</f>
        <v> </v>
      </c>
      <c r="BO40" s="303" t="str">
        <f aca="false">IF($A40="N/A"," ",V40*$AW40)</f>
        <v> </v>
      </c>
      <c r="BP40" s="303" t="str">
        <f aca="false">IF($A40="N/A"," ",W40*$AX40)</f>
        <v> </v>
      </c>
      <c r="BQ40" s="303" t="str">
        <f aca="false">IF($A40="N/A"," ",X40*$AY40)</f>
        <v> </v>
      </c>
      <c r="BR40" s="303" t="str">
        <f aca="false">IF($A40="N/A"," ",Y40*$AZ40)</f>
        <v> </v>
      </c>
      <c r="BS40" s="304" t="str">
        <f aca="false">IF($A40="N/A"," ",Z40*$BA40)</f>
        <v> </v>
      </c>
      <c r="BT40" s="305" t="str">
        <f aca="false">IF($A40="N/A"," ",AA40*$AS40)</f>
        <v> </v>
      </c>
      <c r="BU40" s="306" t="str">
        <f aca="false">IF($A40="N/A"," ",AB40*$AT40)</f>
        <v> </v>
      </c>
      <c r="BV40" s="306" t="str">
        <f aca="false">IF($A40="N/A"," ",AC40*$AU40)</f>
        <v> </v>
      </c>
      <c r="BW40" s="306" t="str">
        <f aca="false">IF($A40="N/A"," ",AD40*$AV40)</f>
        <v> </v>
      </c>
      <c r="BX40" s="306" t="str">
        <f aca="false">IF($A40="N/A"," ",AE40*$AW40)</f>
        <v> </v>
      </c>
      <c r="BY40" s="306" t="str">
        <f aca="false">IF($A40="N/A"," ",AF40*$AX40)</f>
        <v> </v>
      </c>
      <c r="BZ40" s="306" t="str">
        <f aca="false">IF($A40="N/A"," ",AG40*$AY40)</f>
        <v> </v>
      </c>
      <c r="CA40" s="306" t="str">
        <f aca="false">IF($A40="N/A"," ",AH40*$AZ40)</f>
        <v> </v>
      </c>
      <c r="CB40" s="307" t="str">
        <f aca="false">IF($A40="N/A"," ",AI40*$BA40)</f>
        <v> </v>
      </c>
      <c r="CC40" s="308" t="str">
        <f aca="false">IF($A40="N/A"," ",AJ40*$AS40)</f>
        <v> </v>
      </c>
      <c r="CD40" s="309" t="str">
        <f aca="false">IF($A40="N/A"," ",AK40*$AT40)</f>
        <v> </v>
      </c>
      <c r="CE40" s="309" t="str">
        <f aca="false">IF($A40="N/A"," ",AL40*$AU40)</f>
        <v> </v>
      </c>
      <c r="CF40" s="309" t="str">
        <f aca="false">IF($A40="N/A"," ",AM40*$AV40)</f>
        <v> </v>
      </c>
      <c r="CG40" s="309" t="str">
        <f aca="false">IF($A40="N/A"," ",AN40*$AW40)</f>
        <v> </v>
      </c>
      <c r="CH40" s="309" t="str">
        <f aca="false">IF($A40="N/A"," ",AO40*$AX40)</f>
        <v> </v>
      </c>
      <c r="CI40" s="309" t="str">
        <f aca="false">IF($A40="N/A"," ",AP40*$AY40)</f>
        <v> </v>
      </c>
      <c r="CJ40" s="309" t="str">
        <f aca="false">IF($A40="N/A"," ",AQ40*$AZ40)</f>
        <v> </v>
      </c>
      <c r="CK40" s="310" t="str">
        <f aca="false">IF($A40="N/A"," ",AR40*$BA40)</f>
        <v> </v>
      </c>
      <c r="CL40" s="311" t="str">
        <f aca="false">IF(A40="N/A"," ",(VLOOKUP(A40,PowerVolTable,(IF(VolBMO=2,7,IF(VolBMO=1,6,8))),FALSE())))</f>
        <v> </v>
      </c>
      <c r="CM40" s="312" t="str">
        <f aca="false">IF(A40="N/A"," ",(VLOOKUP(A40,IntraPowerVol,(IF(VolBMO=2,3,IF(VolBMO=1,2,4))),FALSE())*VLOOKUP(MONTH($A40),Volscale,2)))</f>
        <v> </v>
      </c>
      <c r="CN40" s="312" t="str">
        <f aca="false">IF($A40="N/A"," ",IF(VolType=1,CM40,CL40))</f>
        <v> </v>
      </c>
      <c r="CO40" s="312" t="str">
        <f aca="false">IF($A40="N/A"," ",(VLOOKUP($A40,OffPeakVol,(IF(VolBMO=2,7,IF(VolBMO=1,6,8))),FALSE())))</f>
        <v> </v>
      </c>
      <c r="CP40" s="312" t="str">
        <f aca="false">IF($A40="N/A"," ",(VLOOKUP($A40,OffPeakVol,(IF(VolBMO=2,3,IF(VolBMO=1,2,4))),FALSE())*VLOOKUP(MONTH($A40),Volscale,2)))</f>
        <v> </v>
      </c>
      <c r="CQ40" s="312" t="str">
        <f aca="false">IF($A40="N/A"," ",IF(VolType=1,CP40,CO40))</f>
        <v> </v>
      </c>
      <c r="CR40" s="312" t="str">
        <f aca="false">IF($A40="N/A"," ",(VLOOKUP($A40,GasVolTable,(IF(VolBMO=2,6,IF(VolBMO=1,7,5))),FALSE())))</f>
        <v> </v>
      </c>
      <c r="CS40" s="312" t="str">
        <f aca="false">IF($A40="N/A"," ",(VLOOKUP($A40,OmicronVol,(IF(VolBMO=2,3,IF(VolBMO=1,4,2))),FALSE())))</f>
        <v> </v>
      </c>
      <c r="CT40" s="312" t="str">
        <f aca="false">IF($A40="N/A"," ",(IF(DateToday&gt;$A40,$CS40,IF(VolType=1,((($CR40^2)*((($A40-1)-DateToday)/((EOMONTH($A40,0)+1)-DateToday-15)))+((($CS40)^2)*((15)/((EOMONTH($A40,0)+1)-DateToday-15))))^0.5,CR40))))</f>
        <v> </v>
      </c>
      <c r="CU40" s="312" t="str">
        <f aca="false">IF($A40="N/A"," ",IF('Pricing Inputs'!$AR$23=TRUE(),Inputs!$S$22,VLOOKUP($A40,CorrelationTable,2,FALSE())))</f>
        <v> </v>
      </c>
      <c r="CV40" s="313" t="str">
        <f aca="false">IF($A40="N/A"," ",F40+G40+(D40*('Pricing Inputs'!X75)))</f>
        <v> </v>
      </c>
      <c r="CW40" s="314" t="str">
        <f aca="false">IF($A40="N/A"," ",IF(PV=1,0,'Pricing Inputs'!Y75))</f>
        <v> </v>
      </c>
      <c r="CX40" s="315" t="str">
        <f aca="false">IF($A40="N/A"," ",(1+CW40/2)^(-2*((EOMONTH(A40,0)+20)-DateToday)/365.25))</f>
        <v> </v>
      </c>
      <c r="CY40" s="316" t="str">
        <f aca="false">IF($A40="N/A"," ",(IF(MONTH(A40)&gt;=4,IF(MONTH(A40)&lt;=10,Inputs!$S$26,Inputs!$S$27),Inputs!$S$27))*$CX40)</f>
        <v> </v>
      </c>
      <c r="CZ40" s="317" t="str">
        <f aca="false">IF($A40="N/A"," ",BK40+BL40+BN40+BO40+BQ40+BR40)</f>
        <v> </v>
      </c>
      <c r="DA40" s="318" t="str">
        <f aca="false">IF($A40="N/A"," ",BM40+BP40+BS40)</f>
        <v> </v>
      </c>
      <c r="DB40" s="319" t="str">
        <f aca="false">IF($A40="N/A"," ",BT40+BU40+BW40+BX40+BZ40+CA40)</f>
        <v> </v>
      </c>
      <c r="DC40" s="319" t="str">
        <f aca="false">IF($A40="N/A"," ",BV40+BY40+CB40)</f>
        <v> </v>
      </c>
      <c r="DD40" s="320" t="str">
        <f aca="false">IF($A40="N/A"," ",SUM(CC40:CK40))</f>
        <v> </v>
      </c>
      <c r="DE40" s="321" t="str">
        <f aca="false">IF($A40="N/A"," ",VLOOKUP($A40,NumberofDaysTable,2)*Availability)</f>
        <v> </v>
      </c>
      <c r="DF40" s="94" t="str">
        <f aca="false">IF($A40="N/A"," ",VLOOKUP($A40,NumberofDaysTable,3)*Availability)</f>
        <v> </v>
      </c>
      <c r="DG40" s="322" t="str">
        <f aca="false">IF($A40="N/A"," ",VLOOKUP($A40,NumberofDaysTable,4)*Availability)</f>
        <v> </v>
      </c>
      <c r="DH40" s="323" t="str">
        <f aca="false">IF($A40="N/A"," ",IF(Option=1,$D40*Inputs!$S$15*SUM(AS40:BA40),0))</f>
        <v> </v>
      </c>
      <c r="DI40" s="324" t="str">
        <f aca="false">IF($A40="N/A"," ",IF(Option=1,$D40*Inputs!$S$16*SUM(AS40:BA40),0))</f>
        <v> </v>
      </c>
      <c r="DJ40" s="325" t="str">
        <f aca="false">IF($A40="N/A"," ",SUM(AS40:AT40))</f>
        <v> </v>
      </c>
      <c r="DK40" s="325" t="str">
        <f aca="false">IF($A40="N/A"," ",SUM(AU40:BA40))</f>
        <v> </v>
      </c>
      <c r="DL40" s="325" t="str">
        <f aca="false">IF($A40="N/A"," ",SUM(BB40:BC40))</f>
        <v> </v>
      </c>
      <c r="DM40" s="325" t="str">
        <f aca="false">IF($A40="N/A"," ",SUM(BD40:BJ40))</f>
        <v> </v>
      </c>
    </row>
    <row r="41" customFormat="false" ht="12.75" hidden="false" customHeight="false" outlineLevel="0" collapsed="false">
      <c r="A41" s="282" t="str">
        <f aca="false">IF(A40="N/A","N/A",IF(EDATE(A40,1)&gt;Inputs!$S$5,"N/A",EDATE(A40,1)))</f>
        <v>N/A</v>
      </c>
      <c r="B41" s="283" t="str">
        <f aca="false">IF(A41="N/A"," ",YEAR(A41))</f>
        <v> </v>
      </c>
      <c r="C41" s="284" t="str">
        <f aca="false">IF(A41="N/A"," ",VLOOKUP(A41,ScaledPrice,14))</f>
        <v> </v>
      </c>
      <c r="D41" s="285" t="str">
        <f aca="false">IF(A41="N/A"," ",(VLOOKUP(MONTH($A41),Hrtable,2))/1000)</f>
        <v> </v>
      </c>
      <c r="E41" s="286" t="str">
        <f aca="false">IF($A41="N/A"," ",(C41)*D41)</f>
        <v> </v>
      </c>
      <c r="F41" s="287" t="str">
        <f aca="false">IF(A41="N/A"," ",VOM*(1+VOMesc)^(YEAR(A41)-YEAR(Today)))</f>
        <v> </v>
      </c>
      <c r="G41" s="287" t="str">
        <f aca="false">IF(A41="N/A"," ",Perstart/VLOOKUP(Dayrun,'Pricing Inputs'!$AQ$4:$AS$14,3)/(CY41/CX41))</f>
        <v> </v>
      </c>
      <c r="H41" s="288" t="str">
        <f aca="false">IF(A41="N/A"," ",SUM(E41:G41))</f>
        <v> </v>
      </c>
      <c r="I41" s="289" t="str">
        <f aca="false">VLOOKUP($A41,ScaledPrice,6)</f>
        <v> </v>
      </c>
      <c r="J41" s="290" t="str">
        <f aca="false">VLOOKUP($A41,ScaledPrice,10)</f>
        <v> </v>
      </c>
      <c r="K41" s="290" t="str">
        <f aca="false">VLOOKUP($A41,ScaledPrice,13)</f>
        <v> </v>
      </c>
      <c r="L41" s="290" t="str">
        <f aca="false">VLOOKUP($A41,ScaledPrice,7)</f>
        <v> </v>
      </c>
      <c r="M41" s="290" t="str">
        <f aca="false">VLOOKUP($A41,ScaledPrice,11)</f>
        <v> </v>
      </c>
      <c r="N41" s="290" t="str">
        <f aca="false">VLOOKUP($A41,ScaledPrice,13)</f>
        <v> </v>
      </c>
      <c r="O41" s="290" t="str">
        <f aca="false">VLOOKUP($A41,ScaledPrice,8)</f>
        <v> </v>
      </c>
      <c r="P41" s="290" t="str">
        <f aca="false">VLOOKUP($A41,ScaledPrice,12)</f>
        <v> </v>
      </c>
      <c r="Q41" s="291" t="str">
        <f aca="false">VLOOKUP($A41,ScaledPrice,13)</f>
        <v> </v>
      </c>
      <c r="R41" s="292" t="str">
        <f aca="false">IF($A41="N/A"," ",IF(Dayrun&gt;=3,IF(Option=1,MAX($I41-$H41,0),IF(Option=2,MAX($H41-$I41,0),0)),0))</f>
        <v> </v>
      </c>
      <c r="S41" s="286" t="str">
        <f aca="false">IF($A41="N/A"," ",IF(Dayrun&gt;=6,IF(Option=1,MAX($J41-H41,0),IF(Option=2,MAX(H41-$J41,0),0)),0))</f>
        <v> </v>
      </c>
      <c r="T41" s="286" t="str">
        <f aca="false">IF($A41="N/A"," ",IF(OR(Dayrun&lt;=2,Dayrun&gt;=9),IF(Option=1,MAX($K41-$H41,0),IF(Option=2,MAX($H41-$K41,0),0)),0))</f>
        <v> </v>
      </c>
      <c r="U41" s="286" t="str">
        <f aca="false">IF($A41="N/A"," ",IF(OR(Dayrun=1,Dayrun=4,Dayrun=5,Dayrun=7,Dayrun=8,Dayrun=10,Dayrun=11),IF(Option=1,MAX($L41-H41,0),IF(Option=2,MAX(H41-$L41,0),0)),0))</f>
        <v> </v>
      </c>
      <c r="V41" s="286" t="str">
        <f aca="false">IF($A41="N/A"," ",IF(OR(Dayrun=1,Dayrun=7,Dayrun=8,Dayrun=10,Dayrun=11),IF(Option=1,MAX($M41-H41,0),IF(Option=2,MAX(H41-$M41,0),0)),0))</f>
        <v> </v>
      </c>
      <c r="W41" s="286" t="str">
        <f aca="false">IF($A41="N/A"," ",IF(OR(Dayrun&lt;=2,Dayrun&gt;=10),IF(Option=1,MAX($N41-$H41,0),IF(Option=2,MAX($H41-$N41,0),0)),0))</f>
        <v> </v>
      </c>
      <c r="X41" s="286" t="str">
        <f aca="false">IF($A41="N/A"," ",IF(OR(Dayrun=1,Dayrun=5,Dayrun=8,Dayrun=11),IF(Option=1,MAX($O41-H41,0),IF(Option=2,MAX(H41-$O41,0),0)),0))</f>
        <v> </v>
      </c>
      <c r="Y41" s="286" t="str">
        <f aca="false">IF($A41="N/A"," ",IF(OR(Dayrun=1,Dayrun=8,Dayrun=11),IF(Option=1,MAX($P41-H41,0),IF(Option=2,MAX(H41-$P41,0),0)),0))</f>
        <v> </v>
      </c>
      <c r="Z41" s="293" t="str">
        <f aca="false">IF($A41="N/A"," ",IF(OR(Dayrun&lt;=2,Dayrun&gt;=11),IF(Option=1,MAX($Q41-$H41,0),IF(Option=2,MAX($H41-$Q41,0),0)),0))</f>
        <v> </v>
      </c>
      <c r="AA41" s="289" t="str">
        <f aca="false">IF($A41="N/A"," ",IF(Dayrun&gt;=3,(MAX(0,(xSPRDOPT(I41,($E41-'Pricing Inputs'!$X76*$D41),$CV41,0,($CN41+IF(Smile=TRUE(),VLOOKUP(MAX(-5,$H41-I41),Volsmile,2),0)),$CT41,$CU41,($A41-DateToday)+15,ABS(Option-2),0)-R41))),0))</f>
        <v> </v>
      </c>
      <c r="AB41" s="290" t="str">
        <f aca="false">IF($A41="N/A"," ",IF(Dayrun&gt;=6,MAX(0,(xSPRDOPT(J41,($E41-'Pricing Inputs'!$X76*$D41),$CV41,0,($CN41+IF(Smile=TRUE(),VLOOKUP(MAX(-5,$H41-J41),Volsmile,2),0)),$CT41,$CU41,($A41-DateToday)+15,ABS(Option-2),0)-S41)),0))</f>
        <v> </v>
      </c>
      <c r="AC41" s="290" t="str">
        <f aca="false">IF($A41="N/A"," ",IF(OR(Dayrun&lt;=2,Dayrun&gt;=9),IF(OffPeakEx=TRUE(),MAX(0,(xSPRDOPT(K41,($E41-'Pricing Inputs'!$X76*$D41),$CV41,0,($CQ41+IF(Smile=TRUE(),VLOOKUP(MAX(-5,$H41-K41),Volsmile,2),0)),$CT41,$CU41,($A41-DateToday)+15,ABS(Option-2),0)-T41)),0),0))</f>
        <v> </v>
      </c>
      <c r="AD41" s="290" t="str">
        <f aca="false">IF($A41="N/A"," ",IF(OR(Dayrun=1,Dayrun=4,Dayrun=5,Dayrun=7,Dayrun=8,Dayrun=10,Dayrun=11),MAX(0,(xSPRDOPT(L41,($E41-'Pricing Inputs'!$X76*$D41),$CV41,0,($CQ41+IF(Smile=TRUE(),VLOOKUP(MAX(-5,$H41-L41),Volsmile,2),0)),$CT41,$CU41,($A41-DateToday)+15,ABS(Option-2),0)-U41)),0))</f>
        <v> </v>
      </c>
      <c r="AE41" s="290" t="str">
        <f aca="false">IF($A41="N/A"," ",IF(OR(Dayrun=1,Dayrun=7,Dayrun=8,Dayrun=10,Dayrun=11),MAX(0,(xSPRDOPT(M41,($E41-'Pricing Inputs'!$X76*$D41),$CV41,0,($CQ41+IF(Smile=TRUE(),VLOOKUP(MAX(-5,$H41-M41),Volsmile,2),0)),$CT41,$CU41,($A41-DateToday)+15,ABS(Option-2),0)-V41)),0))</f>
        <v> </v>
      </c>
      <c r="AF41" s="290" t="str">
        <f aca="false">IF($A41="N/A"," ",IF(OR(Dayrun&lt;=2,Dayrun&gt;=10),IF(OffPeakEx=TRUE(),MAX(0,(xSPRDOPT(N41,($E41-'Pricing Inputs'!$X76*$D41),$CV41,0,($CQ41+IF(Smile=TRUE(),VLOOKUP(MAX(-5,$H41-N41),Volsmile,2),0)),$CT41,$CU41,($A41-DateToday)+15,ABS(Option-2),0)-W41)),0),0))</f>
        <v> </v>
      </c>
      <c r="AG41" s="290" t="str">
        <f aca="false">IF($A41="N/A"," ",IF(OR(Dayrun=1,Dayrun=5,Dayrun=8,Dayrun=11),MAX(0,(xSPRDOPT(O41,($E41-'Pricing Inputs'!$X76*$D41),$CV41,0,($CQ41+IF(Smile=TRUE(),VLOOKUP(MAX(-5,$H41-O41),Volsmile,2),0)),$CT41,$CU41,($A41-DateToday)+15,ABS(Option-2),0)-X41)),0))</f>
        <v> </v>
      </c>
      <c r="AH41" s="290" t="str">
        <f aca="false">IF($A41="N/A"," ",IF(OR(Dayrun=1,Dayrun=8,Dayrun=11),MAX(0,(xSPRDOPT(P41,($E41-'Pricing Inputs'!$X76*$D41),$CV41,0,($CQ41+IF(Smile=TRUE(),VLOOKUP(MAX(-5,$H41-P41),Volsmile,2),0)),$CT41,$CU41,($A41-DateToday)+15,ABS(Option-2),0)-Y41)),0))</f>
        <v> </v>
      </c>
      <c r="AI41" s="290" t="str">
        <f aca="false">IF($A41="N/A"," ",IF(OR(Dayrun&lt;=2,Dayrun&gt;=11),IF(OffPeakEx=TRUE(),MAX(0,(xSPRDOPT(Q41,($E41-'Pricing Inputs'!$X76*$D41),$CV41,0,($CQ41+IF(Smile=TRUE(),VLOOKUP(MAX(-5,$H41-Q41),Volsmile,2),0)),$CT41,$CU41,($A41-DateToday)+15,ABS(Option-2),0)-Z41)),0),0))</f>
        <v> </v>
      </c>
      <c r="AJ41" s="294" t="str">
        <f aca="false">IF($A41="N/A"," ",IF(Dayrun&gt;=3,IF(Option=1,$I41-$H41,IF(Option=2,$H41-$I41)),0))</f>
        <v> </v>
      </c>
      <c r="AK41" s="295" t="str">
        <f aca="false">IF($A41="N/A"," ",IF(Dayrun&gt;=6,IF(Option=1,$J41-H41,IF(Option=2,H41-$J41)),0))</f>
        <v> </v>
      </c>
      <c r="AL41" s="295" t="str">
        <f aca="false">IF($A41="N/A"," ",IF(OR(Dayrun&lt;=2,Dayrun&gt;=9),IF(Option=1,$K41-$H41,IF(Option=2,$H41-$K41)),0))</f>
        <v> </v>
      </c>
      <c r="AM41" s="295" t="str">
        <f aca="false">IF($A41="N/A"," ",IF(OR(Dayrun=1,Dayrun=4,Dayrun=5,Dayrun=7,Dayrun=8,Dayrun=10,Dayrun=11),IF(Option=1,$L41-H41,IF(Option=2,H41-$L41)),0))</f>
        <v> </v>
      </c>
      <c r="AN41" s="295" t="str">
        <f aca="false">IF($A41="N/A"," ",IF(OR(Dayrun=1,Dayrun=7,Dayrun=8,Dayrun=10,Dayrun=11),IF(Option=1,$M41-H41,IF(Option=2,H41-$M41)),0))</f>
        <v> </v>
      </c>
      <c r="AO41" s="295" t="str">
        <f aca="false">IF($A41="N/A"," ",IF(OR(Dayrun&lt;=2,Dayrun&gt;=9),IF(Option=1,$N41-$H41,IF(Option=2,$H41-$N41)),0))</f>
        <v> </v>
      </c>
      <c r="AP41" s="295" t="str">
        <f aca="false">IF($A41="N/A"," ",IF(OR(Dayrun=1,Dayrun=5,Dayrun=8,Dayrun=11),IF(Option=1,$O41-H41,IF(Option=2,H41-$O41)),0))</f>
        <v> </v>
      </c>
      <c r="AQ41" s="295" t="str">
        <f aca="false">IF($A41="N/A"," ",IF(OR(Dayrun=1,Dayrun=8,Dayrun=11),IF(Option=1,$P41-H41,IF(Option=2,H41-$P41)),0))</f>
        <v> </v>
      </c>
      <c r="AR41" s="296" t="str">
        <f aca="false">IF($A41="N/A"," ",IF(OR(Dayrun&lt;=2,Dayrun&gt;=9),IF(Option=1,$Q41-H41,IF(Option=2,H41-$Q41)),0))</f>
        <v> </v>
      </c>
      <c r="AS41" s="297" t="str">
        <f aca="false">IF($A41="N/A"," ",IF(VLOOKUP(MONTH($A41),ManualTable,2)=1,IF(Dayrun&gt;=3,$DE41*8*$CY41,0),0))</f>
        <v> </v>
      </c>
      <c r="AT41" s="297" t="str">
        <f aca="false">IF($A41="N/A"," ",IF(VLOOKUP(MONTH($A41),ManualTable,3)=1,IF(Dayrun&gt;=6,$DE41*8*$CY41,0),0))</f>
        <v> </v>
      </c>
      <c r="AU41" s="297" t="str">
        <f aca="false">IF($A41="N/A"," ",IF(VLOOKUP(MONTH($A41),ManualTable,4)=1,IF(OR(Dayrun&lt;=2,Dayrun&gt;=9),$DE41*8*$CY41,0),0))</f>
        <v> </v>
      </c>
      <c r="AV41" s="297" t="str">
        <f aca="false">IF($A41="N/A"," ",IF(VLOOKUP(MONTH($A41),ManualTable,5)=1,IF(OR(Dayrun=1,Dayrun=4,Dayrun=5,Dayrun=7,Dayrun=8,Dayrun=10,Dayrun=11),$DF41*8*$CY41,0),0))</f>
        <v> </v>
      </c>
      <c r="AW41" s="297" t="str">
        <f aca="false">IF($A41="N/A"," ",IF(VLOOKUP(MONTH($A41),ManualTable,6)=1,IF(OR(Dayrun=1,Dayrun=7,Dayrun=8,Dayrun=10,Dayrun=11),$DF41*8*$CY41,0),0))</f>
        <v> </v>
      </c>
      <c r="AX41" s="297" t="str">
        <f aca="false">IF($A41="N/A"," ",IF(VLOOKUP(MONTH($A41),ManualTable,7)=1,IF(OR(Dayrun&lt;=2,Dayrun&gt;=9),$DF41*8*$CY41,0),0))</f>
        <v> </v>
      </c>
      <c r="AY41" s="297" t="str">
        <f aca="false">IF($A41="N/A"," ",IF(VLOOKUP(MONTH($A41),ManualTable,8)=1,IF(OR(Dayrun=1,Dayrun=5,Dayrun=8,Dayrun=11),$DG41*8*$CY41,0),0))</f>
        <v> </v>
      </c>
      <c r="AZ41" s="297" t="str">
        <f aca="false">IF($A41="N/A"," ",IF(VLOOKUP(MONTH($A41),ManualTable,9)=1,IF(OR(Dayrun=1,Dayrun=8,Dayrun=11),$DG41*8*$CY41,0),0))</f>
        <v> </v>
      </c>
      <c r="BA41" s="298" t="str">
        <f aca="false">IF($A41="N/A"," ",IF(VLOOKUP(MONTH($A41),ManualTable,10)=1,IF(OR(Dayrun&lt;=2,Dayrun&gt;=9),$DG41*8*$CY41,0),0))</f>
        <v> </v>
      </c>
      <c r="BB41" s="299" t="str">
        <f aca="false">IF($A41="N/A"," ",IF(Dayrun&gt;=3,(MAX(0,(xSPRDOPT(I41,($E41-'Pricing Inputs'!$X76*$D41),$CV41,0,($CN41+IF(Smile=TRUE(),VLOOKUP(MAX(-5,$H41-I41),Volsmile,2),0)),$CT41,$CU41,($A41-DateToday)+15,ABS(Option-2),1)*DE41*8))),0))</f>
        <v> </v>
      </c>
      <c r="BC41" s="300" t="str">
        <f aca="false">IF($A41="N/A"," ",IF(Dayrun&gt;=6,MAX(0,(xSPRDOPT(J41,($E41-'Pricing Inputs'!$X76*$D41),$CV41,0,($CN41+IF(Smile=TRUE(),VLOOKUP(MAX(-5,$H41-J41),Volsmile,2),0)),$CT41,$CU41,($A41-DateToday)+15,ABS(Option-2),1)*DE41*8)),0))</f>
        <v> </v>
      </c>
      <c r="BD41" s="300" t="str">
        <f aca="false">IF($A41="N/A"," ",IF(OR(Dayrun&lt;=2,Dayrun&gt;=9),IF(OffPeakEx=TRUE(),MAX(0,(xSPRDOPT(K41,($E41-'Pricing Inputs'!$X76*$D41),$CV41,0,($CQ41+IF(Smile=TRUE(),VLOOKUP(MAX(-5,$H41-K41),Volsmile,2),0)),$CT41,$CU41,($A41-DateToday)+15,ABS(Option-2),1)*DE41*8)),0),0))</f>
        <v> </v>
      </c>
      <c r="BE41" s="300" t="str">
        <f aca="false">IF($A41="N/A"," ",IF(OR(Dayrun=1,Dayrun=4,Dayrun=5,Dayrun=7,Dayrun=8,Dayrun=10,Dayrun=11),MAX(0,(xSPRDOPT(L41,($E41-'Pricing Inputs'!$X76*$D41),$CV41,0,($CQ41+IF(Smile=TRUE(),VLOOKUP(MAX(-5,$H41-L41),Volsmile,2),0)),$CT41,$CU41,($A41-DateToday)+15,ABS(Option-2),1)*DF41*8)),0))</f>
        <v> </v>
      </c>
      <c r="BF41" s="300" t="str">
        <f aca="false">IF($A41="N/A"," ",IF(OR(Dayrun=1,Dayrun=7,Dayrun=8,Dayrun=10,Dayrun=11),MAX(0,(xSPRDOPT(M41,($E41-'Pricing Inputs'!$X76*$D41),$CV41,0,($CQ41+IF(Smile=TRUE(),VLOOKUP(MAX(-5,$H41-M41),Volsmile,2),0)),$CT41,$CU41,($A41-DateToday)+15,ABS(Option-2),1)*DF41*8)),0))</f>
        <v> </v>
      </c>
      <c r="BG41" s="300" t="str">
        <f aca="false">IF($A41="N/A"," ",IF(OR(Dayrun&lt;=2,Dayrun&gt;=10),IF(OffPeakEx=TRUE(),MAX(0,(xSPRDOPT(N41,($E41-'Pricing Inputs'!$X76*$D41),$CV41,0,($CQ41+IF(Smile=TRUE(),VLOOKUP(MAX(-5,$H41-N41),Volsmile,2),0)),$CT41,$CU41,($A41-DateToday)+15,ABS(Option-2),1)*DF41*8)),0),0))</f>
        <v> </v>
      </c>
      <c r="BH41" s="300" t="str">
        <f aca="false">IF($A41="N/A"," ",IF(OR(Dayrun=1,Dayrun=5,Dayrun=8,Dayrun=11),MAX(0,(xSPRDOPT(O41,($E41-'Pricing Inputs'!$X76*$D41),$CV41,0,($CQ41+IF(Smile=TRUE(),VLOOKUP(MAX(-5,$H41-O41),Volsmile,2),0)),$CT41,$CU41,($A41-DateToday)+15,ABS(Option-2),1)*DG41*8)),0))</f>
        <v> </v>
      </c>
      <c r="BI41" s="300" t="str">
        <f aca="false">IF($A41="N/A"," ",IF(OR(Dayrun=1,Dayrun=8,Dayrun=11),MAX(0,(xSPRDOPT(P41,($E41-'Pricing Inputs'!$X76*$D41),$CV41,0,($CQ41+IF(Smile=TRUE(),VLOOKUP(MAX(-5,$H41-P41),Volsmile,2),0)),$CT41,$CU41,($A41-DateToday)+15,ABS(Option-2),1)*DG41*8)),0))</f>
        <v> </v>
      </c>
      <c r="BJ41" s="301" t="str">
        <f aca="false">IF($A41="N/A"," ",IF(OR(Dayrun&lt;=2,Dayrun&gt;=11),IF(OffPeakEx=TRUE(),MAX(0,(xSPRDOPT(Q41,($E41-'Pricing Inputs'!$X76*$D41),$CV41,0,($CQ41+IF(Smile=TRUE(),VLOOKUP(MAX(-5,$H41-Q41),Volsmile,2),0)),$CT41,$CU41,($A41-DateToday)+15,ABS(Option-2),1)*DG41*8)),0),0))</f>
        <v> </v>
      </c>
      <c r="BK41" s="302" t="str">
        <f aca="false">IF($A41="N/A"," ",R41*$AS41)</f>
        <v> </v>
      </c>
      <c r="BL41" s="303" t="str">
        <f aca="false">IF($A41="N/A"," ",S41*$AT41)</f>
        <v> </v>
      </c>
      <c r="BM41" s="303" t="str">
        <f aca="false">IF($A41="N/A"," ",T41*$AU41)</f>
        <v> </v>
      </c>
      <c r="BN41" s="303" t="str">
        <f aca="false">IF($A41="N/A"," ",U41*$AV41)</f>
        <v> </v>
      </c>
      <c r="BO41" s="303" t="str">
        <f aca="false">IF($A41="N/A"," ",V41*$AW41)</f>
        <v> </v>
      </c>
      <c r="BP41" s="303" t="str">
        <f aca="false">IF($A41="N/A"," ",W41*$AX41)</f>
        <v> </v>
      </c>
      <c r="BQ41" s="303" t="str">
        <f aca="false">IF($A41="N/A"," ",X41*$AY41)</f>
        <v> </v>
      </c>
      <c r="BR41" s="303" t="str">
        <f aca="false">IF($A41="N/A"," ",Y41*$AZ41)</f>
        <v> </v>
      </c>
      <c r="BS41" s="304" t="str">
        <f aca="false">IF($A41="N/A"," ",Z41*$BA41)</f>
        <v> </v>
      </c>
      <c r="BT41" s="305" t="str">
        <f aca="false">IF($A41="N/A"," ",AA41*$AS41)</f>
        <v> </v>
      </c>
      <c r="BU41" s="306" t="str">
        <f aca="false">IF($A41="N/A"," ",AB41*$AT41)</f>
        <v> </v>
      </c>
      <c r="BV41" s="306" t="str">
        <f aca="false">IF($A41="N/A"," ",AC41*$AU41)</f>
        <v> </v>
      </c>
      <c r="BW41" s="306" t="str">
        <f aca="false">IF($A41="N/A"," ",AD41*$AV41)</f>
        <v> </v>
      </c>
      <c r="BX41" s="306" t="str">
        <f aca="false">IF($A41="N/A"," ",AE41*$AW41)</f>
        <v> </v>
      </c>
      <c r="BY41" s="306" t="str">
        <f aca="false">IF($A41="N/A"," ",AF41*$AX41)</f>
        <v> </v>
      </c>
      <c r="BZ41" s="306" t="str">
        <f aca="false">IF($A41="N/A"," ",AG41*$AY41)</f>
        <v> </v>
      </c>
      <c r="CA41" s="306" t="str">
        <f aca="false">IF($A41="N/A"," ",AH41*$AZ41)</f>
        <v> </v>
      </c>
      <c r="CB41" s="307" t="str">
        <f aca="false">IF($A41="N/A"," ",AI41*$BA41)</f>
        <v> </v>
      </c>
      <c r="CC41" s="308" t="str">
        <f aca="false">IF($A41="N/A"," ",AJ41*$AS41)</f>
        <v> </v>
      </c>
      <c r="CD41" s="309" t="str">
        <f aca="false">IF($A41="N/A"," ",AK41*$AT41)</f>
        <v> </v>
      </c>
      <c r="CE41" s="309" t="str">
        <f aca="false">IF($A41="N/A"," ",AL41*$AU41)</f>
        <v> </v>
      </c>
      <c r="CF41" s="309" t="str">
        <f aca="false">IF($A41="N/A"," ",AM41*$AV41)</f>
        <v> </v>
      </c>
      <c r="CG41" s="309" t="str">
        <f aca="false">IF($A41="N/A"," ",AN41*$AW41)</f>
        <v> </v>
      </c>
      <c r="CH41" s="309" t="str">
        <f aca="false">IF($A41="N/A"," ",AO41*$AX41)</f>
        <v> </v>
      </c>
      <c r="CI41" s="309" t="str">
        <f aca="false">IF($A41="N/A"," ",AP41*$AY41)</f>
        <v> </v>
      </c>
      <c r="CJ41" s="309" t="str">
        <f aca="false">IF($A41="N/A"," ",AQ41*$AZ41)</f>
        <v> </v>
      </c>
      <c r="CK41" s="310" t="str">
        <f aca="false">IF($A41="N/A"," ",AR41*$BA41)</f>
        <v> </v>
      </c>
      <c r="CL41" s="311" t="str">
        <f aca="false">IF(A41="N/A"," ",(VLOOKUP(A41,PowerVolTable,(IF(VolBMO=2,7,IF(VolBMO=1,6,8))),FALSE())))</f>
        <v> </v>
      </c>
      <c r="CM41" s="312" t="str">
        <f aca="false">IF(A41="N/A"," ",(VLOOKUP(A41,IntraPowerVol,(IF(VolBMO=2,3,IF(VolBMO=1,2,4))),FALSE())*VLOOKUP(MONTH($A41),Volscale,2)))</f>
        <v> </v>
      </c>
      <c r="CN41" s="312" t="str">
        <f aca="false">IF($A41="N/A"," ",IF(VolType=1,CM41,CL41))</f>
        <v> </v>
      </c>
      <c r="CO41" s="312" t="str">
        <f aca="false">IF($A41="N/A"," ",(VLOOKUP($A41,OffPeakVol,(IF(VolBMO=2,7,IF(VolBMO=1,6,8))),FALSE())))</f>
        <v> </v>
      </c>
      <c r="CP41" s="312" t="str">
        <f aca="false">IF($A41="N/A"," ",(VLOOKUP($A41,OffPeakVol,(IF(VolBMO=2,3,IF(VolBMO=1,2,4))),FALSE())*VLOOKUP(MONTH($A41),Volscale,2)))</f>
        <v> </v>
      </c>
      <c r="CQ41" s="312" t="str">
        <f aca="false">IF($A41="N/A"," ",IF(VolType=1,CP41,CO41))</f>
        <v> </v>
      </c>
      <c r="CR41" s="312" t="str">
        <f aca="false">IF($A41="N/A"," ",(VLOOKUP($A41,GasVolTable,(IF(VolBMO=2,6,IF(VolBMO=1,7,5))),FALSE())))</f>
        <v> </v>
      </c>
      <c r="CS41" s="312" t="str">
        <f aca="false">IF($A41="N/A"," ",(VLOOKUP($A41,OmicronVol,(IF(VolBMO=2,3,IF(VolBMO=1,4,2))),FALSE())))</f>
        <v> </v>
      </c>
      <c r="CT41" s="312" t="str">
        <f aca="false">IF($A41="N/A"," ",(IF(DateToday&gt;$A41,$CS41,IF(VolType=1,((($CR41^2)*((($A41-1)-DateToday)/((EOMONTH($A41,0)+1)-DateToday-15)))+((($CS41)^2)*((15)/((EOMONTH($A41,0)+1)-DateToday-15))))^0.5,CR41))))</f>
        <v> </v>
      </c>
      <c r="CU41" s="312" t="str">
        <f aca="false">IF($A41="N/A"," ",IF('Pricing Inputs'!$AR$23=TRUE(),Inputs!$S$22,VLOOKUP($A41,CorrelationTable,2,FALSE())))</f>
        <v> </v>
      </c>
      <c r="CV41" s="313" t="str">
        <f aca="false">IF($A41="N/A"," ",F41+G41+(D41*('Pricing Inputs'!X76)))</f>
        <v> </v>
      </c>
      <c r="CW41" s="314" t="str">
        <f aca="false">IF($A41="N/A"," ",IF(PV=1,0,'Pricing Inputs'!Y76))</f>
        <v> </v>
      </c>
      <c r="CX41" s="315" t="str">
        <f aca="false">IF($A41="N/A"," ",(1+CW41/2)^(-2*((EOMONTH(A41,0)+20)-DateToday)/365.25))</f>
        <v> </v>
      </c>
      <c r="CY41" s="316" t="str">
        <f aca="false">IF($A41="N/A"," ",(IF(MONTH(A41)&gt;=4,IF(MONTH(A41)&lt;=10,Inputs!$S$26,Inputs!$S$27),Inputs!$S$27))*$CX41)</f>
        <v> </v>
      </c>
      <c r="CZ41" s="317" t="str">
        <f aca="false">IF($A41="N/A"," ",BK41+BL41+BN41+BO41+BQ41+BR41)</f>
        <v> </v>
      </c>
      <c r="DA41" s="318" t="str">
        <f aca="false">IF($A41="N/A"," ",BM41+BP41+BS41)</f>
        <v> </v>
      </c>
      <c r="DB41" s="319" t="str">
        <f aca="false">IF($A41="N/A"," ",BT41+BU41+BW41+BX41+BZ41+CA41)</f>
        <v> </v>
      </c>
      <c r="DC41" s="319" t="str">
        <f aca="false">IF($A41="N/A"," ",BV41+BY41+CB41)</f>
        <v> </v>
      </c>
      <c r="DD41" s="320" t="str">
        <f aca="false">IF($A41="N/A"," ",SUM(CC41:CK41))</f>
        <v> </v>
      </c>
      <c r="DE41" s="321" t="str">
        <f aca="false">IF($A41="N/A"," ",VLOOKUP($A41,NumberofDaysTable,2)*Availability)</f>
        <v> </v>
      </c>
      <c r="DF41" s="94" t="str">
        <f aca="false">IF($A41="N/A"," ",VLOOKUP($A41,NumberofDaysTable,3)*Availability)</f>
        <v> </v>
      </c>
      <c r="DG41" s="322" t="str">
        <f aca="false">IF($A41="N/A"," ",VLOOKUP($A41,NumberofDaysTable,4)*Availability)</f>
        <v> </v>
      </c>
      <c r="DH41" s="323" t="str">
        <f aca="false">IF($A41="N/A"," ",IF(Option=1,$D41*Inputs!$S$15*SUM(AS41:BA41),0))</f>
        <v> </v>
      </c>
      <c r="DI41" s="324" t="str">
        <f aca="false">IF($A41="N/A"," ",IF(Option=1,$D41*Inputs!$S$16*SUM(AS41:BA41),0))</f>
        <v> </v>
      </c>
      <c r="DJ41" s="325" t="str">
        <f aca="false">IF($A41="N/A"," ",SUM(AS41:AT41))</f>
        <v> </v>
      </c>
      <c r="DK41" s="325" t="str">
        <f aca="false">IF($A41="N/A"," ",SUM(AU41:BA41))</f>
        <v> </v>
      </c>
      <c r="DL41" s="325" t="str">
        <f aca="false">IF($A41="N/A"," ",SUM(BB41:BC41))</f>
        <v> </v>
      </c>
      <c r="DM41" s="325" t="str">
        <f aca="false">IF($A41="N/A"," ",SUM(BD41:BJ41))</f>
        <v> </v>
      </c>
    </row>
    <row r="42" customFormat="false" ht="12.75" hidden="false" customHeight="false" outlineLevel="0" collapsed="false">
      <c r="A42" s="282" t="str">
        <f aca="false">IF(A41="N/A","N/A",IF(EDATE(A41,1)&gt;Inputs!$S$5,"N/A",EDATE(A41,1)))</f>
        <v>N/A</v>
      </c>
      <c r="B42" s="283" t="str">
        <f aca="false">IF(A42="N/A"," ",YEAR(A42))</f>
        <v> </v>
      </c>
      <c r="C42" s="284" t="str">
        <f aca="false">IF(A42="N/A"," ",VLOOKUP(A42,ScaledPrice,14))</f>
        <v> </v>
      </c>
      <c r="D42" s="285" t="str">
        <f aca="false">IF(A42="N/A"," ",(VLOOKUP(MONTH($A42),Hrtable,2))/1000)</f>
        <v> </v>
      </c>
      <c r="E42" s="286" t="str">
        <f aca="false">IF($A42="N/A"," ",(C42)*D42)</f>
        <v> </v>
      </c>
      <c r="F42" s="287" t="str">
        <f aca="false">IF(A42="N/A"," ",VOM*(1+VOMesc)^(YEAR(A42)-YEAR(Today)))</f>
        <v> </v>
      </c>
      <c r="G42" s="287" t="str">
        <f aca="false">IF(A42="N/A"," ",Perstart/VLOOKUP(Dayrun,'Pricing Inputs'!$AQ$4:$AS$14,3)/(CY42/CX42))</f>
        <v> </v>
      </c>
      <c r="H42" s="288" t="str">
        <f aca="false">IF(A42="N/A"," ",SUM(E42:G42))</f>
        <v> </v>
      </c>
      <c r="I42" s="289" t="str">
        <f aca="false">VLOOKUP($A42,ScaledPrice,6)</f>
        <v> </v>
      </c>
      <c r="J42" s="290" t="str">
        <f aca="false">VLOOKUP($A42,ScaledPrice,10)</f>
        <v> </v>
      </c>
      <c r="K42" s="290" t="str">
        <f aca="false">VLOOKUP($A42,ScaledPrice,13)</f>
        <v> </v>
      </c>
      <c r="L42" s="290" t="str">
        <f aca="false">VLOOKUP($A42,ScaledPrice,7)</f>
        <v> </v>
      </c>
      <c r="M42" s="290" t="str">
        <f aca="false">VLOOKUP($A42,ScaledPrice,11)</f>
        <v> </v>
      </c>
      <c r="N42" s="290" t="str">
        <f aca="false">VLOOKUP($A42,ScaledPrice,13)</f>
        <v> </v>
      </c>
      <c r="O42" s="290" t="str">
        <f aca="false">VLOOKUP($A42,ScaledPrice,8)</f>
        <v> </v>
      </c>
      <c r="P42" s="290" t="str">
        <f aca="false">VLOOKUP($A42,ScaledPrice,12)</f>
        <v> </v>
      </c>
      <c r="Q42" s="291" t="str">
        <f aca="false">VLOOKUP($A42,ScaledPrice,13)</f>
        <v> </v>
      </c>
      <c r="R42" s="292" t="str">
        <f aca="false">IF($A42="N/A"," ",IF(Dayrun&gt;=3,IF(Option=1,MAX($I42-$H42,0),IF(Option=2,MAX($H42-$I42,0),0)),0))</f>
        <v> </v>
      </c>
      <c r="S42" s="286" t="str">
        <f aca="false">IF($A42="N/A"," ",IF(Dayrun&gt;=6,IF(Option=1,MAX($J42-H42,0),IF(Option=2,MAX(H42-$J42,0),0)),0))</f>
        <v> </v>
      </c>
      <c r="T42" s="286" t="str">
        <f aca="false">IF($A42="N/A"," ",IF(OR(Dayrun&lt;=2,Dayrun&gt;=9),IF(Option=1,MAX($K42-$H42,0),IF(Option=2,MAX($H42-$K42,0),0)),0))</f>
        <v> </v>
      </c>
      <c r="U42" s="286" t="str">
        <f aca="false">IF($A42="N/A"," ",IF(OR(Dayrun=1,Dayrun=4,Dayrun=5,Dayrun=7,Dayrun=8,Dayrun=10,Dayrun=11),IF(Option=1,MAX($L42-H42,0),IF(Option=2,MAX(H42-$L42,0),0)),0))</f>
        <v> </v>
      </c>
      <c r="V42" s="286" t="str">
        <f aca="false">IF($A42="N/A"," ",IF(OR(Dayrun=1,Dayrun=7,Dayrun=8,Dayrun=10,Dayrun=11),IF(Option=1,MAX($M42-H42,0),IF(Option=2,MAX(H42-$M42,0),0)),0))</f>
        <v> </v>
      </c>
      <c r="W42" s="286" t="str">
        <f aca="false">IF($A42="N/A"," ",IF(OR(Dayrun&lt;=2,Dayrun&gt;=10),IF(Option=1,MAX($N42-$H42,0),IF(Option=2,MAX($H42-$N42,0),0)),0))</f>
        <v> </v>
      </c>
      <c r="X42" s="286" t="str">
        <f aca="false">IF($A42="N/A"," ",IF(OR(Dayrun=1,Dayrun=5,Dayrun=8,Dayrun=11),IF(Option=1,MAX($O42-H42,0),IF(Option=2,MAX(H42-$O42,0),0)),0))</f>
        <v> </v>
      </c>
      <c r="Y42" s="286" t="str">
        <f aca="false">IF($A42="N/A"," ",IF(OR(Dayrun=1,Dayrun=8,Dayrun=11),IF(Option=1,MAX($P42-H42,0),IF(Option=2,MAX(H42-$P42,0),0)),0))</f>
        <v> </v>
      </c>
      <c r="Z42" s="293" t="str">
        <f aca="false">IF($A42="N/A"," ",IF(OR(Dayrun&lt;=2,Dayrun&gt;=11),IF(Option=1,MAX($Q42-$H42,0),IF(Option=2,MAX($H42-$Q42,0),0)),0))</f>
        <v> </v>
      </c>
      <c r="AA42" s="289" t="str">
        <f aca="false">IF($A42="N/A"," ",IF(Dayrun&gt;=3,(MAX(0,(xSPRDOPT(I42,($E42-'Pricing Inputs'!$X77*$D42),$CV42,0,($CN42+IF(Smile=TRUE(),VLOOKUP(MAX(-5,$H42-I42),Volsmile,2),0)),$CT42,$CU42,($A42-DateToday)+15,ABS(Option-2),0)-R42))),0))</f>
        <v> </v>
      </c>
      <c r="AB42" s="290" t="str">
        <f aca="false">IF($A42="N/A"," ",IF(Dayrun&gt;=6,MAX(0,(xSPRDOPT(J42,($E42-'Pricing Inputs'!$X77*$D42),$CV42,0,($CN42+IF(Smile=TRUE(),VLOOKUP(MAX(-5,$H42-J42),Volsmile,2),0)),$CT42,$CU42,($A42-DateToday)+15,ABS(Option-2),0)-S42)),0))</f>
        <v> </v>
      </c>
      <c r="AC42" s="290" t="str">
        <f aca="false">IF($A42="N/A"," ",IF(OR(Dayrun&lt;=2,Dayrun&gt;=9),IF(OffPeakEx=TRUE(),MAX(0,(xSPRDOPT(K42,($E42-'Pricing Inputs'!$X77*$D42),$CV42,0,($CQ42+IF(Smile=TRUE(),VLOOKUP(MAX(-5,$H42-K42),Volsmile,2),0)),$CT42,$CU42,($A42-DateToday)+15,ABS(Option-2),0)-T42)),0),0))</f>
        <v> </v>
      </c>
      <c r="AD42" s="290" t="str">
        <f aca="false">IF($A42="N/A"," ",IF(OR(Dayrun=1,Dayrun=4,Dayrun=5,Dayrun=7,Dayrun=8,Dayrun=10,Dayrun=11),MAX(0,(xSPRDOPT(L42,($E42-'Pricing Inputs'!$X77*$D42),$CV42,0,($CQ42+IF(Smile=TRUE(),VLOOKUP(MAX(-5,$H42-L42),Volsmile,2),0)),$CT42,$CU42,($A42-DateToday)+15,ABS(Option-2),0)-U42)),0))</f>
        <v> </v>
      </c>
      <c r="AE42" s="290" t="str">
        <f aca="false">IF($A42="N/A"," ",IF(OR(Dayrun=1,Dayrun=7,Dayrun=8,Dayrun=10,Dayrun=11),MAX(0,(xSPRDOPT(M42,($E42-'Pricing Inputs'!$X77*$D42),$CV42,0,($CQ42+IF(Smile=TRUE(),VLOOKUP(MAX(-5,$H42-M42),Volsmile,2),0)),$CT42,$CU42,($A42-DateToday)+15,ABS(Option-2),0)-V42)),0))</f>
        <v> </v>
      </c>
      <c r="AF42" s="290" t="str">
        <f aca="false">IF($A42="N/A"," ",IF(OR(Dayrun&lt;=2,Dayrun&gt;=10),IF(OffPeakEx=TRUE(),MAX(0,(xSPRDOPT(N42,($E42-'Pricing Inputs'!$X77*$D42),$CV42,0,($CQ42+IF(Smile=TRUE(),VLOOKUP(MAX(-5,$H42-N42),Volsmile,2),0)),$CT42,$CU42,($A42-DateToday)+15,ABS(Option-2),0)-W42)),0),0))</f>
        <v> </v>
      </c>
      <c r="AG42" s="290" t="str">
        <f aca="false">IF($A42="N/A"," ",IF(OR(Dayrun=1,Dayrun=5,Dayrun=8,Dayrun=11),MAX(0,(xSPRDOPT(O42,($E42-'Pricing Inputs'!$X77*$D42),$CV42,0,($CQ42+IF(Smile=TRUE(),VLOOKUP(MAX(-5,$H42-O42),Volsmile,2),0)),$CT42,$CU42,($A42-DateToday)+15,ABS(Option-2),0)-X42)),0))</f>
        <v> </v>
      </c>
      <c r="AH42" s="290" t="str">
        <f aca="false">IF($A42="N/A"," ",IF(OR(Dayrun=1,Dayrun=8,Dayrun=11),MAX(0,(xSPRDOPT(P42,($E42-'Pricing Inputs'!$X77*$D42),$CV42,0,($CQ42+IF(Smile=TRUE(),VLOOKUP(MAX(-5,$H42-P42),Volsmile,2),0)),$CT42,$CU42,($A42-DateToday)+15,ABS(Option-2),0)-Y42)),0))</f>
        <v> </v>
      </c>
      <c r="AI42" s="290" t="str">
        <f aca="false">IF($A42="N/A"," ",IF(OR(Dayrun&lt;=2,Dayrun&gt;=11),IF(OffPeakEx=TRUE(),MAX(0,(xSPRDOPT(Q42,($E42-'Pricing Inputs'!$X77*$D42),$CV42,0,($CQ42+IF(Smile=TRUE(),VLOOKUP(MAX(-5,$H42-Q42),Volsmile,2),0)),$CT42,$CU42,($A42-DateToday)+15,ABS(Option-2),0)-Z42)),0),0))</f>
        <v> </v>
      </c>
      <c r="AJ42" s="294" t="str">
        <f aca="false">IF($A42="N/A"," ",IF(Dayrun&gt;=3,IF(Option=1,$I42-$H42,IF(Option=2,$H42-$I42)),0))</f>
        <v> </v>
      </c>
      <c r="AK42" s="295" t="str">
        <f aca="false">IF($A42="N/A"," ",IF(Dayrun&gt;=6,IF(Option=1,$J42-H42,IF(Option=2,H42-$J42)),0))</f>
        <v> </v>
      </c>
      <c r="AL42" s="295" t="str">
        <f aca="false">IF($A42="N/A"," ",IF(OR(Dayrun&lt;=2,Dayrun&gt;=9),IF(Option=1,$K42-$H42,IF(Option=2,$H42-$K42)),0))</f>
        <v> </v>
      </c>
      <c r="AM42" s="295" t="str">
        <f aca="false">IF($A42="N/A"," ",IF(OR(Dayrun=1,Dayrun=4,Dayrun=5,Dayrun=7,Dayrun=8,Dayrun=10,Dayrun=11),IF(Option=1,$L42-H42,IF(Option=2,H42-$L42)),0))</f>
        <v> </v>
      </c>
      <c r="AN42" s="295" t="str">
        <f aca="false">IF($A42="N/A"," ",IF(OR(Dayrun=1,Dayrun=7,Dayrun=8,Dayrun=10,Dayrun=11),IF(Option=1,$M42-H42,IF(Option=2,H42-$M42)),0))</f>
        <v> </v>
      </c>
      <c r="AO42" s="295" t="str">
        <f aca="false">IF($A42="N/A"," ",IF(OR(Dayrun&lt;=2,Dayrun&gt;=9),IF(Option=1,$N42-$H42,IF(Option=2,$H42-$N42)),0))</f>
        <v> </v>
      </c>
      <c r="AP42" s="295" t="str">
        <f aca="false">IF($A42="N/A"," ",IF(OR(Dayrun=1,Dayrun=5,Dayrun=8,Dayrun=11),IF(Option=1,$O42-H42,IF(Option=2,H42-$O42)),0))</f>
        <v> </v>
      </c>
      <c r="AQ42" s="295" t="str">
        <f aca="false">IF($A42="N/A"," ",IF(OR(Dayrun=1,Dayrun=8,Dayrun=11),IF(Option=1,$P42-H42,IF(Option=2,H42-$P42)),0))</f>
        <v> </v>
      </c>
      <c r="AR42" s="296" t="str">
        <f aca="false">IF($A42="N/A"," ",IF(OR(Dayrun&lt;=2,Dayrun&gt;=9),IF(Option=1,$Q42-H42,IF(Option=2,H42-$Q42)),0))</f>
        <v> </v>
      </c>
      <c r="AS42" s="297" t="str">
        <f aca="false">IF($A42="N/A"," ",IF(VLOOKUP(MONTH($A42),ManualTable,2)=1,IF(Dayrun&gt;=3,$DE42*8*$CY42,0),0))</f>
        <v> </v>
      </c>
      <c r="AT42" s="297" t="str">
        <f aca="false">IF($A42="N/A"," ",IF(VLOOKUP(MONTH($A42),ManualTable,3)=1,IF(Dayrun&gt;=6,$DE42*8*$CY42,0),0))</f>
        <v> </v>
      </c>
      <c r="AU42" s="297" t="str">
        <f aca="false">IF($A42="N/A"," ",IF(VLOOKUP(MONTH($A42),ManualTable,4)=1,IF(OR(Dayrun&lt;=2,Dayrun&gt;=9),$DE42*8*$CY42,0),0))</f>
        <v> </v>
      </c>
      <c r="AV42" s="297" t="str">
        <f aca="false">IF($A42="N/A"," ",IF(VLOOKUP(MONTH($A42),ManualTable,5)=1,IF(OR(Dayrun=1,Dayrun=4,Dayrun=5,Dayrun=7,Dayrun=8,Dayrun=10,Dayrun=11),$DF42*8*$CY42,0),0))</f>
        <v> </v>
      </c>
      <c r="AW42" s="297" t="str">
        <f aca="false">IF($A42="N/A"," ",IF(VLOOKUP(MONTH($A42),ManualTable,6)=1,IF(OR(Dayrun=1,Dayrun=7,Dayrun=8,Dayrun=10,Dayrun=11),$DF42*8*$CY42,0),0))</f>
        <v> </v>
      </c>
      <c r="AX42" s="297" t="str">
        <f aca="false">IF($A42="N/A"," ",IF(VLOOKUP(MONTH($A42),ManualTable,7)=1,IF(OR(Dayrun&lt;=2,Dayrun&gt;=9),$DF42*8*$CY42,0),0))</f>
        <v> </v>
      </c>
      <c r="AY42" s="297" t="str">
        <f aca="false">IF($A42="N/A"," ",IF(VLOOKUP(MONTH($A42),ManualTable,8)=1,IF(OR(Dayrun=1,Dayrun=5,Dayrun=8,Dayrun=11),$DG42*8*$CY42,0),0))</f>
        <v> </v>
      </c>
      <c r="AZ42" s="297" t="str">
        <f aca="false">IF($A42="N/A"," ",IF(VLOOKUP(MONTH($A42),ManualTable,9)=1,IF(OR(Dayrun=1,Dayrun=8,Dayrun=11),$DG42*8*$CY42,0),0))</f>
        <v> </v>
      </c>
      <c r="BA42" s="298" t="str">
        <f aca="false">IF($A42="N/A"," ",IF(VLOOKUP(MONTH($A42),ManualTable,10)=1,IF(OR(Dayrun&lt;=2,Dayrun&gt;=9),$DG42*8*$CY42,0),0))</f>
        <v> </v>
      </c>
      <c r="BB42" s="299" t="str">
        <f aca="false">IF($A42="N/A"," ",IF(Dayrun&gt;=3,(MAX(0,(xSPRDOPT(I42,($E42-'Pricing Inputs'!$X77*$D42),$CV42,0,($CN42+IF(Smile=TRUE(),VLOOKUP(MAX(-5,$H42-I42),Volsmile,2),0)),$CT42,$CU42,($A42-DateToday)+15,ABS(Option-2),1)*DE42*8))),0))</f>
        <v> </v>
      </c>
      <c r="BC42" s="300" t="str">
        <f aca="false">IF($A42="N/A"," ",IF(Dayrun&gt;=6,MAX(0,(xSPRDOPT(J42,($E42-'Pricing Inputs'!$X77*$D42),$CV42,0,($CN42+IF(Smile=TRUE(),VLOOKUP(MAX(-5,$H42-J42),Volsmile,2),0)),$CT42,$CU42,($A42-DateToday)+15,ABS(Option-2),1)*DE42*8)),0))</f>
        <v> </v>
      </c>
      <c r="BD42" s="300" t="str">
        <f aca="false">IF($A42="N/A"," ",IF(OR(Dayrun&lt;=2,Dayrun&gt;=9),IF(OffPeakEx=TRUE(),MAX(0,(xSPRDOPT(K42,($E42-'Pricing Inputs'!$X77*$D42),$CV42,0,($CQ42+IF(Smile=TRUE(),VLOOKUP(MAX(-5,$H42-K42),Volsmile,2),0)),$CT42,$CU42,($A42-DateToday)+15,ABS(Option-2),1)*DE42*8)),0),0))</f>
        <v> </v>
      </c>
      <c r="BE42" s="300" t="str">
        <f aca="false">IF($A42="N/A"," ",IF(OR(Dayrun=1,Dayrun=4,Dayrun=5,Dayrun=7,Dayrun=8,Dayrun=10,Dayrun=11),MAX(0,(xSPRDOPT(L42,($E42-'Pricing Inputs'!$X77*$D42),$CV42,0,($CQ42+IF(Smile=TRUE(),VLOOKUP(MAX(-5,$H42-L42),Volsmile,2),0)),$CT42,$CU42,($A42-DateToday)+15,ABS(Option-2),1)*DF42*8)),0))</f>
        <v> </v>
      </c>
      <c r="BF42" s="300" t="str">
        <f aca="false">IF($A42="N/A"," ",IF(OR(Dayrun=1,Dayrun=7,Dayrun=8,Dayrun=10,Dayrun=11),MAX(0,(xSPRDOPT(M42,($E42-'Pricing Inputs'!$X77*$D42),$CV42,0,($CQ42+IF(Smile=TRUE(),VLOOKUP(MAX(-5,$H42-M42),Volsmile,2),0)),$CT42,$CU42,($A42-DateToday)+15,ABS(Option-2),1)*DF42*8)),0))</f>
        <v> </v>
      </c>
      <c r="BG42" s="300" t="str">
        <f aca="false">IF($A42="N/A"," ",IF(OR(Dayrun&lt;=2,Dayrun&gt;=10),IF(OffPeakEx=TRUE(),MAX(0,(xSPRDOPT(N42,($E42-'Pricing Inputs'!$X77*$D42),$CV42,0,($CQ42+IF(Smile=TRUE(),VLOOKUP(MAX(-5,$H42-N42),Volsmile,2),0)),$CT42,$CU42,($A42-DateToday)+15,ABS(Option-2),1)*DF42*8)),0),0))</f>
        <v> </v>
      </c>
      <c r="BH42" s="300" t="str">
        <f aca="false">IF($A42="N/A"," ",IF(OR(Dayrun=1,Dayrun=5,Dayrun=8,Dayrun=11),MAX(0,(xSPRDOPT(O42,($E42-'Pricing Inputs'!$X77*$D42),$CV42,0,($CQ42+IF(Smile=TRUE(),VLOOKUP(MAX(-5,$H42-O42),Volsmile,2),0)),$CT42,$CU42,($A42-DateToday)+15,ABS(Option-2),1)*DG42*8)),0))</f>
        <v> </v>
      </c>
      <c r="BI42" s="300" t="str">
        <f aca="false">IF($A42="N/A"," ",IF(OR(Dayrun=1,Dayrun=8,Dayrun=11),MAX(0,(xSPRDOPT(P42,($E42-'Pricing Inputs'!$X77*$D42),$CV42,0,($CQ42+IF(Smile=TRUE(),VLOOKUP(MAX(-5,$H42-P42),Volsmile,2),0)),$CT42,$CU42,($A42-DateToday)+15,ABS(Option-2),1)*DG42*8)),0))</f>
        <v> </v>
      </c>
      <c r="BJ42" s="301" t="str">
        <f aca="false">IF($A42="N/A"," ",IF(OR(Dayrun&lt;=2,Dayrun&gt;=11),IF(OffPeakEx=TRUE(),MAX(0,(xSPRDOPT(Q42,($E42-'Pricing Inputs'!$X77*$D42),$CV42,0,($CQ42+IF(Smile=TRUE(),VLOOKUP(MAX(-5,$H42-Q42),Volsmile,2),0)),$CT42,$CU42,($A42-DateToday)+15,ABS(Option-2),1)*DG42*8)),0),0))</f>
        <v> </v>
      </c>
      <c r="BK42" s="302" t="str">
        <f aca="false">IF($A42="N/A"," ",R42*$AS42)</f>
        <v> </v>
      </c>
      <c r="BL42" s="303" t="str">
        <f aca="false">IF($A42="N/A"," ",S42*$AT42)</f>
        <v> </v>
      </c>
      <c r="BM42" s="303" t="str">
        <f aca="false">IF($A42="N/A"," ",T42*$AU42)</f>
        <v> </v>
      </c>
      <c r="BN42" s="303" t="str">
        <f aca="false">IF($A42="N/A"," ",U42*$AV42)</f>
        <v> </v>
      </c>
      <c r="BO42" s="303" t="str">
        <f aca="false">IF($A42="N/A"," ",V42*$AW42)</f>
        <v> </v>
      </c>
      <c r="BP42" s="303" t="str">
        <f aca="false">IF($A42="N/A"," ",W42*$AX42)</f>
        <v> </v>
      </c>
      <c r="BQ42" s="303" t="str">
        <f aca="false">IF($A42="N/A"," ",X42*$AY42)</f>
        <v> </v>
      </c>
      <c r="BR42" s="303" t="str">
        <f aca="false">IF($A42="N/A"," ",Y42*$AZ42)</f>
        <v> </v>
      </c>
      <c r="BS42" s="304" t="str">
        <f aca="false">IF($A42="N/A"," ",Z42*$BA42)</f>
        <v> </v>
      </c>
      <c r="BT42" s="305" t="str">
        <f aca="false">IF($A42="N/A"," ",AA42*$AS42)</f>
        <v> </v>
      </c>
      <c r="BU42" s="306" t="str">
        <f aca="false">IF($A42="N/A"," ",AB42*$AT42)</f>
        <v> </v>
      </c>
      <c r="BV42" s="306" t="str">
        <f aca="false">IF($A42="N/A"," ",AC42*$AU42)</f>
        <v> </v>
      </c>
      <c r="BW42" s="306" t="str">
        <f aca="false">IF($A42="N/A"," ",AD42*$AV42)</f>
        <v> </v>
      </c>
      <c r="BX42" s="306" t="str">
        <f aca="false">IF($A42="N/A"," ",AE42*$AW42)</f>
        <v> </v>
      </c>
      <c r="BY42" s="306" t="str">
        <f aca="false">IF($A42="N/A"," ",AF42*$AX42)</f>
        <v> </v>
      </c>
      <c r="BZ42" s="306" t="str">
        <f aca="false">IF($A42="N/A"," ",AG42*$AY42)</f>
        <v> </v>
      </c>
      <c r="CA42" s="306" t="str">
        <f aca="false">IF($A42="N/A"," ",AH42*$AZ42)</f>
        <v> </v>
      </c>
      <c r="CB42" s="307" t="str">
        <f aca="false">IF($A42="N/A"," ",AI42*$BA42)</f>
        <v> </v>
      </c>
      <c r="CC42" s="308" t="str">
        <f aca="false">IF($A42="N/A"," ",AJ42*$AS42)</f>
        <v> </v>
      </c>
      <c r="CD42" s="309" t="str">
        <f aca="false">IF($A42="N/A"," ",AK42*$AT42)</f>
        <v> </v>
      </c>
      <c r="CE42" s="309" t="str">
        <f aca="false">IF($A42="N/A"," ",AL42*$AU42)</f>
        <v> </v>
      </c>
      <c r="CF42" s="309" t="str">
        <f aca="false">IF($A42="N/A"," ",AM42*$AV42)</f>
        <v> </v>
      </c>
      <c r="CG42" s="309" t="str">
        <f aca="false">IF($A42="N/A"," ",AN42*$AW42)</f>
        <v> </v>
      </c>
      <c r="CH42" s="309" t="str">
        <f aca="false">IF($A42="N/A"," ",AO42*$AX42)</f>
        <v> </v>
      </c>
      <c r="CI42" s="309" t="str">
        <f aca="false">IF($A42="N/A"," ",AP42*$AY42)</f>
        <v> </v>
      </c>
      <c r="CJ42" s="309" t="str">
        <f aca="false">IF($A42="N/A"," ",AQ42*$AZ42)</f>
        <v> </v>
      </c>
      <c r="CK42" s="310" t="str">
        <f aca="false">IF($A42="N/A"," ",AR42*$BA42)</f>
        <v> </v>
      </c>
      <c r="CL42" s="311" t="str">
        <f aca="false">IF(A42="N/A"," ",(VLOOKUP(A42,PowerVolTable,(IF(VolBMO=2,7,IF(VolBMO=1,6,8))),FALSE())))</f>
        <v> </v>
      </c>
      <c r="CM42" s="312" t="str">
        <f aca="false">IF(A42="N/A"," ",(VLOOKUP(A42,IntraPowerVol,(IF(VolBMO=2,3,IF(VolBMO=1,2,4))),FALSE())*VLOOKUP(MONTH($A42),Volscale,2)))</f>
        <v> </v>
      </c>
      <c r="CN42" s="312" t="str">
        <f aca="false">IF($A42="N/A"," ",IF(VolType=1,CM42,CL42))</f>
        <v> </v>
      </c>
      <c r="CO42" s="312" t="str">
        <f aca="false">IF($A42="N/A"," ",(VLOOKUP($A42,OffPeakVol,(IF(VolBMO=2,7,IF(VolBMO=1,6,8))),FALSE())))</f>
        <v> </v>
      </c>
      <c r="CP42" s="312" t="str">
        <f aca="false">IF($A42="N/A"," ",(VLOOKUP($A42,OffPeakVol,(IF(VolBMO=2,3,IF(VolBMO=1,2,4))),FALSE())*VLOOKUP(MONTH($A42),Volscale,2)))</f>
        <v> </v>
      </c>
      <c r="CQ42" s="312" t="str">
        <f aca="false">IF($A42="N/A"," ",IF(VolType=1,CP42,CO42))</f>
        <v> </v>
      </c>
      <c r="CR42" s="312" t="str">
        <f aca="false">IF($A42="N/A"," ",(VLOOKUP($A42,GasVolTable,(IF(VolBMO=2,6,IF(VolBMO=1,7,5))),FALSE())))</f>
        <v> </v>
      </c>
      <c r="CS42" s="312" t="str">
        <f aca="false">IF($A42="N/A"," ",(VLOOKUP($A42,OmicronVol,(IF(VolBMO=2,3,IF(VolBMO=1,4,2))),FALSE())))</f>
        <v> </v>
      </c>
      <c r="CT42" s="312" t="str">
        <f aca="false">IF($A42="N/A"," ",(IF(DateToday&gt;$A42,$CS42,IF(VolType=1,((($CR42^2)*((($A42-1)-DateToday)/((EOMONTH($A42,0)+1)-DateToday-15)))+((($CS42)^2)*((15)/((EOMONTH($A42,0)+1)-DateToday-15))))^0.5,CR42))))</f>
        <v> </v>
      </c>
      <c r="CU42" s="312" t="str">
        <f aca="false">IF($A42="N/A"," ",IF('Pricing Inputs'!$AR$23=TRUE(),Inputs!$S$22,VLOOKUP($A42,CorrelationTable,2,FALSE())))</f>
        <v> </v>
      </c>
      <c r="CV42" s="313" t="str">
        <f aca="false">IF($A42="N/A"," ",F42+G42+(D42*('Pricing Inputs'!X77)))</f>
        <v> </v>
      </c>
      <c r="CW42" s="314" t="str">
        <f aca="false">IF($A42="N/A"," ",IF(PV=1,0,'Pricing Inputs'!Y77))</f>
        <v> </v>
      </c>
      <c r="CX42" s="315" t="str">
        <f aca="false">IF($A42="N/A"," ",(1+CW42/2)^(-2*((EOMONTH(A42,0)+20)-DateToday)/365.25))</f>
        <v> </v>
      </c>
      <c r="CY42" s="316" t="str">
        <f aca="false">IF($A42="N/A"," ",(IF(MONTH(A42)&gt;=4,IF(MONTH(A42)&lt;=10,Inputs!$S$26,Inputs!$S$27),Inputs!$S$27))*$CX42)</f>
        <v> </v>
      </c>
      <c r="CZ42" s="317" t="str">
        <f aca="false">IF($A42="N/A"," ",BK42+BL42+BN42+BO42+BQ42+BR42)</f>
        <v> </v>
      </c>
      <c r="DA42" s="318" t="str">
        <f aca="false">IF($A42="N/A"," ",BM42+BP42+BS42)</f>
        <v> </v>
      </c>
      <c r="DB42" s="319" t="str">
        <f aca="false">IF($A42="N/A"," ",BT42+BU42+BW42+BX42+BZ42+CA42)</f>
        <v> </v>
      </c>
      <c r="DC42" s="319" t="str">
        <f aca="false">IF($A42="N/A"," ",BV42+BY42+CB42)</f>
        <v> </v>
      </c>
      <c r="DD42" s="320" t="str">
        <f aca="false">IF($A42="N/A"," ",SUM(CC42:CK42))</f>
        <v> </v>
      </c>
      <c r="DE42" s="321" t="str">
        <f aca="false">IF($A42="N/A"," ",VLOOKUP($A42,NumberofDaysTable,2)*Availability)</f>
        <v> </v>
      </c>
      <c r="DF42" s="94" t="str">
        <f aca="false">IF($A42="N/A"," ",VLOOKUP($A42,NumberofDaysTable,3)*Availability)</f>
        <v> </v>
      </c>
      <c r="DG42" s="322" t="str">
        <f aca="false">IF($A42="N/A"," ",VLOOKUP($A42,NumberofDaysTable,4)*Availability)</f>
        <v> </v>
      </c>
      <c r="DH42" s="323" t="str">
        <f aca="false">IF($A42="N/A"," ",IF(Option=1,$D42*Inputs!$S$15*SUM(AS42:BA42),0))</f>
        <v> </v>
      </c>
      <c r="DI42" s="324" t="str">
        <f aca="false">IF($A42="N/A"," ",IF(Option=1,$D42*Inputs!$S$16*SUM(AS42:BA42),0))</f>
        <v> </v>
      </c>
      <c r="DJ42" s="325" t="str">
        <f aca="false">IF($A42="N/A"," ",SUM(AS42:AT42))</f>
        <v> </v>
      </c>
      <c r="DK42" s="325" t="str">
        <f aca="false">IF($A42="N/A"," ",SUM(AU42:BA42))</f>
        <v> </v>
      </c>
      <c r="DL42" s="325" t="str">
        <f aca="false">IF($A42="N/A"," ",SUM(BB42:BC42))</f>
        <v> </v>
      </c>
      <c r="DM42" s="325" t="str">
        <f aca="false">IF($A42="N/A"," ",SUM(BD42:BJ42))</f>
        <v> </v>
      </c>
    </row>
    <row r="43" customFormat="false" ht="12.75" hidden="false" customHeight="false" outlineLevel="0" collapsed="false">
      <c r="A43" s="282" t="str">
        <f aca="false">IF(A42="N/A","N/A",IF(EDATE(A42,1)&gt;Inputs!$S$5,"N/A",EDATE(A42,1)))</f>
        <v>N/A</v>
      </c>
      <c r="B43" s="283" t="str">
        <f aca="false">IF(A43="N/A"," ",YEAR(A43))</f>
        <v> </v>
      </c>
      <c r="C43" s="284" t="str">
        <f aca="false">IF(A43="N/A"," ",VLOOKUP(A43,ScaledPrice,14))</f>
        <v> </v>
      </c>
      <c r="D43" s="285" t="str">
        <f aca="false">IF(A43="N/A"," ",(VLOOKUP(MONTH($A43),Hrtable,2))/1000)</f>
        <v> </v>
      </c>
      <c r="E43" s="286" t="str">
        <f aca="false">IF($A43="N/A"," ",(C43)*D43)</f>
        <v> </v>
      </c>
      <c r="F43" s="287" t="str">
        <f aca="false">IF(A43="N/A"," ",VOM*(1+VOMesc)^(YEAR(A43)-YEAR(Today)))</f>
        <v> </v>
      </c>
      <c r="G43" s="287" t="str">
        <f aca="false">IF(A43="N/A"," ",Perstart/VLOOKUP(Dayrun,'Pricing Inputs'!$AQ$4:$AS$14,3)/(CY43/CX43))</f>
        <v> </v>
      </c>
      <c r="H43" s="288" t="str">
        <f aca="false">IF(A43="N/A"," ",SUM(E43:G43))</f>
        <v> </v>
      </c>
      <c r="I43" s="289" t="str">
        <f aca="false">VLOOKUP($A43,ScaledPrice,6)</f>
        <v> </v>
      </c>
      <c r="J43" s="290" t="str">
        <f aca="false">VLOOKUP($A43,ScaledPrice,10)</f>
        <v> </v>
      </c>
      <c r="K43" s="290" t="str">
        <f aca="false">VLOOKUP($A43,ScaledPrice,13)</f>
        <v> </v>
      </c>
      <c r="L43" s="290" t="str">
        <f aca="false">VLOOKUP($A43,ScaledPrice,7)</f>
        <v> </v>
      </c>
      <c r="M43" s="290" t="str">
        <f aca="false">VLOOKUP($A43,ScaledPrice,11)</f>
        <v> </v>
      </c>
      <c r="N43" s="290" t="str">
        <f aca="false">VLOOKUP($A43,ScaledPrice,13)</f>
        <v> </v>
      </c>
      <c r="O43" s="290" t="str">
        <f aca="false">VLOOKUP($A43,ScaledPrice,8)</f>
        <v> </v>
      </c>
      <c r="P43" s="290" t="str">
        <f aca="false">VLOOKUP($A43,ScaledPrice,12)</f>
        <v> </v>
      </c>
      <c r="Q43" s="291" t="str">
        <f aca="false">VLOOKUP($A43,ScaledPrice,13)</f>
        <v> </v>
      </c>
      <c r="R43" s="292" t="str">
        <f aca="false">IF($A43="N/A"," ",IF(Dayrun&gt;=3,IF(Option=1,MAX($I43-$H43,0),IF(Option=2,MAX($H43-$I43,0),0)),0))</f>
        <v> </v>
      </c>
      <c r="S43" s="286" t="str">
        <f aca="false">IF($A43="N/A"," ",IF(Dayrun&gt;=6,IF(Option=1,MAX($J43-H43,0),IF(Option=2,MAX(H43-$J43,0),0)),0))</f>
        <v> </v>
      </c>
      <c r="T43" s="286" t="str">
        <f aca="false">IF($A43="N/A"," ",IF(OR(Dayrun&lt;=2,Dayrun&gt;=9),IF(Option=1,MAX($K43-$H43,0),IF(Option=2,MAX($H43-$K43,0),0)),0))</f>
        <v> </v>
      </c>
      <c r="U43" s="286" t="str">
        <f aca="false">IF($A43="N/A"," ",IF(OR(Dayrun=1,Dayrun=4,Dayrun=5,Dayrun=7,Dayrun=8,Dayrun=10,Dayrun=11),IF(Option=1,MAX($L43-H43,0),IF(Option=2,MAX(H43-$L43,0),0)),0))</f>
        <v> </v>
      </c>
      <c r="V43" s="286" t="str">
        <f aca="false">IF($A43="N/A"," ",IF(OR(Dayrun=1,Dayrun=7,Dayrun=8,Dayrun=10,Dayrun=11),IF(Option=1,MAX($M43-H43,0),IF(Option=2,MAX(H43-$M43,0),0)),0))</f>
        <v> </v>
      </c>
      <c r="W43" s="286" t="str">
        <f aca="false">IF($A43="N/A"," ",IF(OR(Dayrun&lt;=2,Dayrun&gt;=10),IF(Option=1,MAX($N43-$H43,0),IF(Option=2,MAX($H43-$N43,0),0)),0))</f>
        <v> </v>
      </c>
      <c r="X43" s="286" t="str">
        <f aca="false">IF($A43="N/A"," ",IF(OR(Dayrun=1,Dayrun=5,Dayrun=8,Dayrun=11),IF(Option=1,MAX($O43-H43,0),IF(Option=2,MAX(H43-$O43,0),0)),0))</f>
        <v> </v>
      </c>
      <c r="Y43" s="286" t="str">
        <f aca="false">IF($A43="N/A"," ",IF(OR(Dayrun=1,Dayrun=8,Dayrun=11),IF(Option=1,MAX($P43-H43,0),IF(Option=2,MAX(H43-$P43,0),0)),0))</f>
        <v> </v>
      </c>
      <c r="Z43" s="293" t="str">
        <f aca="false">IF($A43="N/A"," ",IF(OR(Dayrun&lt;=2,Dayrun&gt;=11),IF(Option=1,MAX($Q43-$H43,0),IF(Option=2,MAX($H43-$Q43,0),0)),0))</f>
        <v> </v>
      </c>
      <c r="AA43" s="289" t="str">
        <f aca="false">IF($A43="N/A"," ",IF(Dayrun&gt;=3,(MAX(0,(xSPRDOPT(I43,($E43-'Pricing Inputs'!$X78*$D43),$CV43,0,($CN43+IF(Smile=TRUE(),VLOOKUP(MAX(-5,$H43-I43),Volsmile,2),0)),$CT43,$CU43,($A43-DateToday)+15,ABS(Option-2),0)-R43))),0))</f>
        <v> </v>
      </c>
      <c r="AB43" s="290" t="str">
        <f aca="false">IF($A43="N/A"," ",IF(Dayrun&gt;=6,MAX(0,(xSPRDOPT(J43,($E43-'Pricing Inputs'!$X78*$D43),$CV43,0,($CN43+IF(Smile=TRUE(),VLOOKUP(MAX(-5,$H43-J43),Volsmile,2),0)),$CT43,$CU43,($A43-DateToday)+15,ABS(Option-2),0)-S43)),0))</f>
        <v> </v>
      </c>
      <c r="AC43" s="290" t="str">
        <f aca="false">IF($A43="N/A"," ",IF(OR(Dayrun&lt;=2,Dayrun&gt;=9),IF(OffPeakEx=TRUE(),MAX(0,(xSPRDOPT(K43,($E43-'Pricing Inputs'!$X78*$D43),$CV43,0,($CQ43+IF(Smile=TRUE(),VLOOKUP(MAX(-5,$H43-K43),Volsmile,2),0)),$CT43,$CU43,($A43-DateToday)+15,ABS(Option-2),0)-T43)),0),0))</f>
        <v> </v>
      </c>
      <c r="AD43" s="290" t="str">
        <f aca="false">IF($A43="N/A"," ",IF(OR(Dayrun=1,Dayrun=4,Dayrun=5,Dayrun=7,Dayrun=8,Dayrun=10,Dayrun=11),MAX(0,(xSPRDOPT(L43,($E43-'Pricing Inputs'!$X78*$D43),$CV43,0,($CQ43+IF(Smile=TRUE(),VLOOKUP(MAX(-5,$H43-L43),Volsmile,2),0)),$CT43,$CU43,($A43-DateToday)+15,ABS(Option-2),0)-U43)),0))</f>
        <v> </v>
      </c>
      <c r="AE43" s="290" t="str">
        <f aca="false">IF($A43="N/A"," ",IF(OR(Dayrun=1,Dayrun=7,Dayrun=8,Dayrun=10,Dayrun=11),MAX(0,(xSPRDOPT(M43,($E43-'Pricing Inputs'!$X78*$D43),$CV43,0,($CQ43+IF(Smile=TRUE(),VLOOKUP(MAX(-5,$H43-M43),Volsmile,2),0)),$CT43,$CU43,($A43-DateToday)+15,ABS(Option-2),0)-V43)),0))</f>
        <v> </v>
      </c>
      <c r="AF43" s="290" t="str">
        <f aca="false">IF($A43="N/A"," ",IF(OR(Dayrun&lt;=2,Dayrun&gt;=10),IF(OffPeakEx=TRUE(),MAX(0,(xSPRDOPT(N43,($E43-'Pricing Inputs'!$X78*$D43),$CV43,0,($CQ43+IF(Smile=TRUE(),VLOOKUP(MAX(-5,$H43-N43),Volsmile,2),0)),$CT43,$CU43,($A43-DateToday)+15,ABS(Option-2),0)-W43)),0),0))</f>
        <v> </v>
      </c>
      <c r="AG43" s="290" t="str">
        <f aca="false">IF($A43="N/A"," ",IF(OR(Dayrun=1,Dayrun=5,Dayrun=8,Dayrun=11),MAX(0,(xSPRDOPT(O43,($E43-'Pricing Inputs'!$X78*$D43),$CV43,0,($CQ43+IF(Smile=TRUE(),VLOOKUP(MAX(-5,$H43-O43),Volsmile,2),0)),$CT43,$CU43,($A43-DateToday)+15,ABS(Option-2),0)-X43)),0))</f>
        <v> </v>
      </c>
      <c r="AH43" s="290" t="str">
        <f aca="false">IF($A43="N/A"," ",IF(OR(Dayrun=1,Dayrun=8,Dayrun=11),MAX(0,(xSPRDOPT(P43,($E43-'Pricing Inputs'!$X78*$D43),$CV43,0,($CQ43+IF(Smile=TRUE(),VLOOKUP(MAX(-5,$H43-P43),Volsmile,2),0)),$CT43,$CU43,($A43-DateToday)+15,ABS(Option-2),0)-Y43)),0))</f>
        <v> </v>
      </c>
      <c r="AI43" s="290" t="str">
        <f aca="false">IF($A43="N/A"," ",IF(OR(Dayrun&lt;=2,Dayrun&gt;=11),IF(OffPeakEx=TRUE(),MAX(0,(xSPRDOPT(Q43,($E43-'Pricing Inputs'!$X78*$D43),$CV43,0,($CQ43+IF(Smile=TRUE(),VLOOKUP(MAX(-5,$H43-Q43),Volsmile,2),0)),$CT43,$CU43,($A43-DateToday)+15,ABS(Option-2),0)-Z43)),0),0))</f>
        <v> </v>
      </c>
      <c r="AJ43" s="294" t="str">
        <f aca="false">IF($A43="N/A"," ",IF(Dayrun&gt;=3,IF(Option=1,$I43-$H43,IF(Option=2,$H43-$I43)),0))</f>
        <v> </v>
      </c>
      <c r="AK43" s="295" t="str">
        <f aca="false">IF($A43="N/A"," ",IF(Dayrun&gt;=6,IF(Option=1,$J43-H43,IF(Option=2,H43-$J43)),0))</f>
        <v> </v>
      </c>
      <c r="AL43" s="295" t="str">
        <f aca="false">IF($A43="N/A"," ",IF(OR(Dayrun&lt;=2,Dayrun&gt;=9),IF(Option=1,$K43-$H43,IF(Option=2,$H43-$K43)),0))</f>
        <v> </v>
      </c>
      <c r="AM43" s="295" t="str">
        <f aca="false">IF($A43="N/A"," ",IF(OR(Dayrun=1,Dayrun=4,Dayrun=5,Dayrun=7,Dayrun=8,Dayrun=10,Dayrun=11),IF(Option=1,$L43-H43,IF(Option=2,H43-$L43)),0))</f>
        <v> </v>
      </c>
      <c r="AN43" s="295" t="str">
        <f aca="false">IF($A43="N/A"," ",IF(OR(Dayrun=1,Dayrun=7,Dayrun=8,Dayrun=10,Dayrun=11),IF(Option=1,$M43-H43,IF(Option=2,H43-$M43)),0))</f>
        <v> </v>
      </c>
      <c r="AO43" s="295" t="str">
        <f aca="false">IF($A43="N/A"," ",IF(OR(Dayrun&lt;=2,Dayrun&gt;=9),IF(Option=1,$N43-$H43,IF(Option=2,$H43-$N43)),0))</f>
        <v> </v>
      </c>
      <c r="AP43" s="295" t="str">
        <f aca="false">IF($A43="N/A"," ",IF(OR(Dayrun=1,Dayrun=5,Dayrun=8,Dayrun=11),IF(Option=1,$O43-H43,IF(Option=2,H43-$O43)),0))</f>
        <v> </v>
      </c>
      <c r="AQ43" s="295" t="str">
        <f aca="false">IF($A43="N/A"," ",IF(OR(Dayrun=1,Dayrun=8,Dayrun=11),IF(Option=1,$P43-H43,IF(Option=2,H43-$P43)),0))</f>
        <v> </v>
      </c>
      <c r="AR43" s="296" t="str">
        <f aca="false">IF($A43="N/A"," ",IF(OR(Dayrun&lt;=2,Dayrun&gt;=9),IF(Option=1,$Q43-H43,IF(Option=2,H43-$Q43)),0))</f>
        <v> </v>
      </c>
      <c r="AS43" s="297" t="str">
        <f aca="false">IF($A43="N/A"," ",IF(VLOOKUP(MONTH($A43),ManualTable,2)=1,IF(Dayrun&gt;=3,$DE43*8*$CY43,0),0))</f>
        <v> </v>
      </c>
      <c r="AT43" s="297" t="str">
        <f aca="false">IF($A43="N/A"," ",IF(VLOOKUP(MONTH($A43),ManualTable,3)=1,IF(Dayrun&gt;=6,$DE43*8*$CY43,0),0))</f>
        <v> </v>
      </c>
      <c r="AU43" s="297" t="str">
        <f aca="false">IF($A43="N/A"," ",IF(VLOOKUP(MONTH($A43),ManualTable,4)=1,IF(OR(Dayrun&lt;=2,Dayrun&gt;=9),$DE43*8*$CY43,0),0))</f>
        <v> </v>
      </c>
      <c r="AV43" s="297" t="str">
        <f aca="false">IF($A43="N/A"," ",IF(VLOOKUP(MONTH($A43),ManualTable,5)=1,IF(OR(Dayrun=1,Dayrun=4,Dayrun=5,Dayrun=7,Dayrun=8,Dayrun=10,Dayrun=11),$DF43*8*$CY43,0),0))</f>
        <v> </v>
      </c>
      <c r="AW43" s="297" t="str">
        <f aca="false">IF($A43="N/A"," ",IF(VLOOKUP(MONTH($A43),ManualTable,6)=1,IF(OR(Dayrun=1,Dayrun=7,Dayrun=8,Dayrun=10,Dayrun=11),$DF43*8*$CY43,0),0))</f>
        <v> </v>
      </c>
      <c r="AX43" s="297" t="str">
        <f aca="false">IF($A43="N/A"," ",IF(VLOOKUP(MONTH($A43),ManualTable,7)=1,IF(OR(Dayrun&lt;=2,Dayrun&gt;=9),$DF43*8*$CY43,0),0))</f>
        <v> </v>
      </c>
      <c r="AY43" s="297" t="str">
        <f aca="false">IF($A43="N/A"," ",IF(VLOOKUP(MONTH($A43),ManualTable,8)=1,IF(OR(Dayrun=1,Dayrun=5,Dayrun=8,Dayrun=11),$DG43*8*$CY43,0),0))</f>
        <v> </v>
      </c>
      <c r="AZ43" s="297" t="str">
        <f aca="false">IF($A43="N/A"," ",IF(VLOOKUP(MONTH($A43),ManualTable,9)=1,IF(OR(Dayrun=1,Dayrun=8,Dayrun=11),$DG43*8*$CY43,0),0))</f>
        <v> </v>
      </c>
      <c r="BA43" s="298" t="str">
        <f aca="false">IF($A43="N/A"," ",IF(VLOOKUP(MONTH($A43),ManualTable,10)=1,IF(OR(Dayrun&lt;=2,Dayrun&gt;=9),$DG43*8*$CY43,0),0))</f>
        <v> </v>
      </c>
      <c r="BB43" s="299" t="str">
        <f aca="false">IF($A43="N/A"," ",IF(Dayrun&gt;=3,(MAX(0,(xSPRDOPT(I43,($E43-'Pricing Inputs'!$X78*$D43),$CV43,0,($CN43+IF(Smile=TRUE(),VLOOKUP(MAX(-5,$H43-I43),Volsmile,2),0)),$CT43,$CU43,($A43-DateToday)+15,ABS(Option-2),1)*DE43*8))),0))</f>
        <v> </v>
      </c>
      <c r="BC43" s="300" t="str">
        <f aca="false">IF($A43="N/A"," ",IF(Dayrun&gt;=6,MAX(0,(xSPRDOPT(J43,($E43-'Pricing Inputs'!$X78*$D43),$CV43,0,($CN43+IF(Smile=TRUE(),VLOOKUP(MAX(-5,$H43-J43),Volsmile,2),0)),$CT43,$CU43,($A43-DateToday)+15,ABS(Option-2),1)*DE43*8)),0))</f>
        <v> </v>
      </c>
      <c r="BD43" s="300" t="str">
        <f aca="false">IF($A43="N/A"," ",IF(OR(Dayrun&lt;=2,Dayrun&gt;=9),IF(OffPeakEx=TRUE(),MAX(0,(xSPRDOPT(K43,($E43-'Pricing Inputs'!$X78*$D43),$CV43,0,($CQ43+IF(Smile=TRUE(),VLOOKUP(MAX(-5,$H43-K43),Volsmile,2),0)),$CT43,$CU43,($A43-DateToday)+15,ABS(Option-2),1)*DE43*8)),0),0))</f>
        <v> </v>
      </c>
      <c r="BE43" s="300" t="str">
        <f aca="false">IF($A43="N/A"," ",IF(OR(Dayrun=1,Dayrun=4,Dayrun=5,Dayrun=7,Dayrun=8,Dayrun=10,Dayrun=11),MAX(0,(xSPRDOPT(L43,($E43-'Pricing Inputs'!$X78*$D43),$CV43,0,($CQ43+IF(Smile=TRUE(),VLOOKUP(MAX(-5,$H43-L43),Volsmile,2),0)),$CT43,$CU43,($A43-DateToday)+15,ABS(Option-2),1)*DF43*8)),0))</f>
        <v> </v>
      </c>
      <c r="BF43" s="300" t="str">
        <f aca="false">IF($A43="N/A"," ",IF(OR(Dayrun=1,Dayrun=7,Dayrun=8,Dayrun=10,Dayrun=11),MAX(0,(xSPRDOPT(M43,($E43-'Pricing Inputs'!$X78*$D43),$CV43,0,($CQ43+IF(Smile=TRUE(),VLOOKUP(MAX(-5,$H43-M43),Volsmile,2),0)),$CT43,$CU43,($A43-DateToday)+15,ABS(Option-2),1)*DF43*8)),0))</f>
        <v> </v>
      </c>
      <c r="BG43" s="300" t="str">
        <f aca="false">IF($A43="N/A"," ",IF(OR(Dayrun&lt;=2,Dayrun&gt;=10),IF(OffPeakEx=TRUE(),MAX(0,(xSPRDOPT(N43,($E43-'Pricing Inputs'!$X78*$D43),$CV43,0,($CQ43+IF(Smile=TRUE(),VLOOKUP(MAX(-5,$H43-N43),Volsmile,2),0)),$CT43,$CU43,($A43-DateToday)+15,ABS(Option-2),1)*DF43*8)),0),0))</f>
        <v> </v>
      </c>
      <c r="BH43" s="300" t="str">
        <f aca="false">IF($A43="N/A"," ",IF(OR(Dayrun=1,Dayrun=5,Dayrun=8,Dayrun=11),MAX(0,(xSPRDOPT(O43,($E43-'Pricing Inputs'!$X78*$D43),$CV43,0,($CQ43+IF(Smile=TRUE(),VLOOKUP(MAX(-5,$H43-O43),Volsmile,2),0)),$CT43,$CU43,($A43-DateToday)+15,ABS(Option-2),1)*DG43*8)),0))</f>
        <v> </v>
      </c>
      <c r="BI43" s="300" t="str">
        <f aca="false">IF($A43="N/A"," ",IF(OR(Dayrun=1,Dayrun=8,Dayrun=11),MAX(0,(xSPRDOPT(P43,($E43-'Pricing Inputs'!$X78*$D43),$CV43,0,($CQ43+IF(Smile=TRUE(),VLOOKUP(MAX(-5,$H43-P43),Volsmile,2),0)),$CT43,$CU43,($A43-DateToday)+15,ABS(Option-2),1)*DG43*8)),0))</f>
        <v> </v>
      </c>
      <c r="BJ43" s="301" t="str">
        <f aca="false">IF($A43="N/A"," ",IF(OR(Dayrun&lt;=2,Dayrun&gt;=11),IF(OffPeakEx=TRUE(),MAX(0,(xSPRDOPT(Q43,($E43-'Pricing Inputs'!$X78*$D43),$CV43,0,($CQ43+IF(Smile=TRUE(),VLOOKUP(MAX(-5,$H43-Q43),Volsmile,2),0)),$CT43,$CU43,($A43-DateToday)+15,ABS(Option-2),1)*DG43*8)),0),0))</f>
        <v> </v>
      </c>
      <c r="BK43" s="302" t="str">
        <f aca="false">IF($A43="N/A"," ",R43*$AS43)</f>
        <v> </v>
      </c>
      <c r="BL43" s="303" t="str">
        <f aca="false">IF($A43="N/A"," ",S43*$AT43)</f>
        <v> </v>
      </c>
      <c r="BM43" s="303" t="str">
        <f aca="false">IF($A43="N/A"," ",T43*$AU43)</f>
        <v> </v>
      </c>
      <c r="BN43" s="303" t="str">
        <f aca="false">IF($A43="N/A"," ",U43*$AV43)</f>
        <v> </v>
      </c>
      <c r="BO43" s="303" t="str">
        <f aca="false">IF($A43="N/A"," ",V43*$AW43)</f>
        <v> </v>
      </c>
      <c r="BP43" s="303" t="str">
        <f aca="false">IF($A43="N/A"," ",W43*$AX43)</f>
        <v> </v>
      </c>
      <c r="BQ43" s="303" t="str">
        <f aca="false">IF($A43="N/A"," ",X43*$AY43)</f>
        <v> </v>
      </c>
      <c r="BR43" s="303" t="str">
        <f aca="false">IF($A43="N/A"," ",Y43*$AZ43)</f>
        <v> </v>
      </c>
      <c r="BS43" s="304" t="str">
        <f aca="false">IF($A43="N/A"," ",Z43*$BA43)</f>
        <v> </v>
      </c>
      <c r="BT43" s="305" t="str">
        <f aca="false">IF($A43="N/A"," ",AA43*$AS43)</f>
        <v> </v>
      </c>
      <c r="BU43" s="306" t="str">
        <f aca="false">IF($A43="N/A"," ",AB43*$AT43)</f>
        <v> </v>
      </c>
      <c r="BV43" s="306" t="str">
        <f aca="false">IF($A43="N/A"," ",AC43*$AU43)</f>
        <v> </v>
      </c>
      <c r="BW43" s="306" t="str">
        <f aca="false">IF($A43="N/A"," ",AD43*$AV43)</f>
        <v> </v>
      </c>
      <c r="BX43" s="306" t="str">
        <f aca="false">IF($A43="N/A"," ",AE43*$AW43)</f>
        <v> </v>
      </c>
      <c r="BY43" s="306" t="str">
        <f aca="false">IF($A43="N/A"," ",AF43*$AX43)</f>
        <v> </v>
      </c>
      <c r="BZ43" s="306" t="str">
        <f aca="false">IF($A43="N/A"," ",AG43*$AY43)</f>
        <v> </v>
      </c>
      <c r="CA43" s="306" t="str">
        <f aca="false">IF($A43="N/A"," ",AH43*$AZ43)</f>
        <v> </v>
      </c>
      <c r="CB43" s="307" t="str">
        <f aca="false">IF($A43="N/A"," ",AI43*$BA43)</f>
        <v> </v>
      </c>
      <c r="CC43" s="308" t="str">
        <f aca="false">IF($A43="N/A"," ",AJ43*$AS43)</f>
        <v> </v>
      </c>
      <c r="CD43" s="309" t="str">
        <f aca="false">IF($A43="N/A"," ",AK43*$AT43)</f>
        <v> </v>
      </c>
      <c r="CE43" s="309" t="str">
        <f aca="false">IF($A43="N/A"," ",AL43*$AU43)</f>
        <v> </v>
      </c>
      <c r="CF43" s="309" t="str">
        <f aca="false">IF($A43="N/A"," ",AM43*$AV43)</f>
        <v> </v>
      </c>
      <c r="CG43" s="309" t="str">
        <f aca="false">IF($A43="N/A"," ",AN43*$AW43)</f>
        <v> </v>
      </c>
      <c r="CH43" s="309" t="str">
        <f aca="false">IF($A43="N/A"," ",AO43*$AX43)</f>
        <v> </v>
      </c>
      <c r="CI43" s="309" t="str">
        <f aca="false">IF($A43="N/A"," ",AP43*$AY43)</f>
        <v> </v>
      </c>
      <c r="CJ43" s="309" t="str">
        <f aca="false">IF($A43="N/A"," ",AQ43*$AZ43)</f>
        <v> </v>
      </c>
      <c r="CK43" s="310" t="str">
        <f aca="false">IF($A43="N/A"," ",AR43*$BA43)</f>
        <v> </v>
      </c>
      <c r="CL43" s="311" t="str">
        <f aca="false">IF(A43="N/A"," ",(VLOOKUP(A43,PowerVolTable,(IF(VolBMO=2,7,IF(VolBMO=1,6,8))),FALSE())))</f>
        <v> </v>
      </c>
      <c r="CM43" s="312" t="str">
        <f aca="false">IF(A43="N/A"," ",(VLOOKUP(A43,IntraPowerVol,(IF(VolBMO=2,3,IF(VolBMO=1,2,4))),FALSE())*VLOOKUP(MONTH($A43),Volscale,2)))</f>
        <v> </v>
      </c>
      <c r="CN43" s="312" t="str">
        <f aca="false">IF($A43="N/A"," ",IF(VolType=1,CM43,CL43))</f>
        <v> </v>
      </c>
      <c r="CO43" s="312" t="str">
        <f aca="false">IF($A43="N/A"," ",(VLOOKUP($A43,OffPeakVol,(IF(VolBMO=2,7,IF(VolBMO=1,6,8))),FALSE())))</f>
        <v> </v>
      </c>
      <c r="CP43" s="312" t="str">
        <f aca="false">IF($A43="N/A"," ",(VLOOKUP($A43,OffPeakVol,(IF(VolBMO=2,3,IF(VolBMO=1,2,4))),FALSE())*VLOOKUP(MONTH($A43),Volscale,2)))</f>
        <v> </v>
      </c>
      <c r="CQ43" s="312" t="str">
        <f aca="false">IF($A43="N/A"," ",IF(VolType=1,CP43,CO43))</f>
        <v> </v>
      </c>
      <c r="CR43" s="312" t="str">
        <f aca="false">IF($A43="N/A"," ",(VLOOKUP($A43,GasVolTable,(IF(VolBMO=2,6,IF(VolBMO=1,7,5))),FALSE())))</f>
        <v> </v>
      </c>
      <c r="CS43" s="312" t="str">
        <f aca="false">IF($A43="N/A"," ",(VLOOKUP($A43,OmicronVol,(IF(VolBMO=2,3,IF(VolBMO=1,4,2))),FALSE())))</f>
        <v> </v>
      </c>
      <c r="CT43" s="312" t="str">
        <f aca="false">IF($A43="N/A"," ",(IF(DateToday&gt;$A43,$CS43,IF(VolType=1,((($CR43^2)*((($A43-1)-DateToday)/((EOMONTH($A43,0)+1)-DateToday-15)))+((($CS43)^2)*((15)/((EOMONTH($A43,0)+1)-DateToday-15))))^0.5,CR43))))</f>
        <v> </v>
      </c>
      <c r="CU43" s="312" t="str">
        <f aca="false">IF($A43="N/A"," ",IF('Pricing Inputs'!$AR$23=TRUE(),Inputs!$S$22,VLOOKUP($A43,CorrelationTable,2,FALSE())))</f>
        <v> </v>
      </c>
      <c r="CV43" s="313" t="str">
        <f aca="false">IF($A43="N/A"," ",F43+G43+(D43*('Pricing Inputs'!X78)))</f>
        <v> </v>
      </c>
      <c r="CW43" s="314" t="str">
        <f aca="false">IF($A43="N/A"," ",IF(PV=1,0,'Pricing Inputs'!Y78))</f>
        <v> </v>
      </c>
      <c r="CX43" s="315" t="str">
        <f aca="false">IF($A43="N/A"," ",(1+CW43/2)^(-2*((EOMONTH(A43,0)+20)-DateToday)/365.25))</f>
        <v> </v>
      </c>
      <c r="CY43" s="316" t="str">
        <f aca="false">IF($A43="N/A"," ",(IF(MONTH(A43)&gt;=4,IF(MONTH(A43)&lt;=10,Inputs!$S$26,Inputs!$S$27),Inputs!$S$27))*$CX43)</f>
        <v> </v>
      </c>
      <c r="CZ43" s="317" t="str">
        <f aca="false">IF($A43="N/A"," ",BK43+BL43+BN43+BO43+BQ43+BR43)</f>
        <v> </v>
      </c>
      <c r="DA43" s="318" t="str">
        <f aca="false">IF($A43="N/A"," ",BM43+BP43+BS43)</f>
        <v> </v>
      </c>
      <c r="DB43" s="319" t="str">
        <f aca="false">IF($A43="N/A"," ",BT43+BU43+BW43+BX43+BZ43+CA43)</f>
        <v> </v>
      </c>
      <c r="DC43" s="319" t="str">
        <f aca="false">IF($A43="N/A"," ",BV43+BY43+CB43)</f>
        <v> </v>
      </c>
      <c r="DD43" s="320" t="str">
        <f aca="false">IF($A43="N/A"," ",SUM(CC43:CK43))</f>
        <v> </v>
      </c>
      <c r="DE43" s="321" t="str">
        <f aca="false">IF($A43="N/A"," ",VLOOKUP($A43,NumberofDaysTable,2)*Availability)</f>
        <v> </v>
      </c>
      <c r="DF43" s="94" t="str">
        <f aca="false">IF($A43="N/A"," ",VLOOKUP($A43,NumberofDaysTable,3)*Availability)</f>
        <v> </v>
      </c>
      <c r="DG43" s="322" t="str">
        <f aca="false">IF($A43="N/A"," ",VLOOKUP($A43,NumberofDaysTable,4)*Availability)</f>
        <v> </v>
      </c>
      <c r="DH43" s="323" t="str">
        <f aca="false">IF($A43="N/A"," ",IF(Option=1,$D43*Inputs!$S$15*SUM(AS43:BA43),0))</f>
        <v> </v>
      </c>
      <c r="DI43" s="324" t="str">
        <f aca="false">IF($A43="N/A"," ",IF(Option=1,$D43*Inputs!$S$16*SUM(AS43:BA43),0))</f>
        <v> </v>
      </c>
      <c r="DJ43" s="325" t="str">
        <f aca="false">IF($A43="N/A"," ",SUM(AS43:AT43))</f>
        <v> </v>
      </c>
      <c r="DK43" s="325" t="str">
        <f aca="false">IF($A43="N/A"," ",SUM(AU43:BA43))</f>
        <v> </v>
      </c>
      <c r="DL43" s="325" t="str">
        <f aca="false">IF($A43="N/A"," ",SUM(BB43:BC43))</f>
        <v> </v>
      </c>
      <c r="DM43" s="325" t="str">
        <f aca="false">IF($A43="N/A"," ",SUM(BD43:BJ43))</f>
        <v> </v>
      </c>
    </row>
    <row r="44" customFormat="false" ht="12.75" hidden="false" customHeight="false" outlineLevel="0" collapsed="false">
      <c r="A44" s="282" t="str">
        <f aca="false">IF(A43="N/A","N/A",IF(EDATE(A43,1)&gt;Inputs!$S$5,"N/A",EDATE(A43,1)))</f>
        <v>N/A</v>
      </c>
      <c r="B44" s="283" t="str">
        <f aca="false">IF(A44="N/A"," ",YEAR(A44))</f>
        <v> </v>
      </c>
      <c r="C44" s="284" t="str">
        <f aca="false">IF(A44="N/A"," ",VLOOKUP(A44,ScaledPrice,14))</f>
        <v> </v>
      </c>
      <c r="D44" s="285" t="str">
        <f aca="false">IF(A44="N/A"," ",(VLOOKUP(MONTH($A44),Hrtable,2))/1000)</f>
        <v> </v>
      </c>
      <c r="E44" s="286" t="str">
        <f aca="false">IF($A44="N/A"," ",(C44)*D44)</f>
        <v> </v>
      </c>
      <c r="F44" s="287" t="str">
        <f aca="false">IF(A44="N/A"," ",VOM*(1+VOMesc)^(YEAR(A44)-YEAR(Today)))</f>
        <v> </v>
      </c>
      <c r="G44" s="287" t="str">
        <f aca="false">IF(A44="N/A"," ",Perstart/VLOOKUP(Dayrun,'Pricing Inputs'!$AQ$4:$AS$14,3)/(CY44/CX44))</f>
        <v> </v>
      </c>
      <c r="H44" s="288" t="str">
        <f aca="false">IF(A44="N/A"," ",SUM(E44:G44))</f>
        <v> </v>
      </c>
      <c r="I44" s="289" t="str">
        <f aca="false">VLOOKUP($A44,ScaledPrice,6)</f>
        <v> </v>
      </c>
      <c r="J44" s="290" t="str">
        <f aca="false">VLOOKUP($A44,ScaledPrice,10)</f>
        <v> </v>
      </c>
      <c r="K44" s="290" t="str">
        <f aca="false">VLOOKUP($A44,ScaledPrice,13)</f>
        <v> </v>
      </c>
      <c r="L44" s="290" t="str">
        <f aca="false">VLOOKUP($A44,ScaledPrice,7)</f>
        <v> </v>
      </c>
      <c r="M44" s="290" t="str">
        <f aca="false">VLOOKUP($A44,ScaledPrice,11)</f>
        <v> </v>
      </c>
      <c r="N44" s="290" t="str">
        <f aca="false">VLOOKUP($A44,ScaledPrice,13)</f>
        <v> </v>
      </c>
      <c r="O44" s="290" t="str">
        <f aca="false">VLOOKUP($A44,ScaledPrice,8)</f>
        <v> </v>
      </c>
      <c r="P44" s="290" t="str">
        <f aca="false">VLOOKUP($A44,ScaledPrice,12)</f>
        <v> </v>
      </c>
      <c r="Q44" s="291" t="str">
        <f aca="false">VLOOKUP($A44,ScaledPrice,13)</f>
        <v> </v>
      </c>
      <c r="R44" s="292" t="str">
        <f aca="false">IF($A44="N/A"," ",IF(Dayrun&gt;=3,IF(Option=1,MAX($I44-$H44,0),IF(Option=2,MAX($H44-$I44,0),0)),0))</f>
        <v> </v>
      </c>
      <c r="S44" s="286" t="str">
        <f aca="false">IF($A44="N/A"," ",IF(Dayrun&gt;=6,IF(Option=1,MAX($J44-H44,0),IF(Option=2,MAX(H44-$J44,0),0)),0))</f>
        <v> </v>
      </c>
      <c r="T44" s="286" t="str">
        <f aca="false">IF($A44="N/A"," ",IF(OR(Dayrun&lt;=2,Dayrun&gt;=9),IF(Option=1,MAX($K44-$H44,0),IF(Option=2,MAX($H44-$K44,0),0)),0))</f>
        <v> </v>
      </c>
      <c r="U44" s="286" t="str">
        <f aca="false">IF($A44="N/A"," ",IF(OR(Dayrun=1,Dayrun=4,Dayrun=5,Dayrun=7,Dayrun=8,Dayrun=10,Dayrun=11),IF(Option=1,MAX($L44-H44,0),IF(Option=2,MAX(H44-$L44,0),0)),0))</f>
        <v> </v>
      </c>
      <c r="V44" s="286" t="str">
        <f aca="false">IF($A44="N/A"," ",IF(OR(Dayrun=1,Dayrun=7,Dayrun=8,Dayrun=10,Dayrun=11),IF(Option=1,MAX($M44-H44,0),IF(Option=2,MAX(H44-$M44,0),0)),0))</f>
        <v> </v>
      </c>
      <c r="W44" s="286" t="str">
        <f aca="false">IF($A44="N/A"," ",IF(OR(Dayrun&lt;=2,Dayrun&gt;=10),IF(Option=1,MAX($N44-$H44,0),IF(Option=2,MAX($H44-$N44,0),0)),0))</f>
        <v> </v>
      </c>
      <c r="X44" s="286" t="str">
        <f aca="false">IF($A44="N/A"," ",IF(OR(Dayrun=1,Dayrun=5,Dayrun=8,Dayrun=11),IF(Option=1,MAX($O44-H44,0),IF(Option=2,MAX(H44-$O44,0),0)),0))</f>
        <v> </v>
      </c>
      <c r="Y44" s="286" t="str">
        <f aca="false">IF($A44="N/A"," ",IF(OR(Dayrun=1,Dayrun=8,Dayrun=11),IF(Option=1,MAX($P44-H44,0),IF(Option=2,MAX(H44-$P44,0),0)),0))</f>
        <v> </v>
      </c>
      <c r="Z44" s="293" t="str">
        <f aca="false">IF($A44="N/A"," ",IF(OR(Dayrun&lt;=2,Dayrun&gt;=11),IF(Option=1,MAX($Q44-$H44,0),IF(Option=2,MAX($H44-$Q44,0),0)),0))</f>
        <v> </v>
      </c>
      <c r="AA44" s="289" t="str">
        <f aca="false">IF($A44="N/A"," ",IF(Dayrun&gt;=3,(MAX(0,(xSPRDOPT(I44,($E44-'Pricing Inputs'!$X79*$D44),$CV44,0,($CN44+IF(Smile=TRUE(),VLOOKUP(MAX(-5,$H44-I44),Volsmile,2),0)),$CT44,$CU44,($A44-DateToday)+15,ABS(Option-2),0)-R44))),0))</f>
        <v> </v>
      </c>
      <c r="AB44" s="290" t="str">
        <f aca="false">IF($A44="N/A"," ",IF(Dayrun&gt;=6,MAX(0,(xSPRDOPT(J44,($E44-'Pricing Inputs'!$X79*$D44),$CV44,0,($CN44+IF(Smile=TRUE(),VLOOKUP(MAX(-5,$H44-J44),Volsmile,2),0)),$CT44,$CU44,($A44-DateToday)+15,ABS(Option-2),0)-S44)),0))</f>
        <v> </v>
      </c>
      <c r="AC44" s="290" t="str">
        <f aca="false">IF($A44="N/A"," ",IF(OR(Dayrun&lt;=2,Dayrun&gt;=9),IF(OffPeakEx=TRUE(),MAX(0,(xSPRDOPT(K44,($E44-'Pricing Inputs'!$X79*$D44),$CV44,0,($CQ44+IF(Smile=TRUE(),VLOOKUP(MAX(-5,$H44-K44),Volsmile,2),0)),$CT44,$CU44,($A44-DateToday)+15,ABS(Option-2),0)-T44)),0),0))</f>
        <v> </v>
      </c>
      <c r="AD44" s="290" t="str">
        <f aca="false">IF($A44="N/A"," ",IF(OR(Dayrun=1,Dayrun=4,Dayrun=5,Dayrun=7,Dayrun=8,Dayrun=10,Dayrun=11),MAX(0,(xSPRDOPT(L44,($E44-'Pricing Inputs'!$X79*$D44),$CV44,0,($CQ44+IF(Smile=TRUE(),VLOOKUP(MAX(-5,$H44-L44),Volsmile,2),0)),$CT44,$CU44,($A44-DateToday)+15,ABS(Option-2),0)-U44)),0))</f>
        <v> </v>
      </c>
      <c r="AE44" s="290" t="str">
        <f aca="false">IF($A44="N/A"," ",IF(OR(Dayrun=1,Dayrun=7,Dayrun=8,Dayrun=10,Dayrun=11),MAX(0,(xSPRDOPT(M44,($E44-'Pricing Inputs'!$X79*$D44),$CV44,0,($CQ44+IF(Smile=TRUE(),VLOOKUP(MAX(-5,$H44-M44),Volsmile,2),0)),$CT44,$CU44,($A44-DateToday)+15,ABS(Option-2),0)-V44)),0))</f>
        <v> </v>
      </c>
      <c r="AF44" s="290" t="str">
        <f aca="false">IF($A44="N/A"," ",IF(OR(Dayrun&lt;=2,Dayrun&gt;=10),IF(OffPeakEx=TRUE(),MAX(0,(xSPRDOPT(N44,($E44-'Pricing Inputs'!$X79*$D44),$CV44,0,($CQ44+IF(Smile=TRUE(),VLOOKUP(MAX(-5,$H44-N44),Volsmile,2),0)),$CT44,$CU44,($A44-DateToday)+15,ABS(Option-2),0)-W44)),0),0))</f>
        <v> </v>
      </c>
      <c r="AG44" s="290" t="str">
        <f aca="false">IF($A44="N/A"," ",IF(OR(Dayrun=1,Dayrun=5,Dayrun=8,Dayrun=11),MAX(0,(xSPRDOPT(O44,($E44-'Pricing Inputs'!$X79*$D44),$CV44,0,($CQ44+IF(Smile=TRUE(),VLOOKUP(MAX(-5,$H44-O44),Volsmile,2),0)),$CT44,$CU44,($A44-DateToday)+15,ABS(Option-2),0)-X44)),0))</f>
        <v> </v>
      </c>
      <c r="AH44" s="290" t="str">
        <f aca="false">IF($A44="N/A"," ",IF(OR(Dayrun=1,Dayrun=8,Dayrun=11),MAX(0,(xSPRDOPT(P44,($E44-'Pricing Inputs'!$X79*$D44),$CV44,0,($CQ44+IF(Smile=TRUE(),VLOOKUP(MAX(-5,$H44-P44),Volsmile,2),0)),$CT44,$CU44,($A44-DateToday)+15,ABS(Option-2),0)-Y44)),0))</f>
        <v> </v>
      </c>
      <c r="AI44" s="290" t="str">
        <f aca="false">IF($A44="N/A"," ",IF(OR(Dayrun&lt;=2,Dayrun&gt;=11),IF(OffPeakEx=TRUE(),MAX(0,(xSPRDOPT(Q44,($E44-'Pricing Inputs'!$X79*$D44),$CV44,0,($CQ44+IF(Smile=TRUE(),VLOOKUP(MAX(-5,$H44-Q44),Volsmile,2),0)),$CT44,$CU44,($A44-DateToday)+15,ABS(Option-2),0)-Z44)),0),0))</f>
        <v> </v>
      </c>
      <c r="AJ44" s="294" t="str">
        <f aca="false">IF($A44="N/A"," ",IF(Dayrun&gt;=3,IF(Option=1,$I44-$H44,IF(Option=2,$H44-$I44)),0))</f>
        <v> </v>
      </c>
      <c r="AK44" s="295" t="str">
        <f aca="false">IF($A44="N/A"," ",IF(Dayrun&gt;=6,IF(Option=1,$J44-H44,IF(Option=2,H44-$J44)),0))</f>
        <v> </v>
      </c>
      <c r="AL44" s="295" t="str">
        <f aca="false">IF($A44="N/A"," ",IF(OR(Dayrun&lt;=2,Dayrun&gt;=9),IF(Option=1,$K44-$H44,IF(Option=2,$H44-$K44)),0))</f>
        <v> </v>
      </c>
      <c r="AM44" s="295" t="str">
        <f aca="false">IF($A44="N/A"," ",IF(OR(Dayrun=1,Dayrun=4,Dayrun=5,Dayrun=7,Dayrun=8,Dayrun=10,Dayrun=11),IF(Option=1,$L44-H44,IF(Option=2,H44-$L44)),0))</f>
        <v> </v>
      </c>
      <c r="AN44" s="295" t="str">
        <f aca="false">IF($A44="N/A"," ",IF(OR(Dayrun=1,Dayrun=7,Dayrun=8,Dayrun=10,Dayrun=11),IF(Option=1,$M44-H44,IF(Option=2,H44-$M44)),0))</f>
        <v> </v>
      </c>
      <c r="AO44" s="295" t="str">
        <f aca="false">IF($A44="N/A"," ",IF(OR(Dayrun&lt;=2,Dayrun&gt;=9),IF(Option=1,$N44-$H44,IF(Option=2,$H44-$N44)),0))</f>
        <v> </v>
      </c>
      <c r="AP44" s="295" t="str">
        <f aca="false">IF($A44="N/A"," ",IF(OR(Dayrun=1,Dayrun=5,Dayrun=8,Dayrun=11),IF(Option=1,$O44-H44,IF(Option=2,H44-$O44)),0))</f>
        <v> </v>
      </c>
      <c r="AQ44" s="295" t="str">
        <f aca="false">IF($A44="N/A"," ",IF(OR(Dayrun=1,Dayrun=8,Dayrun=11),IF(Option=1,$P44-H44,IF(Option=2,H44-$P44)),0))</f>
        <v> </v>
      </c>
      <c r="AR44" s="296" t="str">
        <f aca="false">IF($A44="N/A"," ",IF(OR(Dayrun&lt;=2,Dayrun&gt;=9),IF(Option=1,$Q44-H44,IF(Option=2,H44-$Q44)),0))</f>
        <v> </v>
      </c>
      <c r="AS44" s="297" t="str">
        <f aca="false">IF($A44="N/A"," ",IF(VLOOKUP(MONTH($A44),ManualTable,2)=1,IF(Dayrun&gt;=3,$DE44*8*$CY44,0),0))</f>
        <v> </v>
      </c>
      <c r="AT44" s="297" t="str">
        <f aca="false">IF($A44="N/A"," ",IF(VLOOKUP(MONTH($A44),ManualTable,3)=1,IF(Dayrun&gt;=6,$DE44*8*$CY44,0),0))</f>
        <v> </v>
      </c>
      <c r="AU44" s="297" t="str">
        <f aca="false">IF($A44="N/A"," ",IF(VLOOKUP(MONTH($A44),ManualTable,4)=1,IF(OR(Dayrun&lt;=2,Dayrun&gt;=9),$DE44*8*$CY44,0),0))</f>
        <v> </v>
      </c>
      <c r="AV44" s="297" t="str">
        <f aca="false">IF($A44="N/A"," ",IF(VLOOKUP(MONTH($A44),ManualTable,5)=1,IF(OR(Dayrun=1,Dayrun=4,Dayrun=5,Dayrun=7,Dayrun=8,Dayrun=10,Dayrun=11),$DF44*8*$CY44,0),0))</f>
        <v> </v>
      </c>
      <c r="AW44" s="297" t="str">
        <f aca="false">IF($A44="N/A"," ",IF(VLOOKUP(MONTH($A44),ManualTable,6)=1,IF(OR(Dayrun=1,Dayrun=7,Dayrun=8,Dayrun=10,Dayrun=11),$DF44*8*$CY44,0),0))</f>
        <v> </v>
      </c>
      <c r="AX44" s="297" t="str">
        <f aca="false">IF($A44="N/A"," ",IF(VLOOKUP(MONTH($A44),ManualTable,7)=1,IF(OR(Dayrun&lt;=2,Dayrun&gt;=9),$DF44*8*$CY44,0),0))</f>
        <v> </v>
      </c>
      <c r="AY44" s="297" t="str">
        <f aca="false">IF($A44="N/A"," ",IF(VLOOKUP(MONTH($A44),ManualTable,8)=1,IF(OR(Dayrun=1,Dayrun=5,Dayrun=8,Dayrun=11),$DG44*8*$CY44,0),0))</f>
        <v> </v>
      </c>
      <c r="AZ44" s="297" t="str">
        <f aca="false">IF($A44="N/A"," ",IF(VLOOKUP(MONTH($A44),ManualTable,9)=1,IF(OR(Dayrun=1,Dayrun=8,Dayrun=11),$DG44*8*$CY44,0),0))</f>
        <v> </v>
      </c>
      <c r="BA44" s="298" t="str">
        <f aca="false">IF($A44="N/A"," ",IF(VLOOKUP(MONTH($A44),ManualTable,10)=1,IF(OR(Dayrun&lt;=2,Dayrun&gt;=9),$DG44*8*$CY44,0),0))</f>
        <v> </v>
      </c>
      <c r="BB44" s="299" t="str">
        <f aca="false">IF($A44="N/A"," ",IF(Dayrun&gt;=3,(MAX(0,(xSPRDOPT(I44,($E44-'Pricing Inputs'!$X79*$D44),$CV44,0,($CN44+IF(Smile=TRUE(),VLOOKUP(MAX(-5,$H44-I44),Volsmile,2),0)),$CT44,$CU44,($A44-DateToday)+15,ABS(Option-2),1)*DE44*8))),0))</f>
        <v> </v>
      </c>
      <c r="BC44" s="300" t="str">
        <f aca="false">IF($A44="N/A"," ",IF(Dayrun&gt;=6,MAX(0,(xSPRDOPT(J44,($E44-'Pricing Inputs'!$X79*$D44),$CV44,0,($CN44+IF(Smile=TRUE(),VLOOKUP(MAX(-5,$H44-J44),Volsmile,2),0)),$CT44,$CU44,($A44-DateToday)+15,ABS(Option-2),1)*DE44*8)),0))</f>
        <v> </v>
      </c>
      <c r="BD44" s="300" t="str">
        <f aca="false">IF($A44="N/A"," ",IF(OR(Dayrun&lt;=2,Dayrun&gt;=9),IF(OffPeakEx=TRUE(),MAX(0,(xSPRDOPT(K44,($E44-'Pricing Inputs'!$X79*$D44),$CV44,0,($CQ44+IF(Smile=TRUE(),VLOOKUP(MAX(-5,$H44-K44),Volsmile,2),0)),$CT44,$CU44,($A44-DateToday)+15,ABS(Option-2),1)*DE44*8)),0),0))</f>
        <v> </v>
      </c>
      <c r="BE44" s="300" t="str">
        <f aca="false">IF($A44="N/A"," ",IF(OR(Dayrun=1,Dayrun=4,Dayrun=5,Dayrun=7,Dayrun=8,Dayrun=10,Dayrun=11),MAX(0,(xSPRDOPT(L44,($E44-'Pricing Inputs'!$X79*$D44),$CV44,0,($CQ44+IF(Smile=TRUE(),VLOOKUP(MAX(-5,$H44-L44),Volsmile,2),0)),$CT44,$CU44,($A44-DateToday)+15,ABS(Option-2),1)*DF44*8)),0))</f>
        <v> </v>
      </c>
      <c r="BF44" s="300" t="str">
        <f aca="false">IF($A44="N/A"," ",IF(OR(Dayrun=1,Dayrun=7,Dayrun=8,Dayrun=10,Dayrun=11),MAX(0,(xSPRDOPT(M44,($E44-'Pricing Inputs'!$X79*$D44),$CV44,0,($CQ44+IF(Smile=TRUE(),VLOOKUP(MAX(-5,$H44-M44),Volsmile,2),0)),$CT44,$CU44,($A44-DateToday)+15,ABS(Option-2),1)*DF44*8)),0))</f>
        <v> </v>
      </c>
      <c r="BG44" s="300" t="str">
        <f aca="false">IF($A44="N/A"," ",IF(OR(Dayrun&lt;=2,Dayrun&gt;=10),IF(OffPeakEx=TRUE(),MAX(0,(xSPRDOPT(N44,($E44-'Pricing Inputs'!$X79*$D44),$CV44,0,($CQ44+IF(Smile=TRUE(),VLOOKUP(MAX(-5,$H44-N44),Volsmile,2),0)),$CT44,$CU44,($A44-DateToday)+15,ABS(Option-2),1)*DF44*8)),0),0))</f>
        <v> </v>
      </c>
      <c r="BH44" s="300" t="str">
        <f aca="false">IF($A44="N/A"," ",IF(OR(Dayrun=1,Dayrun=5,Dayrun=8,Dayrun=11),MAX(0,(xSPRDOPT(O44,($E44-'Pricing Inputs'!$X79*$D44),$CV44,0,($CQ44+IF(Smile=TRUE(),VLOOKUP(MAX(-5,$H44-O44),Volsmile,2),0)),$CT44,$CU44,($A44-DateToday)+15,ABS(Option-2),1)*DG44*8)),0))</f>
        <v> </v>
      </c>
      <c r="BI44" s="300" t="str">
        <f aca="false">IF($A44="N/A"," ",IF(OR(Dayrun=1,Dayrun=8,Dayrun=11),MAX(0,(xSPRDOPT(P44,($E44-'Pricing Inputs'!$X79*$D44),$CV44,0,($CQ44+IF(Smile=TRUE(),VLOOKUP(MAX(-5,$H44-P44),Volsmile,2),0)),$CT44,$CU44,($A44-DateToday)+15,ABS(Option-2),1)*DG44*8)),0))</f>
        <v> </v>
      </c>
      <c r="BJ44" s="301" t="str">
        <f aca="false">IF($A44="N/A"," ",IF(OR(Dayrun&lt;=2,Dayrun&gt;=11),IF(OffPeakEx=TRUE(),MAX(0,(xSPRDOPT(Q44,($E44-'Pricing Inputs'!$X79*$D44),$CV44,0,($CQ44+IF(Smile=TRUE(),VLOOKUP(MAX(-5,$H44-Q44),Volsmile,2),0)),$CT44,$CU44,($A44-DateToday)+15,ABS(Option-2),1)*DG44*8)),0),0))</f>
        <v> </v>
      </c>
      <c r="BK44" s="302" t="str">
        <f aca="false">IF($A44="N/A"," ",R44*$AS44)</f>
        <v> </v>
      </c>
      <c r="BL44" s="303" t="str">
        <f aca="false">IF($A44="N/A"," ",S44*$AT44)</f>
        <v> </v>
      </c>
      <c r="BM44" s="303" t="str">
        <f aca="false">IF($A44="N/A"," ",T44*$AU44)</f>
        <v> </v>
      </c>
      <c r="BN44" s="303" t="str">
        <f aca="false">IF($A44="N/A"," ",U44*$AV44)</f>
        <v> </v>
      </c>
      <c r="BO44" s="303" t="str">
        <f aca="false">IF($A44="N/A"," ",V44*$AW44)</f>
        <v> </v>
      </c>
      <c r="BP44" s="303" t="str">
        <f aca="false">IF($A44="N/A"," ",W44*$AX44)</f>
        <v> </v>
      </c>
      <c r="BQ44" s="303" t="str">
        <f aca="false">IF($A44="N/A"," ",X44*$AY44)</f>
        <v> </v>
      </c>
      <c r="BR44" s="303" t="str">
        <f aca="false">IF($A44="N/A"," ",Y44*$AZ44)</f>
        <v> </v>
      </c>
      <c r="BS44" s="304" t="str">
        <f aca="false">IF($A44="N/A"," ",Z44*$BA44)</f>
        <v> </v>
      </c>
      <c r="BT44" s="305" t="str">
        <f aca="false">IF($A44="N/A"," ",AA44*$AS44)</f>
        <v> </v>
      </c>
      <c r="BU44" s="306" t="str">
        <f aca="false">IF($A44="N/A"," ",AB44*$AT44)</f>
        <v> </v>
      </c>
      <c r="BV44" s="306" t="str">
        <f aca="false">IF($A44="N/A"," ",AC44*$AU44)</f>
        <v> </v>
      </c>
      <c r="BW44" s="306" t="str">
        <f aca="false">IF($A44="N/A"," ",AD44*$AV44)</f>
        <v> </v>
      </c>
      <c r="BX44" s="306" t="str">
        <f aca="false">IF($A44="N/A"," ",AE44*$AW44)</f>
        <v> </v>
      </c>
      <c r="BY44" s="306" t="str">
        <f aca="false">IF($A44="N/A"," ",AF44*$AX44)</f>
        <v> </v>
      </c>
      <c r="BZ44" s="306" t="str">
        <f aca="false">IF($A44="N/A"," ",AG44*$AY44)</f>
        <v> </v>
      </c>
      <c r="CA44" s="306" t="str">
        <f aca="false">IF($A44="N/A"," ",AH44*$AZ44)</f>
        <v> </v>
      </c>
      <c r="CB44" s="307" t="str">
        <f aca="false">IF($A44="N/A"," ",AI44*$BA44)</f>
        <v> </v>
      </c>
      <c r="CC44" s="308" t="str">
        <f aca="false">IF($A44="N/A"," ",AJ44*$AS44)</f>
        <v> </v>
      </c>
      <c r="CD44" s="309" t="str">
        <f aca="false">IF($A44="N/A"," ",AK44*$AT44)</f>
        <v> </v>
      </c>
      <c r="CE44" s="309" t="str">
        <f aca="false">IF($A44="N/A"," ",AL44*$AU44)</f>
        <v> </v>
      </c>
      <c r="CF44" s="309" t="str">
        <f aca="false">IF($A44="N/A"," ",AM44*$AV44)</f>
        <v> </v>
      </c>
      <c r="CG44" s="309" t="str">
        <f aca="false">IF($A44="N/A"," ",AN44*$AW44)</f>
        <v> </v>
      </c>
      <c r="CH44" s="309" t="str">
        <f aca="false">IF($A44="N/A"," ",AO44*$AX44)</f>
        <v> </v>
      </c>
      <c r="CI44" s="309" t="str">
        <f aca="false">IF($A44="N/A"," ",AP44*$AY44)</f>
        <v> </v>
      </c>
      <c r="CJ44" s="309" t="str">
        <f aca="false">IF($A44="N/A"," ",AQ44*$AZ44)</f>
        <v> </v>
      </c>
      <c r="CK44" s="310" t="str">
        <f aca="false">IF($A44="N/A"," ",AR44*$BA44)</f>
        <v> </v>
      </c>
      <c r="CL44" s="311" t="str">
        <f aca="false">IF(A44="N/A"," ",(VLOOKUP(A44,PowerVolTable,(IF(VolBMO=2,7,IF(VolBMO=1,6,8))),FALSE())))</f>
        <v> </v>
      </c>
      <c r="CM44" s="312" t="str">
        <f aca="false">IF(A44="N/A"," ",(VLOOKUP(A44,IntraPowerVol,(IF(VolBMO=2,3,IF(VolBMO=1,2,4))),FALSE())*VLOOKUP(MONTH($A44),Volscale,2)))</f>
        <v> </v>
      </c>
      <c r="CN44" s="312" t="str">
        <f aca="false">IF($A44="N/A"," ",IF(VolType=1,CM44,CL44))</f>
        <v> </v>
      </c>
      <c r="CO44" s="312" t="str">
        <f aca="false">IF($A44="N/A"," ",(VLOOKUP($A44,OffPeakVol,(IF(VolBMO=2,7,IF(VolBMO=1,6,8))),FALSE())))</f>
        <v> </v>
      </c>
      <c r="CP44" s="312" t="str">
        <f aca="false">IF($A44="N/A"," ",(VLOOKUP($A44,OffPeakVol,(IF(VolBMO=2,3,IF(VolBMO=1,2,4))),FALSE())*VLOOKUP(MONTH($A44),Volscale,2)))</f>
        <v> </v>
      </c>
      <c r="CQ44" s="312" t="str">
        <f aca="false">IF($A44="N/A"," ",IF(VolType=1,CP44,CO44))</f>
        <v> </v>
      </c>
      <c r="CR44" s="312" t="str">
        <f aca="false">IF($A44="N/A"," ",(VLOOKUP($A44,GasVolTable,(IF(VolBMO=2,6,IF(VolBMO=1,7,5))),FALSE())))</f>
        <v> </v>
      </c>
      <c r="CS44" s="312" t="str">
        <f aca="false">IF($A44="N/A"," ",(VLOOKUP($A44,OmicronVol,(IF(VolBMO=2,3,IF(VolBMO=1,4,2))),FALSE())))</f>
        <v> </v>
      </c>
      <c r="CT44" s="312" t="str">
        <f aca="false">IF($A44="N/A"," ",(IF(DateToday&gt;$A44,$CS44,IF(VolType=1,((($CR44^2)*((($A44-1)-DateToday)/((EOMONTH($A44,0)+1)-DateToday-15)))+((($CS44)^2)*((15)/((EOMONTH($A44,0)+1)-DateToday-15))))^0.5,CR44))))</f>
        <v> </v>
      </c>
      <c r="CU44" s="312" t="str">
        <f aca="false">IF($A44="N/A"," ",IF('Pricing Inputs'!$AR$23=TRUE(),Inputs!$S$22,VLOOKUP($A44,CorrelationTable,2,FALSE())))</f>
        <v> </v>
      </c>
      <c r="CV44" s="313" t="str">
        <f aca="false">IF($A44="N/A"," ",F44+G44+(D44*('Pricing Inputs'!X79)))</f>
        <v> </v>
      </c>
      <c r="CW44" s="314" t="str">
        <f aca="false">IF($A44="N/A"," ",IF(PV=1,0,'Pricing Inputs'!Y79))</f>
        <v> </v>
      </c>
      <c r="CX44" s="315" t="str">
        <f aca="false">IF($A44="N/A"," ",(1+CW44/2)^(-2*((EOMONTH(A44,0)+20)-DateToday)/365.25))</f>
        <v> </v>
      </c>
      <c r="CY44" s="316" t="str">
        <f aca="false">IF($A44="N/A"," ",(IF(MONTH(A44)&gt;=4,IF(MONTH(A44)&lt;=10,Inputs!$S$26,Inputs!$S$27),Inputs!$S$27))*$CX44)</f>
        <v> </v>
      </c>
      <c r="CZ44" s="317" t="str">
        <f aca="false">IF($A44="N/A"," ",BK44+BL44+BN44+BO44+BQ44+BR44)</f>
        <v> </v>
      </c>
      <c r="DA44" s="318" t="str">
        <f aca="false">IF($A44="N/A"," ",BM44+BP44+BS44)</f>
        <v> </v>
      </c>
      <c r="DB44" s="319" t="str">
        <f aca="false">IF($A44="N/A"," ",BT44+BU44+BW44+BX44+BZ44+CA44)</f>
        <v> </v>
      </c>
      <c r="DC44" s="319" t="str">
        <f aca="false">IF($A44="N/A"," ",BV44+BY44+CB44)</f>
        <v> </v>
      </c>
      <c r="DD44" s="320" t="str">
        <f aca="false">IF($A44="N/A"," ",SUM(CC44:CK44))</f>
        <v> </v>
      </c>
      <c r="DE44" s="321" t="str">
        <f aca="false">IF($A44="N/A"," ",VLOOKUP($A44,NumberofDaysTable,2)*Availability)</f>
        <v> </v>
      </c>
      <c r="DF44" s="94" t="str">
        <f aca="false">IF($A44="N/A"," ",VLOOKUP($A44,NumberofDaysTable,3)*Availability)</f>
        <v> </v>
      </c>
      <c r="DG44" s="322" t="str">
        <f aca="false">IF($A44="N/A"," ",VLOOKUP($A44,NumberofDaysTable,4)*Availability)</f>
        <v> </v>
      </c>
      <c r="DH44" s="323" t="str">
        <f aca="false">IF($A44="N/A"," ",IF(Option=1,$D44*Inputs!$S$15*SUM(AS44:BA44),0))</f>
        <v> </v>
      </c>
      <c r="DI44" s="324" t="str">
        <f aca="false">IF($A44="N/A"," ",IF(Option=1,$D44*Inputs!$S$16*SUM(AS44:BA44),0))</f>
        <v> </v>
      </c>
      <c r="DJ44" s="325" t="str">
        <f aca="false">IF($A44="N/A"," ",SUM(AS44:AT44))</f>
        <v> </v>
      </c>
      <c r="DK44" s="325" t="str">
        <f aca="false">IF($A44="N/A"," ",SUM(AU44:BA44))</f>
        <v> </v>
      </c>
      <c r="DL44" s="325" t="str">
        <f aca="false">IF($A44="N/A"," ",SUM(BB44:BC44))</f>
        <v> </v>
      </c>
      <c r="DM44" s="325" t="str">
        <f aca="false">IF($A44="N/A"," ",SUM(BD44:BJ44))</f>
        <v> </v>
      </c>
    </row>
    <row r="45" customFormat="false" ht="12.75" hidden="false" customHeight="false" outlineLevel="0" collapsed="false">
      <c r="A45" s="282" t="str">
        <f aca="false">IF(A44="N/A","N/A",IF(EDATE(A44,1)&gt;Inputs!$S$5,"N/A",EDATE(A44,1)))</f>
        <v>N/A</v>
      </c>
      <c r="B45" s="283" t="str">
        <f aca="false">IF(A45="N/A"," ",YEAR(A45))</f>
        <v> </v>
      </c>
      <c r="C45" s="284" t="str">
        <f aca="false">IF(A45="N/A"," ",VLOOKUP(A45,ScaledPrice,14))</f>
        <v> </v>
      </c>
      <c r="D45" s="285" t="str">
        <f aca="false">IF(A45="N/A"," ",(VLOOKUP(MONTH($A45),Hrtable,2))/1000)</f>
        <v> </v>
      </c>
      <c r="E45" s="286" t="str">
        <f aca="false">IF($A45="N/A"," ",(C45)*D45)</f>
        <v> </v>
      </c>
      <c r="F45" s="287" t="str">
        <f aca="false">IF(A45="N/A"," ",VOM*(1+VOMesc)^(YEAR(A45)-YEAR(Today)))</f>
        <v> </v>
      </c>
      <c r="G45" s="287" t="str">
        <f aca="false">IF(A45="N/A"," ",Perstart/VLOOKUP(Dayrun,'Pricing Inputs'!$AQ$4:$AS$14,3)/(CY45/CX45))</f>
        <v> </v>
      </c>
      <c r="H45" s="288" t="str">
        <f aca="false">IF(A45="N/A"," ",SUM(E45:G45))</f>
        <v> </v>
      </c>
      <c r="I45" s="289" t="str">
        <f aca="false">VLOOKUP($A45,ScaledPrice,6)</f>
        <v> </v>
      </c>
      <c r="J45" s="290" t="str">
        <f aca="false">VLOOKUP($A45,ScaledPrice,10)</f>
        <v> </v>
      </c>
      <c r="K45" s="290" t="str">
        <f aca="false">VLOOKUP($A45,ScaledPrice,13)</f>
        <v> </v>
      </c>
      <c r="L45" s="290" t="str">
        <f aca="false">VLOOKUP($A45,ScaledPrice,7)</f>
        <v> </v>
      </c>
      <c r="M45" s="290" t="str">
        <f aca="false">VLOOKUP($A45,ScaledPrice,11)</f>
        <v> </v>
      </c>
      <c r="N45" s="290" t="str">
        <f aca="false">VLOOKUP($A45,ScaledPrice,13)</f>
        <v> </v>
      </c>
      <c r="O45" s="290" t="str">
        <f aca="false">VLOOKUP($A45,ScaledPrice,8)</f>
        <v> </v>
      </c>
      <c r="P45" s="290" t="str">
        <f aca="false">VLOOKUP($A45,ScaledPrice,12)</f>
        <v> </v>
      </c>
      <c r="Q45" s="291" t="str">
        <f aca="false">VLOOKUP($A45,ScaledPrice,13)</f>
        <v> </v>
      </c>
      <c r="R45" s="292" t="str">
        <f aca="false">IF($A45="N/A"," ",IF(Dayrun&gt;=3,IF(Option=1,MAX($I45-$H45,0),IF(Option=2,MAX($H45-$I45,0),0)),0))</f>
        <v> </v>
      </c>
      <c r="S45" s="286" t="str">
        <f aca="false">IF($A45="N/A"," ",IF(Dayrun&gt;=6,IF(Option=1,MAX($J45-H45,0),IF(Option=2,MAX(H45-$J45,0),0)),0))</f>
        <v> </v>
      </c>
      <c r="T45" s="286" t="str">
        <f aca="false">IF($A45="N/A"," ",IF(OR(Dayrun&lt;=2,Dayrun&gt;=9),IF(Option=1,MAX($K45-$H45,0),IF(Option=2,MAX($H45-$K45,0),0)),0))</f>
        <v> </v>
      </c>
      <c r="U45" s="286" t="str">
        <f aca="false">IF($A45="N/A"," ",IF(OR(Dayrun=1,Dayrun=4,Dayrun=5,Dayrun=7,Dayrun=8,Dayrun=10,Dayrun=11),IF(Option=1,MAX($L45-H45,0),IF(Option=2,MAX(H45-$L45,0),0)),0))</f>
        <v> </v>
      </c>
      <c r="V45" s="286" t="str">
        <f aca="false">IF($A45="N/A"," ",IF(OR(Dayrun=1,Dayrun=7,Dayrun=8,Dayrun=10,Dayrun=11),IF(Option=1,MAX($M45-H45,0),IF(Option=2,MAX(H45-$M45,0),0)),0))</f>
        <v> </v>
      </c>
      <c r="W45" s="286" t="str">
        <f aca="false">IF($A45="N/A"," ",IF(OR(Dayrun&lt;=2,Dayrun&gt;=10),IF(Option=1,MAX($N45-$H45,0),IF(Option=2,MAX($H45-$N45,0),0)),0))</f>
        <v> </v>
      </c>
      <c r="X45" s="286" t="str">
        <f aca="false">IF($A45="N/A"," ",IF(OR(Dayrun=1,Dayrun=5,Dayrun=8,Dayrun=11),IF(Option=1,MAX($O45-H45,0),IF(Option=2,MAX(H45-$O45,0),0)),0))</f>
        <v> </v>
      </c>
      <c r="Y45" s="286" t="str">
        <f aca="false">IF($A45="N/A"," ",IF(OR(Dayrun=1,Dayrun=8,Dayrun=11),IF(Option=1,MAX($P45-H45,0),IF(Option=2,MAX(H45-$P45,0),0)),0))</f>
        <v> </v>
      </c>
      <c r="Z45" s="293" t="str">
        <f aca="false">IF($A45="N/A"," ",IF(OR(Dayrun&lt;=2,Dayrun&gt;=11),IF(Option=1,MAX($Q45-$H45,0),IF(Option=2,MAX($H45-$Q45,0),0)),0))</f>
        <v> </v>
      </c>
      <c r="AA45" s="289" t="str">
        <f aca="false">IF($A45="N/A"," ",IF(Dayrun&gt;=3,(MAX(0,(xSPRDOPT(I45,($E45-'Pricing Inputs'!$X80*$D45),$CV45,0,($CN45+IF(Smile=TRUE(),VLOOKUP(MAX(-5,$H45-I45),Volsmile,2),0)),$CT45,$CU45,($A45-DateToday)+15,ABS(Option-2),0)-R45))),0))</f>
        <v> </v>
      </c>
      <c r="AB45" s="290" t="str">
        <f aca="false">IF($A45="N/A"," ",IF(Dayrun&gt;=6,MAX(0,(xSPRDOPT(J45,($E45-'Pricing Inputs'!$X80*$D45),$CV45,0,($CN45+IF(Smile=TRUE(),VLOOKUP(MAX(-5,$H45-J45),Volsmile,2),0)),$CT45,$CU45,($A45-DateToday)+15,ABS(Option-2),0)-S45)),0))</f>
        <v> </v>
      </c>
      <c r="AC45" s="290" t="str">
        <f aca="false">IF($A45="N/A"," ",IF(OR(Dayrun&lt;=2,Dayrun&gt;=9),IF(OffPeakEx=TRUE(),MAX(0,(xSPRDOPT(K45,($E45-'Pricing Inputs'!$X80*$D45),$CV45,0,($CQ45+IF(Smile=TRUE(),VLOOKUP(MAX(-5,$H45-K45),Volsmile,2),0)),$CT45,$CU45,($A45-DateToday)+15,ABS(Option-2),0)-T45)),0),0))</f>
        <v> </v>
      </c>
      <c r="AD45" s="290" t="str">
        <f aca="false">IF($A45="N/A"," ",IF(OR(Dayrun=1,Dayrun=4,Dayrun=5,Dayrun=7,Dayrun=8,Dayrun=10,Dayrun=11),MAX(0,(xSPRDOPT(L45,($E45-'Pricing Inputs'!$X80*$D45),$CV45,0,($CQ45+IF(Smile=TRUE(),VLOOKUP(MAX(-5,$H45-L45),Volsmile,2),0)),$CT45,$CU45,($A45-DateToday)+15,ABS(Option-2),0)-U45)),0))</f>
        <v> </v>
      </c>
      <c r="AE45" s="290" t="str">
        <f aca="false">IF($A45="N/A"," ",IF(OR(Dayrun=1,Dayrun=7,Dayrun=8,Dayrun=10,Dayrun=11),MAX(0,(xSPRDOPT(M45,($E45-'Pricing Inputs'!$X80*$D45),$CV45,0,($CQ45+IF(Smile=TRUE(),VLOOKUP(MAX(-5,$H45-M45),Volsmile,2),0)),$CT45,$CU45,($A45-DateToday)+15,ABS(Option-2),0)-V45)),0))</f>
        <v> </v>
      </c>
      <c r="AF45" s="290" t="str">
        <f aca="false">IF($A45="N/A"," ",IF(OR(Dayrun&lt;=2,Dayrun&gt;=10),IF(OffPeakEx=TRUE(),MAX(0,(xSPRDOPT(N45,($E45-'Pricing Inputs'!$X80*$D45),$CV45,0,($CQ45+IF(Smile=TRUE(),VLOOKUP(MAX(-5,$H45-N45),Volsmile,2),0)),$CT45,$CU45,($A45-DateToday)+15,ABS(Option-2),0)-W45)),0),0))</f>
        <v> </v>
      </c>
      <c r="AG45" s="290" t="str">
        <f aca="false">IF($A45="N/A"," ",IF(OR(Dayrun=1,Dayrun=5,Dayrun=8,Dayrun=11),MAX(0,(xSPRDOPT(O45,($E45-'Pricing Inputs'!$X80*$D45),$CV45,0,($CQ45+IF(Smile=TRUE(),VLOOKUP(MAX(-5,$H45-O45),Volsmile,2),0)),$CT45,$CU45,($A45-DateToday)+15,ABS(Option-2),0)-X45)),0))</f>
        <v> </v>
      </c>
      <c r="AH45" s="290" t="str">
        <f aca="false">IF($A45="N/A"," ",IF(OR(Dayrun=1,Dayrun=8,Dayrun=11),MAX(0,(xSPRDOPT(P45,($E45-'Pricing Inputs'!$X80*$D45),$CV45,0,($CQ45+IF(Smile=TRUE(),VLOOKUP(MAX(-5,$H45-P45),Volsmile,2),0)),$CT45,$CU45,($A45-DateToday)+15,ABS(Option-2),0)-Y45)),0))</f>
        <v> </v>
      </c>
      <c r="AI45" s="290" t="str">
        <f aca="false">IF($A45="N/A"," ",IF(OR(Dayrun&lt;=2,Dayrun&gt;=11),IF(OffPeakEx=TRUE(),MAX(0,(xSPRDOPT(Q45,($E45-'Pricing Inputs'!$X80*$D45),$CV45,0,($CQ45+IF(Smile=TRUE(),VLOOKUP(MAX(-5,$H45-Q45),Volsmile,2),0)),$CT45,$CU45,($A45-DateToday)+15,ABS(Option-2),0)-Z45)),0),0))</f>
        <v> </v>
      </c>
      <c r="AJ45" s="294" t="str">
        <f aca="false">IF($A45="N/A"," ",IF(Dayrun&gt;=3,IF(Option=1,$I45-$H45,IF(Option=2,$H45-$I45)),0))</f>
        <v> </v>
      </c>
      <c r="AK45" s="295" t="str">
        <f aca="false">IF($A45="N/A"," ",IF(Dayrun&gt;=6,IF(Option=1,$J45-H45,IF(Option=2,H45-$J45)),0))</f>
        <v> </v>
      </c>
      <c r="AL45" s="295" t="str">
        <f aca="false">IF($A45="N/A"," ",IF(OR(Dayrun&lt;=2,Dayrun&gt;=9),IF(Option=1,$K45-$H45,IF(Option=2,$H45-$K45)),0))</f>
        <v> </v>
      </c>
      <c r="AM45" s="295" t="str">
        <f aca="false">IF($A45="N/A"," ",IF(OR(Dayrun=1,Dayrun=4,Dayrun=5,Dayrun=7,Dayrun=8,Dayrun=10,Dayrun=11),IF(Option=1,$L45-H45,IF(Option=2,H45-$L45)),0))</f>
        <v> </v>
      </c>
      <c r="AN45" s="295" t="str">
        <f aca="false">IF($A45="N/A"," ",IF(OR(Dayrun=1,Dayrun=7,Dayrun=8,Dayrun=10,Dayrun=11),IF(Option=1,$M45-H45,IF(Option=2,H45-$M45)),0))</f>
        <v> </v>
      </c>
      <c r="AO45" s="295" t="str">
        <f aca="false">IF($A45="N/A"," ",IF(OR(Dayrun&lt;=2,Dayrun&gt;=9),IF(Option=1,$N45-$H45,IF(Option=2,$H45-$N45)),0))</f>
        <v> </v>
      </c>
      <c r="AP45" s="295" t="str">
        <f aca="false">IF($A45="N/A"," ",IF(OR(Dayrun=1,Dayrun=5,Dayrun=8,Dayrun=11),IF(Option=1,$O45-H45,IF(Option=2,H45-$O45)),0))</f>
        <v> </v>
      </c>
      <c r="AQ45" s="295" t="str">
        <f aca="false">IF($A45="N/A"," ",IF(OR(Dayrun=1,Dayrun=8,Dayrun=11),IF(Option=1,$P45-H45,IF(Option=2,H45-$P45)),0))</f>
        <v> </v>
      </c>
      <c r="AR45" s="296" t="str">
        <f aca="false">IF($A45="N/A"," ",IF(OR(Dayrun&lt;=2,Dayrun&gt;=9),IF(Option=1,$Q45-H45,IF(Option=2,H45-$Q45)),0))</f>
        <v> </v>
      </c>
      <c r="AS45" s="297" t="str">
        <f aca="false">IF($A45="N/A"," ",IF(VLOOKUP(MONTH($A45),ManualTable,2)=1,IF(Dayrun&gt;=3,$DE45*8*$CY45,0),0))</f>
        <v> </v>
      </c>
      <c r="AT45" s="297" t="str">
        <f aca="false">IF($A45="N/A"," ",IF(VLOOKUP(MONTH($A45),ManualTable,3)=1,IF(Dayrun&gt;=6,$DE45*8*$CY45,0),0))</f>
        <v> </v>
      </c>
      <c r="AU45" s="297" t="str">
        <f aca="false">IF($A45="N/A"," ",IF(VLOOKUP(MONTH($A45),ManualTable,4)=1,IF(OR(Dayrun&lt;=2,Dayrun&gt;=9),$DE45*8*$CY45,0),0))</f>
        <v> </v>
      </c>
      <c r="AV45" s="297" t="str">
        <f aca="false">IF($A45="N/A"," ",IF(VLOOKUP(MONTH($A45),ManualTable,5)=1,IF(OR(Dayrun=1,Dayrun=4,Dayrun=5,Dayrun=7,Dayrun=8,Dayrun=10,Dayrun=11),$DF45*8*$CY45,0),0))</f>
        <v> </v>
      </c>
      <c r="AW45" s="297" t="str">
        <f aca="false">IF($A45="N/A"," ",IF(VLOOKUP(MONTH($A45),ManualTable,6)=1,IF(OR(Dayrun=1,Dayrun=7,Dayrun=8,Dayrun=10,Dayrun=11),$DF45*8*$CY45,0),0))</f>
        <v> </v>
      </c>
      <c r="AX45" s="297" t="str">
        <f aca="false">IF($A45="N/A"," ",IF(VLOOKUP(MONTH($A45),ManualTable,7)=1,IF(OR(Dayrun&lt;=2,Dayrun&gt;=9),$DF45*8*$CY45,0),0))</f>
        <v> </v>
      </c>
      <c r="AY45" s="297" t="str">
        <f aca="false">IF($A45="N/A"," ",IF(VLOOKUP(MONTH($A45),ManualTable,8)=1,IF(OR(Dayrun=1,Dayrun=5,Dayrun=8,Dayrun=11),$DG45*8*$CY45,0),0))</f>
        <v> </v>
      </c>
      <c r="AZ45" s="297" t="str">
        <f aca="false">IF($A45="N/A"," ",IF(VLOOKUP(MONTH($A45),ManualTable,9)=1,IF(OR(Dayrun=1,Dayrun=8,Dayrun=11),$DG45*8*$CY45,0),0))</f>
        <v> </v>
      </c>
      <c r="BA45" s="298" t="str">
        <f aca="false">IF($A45="N/A"," ",IF(VLOOKUP(MONTH($A45),ManualTable,10)=1,IF(OR(Dayrun&lt;=2,Dayrun&gt;=9),$DG45*8*$CY45,0),0))</f>
        <v> </v>
      </c>
      <c r="BB45" s="299" t="str">
        <f aca="false">IF($A45="N/A"," ",IF(Dayrun&gt;=3,(MAX(0,(xSPRDOPT(I45,($E45-'Pricing Inputs'!$X80*$D45),$CV45,0,($CN45+IF(Smile=TRUE(),VLOOKUP(MAX(-5,$H45-I45),Volsmile,2),0)),$CT45,$CU45,($A45-DateToday)+15,ABS(Option-2),1)*DE45*8))),0))</f>
        <v> </v>
      </c>
      <c r="BC45" s="300" t="str">
        <f aca="false">IF($A45="N/A"," ",IF(Dayrun&gt;=6,MAX(0,(xSPRDOPT(J45,($E45-'Pricing Inputs'!$X80*$D45),$CV45,0,($CN45+IF(Smile=TRUE(),VLOOKUP(MAX(-5,$H45-J45),Volsmile,2),0)),$CT45,$CU45,($A45-DateToday)+15,ABS(Option-2),1)*DE45*8)),0))</f>
        <v> </v>
      </c>
      <c r="BD45" s="300" t="str">
        <f aca="false">IF($A45="N/A"," ",IF(OR(Dayrun&lt;=2,Dayrun&gt;=9),IF(OffPeakEx=TRUE(),MAX(0,(xSPRDOPT(K45,($E45-'Pricing Inputs'!$X80*$D45),$CV45,0,($CQ45+IF(Smile=TRUE(),VLOOKUP(MAX(-5,$H45-K45),Volsmile,2),0)),$CT45,$CU45,($A45-DateToday)+15,ABS(Option-2),1)*DE45*8)),0),0))</f>
        <v> </v>
      </c>
      <c r="BE45" s="300" t="str">
        <f aca="false">IF($A45="N/A"," ",IF(OR(Dayrun=1,Dayrun=4,Dayrun=5,Dayrun=7,Dayrun=8,Dayrun=10,Dayrun=11),MAX(0,(xSPRDOPT(L45,($E45-'Pricing Inputs'!$X80*$D45),$CV45,0,($CQ45+IF(Smile=TRUE(),VLOOKUP(MAX(-5,$H45-L45),Volsmile,2),0)),$CT45,$CU45,($A45-DateToday)+15,ABS(Option-2),1)*DF45*8)),0))</f>
        <v> </v>
      </c>
      <c r="BF45" s="300" t="str">
        <f aca="false">IF($A45="N/A"," ",IF(OR(Dayrun=1,Dayrun=7,Dayrun=8,Dayrun=10,Dayrun=11),MAX(0,(xSPRDOPT(M45,($E45-'Pricing Inputs'!$X80*$D45),$CV45,0,($CQ45+IF(Smile=TRUE(),VLOOKUP(MAX(-5,$H45-M45),Volsmile,2),0)),$CT45,$CU45,($A45-DateToday)+15,ABS(Option-2),1)*DF45*8)),0))</f>
        <v> </v>
      </c>
      <c r="BG45" s="300" t="str">
        <f aca="false">IF($A45="N/A"," ",IF(OR(Dayrun&lt;=2,Dayrun&gt;=10),IF(OffPeakEx=TRUE(),MAX(0,(xSPRDOPT(N45,($E45-'Pricing Inputs'!$X80*$D45),$CV45,0,($CQ45+IF(Smile=TRUE(),VLOOKUP(MAX(-5,$H45-N45),Volsmile,2),0)),$CT45,$CU45,($A45-DateToday)+15,ABS(Option-2),1)*DF45*8)),0),0))</f>
        <v> </v>
      </c>
      <c r="BH45" s="300" t="str">
        <f aca="false">IF($A45="N/A"," ",IF(OR(Dayrun=1,Dayrun=5,Dayrun=8,Dayrun=11),MAX(0,(xSPRDOPT(O45,($E45-'Pricing Inputs'!$X80*$D45),$CV45,0,($CQ45+IF(Smile=TRUE(),VLOOKUP(MAX(-5,$H45-O45),Volsmile,2),0)),$CT45,$CU45,($A45-DateToday)+15,ABS(Option-2),1)*DG45*8)),0))</f>
        <v> </v>
      </c>
      <c r="BI45" s="300" t="str">
        <f aca="false">IF($A45="N/A"," ",IF(OR(Dayrun=1,Dayrun=8,Dayrun=11),MAX(0,(xSPRDOPT(P45,($E45-'Pricing Inputs'!$X80*$D45),$CV45,0,($CQ45+IF(Smile=TRUE(),VLOOKUP(MAX(-5,$H45-P45),Volsmile,2),0)),$CT45,$CU45,($A45-DateToday)+15,ABS(Option-2),1)*DG45*8)),0))</f>
        <v> </v>
      </c>
      <c r="BJ45" s="301" t="str">
        <f aca="false">IF($A45="N/A"," ",IF(OR(Dayrun&lt;=2,Dayrun&gt;=11),IF(OffPeakEx=TRUE(),MAX(0,(xSPRDOPT(Q45,($E45-'Pricing Inputs'!$X80*$D45),$CV45,0,($CQ45+IF(Smile=TRUE(),VLOOKUP(MAX(-5,$H45-Q45),Volsmile,2),0)),$CT45,$CU45,($A45-DateToday)+15,ABS(Option-2),1)*DG45*8)),0),0))</f>
        <v> </v>
      </c>
      <c r="BK45" s="302" t="str">
        <f aca="false">IF($A45="N/A"," ",R45*$AS45)</f>
        <v> </v>
      </c>
      <c r="BL45" s="303" t="str">
        <f aca="false">IF($A45="N/A"," ",S45*$AT45)</f>
        <v> </v>
      </c>
      <c r="BM45" s="303" t="str">
        <f aca="false">IF($A45="N/A"," ",T45*$AU45)</f>
        <v> </v>
      </c>
      <c r="BN45" s="303" t="str">
        <f aca="false">IF($A45="N/A"," ",U45*$AV45)</f>
        <v> </v>
      </c>
      <c r="BO45" s="303" t="str">
        <f aca="false">IF($A45="N/A"," ",V45*$AW45)</f>
        <v> </v>
      </c>
      <c r="BP45" s="303" t="str">
        <f aca="false">IF($A45="N/A"," ",W45*$AX45)</f>
        <v> </v>
      </c>
      <c r="BQ45" s="303" t="str">
        <f aca="false">IF($A45="N/A"," ",X45*$AY45)</f>
        <v> </v>
      </c>
      <c r="BR45" s="303" t="str">
        <f aca="false">IF($A45="N/A"," ",Y45*$AZ45)</f>
        <v> </v>
      </c>
      <c r="BS45" s="304" t="str">
        <f aca="false">IF($A45="N/A"," ",Z45*$BA45)</f>
        <v> </v>
      </c>
      <c r="BT45" s="305" t="str">
        <f aca="false">IF($A45="N/A"," ",AA45*$AS45)</f>
        <v> </v>
      </c>
      <c r="BU45" s="306" t="str">
        <f aca="false">IF($A45="N/A"," ",AB45*$AT45)</f>
        <v> </v>
      </c>
      <c r="BV45" s="306" t="str">
        <f aca="false">IF($A45="N/A"," ",AC45*$AU45)</f>
        <v> </v>
      </c>
      <c r="BW45" s="306" t="str">
        <f aca="false">IF($A45="N/A"," ",AD45*$AV45)</f>
        <v> </v>
      </c>
      <c r="BX45" s="306" t="str">
        <f aca="false">IF($A45="N/A"," ",AE45*$AW45)</f>
        <v> </v>
      </c>
      <c r="BY45" s="306" t="str">
        <f aca="false">IF($A45="N/A"," ",AF45*$AX45)</f>
        <v> </v>
      </c>
      <c r="BZ45" s="306" t="str">
        <f aca="false">IF($A45="N/A"," ",AG45*$AY45)</f>
        <v> </v>
      </c>
      <c r="CA45" s="306" t="str">
        <f aca="false">IF($A45="N/A"," ",AH45*$AZ45)</f>
        <v> </v>
      </c>
      <c r="CB45" s="307" t="str">
        <f aca="false">IF($A45="N/A"," ",AI45*$BA45)</f>
        <v> </v>
      </c>
      <c r="CC45" s="308" t="str">
        <f aca="false">IF($A45="N/A"," ",AJ45*$AS45)</f>
        <v> </v>
      </c>
      <c r="CD45" s="309" t="str">
        <f aca="false">IF($A45="N/A"," ",AK45*$AT45)</f>
        <v> </v>
      </c>
      <c r="CE45" s="309" t="str">
        <f aca="false">IF($A45="N/A"," ",AL45*$AU45)</f>
        <v> </v>
      </c>
      <c r="CF45" s="309" t="str">
        <f aca="false">IF($A45="N/A"," ",AM45*$AV45)</f>
        <v> </v>
      </c>
      <c r="CG45" s="309" t="str">
        <f aca="false">IF($A45="N/A"," ",AN45*$AW45)</f>
        <v> </v>
      </c>
      <c r="CH45" s="309" t="str">
        <f aca="false">IF($A45="N/A"," ",AO45*$AX45)</f>
        <v> </v>
      </c>
      <c r="CI45" s="309" t="str">
        <f aca="false">IF($A45="N/A"," ",AP45*$AY45)</f>
        <v> </v>
      </c>
      <c r="CJ45" s="309" t="str">
        <f aca="false">IF($A45="N/A"," ",AQ45*$AZ45)</f>
        <v> </v>
      </c>
      <c r="CK45" s="310" t="str">
        <f aca="false">IF($A45="N/A"," ",AR45*$BA45)</f>
        <v> </v>
      </c>
      <c r="CL45" s="311" t="str">
        <f aca="false">IF(A45="N/A"," ",(VLOOKUP(A45,PowerVolTable,(IF(VolBMO=2,7,IF(VolBMO=1,6,8))),FALSE())))</f>
        <v> </v>
      </c>
      <c r="CM45" s="312" t="str">
        <f aca="false">IF(A45="N/A"," ",(VLOOKUP(A45,IntraPowerVol,(IF(VolBMO=2,3,IF(VolBMO=1,2,4))),FALSE())*VLOOKUP(MONTH($A45),Volscale,2)))</f>
        <v> </v>
      </c>
      <c r="CN45" s="312" t="str">
        <f aca="false">IF($A45="N/A"," ",IF(VolType=1,CM45,CL45))</f>
        <v> </v>
      </c>
      <c r="CO45" s="312" t="str">
        <f aca="false">IF($A45="N/A"," ",(VLOOKUP($A45,OffPeakVol,(IF(VolBMO=2,7,IF(VolBMO=1,6,8))),FALSE())))</f>
        <v> </v>
      </c>
      <c r="CP45" s="312" t="str">
        <f aca="false">IF($A45="N/A"," ",(VLOOKUP($A45,OffPeakVol,(IF(VolBMO=2,3,IF(VolBMO=1,2,4))),FALSE())*VLOOKUP(MONTH($A45),Volscale,2)))</f>
        <v> </v>
      </c>
      <c r="CQ45" s="312" t="str">
        <f aca="false">IF($A45="N/A"," ",IF(VolType=1,CP45,CO45))</f>
        <v> </v>
      </c>
      <c r="CR45" s="312" t="str">
        <f aca="false">IF($A45="N/A"," ",(VLOOKUP($A45,GasVolTable,(IF(VolBMO=2,6,IF(VolBMO=1,7,5))),FALSE())))</f>
        <v> </v>
      </c>
      <c r="CS45" s="312" t="str">
        <f aca="false">IF($A45="N/A"," ",(VLOOKUP($A45,OmicronVol,(IF(VolBMO=2,3,IF(VolBMO=1,4,2))),FALSE())))</f>
        <v> </v>
      </c>
      <c r="CT45" s="312" t="str">
        <f aca="false">IF($A45="N/A"," ",(IF(DateToday&gt;$A45,$CS45,IF(VolType=1,((($CR45^2)*((($A45-1)-DateToday)/((EOMONTH($A45,0)+1)-DateToday-15)))+((($CS45)^2)*((15)/((EOMONTH($A45,0)+1)-DateToday-15))))^0.5,CR45))))</f>
        <v> </v>
      </c>
      <c r="CU45" s="312" t="str">
        <f aca="false">IF($A45="N/A"," ",IF('Pricing Inputs'!$AR$23=TRUE(),Inputs!$S$22,VLOOKUP($A45,CorrelationTable,2,FALSE())))</f>
        <v> </v>
      </c>
      <c r="CV45" s="313" t="str">
        <f aca="false">IF($A45="N/A"," ",F45+G45+(D45*('Pricing Inputs'!X80)))</f>
        <v> </v>
      </c>
      <c r="CW45" s="314" t="str">
        <f aca="false">IF($A45="N/A"," ",IF(PV=1,0,'Pricing Inputs'!Y80))</f>
        <v> </v>
      </c>
      <c r="CX45" s="315" t="str">
        <f aca="false">IF($A45="N/A"," ",(1+CW45/2)^(-2*((EOMONTH(A45,0)+20)-DateToday)/365.25))</f>
        <v> </v>
      </c>
      <c r="CY45" s="316" t="str">
        <f aca="false">IF($A45="N/A"," ",(IF(MONTH(A45)&gt;=4,IF(MONTH(A45)&lt;=10,Inputs!$S$26,Inputs!$S$27),Inputs!$S$27))*$CX45)</f>
        <v> </v>
      </c>
      <c r="CZ45" s="317" t="str">
        <f aca="false">IF($A45="N/A"," ",BK45+BL45+BN45+BO45+BQ45+BR45)</f>
        <v> </v>
      </c>
      <c r="DA45" s="318" t="str">
        <f aca="false">IF($A45="N/A"," ",BM45+BP45+BS45)</f>
        <v> </v>
      </c>
      <c r="DB45" s="319" t="str">
        <f aca="false">IF($A45="N/A"," ",BT45+BU45+BW45+BX45+BZ45+CA45)</f>
        <v> </v>
      </c>
      <c r="DC45" s="319" t="str">
        <f aca="false">IF($A45="N/A"," ",BV45+BY45+CB45)</f>
        <v> </v>
      </c>
      <c r="DD45" s="320" t="str">
        <f aca="false">IF($A45="N/A"," ",SUM(CC45:CK45))</f>
        <v> </v>
      </c>
      <c r="DE45" s="321" t="str">
        <f aca="false">IF($A45="N/A"," ",VLOOKUP($A45,NumberofDaysTable,2)*Availability)</f>
        <v> </v>
      </c>
      <c r="DF45" s="94" t="str">
        <f aca="false">IF($A45="N/A"," ",VLOOKUP($A45,NumberofDaysTable,3)*Availability)</f>
        <v> </v>
      </c>
      <c r="DG45" s="322" t="str">
        <f aca="false">IF($A45="N/A"," ",VLOOKUP($A45,NumberofDaysTable,4)*Availability)</f>
        <v> </v>
      </c>
      <c r="DH45" s="323" t="str">
        <f aca="false">IF($A45="N/A"," ",IF(Option=1,$D45*Inputs!$S$15*SUM(AS45:BA45),0))</f>
        <v> </v>
      </c>
      <c r="DI45" s="324" t="str">
        <f aca="false">IF($A45="N/A"," ",IF(Option=1,$D45*Inputs!$S$16*SUM(AS45:BA45),0))</f>
        <v> </v>
      </c>
      <c r="DJ45" s="325" t="str">
        <f aca="false">IF($A45="N/A"," ",SUM(AS45:AT45))</f>
        <v> </v>
      </c>
      <c r="DK45" s="325" t="str">
        <f aca="false">IF($A45="N/A"," ",SUM(AU45:BA45))</f>
        <v> </v>
      </c>
      <c r="DL45" s="325" t="str">
        <f aca="false">IF($A45="N/A"," ",SUM(BB45:BC45))</f>
        <v> </v>
      </c>
      <c r="DM45" s="325" t="str">
        <f aca="false">IF($A45="N/A"," ",SUM(BD45:BJ45))</f>
        <v> </v>
      </c>
    </row>
    <row r="46" customFormat="false" ht="12.75" hidden="false" customHeight="false" outlineLevel="0" collapsed="false">
      <c r="A46" s="282" t="str">
        <f aca="false">IF(A45="N/A","N/A",IF(EDATE(A45,1)&gt;Inputs!$S$5,"N/A",EDATE(A45,1)))</f>
        <v>N/A</v>
      </c>
      <c r="B46" s="283" t="str">
        <f aca="false">IF(A46="N/A"," ",YEAR(A46))</f>
        <v> </v>
      </c>
      <c r="C46" s="284" t="str">
        <f aca="false">IF(A46="N/A"," ",VLOOKUP(A46,ScaledPrice,14))</f>
        <v> </v>
      </c>
      <c r="D46" s="285" t="str">
        <f aca="false">IF(A46="N/A"," ",(VLOOKUP(MONTH($A46),Hrtable,2))/1000)</f>
        <v> </v>
      </c>
      <c r="E46" s="286" t="str">
        <f aca="false">IF($A46="N/A"," ",(C46)*D46)</f>
        <v> </v>
      </c>
      <c r="F46" s="287" t="str">
        <f aca="false">IF(A46="N/A"," ",VOM*(1+VOMesc)^(YEAR(A46)-YEAR(Today)))</f>
        <v> </v>
      </c>
      <c r="G46" s="287" t="str">
        <f aca="false">IF(A46="N/A"," ",Perstart/VLOOKUP(Dayrun,'Pricing Inputs'!$AQ$4:$AS$14,3)/(CY46/CX46))</f>
        <v> </v>
      </c>
      <c r="H46" s="288" t="str">
        <f aca="false">IF(A46="N/A"," ",SUM(E46:G46))</f>
        <v> </v>
      </c>
      <c r="I46" s="289" t="str">
        <f aca="false">VLOOKUP($A46,ScaledPrice,6)</f>
        <v> </v>
      </c>
      <c r="J46" s="290" t="str">
        <f aca="false">VLOOKUP($A46,ScaledPrice,10)</f>
        <v> </v>
      </c>
      <c r="K46" s="290" t="str">
        <f aca="false">VLOOKUP($A46,ScaledPrice,13)</f>
        <v> </v>
      </c>
      <c r="L46" s="290" t="str">
        <f aca="false">VLOOKUP($A46,ScaledPrice,7)</f>
        <v> </v>
      </c>
      <c r="M46" s="290" t="str">
        <f aca="false">VLOOKUP($A46,ScaledPrice,11)</f>
        <v> </v>
      </c>
      <c r="N46" s="290" t="str">
        <f aca="false">VLOOKUP($A46,ScaledPrice,13)</f>
        <v> </v>
      </c>
      <c r="O46" s="290" t="str">
        <f aca="false">VLOOKUP($A46,ScaledPrice,8)</f>
        <v> </v>
      </c>
      <c r="P46" s="290" t="str">
        <f aca="false">VLOOKUP($A46,ScaledPrice,12)</f>
        <v> </v>
      </c>
      <c r="Q46" s="291" t="str">
        <f aca="false">VLOOKUP($A46,ScaledPrice,13)</f>
        <v> </v>
      </c>
      <c r="R46" s="292" t="str">
        <f aca="false">IF($A46="N/A"," ",IF(Dayrun&gt;=3,IF(Option=1,MAX($I46-$H46,0),IF(Option=2,MAX($H46-$I46,0),0)),0))</f>
        <v> </v>
      </c>
      <c r="S46" s="286" t="str">
        <f aca="false">IF($A46="N/A"," ",IF(Dayrun&gt;=6,IF(Option=1,MAX($J46-H46,0),IF(Option=2,MAX(H46-$J46,0),0)),0))</f>
        <v> </v>
      </c>
      <c r="T46" s="286" t="str">
        <f aca="false">IF($A46="N/A"," ",IF(OR(Dayrun&lt;=2,Dayrun&gt;=9),IF(Option=1,MAX($K46-$H46,0),IF(Option=2,MAX($H46-$K46,0),0)),0))</f>
        <v> </v>
      </c>
      <c r="U46" s="286" t="str">
        <f aca="false">IF($A46="N/A"," ",IF(OR(Dayrun=1,Dayrun=4,Dayrun=5,Dayrun=7,Dayrun=8,Dayrun=10,Dayrun=11),IF(Option=1,MAX($L46-H46,0),IF(Option=2,MAX(H46-$L46,0),0)),0))</f>
        <v> </v>
      </c>
      <c r="V46" s="286" t="str">
        <f aca="false">IF($A46="N/A"," ",IF(OR(Dayrun=1,Dayrun=7,Dayrun=8,Dayrun=10,Dayrun=11),IF(Option=1,MAX($M46-H46,0),IF(Option=2,MAX(H46-$M46,0),0)),0))</f>
        <v> </v>
      </c>
      <c r="W46" s="286" t="str">
        <f aca="false">IF($A46="N/A"," ",IF(OR(Dayrun&lt;=2,Dayrun&gt;=10),IF(Option=1,MAX($N46-$H46,0),IF(Option=2,MAX($H46-$N46,0),0)),0))</f>
        <v> </v>
      </c>
      <c r="X46" s="286" t="str">
        <f aca="false">IF($A46="N/A"," ",IF(OR(Dayrun=1,Dayrun=5,Dayrun=8,Dayrun=11),IF(Option=1,MAX($O46-H46,0),IF(Option=2,MAX(H46-$O46,0),0)),0))</f>
        <v> </v>
      </c>
      <c r="Y46" s="286" t="str">
        <f aca="false">IF($A46="N/A"," ",IF(OR(Dayrun=1,Dayrun=8,Dayrun=11),IF(Option=1,MAX($P46-H46,0),IF(Option=2,MAX(H46-$P46,0),0)),0))</f>
        <v> </v>
      </c>
      <c r="Z46" s="293" t="str">
        <f aca="false">IF($A46="N/A"," ",IF(OR(Dayrun&lt;=2,Dayrun&gt;=11),IF(Option=1,MAX($Q46-$H46,0),IF(Option=2,MAX($H46-$Q46,0),0)),0))</f>
        <v> </v>
      </c>
      <c r="AA46" s="289" t="str">
        <f aca="false">IF($A46="N/A"," ",IF(Dayrun&gt;=3,(MAX(0,(xSPRDOPT(I46,($E46-'Pricing Inputs'!$X81*$D46),$CV46,0,($CN46+IF(Smile=TRUE(),VLOOKUP(MAX(-5,$H46-I46),Volsmile,2),0)),$CT46,$CU46,($A46-DateToday)+15,ABS(Option-2),0)-R46))),0))</f>
        <v> </v>
      </c>
      <c r="AB46" s="290" t="str">
        <f aca="false">IF($A46="N/A"," ",IF(Dayrun&gt;=6,MAX(0,(xSPRDOPT(J46,($E46-'Pricing Inputs'!$X81*$D46),$CV46,0,($CN46+IF(Smile=TRUE(),VLOOKUP(MAX(-5,$H46-J46),Volsmile,2),0)),$CT46,$CU46,($A46-DateToday)+15,ABS(Option-2),0)-S46)),0))</f>
        <v> </v>
      </c>
      <c r="AC46" s="290" t="str">
        <f aca="false">IF($A46="N/A"," ",IF(OR(Dayrun&lt;=2,Dayrun&gt;=9),IF(OffPeakEx=TRUE(),MAX(0,(xSPRDOPT(K46,($E46-'Pricing Inputs'!$X81*$D46),$CV46,0,($CQ46+IF(Smile=TRUE(),VLOOKUP(MAX(-5,$H46-K46),Volsmile,2),0)),$CT46,$CU46,($A46-DateToday)+15,ABS(Option-2),0)-T46)),0),0))</f>
        <v> </v>
      </c>
      <c r="AD46" s="290" t="str">
        <f aca="false">IF($A46="N/A"," ",IF(OR(Dayrun=1,Dayrun=4,Dayrun=5,Dayrun=7,Dayrun=8,Dayrun=10,Dayrun=11),MAX(0,(xSPRDOPT(L46,($E46-'Pricing Inputs'!$X81*$D46),$CV46,0,($CQ46+IF(Smile=TRUE(),VLOOKUP(MAX(-5,$H46-L46),Volsmile,2),0)),$CT46,$CU46,($A46-DateToday)+15,ABS(Option-2),0)-U46)),0))</f>
        <v> </v>
      </c>
      <c r="AE46" s="290" t="str">
        <f aca="false">IF($A46="N/A"," ",IF(OR(Dayrun=1,Dayrun=7,Dayrun=8,Dayrun=10,Dayrun=11),MAX(0,(xSPRDOPT(M46,($E46-'Pricing Inputs'!$X81*$D46),$CV46,0,($CQ46+IF(Smile=TRUE(),VLOOKUP(MAX(-5,$H46-M46),Volsmile,2),0)),$CT46,$CU46,($A46-DateToday)+15,ABS(Option-2),0)-V46)),0))</f>
        <v> </v>
      </c>
      <c r="AF46" s="290" t="str">
        <f aca="false">IF($A46="N/A"," ",IF(OR(Dayrun&lt;=2,Dayrun&gt;=10),IF(OffPeakEx=TRUE(),MAX(0,(xSPRDOPT(N46,($E46-'Pricing Inputs'!$X81*$D46),$CV46,0,($CQ46+IF(Smile=TRUE(),VLOOKUP(MAX(-5,$H46-N46),Volsmile,2),0)),$CT46,$CU46,($A46-DateToday)+15,ABS(Option-2),0)-W46)),0),0))</f>
        <v> </v>
      </c>
      <c r="AG46" s="290" t="str">
        <f aca="false">IF($A46="N/A"," ",IF(OR(Dayrun=1,Dayrun=5,Dayrun=8,Dayrun=11),MAX(0,(xSPRDOPT(O46,($E46-'Pricing Inputs'!$X81*$D46),$CV46,0,($CQ46+IF(Smile=TRUE(),VLOOKUP(MAX(-5,$H46-O46),Volsmile,2),0)),$CT46,$CU46,($A46-DateToday)+15,ABS(Option-2),0)-X46)),0))</f>
        <v> </v>
      </c>
      <c r="AH46" s="290" t="str">
        <f aca="false">IF($A46="N/A"," ",IF(OR(Dayrun=1,Dayrun=8,Dayrun=11),MAX(0,(xSPRDOPT(P46,($E46-'Pricing Inputs'!$X81*$D46),$CV46,0,($CQ46+IF(Smile=TRUE(),VLOOKUP(MAX(-5,$H46-P46),Volsmile,2),0)),$CT46,$CU46,($A46-DateToday)+15,ABS(Option-2),0)-Y46)),0))</f>
        <v> </v>
      </c>
      <c r="AI46" s="290" t="str">
        <f aca="false">IF($A46="N/A"," ",IF(OR(Dayrun&lt;=2,Dayrun&gt;=11),IF(OffPeakEx=TRUE(),MAX(0,(xSPRDOPT(Q46,($E46-'Pricing Inputs'!$X81*$D46),$CV46,0,($CQ46+IF(Smile=TRUE(),VLOOKUP(MAX(-5,$H46-Q46),Volsmile,2),0)),$CT46,$CU46,($A46-DateToday)+15,ABS(Option-2),0)-Z46)),0),0))</f>
        <v> </v>
      </c>
      <c r="AJ46" s="294" t="str">
        <f aca="false">IF($A46="N/A"," ",IF(Dayrun&gt;=3,IF(Option=1,$I46-$H46,IF(Option=2,$H46-$I46)),0))</f>
        <v> </v>
      </c>
      <c r="AK46" s="295" t="str">
        <f aca="false">IF($A46="N/A"," ",IF(Dayrun&gt;=6,IF(Option=1,$J46-H46,IF(Option=2,H46-$J46)),0))</f>
        <v> </v>
      </c>
      <c r="AL46" s="295" t="str">
        <f aca="false">IF($A46="N/A"," ",IF(OR(Dayrun&lt;=2,Dayrun&gt;=9),IF(Option=1,$K46-$H46,IF(Option=2,$H46-$K46)),0))</f>
        <v> </v>
      </c>
      <c r="AM46" s="295" t="str">
        <f aca="false">IF($A46="N/A"," ",IF(OR(Dayrun=1,Dayrun=4,Dayrun=5,Dayrun=7,Dayrun=8,Dayrun=10,Dayrun=11),IF(Option=1,$L46-H46,IF(Option=2,H46-$L46)),0))</f>
        <v> </v>
      </c>
      <c r="AN46" s="295" t="str">
        <f aca="false">IF($A46="N/A"," ",IF(OR(Dayrun=1,Dayrun=7,Dayrun=8,Dayrun=10,Dayrun=11),IF(Option=1,$M46-H46,IF(Option=2,H46-$M46)),0))</f>
        <v> </v>
      </c>
      <c r="AO46" s="295" t="str">
        <f aca="false">IF($A46="N/A"," ",IF(OR(Dayrun&lt;=2,Dayrun&gt;=9),IF(Option=1,$N46-$H46,IF(Option=2,$H46-$N46)),0))</f>
        <v> </v>
      </c>
      <c r="AP46" s="295" t="str">
        <f aca="false">IF($A46="N/A"," ",IF(OR(Dayrun=1,Dayrun=5,Dayrun=8,Dayrun=11),IF(Option=1,$O46-H46,IF(Option=2,H46-$O46)),0))</f>
        <v> </v>
      </c>
      <c r="AQ46" s="295" t="str">
        <f aca="false">IF($A46="N/A"," ",IF(OR(Dayrun=1,Dayrun=8,Dayrun=11),IF(Option=1,$P46-H46,IF(Option=2,H46-$P46)),0))</f>
        <v> </v>
      </c>
      <c r="AR46" s="296" t="str">
        <f aca="false">IF($A46="N/A"," ",IF(OR(Dayrun&lt;=2,Dayrun&gt;=9),IF(Option=1,$Q46-H46,IF(Option=2,H46-$Q46)),0))</f>
        <v> </v>
      </c>
      <c r="AS46" s="297" t="str">
        <f aca="false">IF($A46="N/A"," ",IF(VLOOKUP(MONTH($A46),ManualTable,2)=1,IF(Dayrun&gt;=3,$DE46*8*$CY46,0),0))</f>
        <v> </v>
      </c>
      <c r="AT46" s="297" t="str">
        <f aca="false">IF($A46="N/A"," ",IF(VLOOKUP(MONTH($A46),ManualTable,3)=1,IF(Dayrun&gt;=6,$DE46*8*$CY46,0),0))</f>
        <v> </v>
      </c>
      <c r="AU46" s="297" t="str">
        <f aca="false">IF($A46="N/A"," ",IF(VLOOKUP(MONTH($A46),ManualTable,4)=1,IF(OR(Dayrun&lt;=2,Dayrun&gt;=9),$DE46*8*$CY46,0),0))</f>
        <v> </v>
      </c>
      <c r="AV46" s="297" t="str">
        <f aca="false">IF($A46="N/A"," ",IF(VLOOKUP(MONTH($A46),ManualTable,5)=1,IF(OR(Dayrun=1,Dayrun=4,Dayrun=5,Dayrun=7,Dayrun=8,Dayrun=10,Dayrun=11),$DF46*8*$CY46,0),0))</f>
        <v> </v>
      </c>
      <c r="AW46" s="297" t="str">
        <f aca="false">IF($A46="N/A"," ",IF(VLOOKUP(MONTH($A46),ManualTable,6)=1,IF(OR(Dayrun=1,Dayrun=7,Dayrun=8,Dayrun=10,Dayrun=11),$DF46*8*$CY46,0),0))</f>
        <v> </v>
      </c>
      <c r="AX46" s="297" t="str">
        <f aca="false">IF($A46="N/A"," ",IF(VLOOKUP(MONTH($A46),ManualTable,7)=1,IF(OR(Dayrun&lt;=2,Dayrun&gt;=9),$DF46*8*$CY46,0),0))</f>
        <v> </v>
      </c>
      <c r="AY46" s="297" t="str">
        <f aca="false">IF($A46="N/A"," ",IF(VLOOKUP(MONTH($A46),ManualTable,8)=1,IF(OR(Dayrun=1,Dayrun=5,Dayrun=8,Dayrun=11),$DG46*8*$CY46,0),0))</f>
        <v> </v>
      </c>
      <c r="AZ46" s="297" t="str">
        <f aca="false">IF($A46="N/A"," ",IF(VLOOKUP(MONTH($A46),ManualTable,9)=1,IF(OR(Dayrun=1,Dayrun=8,Dayrun=11),$DG46*8*$CY46,0),0))</f>
        <v> </v>
      </c>
      <c r="BA46" s="298" t="str">
        <f aca="false">IF($A46="N/A"," ",IF(VLOOKUP(MONTH($A46),ManualTable,10)=1,IF(OR(Dayrun&lt;=2,Dayrun&gt;=9),$DG46*8*$CY46,0),0))</f>
        <v> </v>
      </c>
      <c r="BB46" s="299" t="str">
        <f aca="false">IF($A46="N/A"," ",IF(Dayrun&gt;=3,(MAX(0,(xSPRDOPT(I46,($E46-'Pricing Inputs'!$X81*$D46),$CV46,0,($CN46+IF(Smile=TRUE(),VLOOKUP(MAX(-5,$H46-I46),Volsmile,2),0)),$CT46,$CU46,($A46-DateToday)+15,ABS(Option-2),1)*DE46*8))),0))</f>
        <v> </v>
      </c>
      <c r="BC46" s="300" t="str">
        <f aca="false">IF($A46="N/A"," ",IF(Dayrun&gt;=6,MAX(0,(xSPRDOPT(J46,($E46-'Pricing Inputs'!$X81*$D46),$CV46,0,($CN46+IF(Smile=TRUE(),VLOOKUP(MAX(-5,$H46-J46),Volsmile,2),0)),$CT46,$CU46,($A46-DateToday)+15,ABS(Option-2),1)*DE46*8)),0))</f>
        <v> </v>
      </c>
      <c r="BD46" s="300" t="str">
        <f aca="false">IF($A46="N/A"," ",IF(OR(Dayrun&lt;=2,Dayrun&gt;=9),IF(OffPeakEx=TRUE(),MAX(0,(xSPRDOPT(K46,($E46-'Pricing Inputs'!$X81*$D46),$CV46,0,($CQ46+IF(Smile=TRUE(),VLOOKUP(MAX(-5,$H46-K46),Volsmile,2),0)),$CT46,$CU46,($A46-DateToday)+15,ABS(Option-2),1)*DE46*8)),0),0))</f>
        <v> </v>
      </c>
      <c r="BE46" s="300" t="str">
        <f aca="false">IF($A46="N/A"," ",IF(OR(Dayrun=1,Dayrun=4,Dayrun=5,Dayrun=7,Dayrun=8,Dayrun=10,Dayrun=11),MAX(0,(xSPRDOPT(L46,($E46-'Pricing Inputs'!$X81*$D46),$CV46,0,($CQ46+IF(Smile=TRUE(),VLOOKUP(MAX(-5,$H46-L46),Volsmile,2),0)),$CT46,$CU46,($A46-DateToday)+15,ABS(Option-2),1)*DF46*8)),0))</f>
        <v> </v>
      </c>
      <c r="BF46" s="300" t="str">
        <f aca="false">IF($A46="N/A"," ",IF(OR(Dayrun=1,Dayrun=7,Dayrun=8,Dayrun=10,Dayrun=11),MAX(0,(xSPRDOPT(M46,($E46-'Pricing Inputs'!$X81*$D46),$CV46,0,($CQ46+IF(Smile=TRUE(),VLOOKUP(MAX(-5,$H46-M46),Volsmile,2),0)),$CT46,$CU46,($A46-DateToday)+15,ABS(Option-2),1)*DF46*8)),0))</f>
        <v> </v>
      </c>
      <c r="BG46" s="300" t="str">
        <f aca="false">IF($A46="N/A"," ",IF(OR(Dayrun&lt;=2,Dayrun&gt;=10),IF(OffPeakEx=TRUE(),MAX(0,(xSPRDOPT(N46,($E46-'Pricing Inputs'!$X81*$D46),$CV46,0,($CQ46+IF(Smile=TRUE(),VLOOKUP(MAX(-5,$H46-N46),Volsmile,2),0)),$CT46,$CU46,($A46-DateToday)+15,ABS(Option-2),1)*DF46*8)),0),0))</f>
        <v> </v>
      </c>
      <c r="BH46" s="300" t="str">
        <f aca="false">IF($A46="N/A"," ",IF(OR(Dayrun=1,Dayrun=5,Dayrun=8,Dayrun=11),MAX(0,(xSPRDOPT(O46,($E46-'Pricing Inputs'!$X81*$D46),$CV46,0,($CQ46+IF(Smile=TRUE(),VLOOKUP(MAX(-5,$H46-O46),Volsmile,2),0)),$CT46,$CU46,($A46-DateToday)+15,ABS(Option-2),1)*DG46*8)),0))</f>
        <v> </v>
      </c>
      <c r="BI46" s="300" t="str">
        <f aca="false">IF($A46="N/A"," ",IF(OR(Dayrun=1,Dayrun=8,Dayrun=11),MAX(0,(xSPRDOPT(P46,($E46-'Pricing Inputs'!$X81*$D46),$CV46,0,($CQ46+IF(Smile=TRUE(),VLOOKUP(MAX(-5,$H46-P46),Volsmile,2),0)),$CT46,$CU46,($A46-DateToday)+15,ABS(Option-2),1)*DG46*8)),0))</f>
        <v> </v>
      </c>
      <c r="BJ46" s="301" t="str">
        <f aca="false">IF($A46="N/A"," ",IF(OR(Dayrun&lt;=2,Dayrun&gt;=11),IF(OffPeakEx=TRUE(),MAX(0,(xSPRDOPT(Q46,($E46-'Pricing Inputs'!$X81*$D46),$CV46,0,($CQ46+IF(Smile=TRUE(),VLOOKUP(MAX(-5,$H46-Q46),Volsmile,2),0)),$CT46,$CU46,($A46-DateToday)+15,ABS(Option-2),1)*DG46*8)),0),0))</f>
        <v> </v>
      </c>
      <c r="BK46" s="302" t="str">
        <f aca="false">IF($A46="N/A"," ",R46*$AS46)</f>
        <v> </v>
      </c>
      <c r="BL46" s="303" t="str">
        <f aca="false">IF($A46="N/A"," ",S46*$AT46)</f>
        <v> </v>
      </c>
      <c r="BM46" s="303" t="str">
        <f aca="false">IF($A46="N/A"," ",T46*$AU46)</f>
        <v> </v>
      </c>
      <c r="BN46" s="303" t="str">
        <f aca="false">IF($A46="N/A"," ",U46*$AV46)</f>
        <v> </v>
      </c>
      <c r="BO46" s="303" t="str">
        <f aca="false">IF($A46="N/A"," ",V46*$AW46)</f>
        <v> </v>
      </c>
      <c r="BP46" s="303" t="str">
        <f aca="false">IF($A46="N/A"," ",W46*$AX46)</f>
        <v> </v>
      </c>
      <c r="BQ46" s="303" t="str">
        <f aca="false">IF($A46="N/A"," ",X46*$AY46)</f>
        <v> </v>
      </c>
      <c r="BR46" s="303" t="str">
        <f aca="false">IF($A46="N/A"," ",Y46*$AZ46)</f>
        <v> </v>
      </c>
      <c r="BS46" s="304" t="str">
        <f aca="false">IF($A46="N/A"," ",Z46*$BA46)</f>
        <v> </v>
      </c>
      <c r="BT46" s="305" t="str">
        <f aca="false">IF($A46="N/A"," ",AA46*$AS46)</f>
        <v> </v>
      </c>
      <c r="BU46" s="306" t="str">
        <f aca="false">IF($A46="N/A"," ",AB46*$AT46)</f>
        <v> </v>
      </c>
      <c r="BV46" s="306" t="str">
        <f aca="false">IF($A46="N/A"," ",AC46*$AU46)</f>
        <v> </v>
      </c>
      <c r="BW46" s="306" t="str">
        <f aca="false">IF($A46="N/A"," ",AD46*$AV46)</f>
        <v> </v>
      </c>
      <c r="BX46" s="306" t="str">
        <f aca="false">IF($A46="N/A"," ",AE46*$AW46)</f>
        <v> </v>
      </c>
      <c r="BY46" s="306" t="str">
        <f aca="false">IF($A46="N/A"," ",AF46*$AX46)</f>
        <v> </v>
      </c>
      <c r="BZ46" s="306" t="str">
        <f aca="false">IF($A46="N/A"," ",AG46*$AY46)</f>
        <v> </v>
      </c>
      <c r="CA46" s="306" t="str">
        <f aca="false">IF($A46="N/A"," ",AH46*$AZ46)</f>
        <v> </v>
      </c>
      <c r="CB46" s="307" t="str">
        <f aca="false">IF($A46="N/A"," ",AI46*$BA46)</f>
        <v> </v>
      </c>
      <c r="CC46" s="308" t="str">
        <f aca="false">IF($A46="N/A"," ",AJ46*$AS46)</f>
        <v> </v>
      </c>
      <c r="CD46" s="309" t="str">
        <f aca="false">IF($A46="N/A"," ",AK46*$AT46)</f>
        <v> </v>
      </c>
      <c r="CE46" s="309" t="str">
        <f aca="false">IF($A46="N/A"," ",AL46*$AU46)</f>
        <v> </v>
      </c>
      <c r="CF46" s="309" t="str">
        <f aca="false">IF($A46="N/A"," ",AM46*$AV46)</f>
        <v> </v>
      </c>
      <c r="CG46" s="309" t="str">
        <f aca="false">IF($A46="N/A"," ",AN46*$AW46)</f>
        <v> </v>
      </c>
      <c r="CH46" s="309" t="str">
        <f aca="false">IF($A46="N/A"," ",AO46*$AX46)</f>
        <v> </v>
      </c>
      <c r="CI46" s="309" t="str">
        <f aca="false">IF($A46="N/A"," ",AP46*$AY46)</f>
        <v> </v>
      </c>
      <c r="CJ46" s="309" t="str">
        <f aca="false">IF($A46="N/A"," ",AQ46*$AZ46)</f>
        <v> </v>
      </c>
      <c r="CK46" s="310" t="str">
        <f aca="false">IF($A46="N/A"," ",AR46*$BA46)</f>
        <v> </v>
      </c>
      <c r="CL46" s="311" t="str">
        <f aca="false">IF(A46="N/A"," ",(VLOOKUP(A46,PowerVolTable,(IF(VolBMO=2,7,IF(VolBMO=1,6,8))),FALSE())))</f>
        <v> </v>
      </c>
      <c r="CM46" s="312" t="str">
        <f aca="false">IF(A46="N/A"," ",(VLOOKUP(A46,IntraPowerVol,(IF(VolBMO=2,3,IF(VolBMO=1,2,4))),FALSE())*VLOOKUP(MONTH($A46),Volscale,2)))</f>
        <v> </v>
      </c>
      <c r="CN46" s="312" t="str">
        <f aca="false">IF($A46="N/A"," ",IF(VolType=1,CM46,CL46))</f>
        <v> </v>
      </c>
      <c r="CO46" s="312" t="str">
        <f aca="false">IF($A46="N/A"," ",(VLOOKUP($A46,OffPeakVol,(IF(VolBMO=2,7,IF(VolBMO=1,6,8))),FALSE())))</f>
        <v> </v>
      </c>
      <c r="CP46" s="312" t="str">
        <f aca="false">IF($A46="N/A"," ",(VLOOKUP($A46,OffPeakVol,(IF(VolBMO=2,3,IF(VolBMO=1,2,4))),FALSE())*VLOOKUP(MONTH($A46),Volscale,2)))</f>
        <v> </v>
      </c>
      <c r="CQ46" s="312" t="str">
        <f aca="false">IF($A46="N/A"," ",IF(VolType=1,CP46,CO46))</f>
        <v> </v>
      </c>
      <c r="CR46" s="312" t="str">
        <f aca="false">IF($A46="N/A"," ",(VLOOKUP($A46,GasVolTable,(IF(VolBMO=2,6,IF(VolBMO=1,7,5))),FALSE())))</f>
        <v> </v>
      </c>
      <c r="CS46" s="312" t="str">
        <f aca="false">IF($A46="N/A"," ",(VLOOKUP($A46,OmicronVol,(IF(VolBMO=2,3,IF(VolBMO=1,4,2))),FALSE())))</f>
        <v> </v>
      </c>
      <c r="CT46" s="312" t="str">
        <f aca="false">IF($A46="N/A"," ",(IF(DateToday&gt;$A46,$CS46,IF(VolType=1,((($CR46^2)*((($A46-1)-DateToday)/((EOMONTH($A46,0)+1)-DateToday-15)))+((($CS46)^2)*((15)/((EOMONTH($A46,0)+1)-DateToday-15))))^0.5,CR46))))</f>
        <v> </v>
      </c>
      <c r="CU46" s="312" t="str">
        <f aca="false">IF($A46="N/A"," ",IF('Pricing Inputs'!$AR$23=TRUE(),Inputs!$S$22,VLOOKUP($A46,CorrelationTable,2,FALSE())))</f>
        <v> </v>
      </c>
      <c r="CV46" s="313" t="str">
        <f aca="false">IF($A46="N/A"," ",F46+G46+(D46*('Pricing Inputs'!X81)))</f>
        <v> </v>
      </c>
      <c r="CW46" s="314" t="str">
        <f aca="false">IF($A46="N/A"," ",IF(PV=1,0,'Pricing Inputs'!Y81))</f>
        <v> </v>
      </c>
      <c r="CX46" s="315" t="str">
        <f aca="false">IF($A46="N/A"," ",(1+CW46/2)^(-2*((EOMONTH(A46,0)+20)-DateToday)/365.25))</f>
        <v> </v>
      </c>
      <c r="CY46" s="316" t="str">
        <f aca="false">IF($A46="N/A"," ",(IF(MONTH(A46)&gt;=4,IF(MONTH(A46)&lt;=10,Inputs!$S$26,Inputs!$S$27),Inputs!$S$27))*$CX46)</f>
        <v> </v>
      </c>
      <c r="CZ46" s="317" t="str">
        <f aca="false">IF($A46="N/A"," ",BK46+BL46+BN46+BO46+BQ46+BR46)</f>
        <v> </v>
      </c>
      <c r="DA46" s="318" t="str">
        <f aca="false">IF($A46="N/A"," ",BM46+BP46+BS46)</f>
        <v> </v>
      </c>
      <c r="DB46" s="319" t="str">
        <f aca="false">IF($A46="N/A"," ",BT46+BU46+BW46+BX46+BZ46+CA46)</f>
        <v> </v>
      </c>
      <c r="DC46" s="319" t="str">
        <f aca="false">IF($A46="N/A"," ",BV46+BY46+CB46)</f>
        <v> </v>
      </c>
      <c r="DD46" s="320" t="str">
        <f aca="false">IF($A46="N/A"," ",SUM(CC46:CK46))</f>
        <v> </v>
      </c>
      <c r="DE46" s="321" t="str">
        <f aca="false">IF($A46="N/A"," ",VLOOKUP($A46,NumberofDaysTable,2)*Availability)</f>
        <v> </v>
      </c>
      <c r="DF46" s="94" t="str">
        <f aca="false">IF($A46="N/A"," ",VLOOKUP($A46,NumberofDaysTable,3)*Availability)</f>
        <v> </v>
      </c>
      <c r="DG46" s="322" t="str">
        <f aca="false">IF($A46="N/A"," ",VLOOKUP($A46,NumberofDaysTable,4)*Availability)</f>
        <v> </v>
      </c>
      <c r="DH46" s="323" t="str">
        <f aca="false">IF($A46="N/A"," ",IF(Option=1,$D46*Inputs!$S$15*SUM(AS46:BA46),0))</f>
        <v> </v>
      </c>
      <c r="DI46" s="324" t="str">
        <f aca="false">IF($A46="N/A"," ",IF(Option=1,$D46*Inputs!$S$16*SUM(AS46:BA46),0))</f>
        <v> </v>
      </c>
      <c r="DJ46" s="325" t="str">
        <f aca="false">IF($A46="N/A"," ",SUM(AS46:AT46))</f>
        <v> </v>
      </c>
      <c r="DK46" s="325" t="str">
        <f aca="false">IF($A46="N/A"," ",SUM(AU46:BA46))</f>
        <v> </v>
      </c>
      <c r="DL46" s="325" t="str">
        <f aca="false">IF($A46="N/A"," ",SUM(BB46:BC46))</f>
        <v> </v>
      </c>
      <c r="DM46" s="325" t="str">
        <f aca="false">IF($A46="N/A"," ",SUM(BD46:BJ46))</f>
        <v> </v>
      </c>
    </row>
    <row r="47" customFormat="false" ht="12.75" hidden="false" customHeight="false" outlineLevel="0" collapsed="false">
      <c r="A47" s="282" t="str">
        <f aca="false">IF(A46="N/A","N/A",IF(EDATE(A46,1)&gt;Inputs!$S$5,"N/A",EDATE(A46,1)))</f>
        <v>N/A</v>
      </c>
      <c r="B47" s="283" t="str">
        <f aca="false">IF(A47="N/A"," ",YEAR(A47))</f>
        <v> </v>
      </c>
      <c r="C47" s="284" t="str">
        <f aca="false">IF(A47="N/A"," ",VLOOKUP(A47,ScaledPrice,14))</f>
        <v> </v>
      </c>
      <c r="D47" s="285" t="str">
        <f aca="false">IF(A47="N/A"," ",(VLOOKUP(MONTH($A47),Hrtable,2))/1000)</f>
        <v> </v>
      </c>
      <c r="E47" s="286" t="str">
        <f aca="false">IF($A47="N/A"," ",(C47)*D47)</f>
        <v> </v>
      </c>
      <c r="F47" s="287" t="str">
        <f aca="false">IF(A47="N/A"," ",VOM*(1+VOMesc)^(YEAR(A47)-YEAR(Today)))</f>
        <v> </v>
      </c>
      <c r="G47" s="287" t="str">
        <f aca="false">IF(A47="N/A"," ",Perstart/VLOOKUP(Dayrun,'Pricing Inputs'!$AQ$4:$AS$14,3)/(CY47/CX47))</f>
        <v> </v>
      </c>
      <c r="H47" s="288" t="str">
        <f aca="false">IF(A47="N/A"," ",SUM(E47:G47))</f>
        <v> </v>
      </c>
      <c r="I47" s="289" t="str">
        <f aca="false">VLOOKUP($A47,ScaledPrice,6)</f>
        <v> </v>
      </c>
      <c r="J47" s="290" t="str">
        <f aca="false">VLOOKUP($A47,ScaledPrice,10)</f>
        <v> </v>
      </c>
      <c r="K47" s="290" t="str">
        <f aca="false">VLOOKUP($A47,ScaledPrice,13)</f>
        <v> </v>
      </c>
      <c r="L47" s="290" t="str">
        <f aca="false">VLOOKUP($A47,ScaledPrice,7)</f>
        <v> </v>
      </c>
      <c r="M47" s="290" t="str">
        <f aca="false">VLOOKUP($A47,ScaledPrice,11)</f>
        <v> </v>
      </c>
      <c r="N47" s="290" t="str">
        <f aca="false">VLOOKUP($A47,ScaledPrice,13)</f>
        <v> </v>
      </c>
      <c r="O47" s="290" t="str">
        <f aca="false">VLOOKUP($A47,ScaledPrice,8)</f>
        <v> </v>
      </c>
      <c r="P47" s="290" t="str">
        <f aca="false">VLOOKUP($A47,ScaledPrice,12)</f>
        <v> </v>
      </c>
      <c r="Q47" s="291" t="str">
        <f aca="false">VLOOKUP($A47,ScaledPrice,13)</f>
        <v> </v>
      </c>
      <c r="R47" s="292" t="str">
        <f aca="false">IF($A47="N/A"," ",IF(Dayrun&gt;=3,IF(Option=1,MAX($I47-$H47,0),IF(Option=2,MAX($H47-$I47,0),0)),0))</f>
        <v> </v>
      </c>
      <c r="S47" s="286" t="str">
        <f aca="false">IF($A47="N/A"," ",IF(Dayrun&gt;=6,IF(Option=1,MAX($J47-H47,0),IF(Option=2,MAX(H47-$J47,0),0)),0))</f>
        <v> </v>
      </c>
      <c r="T47" s="286" t="str">
        <f aca="false">IF($A47="N/A"," ",IF(OR(Dayrun&lt;=2,Dayrun&gt;=9),IF(Option=1,MAX($K47-$H47,0),IF(Option=2,MAX($H47-$K47,0),0)),0))</f>
        <v> </v>
      </c>
      <c r="U47" s="286" t="str">
        <f aca="false">IF($A47="N/A"," ",IF(OR(Dayrun=1,Dayrun=4,Dayrun=5,Dayrun=7,Dayrun=8,Dayrun=10,Dayrun=11),IF(Option=1,MAX($L47-H47,0),IF(Option=2,MAX(H47-$L47,0),0)),0))</f>
        <v> </v>
      </c>
      <c r="V47" s="286" t="str">
        <f aca="false">IF($A47="N/A"," ",IF(OR(Dayrun=1,Dayrun=7,Dayrun=8,Dayrun=10,Dayrun=11),IF(Option=1,MAX($M47-H47,0),IF(Option=2,MAX(H47-$M47,0),0)),0))</f>
        <v> </v>
      </c>
      <c r="W47" s="286" t="str">
        <f aca="false">IF($A47="N/A"," ",IF(OR(Dayrun&lt;=2,Dayrun&gt;=10),IF(Option=1,MAX($N47-$H47,0),IF(Option=2,MAX($H47-$N47,0),0)),0))</f>
        <v> </v>
      </c>
      <c r="X47" s="286" t="str">
        <f aca="false">IF($A47="N/A"," ",IF(OR(Dayrun=1,Dayrun=5,Dayrun=8,Dayrun=11),IF(Option=1,MAX($O47-H47,0),IF(Option=2,MAX(H47-$O47,0),0)),0))</f>
        <v> </v>
      </c>
      <c r="Y47" s="286" t="str">
        <f aca="false">IF($A47="N/A"," ",IF(OR(Dayrun=1,Dayrun=8,Dayrun=11),IF(Option=1,MAX($P47-H47,0),IF(Option=2,MAX(H47-$P47,0),0)),0))</f>
        <v> </v>
      </c>
      <c r="Z47" s="293" t="str">
        <f aca="false">IF($A47="N/A"," ",IF(OR(Dayrun&lt;=2,Dayrun&gt;=11),IF(Option=1,MAX($Q47-$H47,0),IF(Option=2,MAX($H47-$Q47,0),0)),0))</f>
        <v> </v>
      </c>
      <c r="AA47" s="289" t="str">
        <f aca="false">IF($A47="N/A"," ",IF(Dayrun&gt;=3,(MAX(0,(xSPRDOPT(I47,($E47-'Pricing Inputs'!$X82*$D47),$CV47,0,($CN47+IF(Smile=TRUE(),VLOOKUP(MAX(-5,$H47-I47),Volsmile,2),0)),$CT47,$CU47,($A47-DateToday)+15,ABS(Option-2),0)-R47))),0))</f>
        <v> </v>
      </c>
      <c r="AB47" s="290" t="str">
        <f aca="false">IF($A47="N/A"," ",IF(Dayrun&gt;=6,MAX(0,(xSPRDOPT(J47,($E47-'Pricing Inputs'!$X82*$D47),$CV47,0,($CN47+IF(Smile=TRUE(),VLOOKUP(MAX(-5,$H47-J47),Volsmile,2),0)),$CT47,$CU47,($A47-DateToday)+15,ABS(Option-2),0)-S47)),0))</f>
        <v> </v>
      </c>
      <c r="AC47" s="290" t="str">
        <f aca="false">IF($A47="N/A"," ",IF(OR(Dayrun&lt;=2,Dayrun&gt;=9),IF(OffPeakEx=TRUE(),MAX(0,(xSPRDOPT(K47,($E47-'Pricing Inputs'!$X82*$D47),$CV47,0,($CQ47+IF(Smile=TRUE(),VLOOKUP(MAX(-5,$H47-K47),Volsmile,2),0)),$CT47,$CU47,($A47-DateToday)+15,ABS(Option-2),0)-T47)),0),0))</f>
        <v> </v>
      </c>
      <c r="AD47" s="290" t="str">
        <f aca="false">IF($A47="N/A"," ",IF(OR(Dayrun=1,Dayrun=4,Dayrun=5,Dayrun=7,Dayrun=8,Dayrun=10,Dayrun=11),MAX(0,(xSPRDOPT(L47,($E47-'Pricing Inputs'!$X82*$D47),$CV47,0,($CQ47+IF(Smile=TRUE(),VLOOKUP(MAX(-5,$H47-L47),Volsmile,2),0)),$CT47,$CU47,($A47-DateToday)+15,ABS(Option-2),0)-U47)),0))</f>
        <v> </v>
      </c>
      <c r="AE47" s="290" t="str">
        <f aca="false">IF($A47="N/A"," ",IF(OR(Dayrun=1,Dayrun=7,Dayrun=8,Dayrun=10,Dayrun=11),MAX(0,(xSPRDOPT(M47,($E47-'Pricing Inputs'!$X82*$D47),$CV47,0,($CQ47+IF(Smile=TRUE(),VLOOKUP(MAX(-5,$H47-M47),Volsmile,2),0)),$CT47,$CU47,($A47-DateToday)+15,ABS(Option-2),0)-V47)),0))</f>
        <v> </v>
      </c>
      <c r="AF47" s="290" t="str">
        <f aca="false">IF($A47="N/A"," ",IF(OR(Dayrun&lt;=2,Dayrun&gt;=10),IF(OffPeakEx=TRUE(),MAX(0,(xSPRDOPT(N47,($E47-'Pricing Inputs'!$X82*$D47),$CV47,0,($CQ47+IF(Smile=TRUE(),VLOOKUP(MAX(-5,$H47-N47),Volsmile,2),0)),$CT47,$CU47,($A47-DateToday)+15,ABS(Option-2),0)-W47)),0),0))</f>
        <v> </v>
      </c>
      <c r="AG47" s="290" t="str">
        <f aca="false">IF($A47="N/A"," ",IF(OR(Dayrun=1,Dayrun=5,Dayrun=8,Dayrun=11),MAX(0,(xSPRDOPT(O47,($E47-'Pricing Inputs'!$X82*$D47),$CV47,0,($CQ47+IF(Smile=TRUE(),VLOOKUP(MAX(-5,$H47-O47),Volsmile,2),0)),$CT47,$CU47,($A47-DateToday)+15,ABS(Option-2),0)-X47)),0))</f>
        <v> </v>
      </c>
      <c r="AH47" s="290" t="str">
        <f aca="false">IF($A47="N/A"," ",IF(OR(Dayrun=1,Dayrun=8,Dayrun=11),MAX(0,(xSPRDOPT(P47,($E47-'Pricing Inputs'!$X82*$D47),$CV47,0,($CQ47+IF(Smile=TRUE(),VLOOKUP(MAX(-5,$H47-P47),Volsmile,2),0)),$CT47,$CU47,($A47-DateToday)+15,ABS(Option-2),0)-Y47)),0))</f>
        <v> </v>
      </c>
      <c r="AI47" s="290" t="str">
        <f aca="false">IF($A47="N/A"," ",IF(OR(Dayrun&lt;=2,Dayrun&gt;=11),IF(OffPeakEx=TRUE(),MAX(0,(xSPRDOPT(Q47,($E47-'Pricing Inputs'!$X82*$D47),$CV47,0,($CQ47+IF(Smile=TRUE(),VLOOKUP(MAX(-5,$H47-Q47),Volsmile,2),0)),$CT47,$CU47,($A47-DateToday)+15,ABS(Option-2),0)-Z47)),0),0))</f>
        <v> </v>
      </c>
      <c r="AJ47" s="294" t="str">
        <f aca="false">IF($A47="N/A"," ",IF(Dayrun&gt;=3,IF(Option=1,$I47-$H47,IF(Option=2,$H47-$I47)),0))</f>
        <v> </v>
      </c>
      <c r="AK47" s="295" t="str">
        <f aca="false">IF($A47="N/A"," ",IF(Dayrun&gt;=6,IF(Option=1,$J47-H47,IF(Option=2,H47-$J47)),0))</f>
        <v> </v>
      </c>
      <c r="AL47" s="295" t="str">
        <f aca="false">IF($A47="N/A"," ",IF(OR(Dayrun&lt;=2,Dayrun&gt;=9),IF(Option=1,$K47-$H47,IF(Option=2,$H47-$K47)),0))</f>
        <v> </v>
      </c>
      <c r="AM47" s="295" t="str">
        <f aca="false">IF($A47="N/A"," ",IF(OR(Dayrun=1,Dayrun=4,Dayrun=5,Dayrun=7,Dayrun=8,Dayrun=10,Dayrun=11),IF(Option=1,$L47-H47,IF(Option=2,H47-$L47)),0))</f>
        <v> </v>
      </c>
      <c r="AN47" s="295" t="str">
        <f aca="false">IF($A47="N/A"," ",IF(OR(Dayrun=1,Dayrun=7,Dayrun=8,Dayrun=10,Dayrun=11),IF(Option=1,$M47-H47,IF(Option=2,H47-$M47)),0))</f>
        <v> </v>
      </c>
      <c r="AO47" s="295" t="str">
        <f aca="false">IF($A47="N/A"," ",IF(OR(Dayrun&lt;=2,Dayrun&gt;=9),IF(Option=1,$N47-$H47,IF(Option=2,$H47-$N47)),0))</f>
        <v> </v>
      </c>
      <c r="AP47" s="295" t="str">
        <f aca="false">IF($A47="N/A"," ",IF(OR(Dayrun=1,Dayrun=5,Dayrun=8,Dayrun=11),IF(Option=1,$O47-H47,IF(Option=2,H47-$O47)),0))</f>
        <v> </v>
      </c>
      <c r="AQ47" s="295" t="str">
        <f aca="false">IF($A47="N/A"," ",IF(OR(Dayrun=1,Dayrun=8,Dayrun=11),IF(Option=1,$P47-H47,IF(Option=2,H47-$P47)),0))</f>
        <v> </v>
      </c>
      <c r="AR47" s="296" t="str">
        <f aca="false">IF($A47="N/A"," ",IF(OR(Dayrun&lt;=2,Dayrun&gt;=9),IF(Option=1,$Q47-H47,IF(Option=2,H47-$Q47)),0))</f>
        <v> </v>
      </c>
      <c r="AS47" s="297" t="str">
        <f aca="false">IF($A47="N/A"," ",IF(VLOOKUP(MONTH($A47),ManualTable,2)=1,IF(Dayrun&gt;=3,$DE47*8*$CY47,0),0))</f>
        <v> </v>
      </c>
      <c r="AT47" s="297" t="str">
        <f aca="false">IF($A47="N/A"," ",IF(VLOOKUP(MONTH($A47),ManualTable,3)=1,IF(Dayrun&gt;=6,$DE47*8*$CY47,0),0))</f>
        <v> </v>
      </c>
      <c r="AU47" s="297" t="str">
        <f aca="false">IF($A47="N/A"," ",IF(VLOOKUP(MONTH($A47),ManualTable,4)=1,IF(OR(Dayrun&lt;=2,Dayrun&gt;=9),$DE47*8*$CY47,0),0))</f>
        <v> </v>
      </c>
      <c r="AV47" s="297" t="str">
        <f aca="false">IF($A47="N/A"," ",IF(VLOOKUP(MONTH($A47),ManualTable,5)=1,IF(OR(Dayrun=1,Dayrun=4,Dayrun=5,Dayrun=7,Dayrun=8,Dayrun=10,Dayrun=11),$DF47*8*$CY47,0),0))</f>
        <v> </v>
      </c>
      <c r="AW47" s="297" t="str">
        <f aca="false">IF($A47="N/A"," ",IF(VLOOKUP(MONTH($A47),ManualTable,6)=1,IF(OR(Dayrun=1,Dayrun=7,Dayrun=8,Dayrun=10,Dayrun=11),$DF47*8*$CY47,0),0))</f>
        <v> </v>
      </c>
      <c r="AX47" s="297" t="str">
        <f aca="false">IF($A47="N/A"," ",IF(VLOOKUP(MONTH($A47),ManualTable,7)=1,IF(OR(Dayrun&lt;=2,Dayrun&gt;=9),$DF47*8*$CY47,0),0))</f>
        <v> </v>
      </c>
      <c r="AY47" s="297" t="str">
        <f aca="false">IF($A47="N/A"," ",IF(VLOOKUP(MONTH($A47),ManualTable,8)=1,IF(OR(Dayrun=1,Dayrun=5,Dayrun=8,Dayrun=11),$DG47*8*$CY47,0),0))</f>
        <v> </v>
      </c>
      <c r="AZ47" s="297" t="str">
        <f aca="false">IF($A47="N/A"," ",IF(VLOOKUP(MONTH($A47),ManualTable,9)=1,IF(OR(Dayrun=1,Dayrun=8,Dayrun=11),$DG47*8*$CY47,0),0))</f>
        <v> </v>
      </c>
      <c r="BA47" s="298" t="str">
        <f aca="false">IF($A47="N/A"," ",IF(VLOOKUP(MONTH($A47),ManualTable,10)=1,IF(OR(Dayrun&lt;=2,Dayrun&gt;=9),$DG47*8*$CY47,0),0))</f>
        <v> </v>
      </c>
      <c r="BB47" s="299" t="str">
        <f aca="false">IF($A47="N/A"," ",IF(Dayrun&gt;=3,(MAX(0,(xSPRDOPT(I47,($E47-'Pricing Inputs'!$X82*$D47),$CV47,0,($CN47+IF(Smile=TRUE(),VLOOKUP(MAX(-5,$H47-I47),Volsmile,2),0)),$CT47,$CU47,($A47-DateToday)+15,ABS(Option-2),1)*DE47*8))),0))</f>
        <v> </v>
      </c>
      <c r="BC47" s="300" t="str">
        <f aca="false">IF($A47="N/A"," ",IF(Dayrun&gt;=6,MAX(0,(xSPRDOPT(J47,($E47-'Pricing Inputs'!$X82*$D47),$CV47,0,($CN47+IF(Smile=TRUE(),VLOOKUP(MAX(-5,$H47-J47),Volsmile,2),0)),$CT47,$CU47,($A47-DateToday)+15,ABS(Option-2),1)*DE47*8)),0))</f>
        <v> </v>
      </c>
      <c r="BD47" s="300" t="str">
        <f aca="false">IF($A47="N/A"," ",IF(OR(Dayrun&lt;=2,Dayrun&gt;=9),IF(OffPeakEx=TRUE(),MAX(0,(xSPRDOPT(K47,($E47-'Pricing Inputs'!$X82*$D47),$CV47,0,($CQ47+IF(Smile=TRUE(),VLOOKUP(MAX(-5,$H47-K47),Volsmile,2),0)),$CT47,$CU47,($A47-DateToday)+15,ABS(Option-2),1)*DE47*8)),0),0))</f>
        <v> </v>
      </c>
      <c r="BE47" s="300" t="str">
        <f aca="false">IF($A47="N/A"," ",IF(OR(Dayrun=1,Dayrun=4,Dayrun=5,Dayrun=7,Dayrun=8,Dayrun=10,Dayrun=11),MAX(0,(xSPRDOPT(L47,($E47-'Pricing Inputs'!$X82*$D47),$CV47,0,($CQ47+IF(Smile=TRUE(),VLOOKUP(MAX(-5,$H47-L47),Volsmile,2),0)),$CT47,$CU47,($A47-DateToday)+15,ABS(Option-2),1)*DF47*8)),0))</f>
        <v> </v>
      </c>
      <c r="BF47" s="300" t="str">
        <f aca="false">IF($A47="N/A"," ",IF(OR(Dayrun=1,Dayrun=7,Dayrun=8,Dayrun=10,Dayrun=11),MAX(0,(xSPRDOPT(M47,($E47-'Pricing Inputs'!$X82*$D47),$CV47,0,($CQ47+IF(Smile=TRUE(),VLOOKUP(MAX(-5,$H47-M47),Volsmile,2),0)),$CT47,$CU47,($A47-DateToday)+15,ABS(Option-2),1)*DF47*8)),0))</f>
        <v> </v>
      </c>
      <c r="BG47" s="300" t="str">
        <f aca="false">IF($A47="N/A"," ",IF(OR(Dayrun&lt;=2,Dayrun&gt;=10),IF(OffPeakEx=TRUE(),MAX(0,(xSPRDOPT(N47,($E47-'Pricing Inputs'!$X82*$D47),$CV47,0,($CQ47+IF(Smile=TRUE(),VLOOKUP(MAX(-5,$H47-N47),Volsmile,2),0)),$CT47,$CU47,($A47-DateToday)+15,ABS(Option-2),1)*DF47*8)),0),0))</f>
        <v> </v>
      </c>
      <c r="BH47" s="300" t="str">
        <f aca="false">IF($A47="N/A"," ",IF(OR(Dayrun=1,Dayrun=5,Dayrun=8,Dayrun=11),MAX(0,(xSPRDOPT(O47,($E47-'Pricing Inputs'!$X82*$D47),$CV47,0,($CQ47+IF(Smile=TRUE(),VLOOKUP(MAX(-5,$H47-O47),Volsmile,2),0)),$CT47,$CU47,($A47-DateToday)+15,ABS(Option-2),1)*DG47*8)),0))</f>
        <v> </v>
      </c>
      <c r="BI47" s="300" t="str">
        <f aca="false">IF($A47="N/A"," ",IF(OR(Dayrun=1,Dayrun=8,Dayrun=11),MAX(0,(xSPRDOPT(P47,($E47-'Pricing Inputs'!$X82*$D47),$CV47,0,($CQ47+IF(Smile=TRUE(),VLOOKUP(MAX(-5,$H47-P47),Volsmile,2),0)),$CT47,$CU47,($A47-DateToday)+15,ABS(Option-2),1)*DG47*8)),0))</f>
        <v> </v>
      </c>
      <c r="BJ47" s="301" t="str">
        <f aca="false">IF($A47="N/A"," ",IF(OR(Dayrun&lt;=2,Dayrun&gt;=11),IF(OffPeakEx=TRUE(),MAX(0,(xSPRDOPT(Q47,($E47-'Pricing Inputs'!$X82*$D47),$CV47,0,($CQ47+IF(Smile=TRUE(),VLOOKUP(MAX(-5,$H47-Q47),Volsmile,2),0)),$CT47,$CU47,($A47-DateToday)+15,ABS(Option-2),1)*DG47*8)),0),0))</f>
        <v> </v>
      </c>
      <c r="BK47" s="302" t="str">
        <f aca="false">IF($A47="N/A"," ",R47*$AS47)</f>
        <v> </v>
      </c>
      <c r="BL47" s="303" t="str">
        <f aca="false">IF($A47="N/A"," ",S47*$AT47)</f>
        <v> </v>
      </c>
      <c r="BM47" s="303" t="str">
        <f aca="false">IF($A47="N/A"," ",T47*$AU47)</f>
        <v> </v>
      </c>
      <c r="BN47" s="303" t="str">
        <f aca="false">IF($A47="N/A"," ",U47*$AV47)</f>
        <v> </v>
      </c>
      <c r="BO47" s="303" t="str">
        <f aca="false">IF($A47="N/A"," ",V47*$AW47)</f>
        <v> </v>
      </c>
      <c r="BP47" s="303" t="str">
        <f aca="false">IF($A47="N/A"," ",W47*$AX47)</f>
        <v> </v>
      </c>
      <c r="BQ47" s="303" t="str">
        <f aca="false">IF($A47="N/A"," ",X47*$AY47)</f>
        <v> </v>
      </c>
      <c r="BR47" s="303" t="str">
        <f aca="false">IF($A47="N/A"," ",Y47*$AZ47)</f>
        <v> </v>
      </c>
      <c r="BS47" s="304" t="str">
        <f aca="false">IF($A47="N/A"," ",Z47*$BA47)</f>
        <v> </v>
      </c>
      <c r="BT47" s="305" t="str">
        <f aca="false">IF($A47="N/A"," ",AA47*$AS47)</f>
        <v> </v>
      </c>
      <c r="BU47" s="306" t="str">
        <f aca="false">IF($A47="N/A"," ",AB47*$AT47)</f>
        <v> </v>
      </c>
      <c r="BV47" s="306" t="str">
        <f aca="false">IF($A47="N/A"," ",AC47*$AU47)</f>
        <v> </v>
      </c>
      <c r="BW47" s="306" t="str">
        <f aca="false">IF($A47="N/A"," ",AD47*$AV47)</f>
        <v> </v>
      </c>
      <c r="BX47" s="306" t="str">
        <f aca="false">IF($A47="N/A"," ",AE47*$AW47)</f>
        <v> </v>
      </c>
      <c r="BY47" s="306" t="str">
        <f aca="false">IF($A47="N/A"," ",AF47*$AX47)</f>
        <v> </v>
      </c>
      <c r="BZ47" s="306" t="str">
        <f aca="false">IF($A47="N/A"," ",AG47*$AY47)</f>
        <v> </v>
      </c>
      <c r="CA47" s="306" t="str">
        <f aca="false">IF($A47="N/A"," ",AH47*$AZ47)</f>
        <v> </v>
      </c>
      <c r="CB47" s="307" t="str">
        <f aca="false">IF($A47="N/A"," ",AI47*$BA47)</f>
        <v> </v>
      </c>
      <c r="CC47" s="308" t="str">
        <f aca="false">IF($A47="N/A"," ",AJ47*$AS47)</f>
        <v> </v>
      </c>
      <c r="CD47" s="309" t="str">
        <f aca="false">IF($A47="N/A"," ",AK47*$AT47)</f>
        <v> </v>
      </c>
      <c r="CE47" s="309" t="str">
        <f aca="false">IF($A47="N/A"," ",AL47*$AU47)</f>
        <v> </v>
      </c>
      <c r="CF47" s="309" t="str">
        <f aca="false">IF($A47="N/A"," ",AM47*$AV47)</f>
        <v> </v>
      </c>
      <c r="CG47" s="309" t="str">
        <f aca="false">IF($A47="N/A"," ",AN47*$AW47)</f>
        <v> </v>
      </c>
      <c r="CH47" s="309" t="str">
        <f aca="false">IF($A47="N/A"," ",AO47*$AX47)</f>
        <v> </v>
      </c>
      <c r="CI47" s="309" t="str">
        <f aca="false">IF($A47="N/A"," ",AP47*$AY47)</f>
        <v> </v>
      </c>
      <c r="CJ47" s="309" t="str">
        <f aca="false">IF($A47="N/A"," ",AQ47*$AZ47)</f>
        <v> </v>
      </c>
      <c r="CK47" s="310" t="str">
        <f aca="false">IF($A47="N/A"," ",AR47*$BA47)</f>
        <v> </v>
      </c>
      <c r="CL47" s="311" t="str">
        <f aca="false">IF(A47="N/A"," ",(VLOOKUP(A47,PowerVolTable,(IF(VolBMO=2,7,IF(VolBMO=1,6,8))),FALSE())))</f>
        <v> </v>
      </c>
      <c r="CM47" s="312" t="str">
        <f aca="false">IF(A47="N/A"," ",(VLOOKUP(A47,IntraPowerVol,(IF(VolBMO=2,3,IF(VolBMO=1,2,4))),FALSE())*VLOOKUP(MONTH($A47),Volscale,2)))</f>
        <v> </v>
      </c>
      <c r="CN47" s="312" t="str">
        <f aca="false">IF($A47="N/A"," ",IF(VolType=1,CM47,CL47))</f>
        <v> </v>
      </c>
      <c r="CO47" s="312" t="str">
        <f aca="false">IF($A47="N/A"," ",(VLOOKUP($A47,OffPeakVol,(IF(VolBMO=2,7,IF(VolBMO=1,6,8))),FALSE())))</f>
        <v> </v>
      </c>
      <c r="CP47" s="312" t="str">
        <f aca="false">IF($A47="N/A"," ",(VLOOKUP($A47,OffPeakVol,(IF(VolBMO=2,3,IF(VolBMO=1,2,4))),FALSE())*VLOOKUP(MONTH($A47),Volscale,2)))</f>
        <v> </v>
      </c>
      <c r="CQ47" s="312" t="str">
        <f aca="false">IF($A47="N/A"," ",IF(VolType=1,CP47,CO47))</f>
        <v> </v>
      </c>
      <c r="CR47" s="312" t="str">
        <f aca="false">IF($A47="N/A"," ",(VLOOKUP($A47,GasVolTable,(IF(VolBMO=2,6,IF(VolBMO=1,7,5))),FALSE())))</f>
        <v> </v>
      </c>
      <c r="CS47" s="312" t="str">
        <f aca="false">IF($A47="N/A"," ",(VLOOKUP($A47,OmicronVol,(IF(VolBMO=2,3,IF(VolBMO=1,4,2))),FALSE())))</f>
        <v> </v>
      </c>
      <c r="CT47" s="312" t="str">
        <f aca="false">IF($A47="N/A"," ",(IF(DateToday&gt;$A47,$CS47,IF(VolType=1,((($CR47^2)*((($A47-1)-DateToday)/((EOMONTH($A47,0)+1)-DateToday-15)))+((($CS47)^2)*((15)/((EOMONTH($A47,0)+1)-DateToday-15))))^0.5,CR47))))</f>
        <v> </v>
      </c>
      <c r="CU47" s="312" t="str">
        <f aca="false">IF($A47="N/A"," ",IF('Pricing Inputs'!$AR$23=TRUE(),Inputs!$S$22,VLOOKUP($A47,CorrelationTable,2,FALSE())))</f>
        <v> </v>
      </c>
      <c r="CV47" s="313" t="str">
        <f aca="false">IF($A47="N/A"," ",F47+G47+(D47*('Pricing Inputs'!X82)))</f>
        <v> </v>
      </c>
      <c r="CW47" s="314" t="str">
        <f aca="false">IF($A47="N/A"," ",IF(PV=1,0,'Pricing Inputs'!Y82))</f>
        <v> </v>
      </c>
      <c r="CX47" s="315" t="str">
        <f aca="false">IF($A47="N/A"," ",(1+CW47/2)^(-2*((EOMONTH(A47,0)+20)-DateToday)/365.25))</f>
        <v> </v>
      </c>
      <c r="CY47" s="316" t="str">
        <f aca="false">IF($A47="N/A"," ",(IF(MONTH(A47)&gt;=4,IF(MONTH(A47)&lt;=10,Inputs!$S$26,Inputs!$S$27),Inputs!$S$27))*$CX47)</f>
        <v> </v>
      </c>
      <c r="CZ47" s="317" t="str">
        <f aca="false">IF($A47="N/A"," ",BK47+BL47+BN47+BO47+BQ47+BR47)</f>
        <v> </v>
      </c>
      <c r="DA47" s="318" t="str">
        <f aca="false">IF($A47="N/A"," ",BM47+BP47+BS47)</f>
        <v> </v>
      </c>
      <c r="DB47" s="319" t="str">
        <f aca="false">IF($A47="N/A"," ",BT47+BU47+BW47+BX47+BZ47+CA47)</f>
        <v> </v>
      </c>
      <c r="DC47" s="319" t="str">
        <f aca="false">IF($A47="N/A"," ",BV47+BY47+CB47)</f>
        <v> </v>
      </c>
      <c r="DD47" s="320" t="str">
        <f aca="false">IF($A47="N/A"," ",SUM(CC47:CK47))</f>
        <v> </v>
      </c>
      <c r="DE47" s="321" t="str">
        <f aca="false">IF($A47="N/A"," ",VLOOKUP($A47,NumberofDaysTable,2)*Availability)</f>
        <v> </v>
      </c>
      <c r="DF47" s="94" t="str">
        <f aca="false">IF($A47="N/A"," ",VLOOKUP($A47,NumberofDaysTable,3)*Availability)</f>
        <v> </v>
      </c>
      <c r="DG47" s="322" t="str">
        <f aca="false">IF($A47="N/A"," ",VLOOKUP($A47,NumberofDaysTable,4)*Availability)</f>
        <v> </v>
      </c>
      <c r="DH47" s="323" t="str">
        <f aca="false">IF($A47="N/A"," ",IF(Option=1,$D47*Inputs!$S$15*SUM(AS47:BA47),0))</f>
        <v> </v>
      </c>
      <c r="DI47" s="324" t="str">
        <f aca="false">IF($A47="N/A"," ",IF(Option=1,$D47*Inputs!$S$16*SUM(AS47:BA47),0))</f>
        <v> </v>
      </c>
      <c r="DJ47" s="325" t="str">
        <f aca="false">IF($A47="N/A"," ",SUM(AS47:AT47))</f>
        <v> </v>
      </c>
      <c r="DK47" s="325" t="str">
        <f aca="false">IF($A47="N/A"," ",SUM(AU47:BA47))</f>
        <v> </v>
      </c>
      <c r="DL47" s="325" t="str">
        <f aca="false">IF($A47="N/A"," ",SUM(BB47:BC47))</f>
        <v> </v>
      </c>
      <c r="DM47" s="325" t="str">
        <f aca="false">IF($A47="N/A"," ",SUM(BD47:BJ47))</f>
        <v> </v>
      </c>
    </row>
    <row r="48" customFormat="false" ht="12.75" hidden="false" customHeight="false" outlineLevel="0" collapsed="false">
      <c r="A48" s="282" t="str">
        <f aca="false">IF(A47="N/A","N/A",IF(EDATE(A47,1)&gt;Inputs!$S$5,"N/A",EDATE(A47,1)))</f>
        <v>N/A</v>
      </c>
      <c r="B48" s="283" t="str">
        <f aca="false">IF(A48="N/A"," ",YEAR(A48))</f>
        <v> </v>
      </c>
      <c r="C48" s="284" t="str">
        <f aca="false">IF(A48="N/A"," ",VLOOKUP(A48,ScaledPrice,14))</f>
        <v> </v>
      </c>
      <c r="D48" s="285" t="str">
        <f aca="false">IF(A48="N/A"," ",(VLOOKUP(MONTH($A48),Hrtable,2))/1000)</f>
        <v> </v>
      </c>
      <c r="E48" s="286" t="str">
        <f aca="false">IF($A48="N/A"," ",(C48)*D48)</f>
        <v> </v>
      </c>
      <c r="F48" s="287" t="str">
        <f aca="false">IF(A48="N/A"," ",VOM*(1+VOMesc)^(YEAR(A48)-YEAR(Today)))</f>
        <v> </v>
      </c>
      <c r="G48" s="287" t="str">
        <f aca="false">IF(A48="N/A"," ",Perstart/VLOOKUP(Dayrun,'Pricing Inputs'!$AQ$4:$AS$14,3)/(CY48/CX48))</f>
        <v> </v>
      </c>
      <c r="H48" s="288" t="str">
        <f aca="false">IF(A48="N/A"," ",SUM(E48:G48))</f>
        <v> </v>
      </c>
      <c r="I48" s="289" t="str">
        <f aca="false">VLOOKUP($A48,ScaledPrice,6)</f>
        <v> </v>
      </c>
      <c r="J48" s="290" t="str">
        <f aca="false">VLOOKUP($A48,ScaledPrice,10)</f>
        <v> </v>
      </c>
      <c r="K48" s="290" t="str">
        <f aca="false">VLOOKUP($A48,ScaledPrice,13)</f>
        <v> </v>
      </c>
      <c r="L48" s="290" t="str">
        <f aca="false">VLOOKUP($A48,ScaledPrice,7)</f>
        <v> </v>
      </c>
      <c r="M48" s="290" t="str">
        <f aca="false">VLOOKUP($A48,ScaledPrice,11)</f>
        <v> </v>
      </c>
      <c r="N48" s="290" t="str">
        <f aca="false">VLOOKUP($A48,ScaledPrice,13)</f>
        <v> </v>
      </c>
      <c r="O48" s="290" t="str">
        <f aca="false">VLOOKUP($A48,ScaledPrice,8)</f>
        <v> </v>
      </c>
      <c r="P48" s="290" t="str">
        <f aca="false">VLOOKUP($A48,ScaledPrice,12)</f>
        <v> </v>
      </c>
      <c r="Q48" s="291" t="str">
        <f aca="false">VLOOKUP($A48,ScaledPrice,13)</f>
        <v> </v>
      </c>
      <c r="R48" s="292" t="str">
        <f aca="false">IF($A48="N/A"," ",IF(Dayrun&gt;=3,IF(Option=1,MAX($I48-$H48,0),IF(Option=2,MAX($H48-$I48,0),0)),0))</f>
        <v> </v>
      </c>
      <c r="S48" s="286" t="str">
        <f aca="false">IF($A48="N/A"," ",IF(Dayrun&gt;=6,IF(Option=1,MAX($J48-H48,0),IF(Option=2,MAX(H48-$J48,0),0)),0))</f>
        <v> </v>
      </c>
      <c r="T48" s="286" t="str">
        <f aca="false">IF($A48="N/A"," ",IF(OR(Dayrun&lt;=2,Dayrun&gt;=9),IF(Option=1,MAX($K48-$H48,0),IF(Option=2,MAX($H48-$K48,0),0)),0))</f>
        <v> </v>
      </c>
      <c r="U48" s="286" t="str">
        <f aca="false">IF($A48="N/A"," ",IF(OR(Dayrun=1,Dayrun=4,Dayrun=5,Dayrun=7,Dayrun=8,Dayrun=10,Dayrun=11),IF(Option=1,MAX($L48-H48,0),IF(Option=2,MAX(H48-$L48,0),0)),0))</f>
        <v> </v>
      </c>
      <c r="V48" s="286" t="str">
        <f aca="false">IF($A48="N/A"," ",IF(OR(Dayrun=1,Dayrun=7,Dayrun=8,Dayrun=10,Dayrun=11),IF(Option=1,MAX($M48-H48,0),IF(Option=2,MAX(H48-$M48,0),0)),0))</f>
        <v> </v>
      </c>
      <c r="W48" s="286" t="str">
        <f aca="false">IF($A48="N/A"," ",IF(OR(Dayrun&lt;=2,Dayrun&gt;=10),IF(Option=1,MAX($N48-$H48,0),IF(Option=2,MAX($H48-$N48,0),0)),0))</f>
        <v> </v>
      </c>
      <c r="X48" s="286" t="str">
        <f aca="false">IF($A48="N/A"," ",IF(OR(Dayrun=1,Dayrun=5,Dayrun=8,Dayrun=11),IF(Option=1,MAX($O48-H48,0),IF(Option=2,MAX(H48-$O48,0),0)),0))</f>
        <v> </v>
      </c>
      <c r="Y48" s="286" t="str">
        <f aca="false">IF($A48="N/A"," ",IF(OR(Dayrun=1,Dayrun=8,Dayrun=11),IF(Option=1,MAX($P48-H48,0),IF(Option=2,MAX(H48-$P48,0),0)),0))</f>
        <v> </v>
      </c>
      <c r="Z48" s="293" t="str">
        <f aca="false">IF($A48="N/A"," ",IF(OR(Dayrun&lt;=2,Dayrun&gt;=11),IF(Option=1,MAX($Q48-$H48,0),IF(Option=2,MAX($H48-$Q48,0),0)),0))</f>
        <v> </v>
      </c>
      <c r="AA48" s="289" t="str">
        <f aca="false">IF($A48="N/A"," ",IF(Dayrun&gt;=3,(MAX(0,(xSPRDOPT(I48,($E48-'Pricing Inputs'!$X83*$D48),$CV48,0,($CN48+IF(Smile=TRUE(),VLOOKUP(MAX(-5,$H48-I48),Volsmile,2),0)),$CT48,$CU48,($A48-DateToday)+15,ABS(Option-2),0)-R48))),0))</f>
        <v> </v>
      </c>
      <c r="AB48" s="290" t="str">
        <f aca="false">IF($A48="N/A"," ",IF(Dayrun&gt;=6,MAX(0,(xSPRDOPT(J48,($E48-'Pricing Inputs'!$X83*$D48),$CV48,0,($CN48+IF(Smile=TRUE(),VLOOKUP(MAX(-5,$H48-J48),Volsmile,2),0)),$CT48,$CU48,($A48-DateToday)+15,ABS(Option-2),0)-S48)),0))</f>
        <v> </v>
      </c>
      <c r="AC48" s="290" t="str">
        <f aca="false">IF($A48="N/A"," ",IF(OR(Dayrun&lt;=2,Dayrun&gt;=9),IF(OffPeakEx=TRUE(),MAX(0,(xSPRDOPT(K48,($E48-'Pricing Inputs'!$X83*$D48),$CV48,0,($CQ48+IF(Smile=TRUE(),VLOOKUP(MAX(-5,$H48-K48),Volsmile,2),0)),$CT48,$CU48,($A48-DateToday)+15,ABS(Option-2),0)-T48)),0),0))</f>
        <v> </v>
      </c>
      <c r="AD48" s="290" t="str">
        <f aca="false">IF($A48="N/A"," ",IF(OR(Dayrun=1,Dayrun=4,Dayrun=5,Dayrun=7,Dayrun=8,Dayrun=10,Dayrun=11),MAX(0,(xSPRDOPT(L48,($E48-'Pricing Inputs'!$X83*$D48),$CV48,0,($CQ48+IF(Smile=TRUE(),VLOOKUP(MAX(-5,$H48-L48),Volsmile,2),0)),$CT48,$CU48,($A48-DateToday)+15,ABS(Option-2),0)-U48)),0))</f>
        <v> </v>
      </c>
      <c r="AE48" s="290" t="str">
        <f aca="false">IF($A48="N/A"," ",IF(OR(Dayrun=1,Dayrun=7,Dayrun=8,Dayrun=10,Dayrun=11),MAX(0,(xSPRDOPT(M48,($E48-'Pricing Inputs'!$X83*$D48),$CV48,0,($CQ48+IF(Smile=TRUE(),VLOOKUP(MAX(-5,$H48-M48),Volsmile,2),0)),$CT48,$CU48,($A48-DateToday)+15,ABS(Option-2),0)-V48)),0))</f>
        <v> </v>
      </c>
      <c r="AF48" s="290" t="str">
        <f aca="false">IF($A48="N/A"," ",IF(OR(Dayrun&lt;=2,Dayrun&gt;=10),IF(OffPeakEx=TRUE(),MAX(0,(xSPRDOPT(N48,($E48-'Pricing Inputs'!$X83*$D48),$CV48,0,($CQ48+IF(Smile=TRUE(),VLOOKUP(MAX(-5,$H48-N48),Volsmile,2),0)),$CT48,$CU48,($A48-DateToday)+15,ABS(Option-2),0)-W48)),0),0))</f>
        <v> </v>
      </c>
      <c r="AG48" s="290" t="str">
        <f aca="false">IF($A48="N/A"," ",IF(OR(Dayrun=1,Dayrun=5,Dayrun=8,Dayrun=11),MAX(0,(xSPRDOPT(O48,($E48-'Pricing Inputs'!$X83*$D48),$CV48,0,($CQ48+IF(Smile=TRUE(),VLOOKUP(MAX(-5,$H48-O48),Volsmile,2),0)),$CT48,$CU48,($A48-DateToday)+15,ABS(Option-2),0)-X48)),0))</f>
        <v> </v>
      </c>
      <c r="AH48" s="290" t="str">
        <f aca="false">IF($A48="N/A"," ",IF(OR(Dayrun=1,Dayrun=8,Dayrun=11),MAX(0,(xSPRDOPT(P48,($E48-'Pricing Inputs'!$X83*$D48),$CV48,0,($CQ48+IF(Smile=TRUE(),VLOOKUP(MAX(-5,$H48-P48),Volsmile,2),0)),$CT48,$CU48,($A48-DateToday)+15,ABS(Option-2),0)-Y48)),0))</f>
        <v> </v>
      </c>
      <c r="AI48" s="290" t="str">
        <f aca="false">IF($A48="N/A"," ",IF(OR(Dayrun&lt;=2,Dayrun&gt;=11),IF(OffPeakEx=TRUE(),MAX(0,(xSPRDOPT(Q48,($E48-'Pricing Inputs'!$X83*$D48),$CV48,0,($CQ48+IF(Smile=TRUE(),VLOOKUP(MAX(-5,$H48-Q48),Volsmile,2),0)),$CT48,$CU48,($A48-DateToday)+15,ABS(Option-2),0)-Z48)),0),0))</f>
        <v> </v>
      </c>
      <c r="AJ48" s="294" t="str">
        <f aca="false">IF($A48="N/A"," ",IF(Dayrun&gt;=3,IF(Option=1,$I48-$H48,IF(Option=2,$H48-$I48)),0))</f>
        <v> </v>
      </c>
      <c r="AK48" s="295" t="str">
        <f aca="false">IF($A48="N/A"," ",IF(Dayrun&gt;=6,IF(Option=1,$J48-H48,IF(Option=2,H48-$J48)),0))</f>
        <v> </v>
      </c>
      <c r="AL48" s="295" t="str">
        <f aca="false">IF($A48="N/A"," ",IF(OR(Dayrun&lt;=2,Dayrun&gt;=9),IF(Option=1,$K48-$H48,IF(Option=2,$H48-$K48)),0))</f>
        <v> </v>
      </c>
      <c r="AM48" s="295" t="str">
        <f aca="false">IF($A48="N/A"," ",IF(OR(Dayrun=1,Dayrun=4,Dayrun=5,Dayrun=7,Dayrun=8,Dayrun=10,Dayrun=11),IF(Option=1,$L48-H48,IF(Option=2,H48-$L48)),0))</f>
        <v> </v>
      </c>
      <c r="AN48" s="295" t="str">
        <f aca="false">IF($A48="N/A"," ",IF(OR(Dayrun=1,Dayrun=7,Dayrun=8,Dayrun=10,Dayrun=11),IF(Option=1,$M48-H48,IF(Option=2,H48-$M48)),0))</f>
        <v> </v>
      </c>
      <c r="AO48" s="295" t="str">
        <f aca="false">IF($A48="N/A"," ",IF(OR(Dayrun&lt;=2,Dayrun&gt;=9),IF(Option=1,$N48-$H48,IF(Option=2,$H48-$N48)),0))</f>
        <v> </v>
      </c>
      <c r="AP48" s="295" t="str">
        <f aca="false">IF($A48="N/A"," ",IF(OR(Dayrun=1,Dayrun=5,Dayrun=8,Dayrun=11),IF(Option=1,$O48-H48,IF(Option=2,H48-$O48)),0))</f>
        <v> </v>
      </c>
      <c r="AQ48" s="295" t="str">
        <f aca="false">IF($A48="N/A"," ",IF(OR(Dayrun=1,Dayrun=8,Dayrun=11),IF(Option=1,$P48-H48,IF(Option=2,H48-$P48)),0))</f>
        <v> </v>
      </c>
      <c r="AR48" s="296" t="str">
        <f aca="false">IF($A48="N/A"," ",IF(OR(Dayrun&lt;=2,Dayrun&gt;=9),IF(Option=1,$Q48-H48,IF(Option=2,H48-$Q48)),0))</f>
        <v> </v>
      </c>
      <c r="AS48" s="297" t="str">
        <f aca="false">IF($A48="N/A"," ",IF(VLOOKUP(MONTH($A48),ManualTable,2)=1,IF(Dayrun&gt;=3,$DE48*8*$CY48,0),0))</f>
        <v> </v>
      </c>
      <c r="AT48" s="297" t="str">
        <f aca="false">IF($A48="N/A"," ",IF(VLOOKUP(MONTH($A48),ManualTable,3)=1,IF(Dayrun&gt;=6,$DE48*8*$CY48,0),0))</f>
        <v> </v>
      </c>
      <c r="AU48" s="297" t="str">
        <f aca="false">IF($A48="N/A"," ",IF(VLOOKUP(MONTH($A48),ManualTable,4)=1,IF(OR(Dayrun&lt;=2,Dayrun&gt;=9),$DE48*8*$CY48,0),0))</f>
        <v> </v>
      </c>
      <c r="AV48" s="297" t="str">
        <f aca="false">IF($A48="N/A"," ",IF(VLOOKUP(MONTH($A48),ManualTable,5)=1,IF(OR(Dayrun=1,Dayrun=4,Dayrun=5,Dayrun=7,Dayrun=8,Dayrun=10,Dayrun=11),$DF48*8*$CY48,0),0))</f>
        <v> </v>
      </c>
      <c r="AW48" s="297" t="str">
        <f aca="false">IF($A48="N/A"," ",IF(VLOOKUP(MONTH($A48),ManualTable,6)=1,IF(OR(Dayrun=1,Dayrun=7,Dayrun=8,Dayrun=10,Dayrun=11),$DF48*8*$CY48,0),0))</f>
        <v> </v>
      </c>
      <c r="AX48" s="297" t="str">
        <f aca="false">IF($A48="N/A"," ",IF(VLOOKUP(MONTH($A48),ManualTable,7)=1,IF(OR(Dayrun&lt;=2,Dayrun&gt;=9),$DF48*8*$CY48,0),0))</f>
        <v> </v>
      </c>
      <c r="AY48" s="297" t="str">
        <f aca="false">IF($A48="N/A"," ",IF(VLOOKUP(MONTH($A48),ManualTable,8)=1,IF(OR(Dayrun=1,Dayrun=5,Dayrun=8,Dayrun=11),$DG48*8*$CY48,0),0))</f>
        <v> </v>
      </c>
      <c r="AZ48" s="297" t="str">
        <f aca="false">IF($A48="N/A"," ",IF(VLOOKUP(MONTH($A48),ManualTable,9)=1,IF(OR(Dayrun=1,Dayrun=8,Dayrun=11),$DG48*8*$CY48,0),0))</f>
        <v> </v>
      </c>
      <c r="BA48" s="298" t="str">
        <f aca="false">IF($A48="N/A"," ",IF(VLOOKUP(MONTH($A48),ManualTable,10)=1,IF(OR(Dayrun&lt;=2,Dayrun&gt;=9),$DG48*8*$CY48,0),0))</f>
        <v> </v>
      </c>
      <c r="BB48" s="299" t="str">
        <f aca="false">IF($A48="N/A"," ",IF(Dayrun&gt;=3,(MAX(0,(xSPRDOPT(I48,($E48-'Pricing Inputs'!$X83*$D48),$CV48,0,($CN48+IF(Smile=TRUE(),VLOOKUP(MAX(-5,$H48-I48),Volsmile,2),0)),$CT48,$CU48,($A48-DateToday)+15,ABS(Option-2),1)*DE48*8))),0))</f>
        <v> </v>
      </c>
      <c r="BC48" s="300" t="str">
        <f aca="false">IF($A48="N/A"," ",IF(Dayrun&gt;=6,MAX(0,(xSPRDOPT(J48,($E48-'Pricing Inputs'!$X83*$D48),$CV48,0,($CN48+IF(Smile=TRUE(),VLOOKUP(MAX(-5,$H48-J48),Volsmile,2),0)),$CT48,$CU48,($A48-DateToday)+15,ABS(Option-2),1)*DE48*8)),0))</f>
        <v> </v>
      </c>
      <c r="BD48" s="300" t="str">
        <f aca="false">IF($A48="N/A"," ",IF(OR(Dayrun&lt;=2,Dayrun&gt;=9),IF(OffPeakEx=TRUE(),MAX(0,(xSPRDOPT(K48,($E48-'Pricing Inputs'!$X83*$D48),$CV48,0,($CQ48+IF(Smile=TRUE(),VLOOKUP(MAX(-5,$H48-K48),Volsmile,2),0)),$CT48,$CU48,($A48-DateToday)+15,ABS(Option-2),1)*DE48*8)),0),0))</f>
        <v> </v>
      </c>
      <c r="BE48" s="300" t="str">
        <f aca="false">IF($A48="N/A"," ",IF(OR(Dayrun=1,Dayrun=4,Dayrun=5,Dayrun=7,Dayrun=8,Dayrun=10,Dayrun=11),MAX(0,(xSPRDOPT(L48,($E48-'Pricing Inputs'!$X83*$D48),$CV48,0,($CQ48+IF(Smile=TRUE(),VLOOKUP(MAX(-5,$H48-L48),Volsmile,2),0)),$CT48,$CU48,($A48-DateToday)+15,ABS(Option-2),1)*DF48*8)),0))</f>
        <v> </v>
      </c>
      <c r="BF48" s="300" t="str">
        <f aca="false">IF($A48="N/A"," ",IF(OR(Dayrun=1,Dayrun=7,Dayrun=8,Dayrun=10,Dayrun=11),MAX(0,(xSPRDOPT(M48,($E48-'Pricing Inputs'!$X83*$D48),$CV48,0,($CQ48+IF(Smile=TRUE(),VLOOKUP(MAX(-5,$H48-M48),Volsmile,2),0)),$CT48,$CU48,($A48-DateToday)+15,ABS(Option-2),1)*DF48*8)),0))</f>
        <v> </v>
      </c>
      <c r="BG48" s="300" t="str">
        <f aca="false">IF($A48="N/A"," ",IF(OR(Dayrun&lt;=2,Dayrun&gt;=10),IF(OffPeakEx=TRUE(),MAX(0,(xSPRDOPT(N48,($E48-'Pricing Inputs'!$X83*$D48),$CV48,0,($CQ48+IF(Smile=TRUE(),VLOOKUP(MAX(-5,$H48-N48),Volsmile,2),0)),$CT48,$CU48,($A48-DateToday)+15,ABS(Option-2),1)*DF48*8)),0),0))</f>
        <v> </v>
      </c>
      <c r="BH48" s="300" t="str">
        <f aca="false">IF($A48="N/A"," ",IF(OR(Dayrun=1,Dayrun=5,Dayrun=8,Dayrun=11),MAX(0,(xSPRDOPT(O48,($E48-'Pricing Inputs'!$X83*$D48),$CV48,0,($CQ48+IF(Smile=TRUE(),VLOOKUP(MAX(-5,$H48-O48),Volsmile,2),0)),$CT48,$CU48,($A48-DateToday)+15,ABS(Option-2),1)*DG48*8)),0))</f>
        <v> </v>
      </c>
      <c r="BI48" s="300" t="str">
        <f aca="false">IF($A48="N/A"," ",IF(OR(Dayrun=1,Dayrun=8,Dayrun=11),MAX(0,(xSPRDOPT(P48,($E48-'Pricing Inputs'!$X83*$D48),$CV48,0,($CQ48+IF(Smile=TRUE(),VLOOKUP(MAX(-5,$H48-P48),Volsmile,2),0)),$CT48,$CU48,($A48-DateToday)+15,ABS(Option-2),1)*DG48*8)),0))</f>
        <v> </v>
      </c>
      <c r="BJ48" s="301" t="str">
        <f aca="false">IF($A48="N/A"," ",IF(OR(Dayrun&lt;=2,Dayrun&gt;=11),IF(OffPeakEx=TRUE(),MAX(0,(xSPRDOPT(Q48,($E48-'Pricing Inputs'!$X83*$D48),$CV48,0,($CQ48+IF(Smile=TRUE(),VLOOKUP(MAX(-5,$H48-Q48),Volsmile,2),0)),$CT48,$CU48,($A48-DateToday)+15,ABS(Option-2),1)*DG48*8)),0),0))</f>
        <v> </v>
      </c>
      <c r="BK48" s="302" t="str">
        <f aca="false">IF($A48="N/A"," ",R48*$AS48)</f>
        <v> </v>
      </c>
      <c r="BL48" s="303" t="str">
        <f aca="false">IF($A48="N/A"," ",S48*$AT48)</f>
        <v> </v>
      </c>
      <c r="BM48" s="303" t="str">
        <f aca="false">IF($A48="N/A"," ",T48*$AU48)</f>
        <v> </v>
      </c>
      <c r="BN48" s="303" t="str">
        <f aca="false">IF($A48="N/A"," ",U48*$AV48)</f>
        <v> </v>
      </c>
      <c r="BO48" s="303" t="str">
        <f aca="false">IF($A48="N/A"," ",V48*$AW48)</f>
        <v> </v>
      </c>
      <c r="BP48" s="303" t="str">
        <f aca="false">IF($A48="N/A"," ",W48*$AX48)</f>
        <v> </v>
      </c>
      <c r="BQ48" s="303" t="str">
        <f aca="false">IF($A48="N/A"," ",X48*$AY48)</f>
        <v> </v>
      </c>
      <c r="BR48" s="303" t="str">
        <f aca="false">IF($A48="N/A"," ",Y48*$AZ48)</f>
        <v> </v>
      </c>
      <c r="BS48" s="304" t="str">
        <f aca="false">IF($A48="N/A"," ",Z48*$BA48)</f>
        <v> </v>
      </c>
      <c r="BT48" s="305" t="str">
        <f aca="false">IF($A48="N/A"," ",AA48*$AS48)</f>
        <v> </v>
      </c>
      <c r="BU48" s="306" t="str">
        <f aca="false">IF($A48="N/A"," ",AB48*$AT48)</f>
        <v> </v>
      </c>
      <c r="BV48" s="306" t="str">
        <f aca="false">IF($A48="N/A"," ",AC48*$AU48)</f>
        <v> </v>
      </c>
      <c r="BW48" s="306" t="str">
        <f aca="false">IF($A48="N/A"," ",AD48*$AV48)</f>
        <v> </v>
      </c>
      <c r="BX48" s="306" t="str">
        <f aca="false">IF($A48="N/A"," ",AE48*$AW48)</f>
        <v> </v>
      </c>
      <c r="BY48" s="306" t="str">
        <f aca="false">IF($A48="N/A"," ",AF48*$AX48)</f>
        <v> </v>
      </c>
      <c r="BZ48" s="306" t="str">
        <f aca="false">IF($A48="N/A"," ",AG48*$AY48)</f>
        <v> </v>
      </c>
      <c r="CA48" s="306" t="str">
        <f aca="false">IF($A48="N/A"," ",AH48*$AZ48)</f>
        <v> </v>
      </c>
      <c r="CB48" s="307" t="str">
        <f aca="false">IF($A48="N/A"," ",AI48*$BA48)</f>
        <v> </v>
      </c>
      <c r="CC48" s="308" t="str">
        <f aca="false">IF($A48="N/A"," ",AJ48*$AS48)</f>
        <v> </v>
      </c>
      <c r="CD48" s="309" t="str">
        <f aca="false">IF($A48="N/A"," ",AK48*$AT48)</f>
        <v> </v>
      </c>
      <c r="CE48" s="309" t="str">
        <f aca="false">IF($A48="N/A"," ",AL48*$AU48)</f>
        <v> </v>
      </c>
      <c r="CF48" s="309" t="str">
        <f aca="false">IF($A48="N/A"," ",AM48*$AV48)</f>
        <v> </v>
      </c>
      <c r="CG48" s="309" t="str">
        <f aca="false">IF($A48="N/A"," ",AN48*$AW48)</f>
        <v> </v>
      </c>
      <c r="CH48" s="309" t="str">
        <f aca="false">IF($A48="N/A"," ",AO48*$AX48)</f>
        <v> </v>
      </c>
      <c r="CI48" s="309" t="str">
        <f aca="false">IF($A48="N/A"," ",AP48*$AY48)</f>
        <v> </v>
      </c>
      <c r="CJ48" s="309" t="str">
        <f aca="false">IF($A48="N/A"," ",AQ48*$AZ48)</f>
        <v> </v>
      </c>
      <c r="CK48" s="310" t="str">
        <f aca="false">IF($A48="N/A"," ",AR48*$BA48)</f>
        <v> </v>
      </c>
      <c r="CL48" s="311" t="str">
        <f aca="false">IF(A48="N/A"," ",(VLOOKUP(A48,PowerVolTable,(IF(VolBMO=2,7,IF(VolBMO=1,6,8))),FALSE())))</f>
        <v> </v>
      </c>
      <c r="CM48" s="312" t="str">
        <f aca="false">IF(A48="N/A"," ",(VLOOKUP(A48,IntraPowerVol,(IF(VolBMO=2,3,IF(VolBMO=1,2,4))),FALSE())*VLOOKUP(MONTH($A48),Volscale,2)))</f>
        <v> </v>
      </c>
      <c r="CN48" s="312" t="str">
        <f aca="false">IF($A48="N/A"," ",IF(VolType=1,CM48,CL48))</f>
        <v> </v>
      </c>
      <c r="CO48" s="312" t="str">
        <f aca="false">IF($A48="N/A"," ",(VLOOKUP($A48,OffPeakVol,(IF(VolBMO=2,7,IF(VolBMO=1,6,8))),FALSE())))</f>
        <v> </v>
      </c>
      <c r="CP48" s="312" t="str">
        <f aca="false">IF($A48="N/A"," ",(VLOOKUP($A48,OffPeakVol,(IF(VolBMO=2,3,IF(VolBMO=1,2,4))),FALSE())*VLOOKUP(MONTH($A48),Volscale,2)))</f>
        <v> </v>
      </c>
      <c r="CQ48" s="312" t="str">
        <f aca="false">IF($A48="N/A"," ",IF(VolType=1,CP48,CO48))</f>
        <v> </v>
      </c>
      <c r="CR48" s="312" t="str">
        <f aca="false">IF($A48="N/A"," ",(VLOOKUP($A48,GasVolTable,(IF(VolBMO=2,6,IF(VolBMO=1,7,5))),FALSE())))</f>
        <v> </v>
      </c>
      <c r="CS48" s="312" t="str">
        <f aca="false">IF($A48="N/A"," ",(VLOOKUP($A48,OmicronVol,(IF(VolBMO=2,3,IF(VolBMO=1,4,2))),FALSE())))</f>
        <v> </v>
      </c>
      <c r="CT48" s="312" t="str">
        <f aca="false">IF($A48="N/A"," ",(IF(DateToday&gt;$A48,$CS48,IF(VolType=1,((($CR48^2)*((($A48-1)-DateToday)/((EOMONTH($A48,0)+1)-DateToday-15)))+((($CS48)^2)*((15)/((EOMONTH($A48,0)+1)-DateToday-15))))^0.5,CR48))))</f>
        <v> </v>
      </c>
      <c r="CU48" s="312" t="str">
        <f aca="false">IF($A48="N/A"," ",IF('Pricing Inputs'!$AR$23=TRUE(),Inputs!$S$22,VLOOKUP($A48,CorrelationTable,2,FALSE())))</f>
        <v> </v>
      </c>
      <c r="CV48" s="313" t="str">
        <f aca="false">IF($A48="N/A"," ",F48+G48+(D48*('Pricing Inputs'!X83)))</f>
        <v> </v>
      </c>
      <c r="CW48" s="314" t="str">
        <f aca="false">IF($A48="N/A"," ",IF(PV=1,0,'Pricing Inputs'!Y83))</f>
        <v> </v>
      </c>
      <c r="CX48" s="315" t="str">
        <f aca="false">IF($A48="N/A"," ",(1+CW48/2)^(-2*((EOMONTH(A48,0)+20)-DateToday)/365.25))</f>
        <v> </v>
      </c>
      <c r="CY48" s="316" t="str">
        <f aca="false">IF($A48="N/A"," ",(IF(MONTH(A48)&gt;=4,IF(MONTH(A48)&lt;=10,Inputs!$S$26,Inputs!$S$27),Inputs!$S$27))*$CX48)</f>
        <v> </v>
      </c>
      <c r="CZ48" s="317" t="str">
        <f aca="false">IF($A48="N/A"," ",BK48+BL48+BN48+BO48+BQ48+BR48)</f>
        <v> </v>
      </c>
      <c r="DA48" s="318" t="str">
        <f aca="false">IF($A48="N/A"," ",BM48+BP48+BS48)</f>
        <v> </v>
      </c>
      <c r="DB48" s="319" t="str">
        <f aca="false">IF($A48="N/A"," ",BT48+BU48+BW48+BX48+BZ48+CA48)</f>
        <v> </v>
      </c>
      <c r="DC48" s="319" t="str">
        <f aca="false">IF($A48="N/A"," ",BV48+BY48+CB48)</f>
        <v> </v>
      </c>
      <c r="DD48" s="320" t="str">
        <f aca="false">IF($A48="N/A"," ",SUM(CC48:CK48))</f>
        <v> </v>
      </c>
      <c r="DE48" s="321" t="str">
        <f aca="false">IF($A48="N/A"," ",VLOOKUP($A48,NumberofDaysTable,2)*Availability)</f>
        <v> </v>
      </c>
      <c r="DF48" s="94" t="str">
        <f aca="false">IF($A48="N/A"," ",VLOOKUP($A48,NumberofDaysTable,3)*Availability)</f>
        <v> </v>
      </c>
      <c r="DG48" s="322" t="str">
        <f aca="false">IF($A48="N/A"," ",VLOOKUP($A48,NumberofDaysTable,4)*Availability)</f>
        <v> </v>
      </c>
      <c r="DH48" s="323" t="str">
        <f aca="false">IF($A48="N/A"," ",IF(Option=1,$D48*Inputs!$S$15*SUM(AS48:BA48),0))</f>
        <v> </v>
      </c>
      <c r="DI48" s="324" t="str">
        <f aca="false">IF($A48="N/A"," ",IF(Option=1,$D48*Inputs!$S$16*SUM(AS48:BA48),0))</f>
        <v> </v>
      </c>
      <c r="DJ48" s="325" t="str">
        <f aca="false">IF($A48="N/A"," ",SUM(AS48:AT48))</f>
        <v> </v>
      </c>
      <c r="DK48" s="325" t="str">
        <f aca="false">IF($A48="N/A"," ",SUM(AU48:BA48))</f>
        <v> </v>
      </c>
      <c r="DL48" s="325" t="str">
        <f aca="false">IF($A48="N/A"," ",SUM(BB48:BC48))</f>
        <v> </v>
      </c>
      <c r="DM48" s="325" t="str">
        <f aca="false">IF($A48="N/A"," ",SUM(BD48:BJ48))</f>
        <v> </v>
      </c>
    </row>
    <row r="49" customFormat="false" ht="12.75" hidden="false" customHeight="false" outlineLevel="0" collapsed="false">
      <c r="A49" s="282" t="str">
        <f aca="false">IF(A48="N/A","N/A",IF(EDATE(A48,1)&gt;Inputs!$S$5,"N/A",EDATE(A48,1)))</f>
        <v>N/A</v>
      </c>
      <c r="B49" s="283" t="str">
        <f aca="false">IF(A49="N/A"," ",YEAR(A49))</f>
        <v> </v>
      </c>
      <c r="C49" s="284" t="str">
        <f aca="false">IF(A49="N/A"," ",VLOOKUP(A49,ScaledPrice,14))</f>
        <v> </v>
      </c>
      <c r="D49" s="285" t="str">
        <f aca="false">IF(A49="N/A"," ",(VLOOKUP(MONTH($A49),Hrtable,2))/1000)</f>
        <v> </v>
      </c>
      <c r="E49" s="286" t="str">
        <f aca="false">IF($A49="N/A"," ",(C49)*D49)</f>
        <v> </v>
      </c>
      <c r="F49" s="287" t="str">
        <f aca="false">IF(A49="N/A"," ",VOM*(1+VOMesc)^(YEAR(A49)-YEAR(Today)))</f>
        <v> </v>
      </c>
      <c r="G49" s="287" t="str">
        <f aca="false">IF(A49="N/A"," ",Perstart/VLOOKUP(Dayrun,'Pricing Inputs'!$AQ$4:$AS$14,3)/(CY49/CX49))</f>
        <v> </v>
      </c>
      <c r="H49" s="288" t="str">
        <f aca="false">IF(A49="N/A"," ",SUM(E49:G49))</f>
        <v> </v>
      </c>
      <c r="I49" s="289" t="str">
        <f aca="false">VLOOKUP($A49,ScaledPrice,6)</f>
        <v> </v>
      </c>
      <c r="J49" s="290" t="str">
        <f aca="false">VLOOKUP($A49,ScaledPrice,10)</f>
        <v> </v>
      </c>
      <c r="K49" s="290" t="str">
        <f aca="false">VLOOKUP($A49,ScaledPrice,13)</f>
        <v> </v>
      </c>
      <c r="L49" s="290" t="str">
        <f aca="false">VLOOKUP($A49,ScaledPrice,7)</f>
        <v> </v>
      </c>
      <c r="M49" s="290" t="str">
        <f aca="false">VLOOKUP($A49,ScaledPrice,11)</f>
        <v> </v>
      </c>
      <c r="N49" s="290" t="str">
        <f aca="false">VLOOKUP($A49,ScaledPrice,13)</f>
        <v> </v>
      </c>
      <c r="O49" s="290" t="str">
        <f aca="false">VLOOKUP($A49,ScaledPrice,8)</f>
        <v> </v>
      </c>
      <c r="P49" s="290" t="str">
        <f aca="false">VLOOKUP($A49,ScaledPrice,12)</f>
        <v> </v>
      </c>
      <c r="Q49" s="291" t="str">
        <f aca="false">VLOOKUP($A49,ScaledPrice,13)</f>
        <v> </v>
      </c>
      <c r="R49" s="292" t="str">
        <f aca="false">IF($A49="N/A"," ",IF(Dayrun&gt;=3,IF(Option=1,MAX($I49-$H49,0),IF(Option=2,MAX($H49-$I49,0),0)),0))</f>
        <v> </v>
      </c>
      <c r="S49" s="286" t="str">
        <f aca="false">IF($A49="N/A"," ",IF(Dayrun&gt;=6,IF(Option=1,MAX($J49-H49,0),IF(Option=2,MAX(H49-$J49,0),0)),0))</f>
        <v> </v>
      </c>
      <c r="T49" s="286" t="str">
        <f aca="false">IF($A49="N/A"," ",IF(OR(Dayrun&lt;=2,Dayrun&gt;=9),IF(Option=1,MAX($K49-$H49,0),IF(Option=2,MAX($H49-$K49,0),0)),0))</f>
        <v> </v>
      </c>
      <c r="U49" s="286" t="str">
        <f aca="false">IF($A49="N/A"," ",IF(OR(Dayrun=1,Dayrun=4,Dayrun=5,Dayrun=7,Dayrun=8,Dayrun=10,Dayrun=11),IF(Option=1,MAX($L49-H49,0),IF(Option=2,MAX(H49-$L49,0),0)),0))</f>
        <v> </v>
      </c>
      <c r="V49" s="286" t="str">
        <f aca="false">IF($A49="N/A"," ",IF(OR(Dayrun=1,Dayrun=7,Dayrun=8,Dayrun=10,Dayrun=11),IF(Option=1,MAX($M49-H49,0),IF(Option=2,MAX(H49-$M49,0),0)),0))</f>
        <v> </v>
      </c>
      <c r="W49" s="286" t="str">
        <f aca="false">IF($A49="N/A"," ",IF(OR(Dayrun&lt;=2,Dayrun&gt;=10),IF(Option=1,MAX($N49-$H49,0),IF(Option=2,MAX($H49-$N49,0),0)),0))</f>
        <v> </v>
      </c>
      <c r="X49" s="286" t="str">
        <f aca="false">IF($A49="N/A"," ",IF(OR(Dayrun=1,Dayrun=5,Dayrun=8,Dayrun=11),IF(Option=1,MAX($O49-H49,0),IF(Option=2,MAX(H49-$O49,0),0)),0))</f>
        <v> </v>
      </c>
      <c r="Y49" s="286" t="str">
        <f aca="false">IF($A49="N/A"," ",IF(OR(Dayrun=1,Dayrun=8,Dayrun=11),IF(Option=1,MAX($P49-H49,0),IF(Option=2,MAX(H49-$P49,0),0)),0))</f>
        <v> </v>
      </c>
      <c r="Z49" s="293" t="str">
        <f aca="false">IF($A49="N/A"," ",IF(OR(Dayrun&lt;=2,Dayrun&gt;=11),IF(Option=1,MAX($Q49-$H49,0),IF(Option=2,MAX($H49-$Q49,0),0)),0))</f>
        <v> </v>
      </c>
      <c r="AA49" s="289" t="str">
        <f aca="false">IF($A49="N/A"," ",IF(Dayrun&gt;=3,(MAX(0,(xSPRDOPT(I49,($E49-'Pricing Inputs'!$X84*$D49),$CV49,0,($CN49+IF(Smile=TRUE(),VLOOKUP(MAX(-5,$H49-I49),Volsmile,2),0)),$CT49,$CU49,($A49-DateToday)+15,ABS(Option-2),0)-R49))),0))</f>
        <v> </v>
      </c>
      <c r="AB49" s="290" t="str">
        <f aca="false">IF($A49="N/A"," ",IF(Dayrun&gt;=6,MAX(0,(xSPRDOPT(J49,($E49-'Pricing Inputs'!$X84*$D49),$CV49,0,($CN49+IF(Smile=TRUE(),VLOOKUP(MAX(-5,$H49-J49),Volsmile,2),0)),$CT49,$CU49,($A49-DateToday)+15,ABS(Option-2),0)-S49)),0))</f>
        <v> </v>
      </c>
      <c r="AC49" s="290" t="str">
        <f aca="false">IF($A49="N/A"," ",IF(OR(Dayrun&lt;=2,Dayrun&gt;=9),IF(OffPeakEx=TRUE(),MAX(0,(xSPRDOPT(K49,($E49-'Pricing Inputs'!$X84*$D49),$CV49,0,($CQ49+IF(Smile=TRUE(),VLOOKUP(MAX(-5,$H49-K49),Volsmile,2),0)),$CT49,$CU49,($A49-DateToday)+15,ABS(Option-2),0)-T49)),0),0))</f>
        <v> </v>
      </c>
      <c r="AD49" s="290" t="str">
        <f aca="false">IF($A49="N/A"," ",IF(OR(Dayrun=1,Dayrun=4,Dayrun=5,Dayrun=7,Dayrun=8,Dayrun=10,Dayrun=11),MAX(0,(xSPRDOPT(L49,($E49-'Pricing Inputs'!$X84*$D49),$CV49,0,($CQ49+IF(Smile=TRUE(),VLOOKUP(MAX(-5,$H49-L49),Volsmile,2),0)),$CT49,$CU49,($A49-DateToday)+15,ABS(Option-2),0)-U49)),0))</f>
        <v> </v>
      </c>
      <c r="AE49" s="290" t="str">
        <f aca="false">IF($A49="N/A"," ",IF(OR(Dayrun=1,Dayrun=7,Dayrun=8,Dayrun=10,Dayrun=11),MAX(0,(xSPRDOPT(M49,($E49-'Pricing Inputs'!$X84*$D49),$CV49,0,($CQ49+IF(Smile=TRUE(),VLOOKUP(MAX(-5,$H49-M49),Volsmile,2),0)),$CT49,$CU49,($A49-DateToday)+15,ABS(Option-2),0)-V49)),0))</f>
        <v> </v>
      </c>
      <c r="AF49" s="290" t="str">
        <f aca="false">IF($A49="N/A"," ",IF(OR(Dayrun&lt;=2,Dayrun&gt;=10),IF(OffPeakEx=TRUE(),MAX(0,(xSPRDOPT(N49,($E49-'Pricing Inputs'!$X84*$D49),$CV49,0,($CQ49+IF(Smile=TRUE(),VLOOKUP(MAX(-5,$H49-N49),Volsmile,2),0)),$CT49,$CU49,($A49-DateToday)+15,ABS(Option-2),0)-W49)),0),0))</f>
        <v> </v>
      </c>
      <c r="AG49" s="290" t="str">
        <f aca="false">IF($A49="N/A"," ",IF(OR(Dayrun=1,Dayrun=5,Dayrun=8,Dayrun=11),MAX(0,(xSPRDOPT(O49,($E49-'Pricing Inputs'!$X84*$D49),$CV49,0,($CQ49+IF(Smile=TRUE(),VLOOKUP(MAX(-5,$H49-O49),Volsmile,2),0)),$CT49,$CU49,($A49-DateToday)+15,ABS(Option-2),0)-X49)),0))</f>
        <v> </v>
      </c>
      <c r="AH49" s="290" t="str">
        <f aca="false">IF($A49="N/A"," ",IF(OR(Dayrun=1,Dayrun=8,Dayrun=11),MAX(0,(xSPRDOPT(P49,($E49-'Pricing Inputs'!$X84*$D49),$CV49,0,($CQ49+IF(Smile=TRUE(),VLOOKUP(MAX(-5,$H49-P49),Volsmile,2),0)),$CT49,$CU49,($A49-DateToday)+15,ABS(Option-2),0)-Y49)),0))</f>
        <v> </v>
      </c>
      <c r="AI49" s="290" t="str">
        <f aca="false">IF($A49="N/A"," ",IF(OR(Dayrun&lt;=2,Dayrun&gt;=11),IF(OffPeakEx=TRUE(),MAX(0,(xSPRDOPT(Q49,($E49-'Pricing Inputs'!$X84*$D49),$CV49,0,($CQ49+IF(Smile=TRUE(),VLOOKUP(MAX(-5,$H49-Q49),Volsmile,2),0)),$CT49,$CU49,($A49-DateToday)+15,ABS(Option-2),0)-Z49)),0),0))</f>
        <v> </v>
      </c>
      <c r="AJ49" s="294" t="str">
        <f aca="false">IF($A49="N/A"," ",IF(Dayrun&gt;=3,IF(Option=1,$I49-$H49,IF(Option=2,$H49-$I49)),0))</f>
        <v> </v>
      </c>
      <c r="AK49" s="295" t="str">
        <f aca="false">IF($A49="N/A"," ",IF(Dayrun&gt;=6,IF(Option=1,$J49-H49,IF(Option=2,H49-$J49)),0))</f>
        <v> </v>
      </c>
      <c r="AL49" s="295" t="str">
        <f aca="false">IF($A49="N/A"," ",IF(OR(Dayrun&lt;=2,Dayrun&gt;=9),IF(Option=1,$K49-$H49,IF(Option=2,$H49-$K49)),0))</f>
        <v> </v>
      </c>
      <c r="AM49" s="295" t="str">
        <f aca="false">IF($A49="N/A"," ",IF(OR(Dayrun=1,Dayrun=4,Dayrun=5,Dayrun=7,Dayrun=8,Dayrun=10,Dayrun=11),IF(Option=1,$L49-H49,IF(Option=2,H49-$L49)),0))</f>
        <v> </v>
      </c>
      <c r="AN49" s="295" t="str">
        <f aca="false">IF($A49="N/A"," ",IF(OR(Dayrun=1,Dayrun=7,Dayrun=8,Dayrun=10,Dayrun=11),IF(Option=1,$M49-H49,IF(Option=2,H49-$M49)),0))</f>
        <v> </v>
      </c>
      <c r="AO49" s="295" t="str">
        <f aca="false">IF($A49="N/A"," ",IF(OR(Dayrun&lt;=2,Dayrun&gt;=9),IF(Option=1,$N49-$H49,IF(Option=2,$H49-$N49)),0))</f>
        <v> </v>
      </c>
      <c r="AP49" s="295" t="str">
        <f aca="false">IF($A49="N/A"," ",IF(OR(Dayrun=1,Dayrun=5,Dayrun=8,Dayrun=11),IF(Option=1,$O49-H49,IF(Option=2,H49-$O49)),0))</f>
        <v> </v>
      </c>
      <c r="AQ49" s="295" t="str">
        <f aca="false">IF($A49="N/A"," ",IF(OR(Dayrun=1,Dayrun=8,Dayrun=11),IF(Option=1,$P49-H49,IF(Option=2,H49-$P49)),0))</f>
        <v> </v>
      </c>
      <c r="AR49" s="296" t="str">
        <f aca="false">IF($A49="N/A"," ",IF(OR(Dayrun&lt;=2,Dayrun&gt;=9),IF(Option=1,$Q49-H49,IF(Option=2,H49-$Q49)),0))</f>
        <v> </v>
      </c>
      <c r="AS49" s="297" t="str">
        <f aca="false">IF($A49="N/A"," ",IF(VLOOKUP(MONTH($A49),ManualTable,2)=1,IF(Dayrun&gt;=3,$DE49*8*$CY49,0),0))</f>
        <v> </v>
      </c>
      <c r="AT49" s="297" t="str">
        <f aca="false">IF($A49="N/A"," ",IF(VLOOKUP(MONTH($A49),ManualTable,3)=1,IF(Dayrun&gt;=6,$DE49*8*$CY49,0),0))</f>
        <v> </v>
      </c>
      <c r="AU49" s="297" t="str">
        <f aca="false">IF($A49="N/A"," ",IF(VLOOKUP(MONTH($A49),ManualTable,4)=1,IF(OR(Dayrun&lt;=2,Dayrun&gt;=9),$DE49*8*$CY49,0),0))</f>
        <v> </v>
      </c>
      <c r="AV49" s="297" t="str">
        <f aca="false">IF($A49="N/A"," ",IF(VLOOKUP(MONTH($A49),ManualTable,5)=1,IF(OR(Dayrun=1,Dayrun=4,Dayrun=5,Dayrun=7,Dayrun=8,Dayrun=10,Dayrun=11),$DF49*8*$CY49,0),0))</f>
        <v> </v>
      </c>
      <c r="AW49" s="297" t="str">
        <f aca="false">IF($A49="N/A"," ",IF(VLOOKUP(MONTH($A49),ManualTable,6)=1,IF(OR(Dayrun=1,Dayrun=7,Dayrun=8,Dayrun=10,Dayrun=11),$DF49*8*$CY49,0),0))</f>
        <v> </v>
      </c>
      <c r="AX49" s="297" t="str">
        <f aca="false">IF($A49="N/A"," ",IF(VLOOKUP(MONTH($A49),ManualTable,7)=1,IF(OR(Dayrun&lt;=2,Dayrun&gt;=9),$DF49*8*$CY49,0),0))</f>
        <v> </v>
      </c>
      <c r="AY49" s="297" t="str">
        <f aca="false">IF($A49="N/A"," ",IF(VLOOKUP(MONTH($A49),ManualTable,8)=1,IF(OR(Dayrun=1,Dayrun=5,Dayrun=8,Dayrun=11),$DG49*8*$CY49,0),0))</f>
        <v> </v>
      </c>
      <c r="AZ49" s="297" t="str">
        <f aca="false">IF($A49="N/A"," ",IF(VLOOKUP(MONTH($A49),ManualTable,9)=1,IF(OR(Dayrun=1,Dayrun=8,Dayrun=11),$DG49*8*$CY49,0),0))</f>
        <v> </v>
      </c>
      <c r="BA49" s="298" t="str">
        <f aca="false">IF($A49="N/A"," ",IF(VLOOKUP(MONTH($A49),ManualTable,10)=1,IF(OR(Dayrun&lt;=2,Dayrun&gt;=9),$DG49*8*$CY49,0),0))</f>
        <v> </v>
      </c>
      <c r="BB49" s="299" t="str">
        <f aca="false">IF($A49="N/A"," ",IF(Dayrun&gt;=3,(MAX(0,(xSPRDOPT(I49,($E49-'Pricing Inputs'!$X84*$D49),$CV49,0,($CN49+IF(Smile=TRUE(),VLOOKUP(MAX(-5,$H49-I49),Volsmile,2),0)),$CT49,$CU49,($A49-DateToday)+15,ABS(Option-2),1)*DE49*8))),0))</f>
        <v> </v>
      </c>
      <c r="BC49" s="300" t="str">
        <f aca="false">IF($A49="N/A"," ",IF(Dayrun&gt;=6,MAX(0,(xSPRDOPT(J49,($E49-'Pricing Inputs'!$X84*$D49),$CV49,0,($CN49+IF(Smile=TRUE(),VLOOKUP(MAX(-5,$H49-J49),Volsmile,2),0)),$CT49,$CU49,($A49-DateToday)+15,ABS(Option-2),1)*DE49*8)),0))</f>
        <v> </v>
      </c>
      <c r="BD49" s="300" t="str">
        <f aca="false">IF($A49="N/A"," ",IF(OR(Dayrun&lt;=2,Dayrun&gt;=9),IF(OffPeakEx=TRUE(),MAX(0,(xSPRDOPT(K49,($E49-'Pricing Inputs'!$X84*$D49),$CV49,0,($CQ49+IF(Smile=TRUE(),VLOOKUP(MAX(-5,$H49-K49),Volsmile,2),0)),$CT49,$CU49,($A49-DateToday)+15,ABS(Option-2),1)*DE49*8)),0),0))</f>
        <v> </v>
      </c>
      <c r="BE49" s="300" t="str">
        <f aca="false">IF($A49="N/A"," ",IF(OR(Dayrun=1,Dayrun=4,Dayrun=5,Dayrun=7,Dayrun=8,Dayrun=10,Dayrun=11),MAX(0,(xSPRDOPT(L49,($E49-'Pricing Inputs'!$X84*$D49),$CV49,0,($CQ49+IF(Smile=TRUE(),VLOOKUP(MAX(-5,$H49-L49),Volsmile,2),0)),$CT49,$CU49,($A49-DateToday)+15,ABS(Option-2),1)*DF49*8)),0))</f>
        <v> </v>
      </c>
      <c r="BF49" s="300" t="str">
        <f aca="false">IF($A49="N/A"," ",IF(OR(Dayrun=1,Dayrun=7,Dayrun=8,Dayrun=10,Dayrun=11),MAX(0,(xSPRDOPT(M49,($E49-'Pricing Inputs'!$X84*$D49),$CV49,0,($CQ49+IF(Smile=TRUE(),VLOOKUP(MAX(-5,$H49-M49),Volsmile,2),0)),$CT49,$CU49,($A49-DateToday)+15,ABS(Option-2),1)*DF49*8)),0))</f>
        <v> </v>
      </c>
      <c r="BG49" s="300" t="str">
        <f aca="false">IF($A49="N/A"," ",IF(OR(Dayrun&lt;=2,Dayrun&gt;=10),IF(OffPeakEx=TRUE(),MAX(0,(xSPRDOPT(N49,($E49-'Pricing Inputs'!$X84*$D49),$CV49,0,($CQ49+IF(Smile=TRUE(),VLOOKUP(MAX(-5,$H49-N49),Volsmile,2),0)),$CT49,$CU49,($A49-DateToday)+15,ABS(Option-2),1)*DF49*8)),0),0))</f>
        <v> </v>
      </c>
      <c r="BH49" s="300" t="str">
        <f aca="false">IF($A49="N/A"," ",IF(OR(Dayrun=1,Dayrun=5,Dayrun=8,Dayrun=11),MAX(0,(xSPRDOPT(O49,($E49-'Pricing Inputs'!$X84*$D49),$CV49,0,($CQ49+IF(Smile=TRUE(),VLOOKUP(MAX(-5,$H49-O49),Volsmile,2),0)),$CT49,$CU49,($A49-DateToday)+15,ABS(Option-2),1)*DG49*8)),0))</f>
        <v> </v>
      </c>
      <c r="BI49" s="300" t="str">
        <f aca="false">IF($A49="N/A"," ",IF(OR(Dayrun=1,Dayrun=8,Dayrun=11),MAX(0,(xSPRDOPT(P49,($E49-'Pricing Inputs'!$X84*$D49),$CV49,0,($CQ49+IF(Smile=TRUE(),VLOOKUP(MAX(-5,$H49-P49),Volsmile,2),0)),$CT49,$CU49,($A49-DateToday)+15,ABS(Option-2),1)*DG49*8)),0))</f>
        <v> </v>
      </c>
      <c r="BJ49" s="301" t="str">
        <f aca="false">IF($A49="N/A"," ",IF(OR(Dayrun&lt;=2,Dayrun&gt;=11),IF(OffPeakEx=TRUE(),MAX(0,(xSPRDOPT(Q49,($E49-'Pricing Inputs'!$X84*$D49),$CV49,0,($CQ49+IF(Smile=TRUE(),VLOOKUP(MAX(-5,$H49-Q49),Volsmile,2),0)),$CT49,$CU49,($A49-DateToday)+15,ABS(Option-2),1)*DG49*8)),0),0))</f>
        <v> </v>
      </c>
      <c r="BK49" s="302" t="str">
        <f aca="false">IF($A49="N/A"," ",R49*$AS49)</f>
        <v> </v>
      </c>
      <c r="BL49" s="303" t="str">
        <f aca="false">IF($A49="N/A"," ",S49*$AT49)</f>
        <v> </v>
      </c>
      <c r="BM49" s="303" t="str">
        <f aca="false">IF($A49="N/A"," ",T49*$AU49)</f>
        <v> </v>
      </c>
      <c r="BN49" s="303" t="str">
        <f aca="false">IF($A49="N/A"," ",U49*$AV49)</f>
        <v> </v>
      </c>
      <c r="BO49" s="303" t="str">
        <f aca="false">IF($A49="N/A"," ",V49*$AW49)</f>
        <v> </v>
      </c>
      <c r="BP49" s="303" t="str">
        <f aca="false">IF($A49="N/A"," ",W49*$AX49)</f>
        <v> </v>
      </c>
      <c r="BQ49" s="303" t="str">
        <f aca="false">IF($A49="N/A"," ",X49*$AY49)</f>
        <v> </v>
      </c>
      <c r="BR49" s="303" t="str">
        <f aca="false">IF($A49="N/A"," ",Y49*$AZ49)</f>
        <v> </v>
      </c>
      <c r="BS49" s="304" t="str">
        <f aca="false">IF($A49="N/A"," ",Z49*$BA49)</f>
        <v> </v>
      </c>
      <c r="BT49" s="305" t="str">
        <f aca="false">IF($A49="N/A"," ",AA49*$AS49)</f>
        <v> </v>
      </c>
      <c r="BU49" s="306" t="str">
        <f aca="false">IF($A49="N/A"," ",AB49*$AT49)</f>
        <v> </v>
      </c>
      <c r="BV49" s="306" t="str">
        <f aca="false">IF($A49="N/A"," ",AC49*$AU49)</f>
        <v> </v>
      </c>
      <c r="BW49" s="306" t="str">
        <f aca="false">IF($A49="N/A"," ",AD49*$AV49)</f>
        <v> </v>
      </c>
      <c r="BX49" s="306" t="str">
        <f aca="false">IF($A49="N/A"," ",AE49*$AW49)</f>
        <v> </v>
      </c>
      <c r="BY49" s="306" t="str">
        <f aca="false">IF($A49="N/A"," ",AF49*$AX49)</f>
        <v> </v>
      </c>
      <c r="BZ49" s="306" t="str">
        <f aca="false">IF($A49="N/A"," ",AG49*$AY49)</f>
        <v> </v>
      </c>
      <c r="CA49" s="306" t="str">
        <f aca="false">IF($A49="N/A"," ",AH49*$AZ49)</f>
        <v> </v>
      </c>
      <c r="CB49" s="307" t="str">
        <f aca="false">IF($A49="N/A"," ",AI49*$BA49)</f>
        <v> </v>
      </c>
      <c r="CC49" s="308" t="str">
        <f aca="false">IF($A49="N/A"," ",AJ49*$AS49)</f>
        <v> </v>
      </c>
      <c r="CD49" s="309" t="str">
        <f aca="false">IF($A49="N/A"," ",AK49*$AT49)</f>
        <v> </v>
      </c>
      <c r="CE49" s="309" t="str">
        <f aca="false">IF($A49="N/A"," ",AL49*$AU49)</f>
        <v> </v>
      </c>
      <c r="CF49" s="309" t="str">
        <f aca="false">IF($A49="N/A"," ",AM49*$AV49)</f>
        <v> </v>
      </c>
      <c r="CG49" s="309" t="str">
        <f aca="false">IF($A49="N/A"," ",AN49*$AW49)</f>
        <v> </v>
      </c>
      <c r="CH49" s="309" t="str">
        <f aca="false">IF($A49="N/A"," ",AO49*$AX49)</f>
        <v> </v>
      </c>
      <c r="CI49" s="309" t="str">
        <f aca="false">IF($A49="N/A"," ",AP49*$AY49)</f>
        <v> </v>
      </c>
      <c r="CJ49" s="309" t="str">
        <f aca="false">IF($A49="N/A"," ",AQ49*$AZ49)</f>
        <v> </v>
      </c>
      <c r="CK49" s="310" t="str">
        <f aca="false">IF($A49="N/A"," ",AR49*$BA49)</f>
        <v> </v>
      </c>
      <c r="CL49" s="311" t="str">
        <f aca="false">IF(A49="N/A"," ",(VLOOKUP(A49,PowerVolTable,(IF(VolBMO=2,7,IF(VolBMO=1,6,8))),FALSE())))</f>
        <v> </v>
      </c>
      <c r="CM49" s="312" t="str">
        <f aca="false">IF(A49="N/A"," ",(VLOOKUP(A49,IntraPowerVol,(IF(VolBMO=2,3,IF(VolBMO=1,2,4))),FALSE())*VLOOKUP(MONTH($A49),Volscale,2)))</f>
        <v> </v>
      </c>
      <c r="CN49" s="312" t="str">
        <f aca="false">IF($A49="N/A"," ",IF(VolType=1,CM49,CL49))</f>
        <v> </v>
      </c>
      <c r="CO49" s="312" t="str">
        <f aca="false">IF($A49="N/A"," ",(VLOOKUP($A49,OffPeakVol,(IF(VolBMO=2,7,IF(VolBMO=1,6,8))),FALSE())))</f>
        <v> </v>
      </c>
      <c r="CP49" s="312" t="str">
        <f aca="false">IF($A49="N/A"," ",(VLOOKUP($A49,OffPeakVol,(IF(VolBMO=2,3,IF(VolBMO=1,2,4))),FALSE())*VLOOKUP(MONTH($A49),Volscale,2)))</f>
        <v> </v>
      </c>
      <c r="CQ49" s="312" t="str">
        <f aca="false">IF($A49="N/A"," ",IF(VolType=1,CP49,CO49))</f>
        <v> </v>
      </c>
      <c r="CR49" s="312" t="str">
        <f aca="false">IF($A49="N/A"," ",(VLOOKUP($A49,GasVolTable,(IF(VolBMO=2,6,IF(VolBMO=1,7,5))),FALSE())))</f>
        <v> </v>
      </c>
      <c r="CS49" s="312" t="str">
        <f aca="false">IF($A49="N/A"," ",(VLOOKUP($A49,OmicronVol,(IF(VolBMO=2,3,IF(VolBMO=1,4,2))),FALSE())))</f>
        <v> </v>
      </c>
      <c r="CT49" s="312" t="str">
        <f aca="false">IF($A49="N/A"," ",(IF(DateToday&gt;$A49,$CS49,IF(VolType=1,((($CR49^2)*((($A49-1)-DateToday)/((EOMONTH($A49,0)+1)-DateToday-15)))+((($CS49)^2)*((15)/((EOMONTH($A49,0)+1)-DateToday-15))))^0.5,CR49))))</f>
        <v> </v>
      </c>
      <c r="CU49" s="312" t="str">
        <f aca="false">IF($A49="N/A"," ",IF('Pricing Inputs'!$AR$23=TRUE(),Inputs!$S$22,VLOOKUP($A49,CorrelationTable,2,FALSE())))</f>
        <v> </v>
      </c>
      <c r="CV49" s="313" t="str">
        <f aca="false">IF($A49="N/A"," ",F49+G49+(D49*('Pricing Inputs'!X84)))</f>
        <v> </v>
      </c>
      <c r="CW49" s="314" t="str">
        <f aca="false">IF($A49="N/A"," ",IF(PV=1,0,'Pricing Inputs'!Y84))</f>
        <v> </v>
      </c>
      <c r="CX49" s="315" t="str">
        <f aca="false">IF($A49="N/A"," ",(1+CW49/2)^(-2*((EOMONTH(A49,0)+20)-DateToday)/365.25))</f>
        <v> </v>
      </c>
      <c r="CY49" s="316" t="str">
        <f aca="false">IF($A49="N/A"," ",(IF(MONTH(A49)&gt;=4,IF(MONTH(A49)&lt;=10,Inputs!$S$26,Inputs!$S$27),Inputs!$S$27))*$CX49)</f>
        <v> </v>
      </c>
      <c r="CZ49" s="317" t="str">
        <f aca="false">IF($A49="N/A"," ",BK49+BL49+BN49+BO49+BQ49+BR49)</f>
        <v> </v>
      </c>
      <c r="DA49" s="318" t="str">
        <f aca="false">IF($A49="N/A"," ",BM49+BP49+BS49)</f>
        <v> </v>
      </c>
      <c r="DB49" s="319" t="str">
        <f aca="false">IF($A49="N/A"," ",BT49+BU49+BW49+BX49+BZ49+CA49)</f>
        <v> </v>
      </c>
      <c r="DC49" s="319" t="str">
        <f aca="false">IF($A49="N/A"," ",BV49+BY49+CB49)</f>
        <v> </v>
      </c>
      <c r="DD49" s="320" t="str">
        <f aca="false">IF($A49="N/A"," ",SUM(CC49:CK49))</f>
        <v> </v>
      </c>
      <c r="DE49" s="321" t="str">
        <f aca="false">IF($A49="N/A"," ",VLOOKUP($A49,NumberofDaysTable,2)*Availability)</f>
        <v> </v>
      </c>
      <c r="DF49" s="94" t="str">
        <f aca="false">IF($A49="N/A"," ",VLOOKUP($A49,NumberofDaysTable,3)*Availability)</f>
        <v> </v>
      </c>
      <c r="DG49" s="322" t="str">
        <f aca="false">IF($A49="N/A"," ",VLOOKUP($A49,NumberofDaysTable,4)*Availability)</f>
        <v> </v>
      </c>
      <c r="DH49" s="323" t="str">
        <f aca="false">IF($A49="N/A"," ",IF(Option=1,$D49*Inputs!$S$15*SUM(AS49:BA49),0))</f>
        <v> </v>
      </c>
      <c r="DI49" s="324" t="str">
        <f aca="false">IF($A49="N/A"," ",IF(Option=1,$D49*Inputs!$S$16*SUM(AS49:BA49),0))</f>
        <v> </v>
      </c>
      <c r="DJ49" s="325" t="str">
        <f aca="false">IF($A49="N/A"," ",SUM(AS49:AT49))</f>
        <v> </v>
      </c>
      <c r="DK49" s="325" t="str">
        <f aca="false">IF($A49="N/A"," ",SUM(AU49:BA49))</f>
        <v> </v>
      </c>
      <c r="DL49" s="325" t="str">
        <f aca="false">IF($A49="N/A"," ",SUM(BB49:BC49))</f>
        <v> </v>
      </c>
      <c r="DM49" s="325" t="str">
        <f aca="false">IF($A49="N/A"," ",SUM(BD49:BJ49))</f>
        <v> </v>
      </c>
    </row>
    <row r="50" customFormat="false" ht="12.75" hidden="false" customHeight="false" outlineLevel="0" collapsed="false">
      <c r="A50" s="282" t="str">
        <f aca="false">IF(A49="N/A","N/A",IF(EDATE(A49,1)&gt;Inputs!$S$5,"N/A",EDATE(A49,1)))</f>
        <v>N/A</v>
      </c>
      <c r="B50" s="283" t="str">
        <f aca="false">IF(A50="N/A"," ",YEAR(A50))</f>
        <v> </v>
      </c>
      <c r="C50" s="284" t="str">
        <f aca="false">IF(A50="N/A"," ",VLOOKUP(A50,ScaledPrice,14))</f>
        <v> </v>
      </c>
      <c r="D50" s="285" t="str">
        <f aca="false">IF(A50="N/A"," ",(VLOOKUP(MONTH($A50),Hrtable,2))/1000)</f>
        <v> </v>
      </c>
      <c r="E50" s="286" t="str">
        <f aca="false">IF($A50="N/A"," ",(C50)*D50)</f>
        <v> </v>
      </c>
      <c r="F50" s="287" t="str">
        <f aca="false">IF(A50="N/A"," ",VOM*(1+VOMesc)^(YEAR(A50)-YEAR(Today)))</f>
        <v> </v>
      </c>
      <c r="G50" s="287" t="str">
        <f aca="false">IF(A50="N/A"," ",Perstart/VLOOKUP(Dayrun,'Pricing Inputs'!$AQ$4:$AS$14,3)/(CY50/CX50))</f>
        <v> </v>
      </c>
      <c r="H50" s="288" t="str">
        <f aca="false">IF(A50="N/A"," ",SUM(E50:G50))</f>
        <v> </v>
      </c>
      <c r="I50" s="289" t="str">
        <f aca="false">VLOOKUP($A50,ScaledPrice,6)</f>
        <v> </v>
      </c>
      <c r="J50" s="290" t="str">
        <f aca="false">VLOOKUP($A50,ScaledPrice,10)</f>
        <v> </v>
      </c>
      <c r="K50" s="290" t="str">
        <f aca="false">VLOOKUP($A50,ScaledPrice,13)</f>
        <v> </v>
      </c>
      <c r="L50" s="290" t="str">
        <f aca="false">VLOOKUP($A50,ScaledPrice,7)</f>
        <v> </v>
      </c>
      <c r="M50" s="290" t="str">
        <f aca="false">VLOOKUP($A50,ScaledPrice,11)</f>
        <v> </v>
      </c>
      <c r="N50" s="290" t="str">
        <f aca="false">VLOOKUP($A50,ScaledPrice,13)</f>
        <v> </v>
      </c>
      <c r="O50" s="290" t="str">
        <f aca="false">VLOOKUP($A50,ScaledPrice,8)</f>
        <v> </v>
      </c>
      <c r="P50" s="290" t="str">
        <f aca="false">VLOOKUP($A50,ScaledPrice,12)</f>
        <v> </v>
      </c>
      <c r="Q50" s="291" t="str">
        <f aca="false">VLOOKUP($A50,ScaledPrice,13)</f>
        <v> </v>
      </c>
      <c r="R50" s="292" t="str">
        <f aca="false">IF($A50="N/A"," ",IF(Dayrun&gt;=3,IF(Option=1,MAX($I50-$H50,0),IF(Option=2,MAX($H50-$I50,0),0)),0))</f>
        <v> </v>
      </c>
      <c r="S50" s="286" t="str">
        <f aca="false">IF($A50="N/A"," ",IF(Dayrun&gt;=6,IF(Option=1,MAX($J50-H50,0),IF(Option=2,MAX(H50-$J50,0),0)),0))</f>
        <v> </v>
      </c>
      <c r="T50" s="286" t="str">
        <f aca="false">IF($A50="N/A"," ",IF(OR(Dayrun&lt;=2,Dayrun&gt;=9),IF(Option=1,MAX($K50-$H50,0),IF(Option=2,MAX($H50-$K50,0),0)),0))</f>
        <v> </v>
      </c>
      <c r="U50" s="286" t="str">
        <f aca="false">IF($A50="N/A"," ",IF(OR(Dayrun=1,Dayrun=4,Dayrun=5,Dayrun=7,Dayrun=8,Dayrun=10,Dayrun=11),IF(Option=1,MAX($L50-H50,0),IF(Option=2,MAX(H50-$L50,0),0)),0))</f>
        <v> </v>
      </c>
      <c r="V50" s="286" t="str">
        <f aca="false">IF($A50="N/A"," ",IF(OR(Dayrun=1,Dayrun=7,Dayrun=8,Dayrun=10,Dayrun=11),IF(Option=1,MAX($M50-H50,0),IF(Option=2,MAX(H50-$M50,0),0)),0))</f>
        <v> </v>
      </c>
      <c r="W50" s="286" t="str">
        <f aca="false">IF($A50="N/A"," ",IF(OR(Dayrun&lt;=2,Dayrun&gt;=10),IF(Option=1,MAX($N50-$H50,0),IF(Option=2,MAX($H50-$N50,0),0)),0))</f>
        <v> </v>
      </c>
      <c r="X50" s="286" t="str">
        <f aca="false">IF($A50="N/A"," ",IF(OR(Dayrun=1,Dayrun=5,Dayrun=8,Dayrun=11),IF(Option=1,MAX($O50-H50,0),IF(Option=2,MAX(H50-$O50,0),0)),0))</f>
        <v> </v>
      </c>
      <c r="Y50" s="286" t="str">
        <f aca="false">IF($A50="N/A"," ",IF(OR(Dayrun=1,Dayrun=8,Dayrun=11),IF(Option=1,MAX($P50-H50,0),IF(Option=2,MAX(H50-$P50,0),0)),0))</f>
        <v> </v>
      </c>
      <c r="Z50" s="293" t="str">
        <f aca="false">IF($A50="N/A"," ",IF(OR(Dayrun&lt;=2,Dayrun&gt;=11),IF(Option=1,MAX($Q50-$H50,0),IF(Option=2,MAX($H50-$Q50,0),0)),0))</f>
        <v> </v>
      </c>
      <c r="AA50" s="289" t="str">
        <f aca="false">IF($A50="N/A"," ",IF(Dayrun&gt;=3,(MAX(0,(xSPRDOPT(I50,($E50-'Pricing Inputs'!$X85*$D50),$CV50,0,($CN50+IF(Smile=TRUE(),VLOOKUP(MAX(-5,$H50-I50),Volsmile,2),0)),$CT50,$CU50,($A50-DateToday)+15,ABS(Option-2),0)-R50))),0))</f>
        <v> </v>
      </c>
      <c r="AB50" s="290" t="str">
        <f aca="false">IF($A50="N/A"," ",IF(Dayrun&gt;=6,MAX(0,(xSPRDOPT(J50,($E50-'Pricing Inputs'!$X85*$D50),$CV50,0,($CN50+IF(Smile=TRUE(),VLOOKUP(MAX(-5,$H50-J50),Volsmile,2),0)),$CT50,$CU50,($A50-DateToday)+15,ABS(Option-2),0)-S50)),0))</f>
        <v> </v>
      </c>
      <c r="AC50" s="290" t="str">
        <f aca="false">IF($A50="N/A"," ",IF(OR(Dayrun&lt;=2,Dayrun&gt;=9),IF(OffPeakEx=TRUE(),MAX(0,(xSPRDOPT(K50,($E50-'Pricing Inputs'!$X85*$D50),$CV50,0,($CQ50+IF(Smile=TRUE(),VLOOKUP(MAX(-5,$H50-K50),Volsmile,2),0)),$CT50,$CU50,($A50-DateToday)+15,ABS(Option-2),0)-T50)),0),0))</f>
        <v> </v>
      </c>
      <c r="AD50" s="290" t="str">
        <f aca="false">IF($A50="N/A"," ",IF(OR(Dayrun=1,Dayrun=4,Dayrun=5,Dayrun=7,Dayrun=8,Dayrun=10,Dayrun=11),MAX(0,(xSPRDOPT(L50,($E50-'Pricing Inputs'!$X85*$D50),$CV50,0,($CQ50+IF(Smile=TRUE(),VLOOKUP(MAX(-5,$H50-L50),Volsmile,2),0)),$CT50,$CU50,($A50-DateToday)+15,ABS(Option-2),0)-U50)),0))</f>
        <v> </v>
      </c>
      <c r="AE50" s="290" t="str">
        <f aca="false">IF($A50="N/A"," ",IF(OR(Dayrun=1,Dayrun=7,Dayrun=8,Dayrun=10,Dayrun=11),MAX(0,(xSPRDOPT(M50,($E50-'Pricing Inputs'!$X85*$D50),$CV50,0,($CQ50+IF(Smile=TRUE(),VLOOKUP(MAX(-5,$H50-M50),Volsmile,2),0)),$CT50,$CU50,($A50-DateToday)+15,ABS(Option-2),0)-V50)),0))</f>
        <v> </v>
      </c>
      <c r="AF50" s="290" t="str">
        <f aca="false">IF($A50="N/A"," ",IF(OR(Dayrun&lt;=2,Dayrun&gt;=10),IF(OffPeakEx=TRUE(),MAX(0,(xSPRDOPT(N50,($E50-'Pricing Inputs'!$X85*$D50),$CV50,0,($CQ50+IF(Smile=TRUE(),VLOOKUP(MAX(-5,$H50-N50),Volsmile,2),0)),$CT50,$CU50,($A50-DateToday)+15,ABS(Option-2),0)-W50)),0),0))</f>
        <v> </v>
      </c>
      <c r="AG50" s="290" t="str">
        <f aca="false">IF($A50="N/A"," ",IF(OR(Dayrun=1,Dayrun=5,Dayrun=8,Dayrun=11),MAX(0,(xSPRDOPT(O50,($E50-'Pricing Inputs'!$X85*$D50),$CV50,0,($CQ50+IF(Smile=TRUE(),VLOOKUP(MAX(-5,$H50-O50),Volsmile,2),0)),$CT50,$CU50,($A50-DateToday)+15,ABS(Option-2),0)-X50)),0))</f>
        <v> </v>
      </c>
      <c r="AH50" s="290" t="str">
        <f aca="false">IF($A50="N/A"," ",IF(OR(Dayrun=1,Dayrun=8,Dayrun=11),MAX(0,(xSPRDOPT(P50,($E50-'Pricing Inputs'!$X85*$D50),$CV50,0,($CQ50+IF(Smile=TRUE(),VLOOKUP(MAX(-5,$H50-P50),Volsmile,2),0)),$CT50,$CU50,($A50-DateToday)+15,ABS(Option-2),0)-Y50)),0))</f>
        <v> </v>
      </c>
      <c r="AI50" s="290" t="str">
        <f aca="false">IF($A50="N/A"," ",IF(OR(Dayrun&lt;=2,Dayrun&gt;=11),IF(OffPeakEx=TRUE(),MAX(0,(xSPRDOPT(Q50,($E50-'Pricing Inputs'!$X85*$D50),$CV50,0,($CQ50+IF(Smile=TRUE(),VLOOKUP(MAX(-5,$H50-Q50),Volsmile,2),0)),$CT50,$CU50,($A50-DateToday)+15,ABS(Option-2),0)-Z50)),0),0))</f>
        <v> </v>
      </c>
      <c r="AJ50" s="294" t="str">
        <f aca="false">IF($A50="N/A"," ",IF(Dayrun&gt;=3,IF(Option=1,$I50-$H50,IF(Option=2,$H50-$I50)),0))</f>
        <v> </v>
      </c>
      <c r="AK50" s="295" t="str">
        <f aca="false">IF($A50="N/A"," ",IF(Dayrun&gt;=6,IF(Option=1,$J50-H50,IF(Option=2,H50-$J50)),0))</f>
        <v> </v>
      </c>
      <c r="AL50" s="295" t="str">
        <f aca="false">IF($A50="N/A"," ",IF(OR(Dayrun&lt;=2,Dayrun&gt;=9),IF(Option=1,$K50-$H50,IF(Option=2,$H50-$K50)),0))</f>
        <v> </v>
      </c>
      <c r="AM50" s="295" t="str">
        <f aca="false">IF($A50="N/A"," ",IF(OR(Dayrun=1,Dayrun=4,Dayrun=5,Dayrun=7,Dayrun=8,Dayrun=10,Dayrun=11),IF(Option=1,$L50-H50,IF(Option=2,H50-$L50)),0))</f>
        <v> </v>
      </c>
      <c r="AN50" s="295" t="str">
        <f aca="false">IF($A50="N/A"," ",IF(OR(Dayrun=1,Dayrun=7,Dayrun=8,Dayrun=10,Dayrun=11),IF(Option=1,$M50-H50,IF(Option=2,H50-$M50)),0))</f>
        <v> </v>
      </c>
      <c r="AO50" s="295" t="str">
        <f aca="false">IF($A50="N/A"," ",IF(OR(Dayrun&lt;=2,Dayrun&gt;=9),IF(Option=1,$N50-$H50,IF(Option=2,$H50-$N50)),0))</f>
        <v> </v>
      </c>
      <c r="AP50" s="295" t="str">
        <f aca="false">IF($A50="N/A"," ",IF(OR(Dayrun=1,Dayrun=5,Dayrun=8,Dayrun=11),IF(Option=1,$O50-H50,IF(Option=2,H50-$O50)),0))</f>
        <v> </v>
      </c>
      <c r="AQ50" s="295" t="str">
        <f aca="false">IF($A50="N/A"," ",IF(OR(Dayrun=1,Dayrun=8,Dayrun=11),IF(Option=1,$P50-H50,IF(Option=2,H50-$P50)),0))</f>
        <v> </v>
      </c>
      <c r="AR50" s="296" t="str">
        <f aca="false">IF($A50="N/A"," ",IF(OR(Dayrun&lt;=2,Dayrun&gt;=9),IF(Option=1,$Q50-H50,IF(Option=2,H50-$Q50)),0))</f>
        <v> </v>
      </c>
      <c r="AS50" s="297" t="str">
        <f aca="false">IF($A50="N/A"," ",IF(VLOOKUP(MONTH($A50),ManualTable,2)=1,IF(Dayrun&gt;=3,$DE50*8*$CY50,0),0))</f>
        <v> </v>
      </c>
      <c r="AT50" s="297" t="str">
        <f aca="false">IF($A50="N/A"," ",IF(VLOOKUP(MONTH($A50),ManualTable,3)=1,IF(Dayrun&gt;=6,$DE50*8*$CY50,0),0))</f>
        <v> </v>
      </c>
      <c r="AU50" s="297" t="str">
        <f aca="false">IF($A50="N/A"," ",IF(VLOOKUP(MONTH($A50),ManualTable,4)=1,IF(OR(Dayrun&lt;=2,Dayrun&gt;=9),$DE50*8*$CY50,0),0))</f>
        <v> </v>
      </c>
      <c r="AV50" s="297" t="str">
        <f aca="false">IF($A50="N/A"," ",IF(VLOOKUP(MONTH($A50),ManualTable,5)=1,IF(OR(Dayrun=1,Dayrun=4,Dayrun=5,Dayrun=7,Dayrun=8,Dayrun=10,Dayrun=11),$DF50*8*$CY50,0),0))</f>
        <v> </v>
      </c>
      <c r="AW50" s="297" t="str">
        <f aca="false">IF($A50="N/A"," ",IF(VLOOKUP(MONTH($A50),ManualTable,6)=1,IF(OR(Dayrun=1,Dayrun=7,Dayrun=8,Dayrun=10,Dayrun=11),$DF50*8*$CY50,0),0))</f>
        <v> </v>
      </c>
      <c r="AX50" s="297" t="str">
        <f aca="false">IF($A50="N/A"," ",IF(VLOOKUP(MONTH($A50),ManualTable,7)=1,IF(OR(Dayrun&lt;=2,Dayrun&gt;=9),$DF50*8*$CY50,0),0))</f>
        <v> </v>
      </c>
      <c r="AY50" s="297" t="str">
        <f aca="false">IF($A50="N/A"," ",IF(VLOOKUP(MONTH($A50),ManualTable,8)=1,IF(OR(Dayrun=1,Dayrun=5,Dayrun=8,Dayrun=11),$DG50*8*$CY50,0),0))</f>
        <v> </v>
      </c>
      <c r="AZ50" s="297" t="str">
        <f aca="false">IF($A50="N/A"," ",IF(VLOOKUP(MONTH($A50),ManualTable,9)=1,IF(OR(Dayrun=1,Dayrun=8,Dayrun=11),$DG50*8*$CY50,0),0))</f>
        <v> </v>
      </c>
      <c r="BA50" s="298" t="str">
        <f aca="false">IF($A50="N/A"," ",IF(VLOOKUP(MONTH($A50),ManualTable,10)=1,IF(OR(Dayrun&lt;=2,Dayrun&gt;=9),$DG50*8*$CY50,0),0))</f>
        <v> </v>
      </c>
      <c r="BB50" s="299" t="str">
        <f aca="false">IF($A50="N/A"," ",IF(Dayrun&gt;=3,(MAX(0,(xSPRDOPT(I50,($E50-'Pricing Inputs'!$X85*$D50),$CV50,0,($CN50+IF(Smile=TRUE(),VLOOKUP(MAX(-5,$H50-I50),Volsmile,2),0)),$CT50,$CU50,($A50-DateToday)+15,ABS(Option-2),1)*DE50*8))),0))</f>
        <v> </v>
      </c>
      <c r="BC50" s="300" t="str">
        <f aca="false">IF($A50="N/A"," ",IF(Dayrun&gt;=6,MAX(0,(xSPRDOPT(J50,($E50-'Pricing Inputs'!$X85*$D50),$CV50,0,($CN50+IF(Smile=TRUE(),VLOOKUP(MAX(-5,$H50-J50),Volsmile,2),0)),$CT50,$CU50,($A50-DateToday)+15,ABS(Option-2),1)*DE50*8)),0))</f>
        <v> </v>
      </c>
      <c r="BD50" s="300" t="str">
        <f aca="false">IF($A50="N/A"," ",IF(OR(Dayrun&lt;=2,Dayrun&gt;=9),IF(OffPeakEx=TRUE(),MAX(0,(xSPRDOPT(K50,($E50-'Pricing Inputs'!$X85*$D50),$CV50,0,($CQ50+IF(Smile=TRUE(),VLOOKUP(MAX(-5,$H50-K50),Volsmile,2),0)),$CT50,$CU50,($A50-DateToday)+15,ABS(Option-2),1)*DE50*8)),0),0))</f>
        <v> </v>
      </c>
      <c r="BE50" s="300" t="str">
        <f aca="false">IF($A50="N/A"," ",IF(OR(Dayrun=1,Dayrun=4,Dayrun=5,Dayrun=7,Dayrun=8,Dayrun=10,Dayrun=11),MAX(0,(xSPRDOPT(L50,($E50-'Pricing Inputs'!$X85*$D50),$CV50,0,($CQ50+IF(Smile=TRUE(),VLOOKUP(MAX(-5,$H50-L50),Volsmile,2),0)),$CT50,$CU50,($A50-DateToday)+15,ABS(Option-2),1)*DF50*8)),0))</f>
        <v> </v>
      </c>
      <c r="BF50" s="300" t="str">
        <f aca="false">IF($A50="N/A"," ",IF(OR(Dayrun=1,Dayrun=7,Dayrun=8,Dayrun=10,Dayrun=11),MAX(0,(xSPRDOPT(M50,($E50-'Pricing Inputs'!$X85*$D50),$CV50,0,($CQ50+IF(Smile=TRUE(),VLOOKUP(MAX(-5,$H50-M50),Volsmile,2),0)),$CT50,$CU50,($A50-DateToday)+15,ABS(Option-2),1)*DF50*8)),0))</f>
        <v> </v>
      </c>
      <c r="BG50" s="300" t="str">
        <f aca="false">IF($A50="N/A"," ",IF(OR(Dayrun&lt;=2,Dayrun&gt;=10),IF(OffPeakEx=TRUE(),MAX(0,(xSPRDOPT(N50,($E50-'Pricing Inputs'!$X85*$D50),$CV50,0,($CQ50+IF(Smile=TRUE(),VLOOKUP(MAX(-5,$H50-N50),Volsmile,2),0)),$CT50,$CU50,($A50-DateToday)+15,ABS(Option-2),1)*DF50*8)),0),0))</f>
        <v> </v>
      </c>
      <c r="BH50" s="300" t="str">
        <f aca="false">IF($A50="N/A"," ",IF(OR(Dayrun=1,Dayrun=5,Dayrun=8,Dayrun=11),MAX(0,(xSPRDOPT(O50,($E50-'Pricing Inputs'!$X85*$D50),$CV50,0,($CQ50+IF(Smile=TRUE(),VLOOKUP(MAX(-5,$H50-O50),Volsmile,2),0)),$CT50,$CU50,($A50-DateToday)+15,ABS(Option-2),1)*DG50*8)),0))</f>
        <v> </v>
      </c>
      <c r="BI50" s="300" t="str">
        <f aca="false">IF($A50="N/A"," ",IF(OR(Dayrun=1,Dayrun=8,Dayrun=11),MAX(0,(xSPRDOPT(P50,($E50-'Pricing Inputs'!$X85*$D50),$CV50,0,($CQ50+IF(Smile=TRUE(),VLOOKUP(MAX(-5,$H50-P50),Volsmile,2),0)),$CT50,$CU50,($A50-DateToday)+15,ABS(Option-2),1)*DG50*8)),0))</f>
        <v> </v>
      </c>
      <c r="BJ50" s="301" t="str">
        <f aca="false">IF($A50="N/A"," ",IF(OR(Dayrun&lt;=2,Dayrun&gt;=11),IF(OffPeakEx=TRUE(),MAX(0,(xSPRDOPT(Q50,($E50-'Pricing Inputs'!$X85*$D50),$CV50,0,($CQ50+IF(Smile=TRUE(),VLOOKUP(MAX(-5,$H50-Q50),Volsmile,2),0)),$CT50,$CU50,($A50-DateToday)+15,ABS(Option-2),1)*DG50*8)),0),0))</f>
        <v> </v>
      </c>
      <c r="BK50" s="302" t="str">
        <f aca="false">IF($A50="N/A"," ",R50*$AS50)</f>
        <v> </v>
      </c>
      <c r="BL50" s="303" t="str">
        <f aca="false">IF($A50="N/A"," ",S50*$AT50)</f>
        <v> </v>
      </c>
      <c r="BM50" s="303" t="str">
        <f aca="false">IF($A50="N/A"," ",T50*$AU50)</f>
        <v> </v>
      </c>
      <c r="BN50" s="303" t="str">
        <f aca="false">IF($A50="N/A"," ",U50*$AV50)</f>
        <v> </v>
      </c>
      <c r="BO50" s="303" t="str">
        <f aca="false">IF($A50="N/A"," ",V50*$AW50)</f>
        <v> </v>
      </c>
      <c r="BP50" s="303" t="str">
        <f aca="false">IF($A50="N/A"," ",W50*$AX50)</f>
        <v> </v>
      </c>
      <c r="BQ50" s="303" t="str">
        <f aca="false">IF($A50="N/A"," ",X50*$AY50)</f>
        <v> </v>
      </c>
      <c r="BR50" s="303" t="str">
        <f aca="false">IF($A50="N/A"," ",Y50*$AZ50)</f>
        <v> </v>
      </c>
      <c r="BS50" s="304" t="str">
        <f aca="false">IF($A50="N/A"," ",Z50*$BA50)</f>
        <v> </v>
      </c>
      <c r="BT50" s="305" t="str">
        <f aca="false">IF($A50="N/A"," ",AA50*$AS50)</f>
        <v> </v>
      </c>
      <c r="BU50" s="306" t="str">
        <f aca="false">IF($A50="N/A"," ",AB50*$AT50)</f>
        <v> </v>
      </c>
      <c r="BV50" s="306" t="str">
        <f aca="false">IF($A50="N/A"," ",AC50*$AU50)</f>
        <v> </v>
      </c>
      <c r="BW50" s="306" t="str">
        <f aca="false">IF($A50="N/A"," ",AD50*$AV50)</f>
        <v> </v>
      </c>
      <c r="BX50" s="306" t="str">
        <f aca="false">IF($A50="N/A"," ",AE50*$AW50)</f>
        <v> </v>
      </c>
      <c r="BY50" s="306" t="str">
        <f aca="false">IF($A50="N/A"," ",AF50*$AX50)</f>
        <v> </v>
      </c>
      <c r="BZ50" s="306" t="str">
        <f aca="false">IF($A50="N/A"," ",AG50*$AY50)</f>
        <v> </v>
      </c>
      <c r="CA50" s="306" t="str">
        <f aca="false">IF($A50="N/A"," ",AH50*$AZ50)</f>
        <v> </v>
      </c>
      <c r="CB50" s="307" t="str">
        <f aca="false">IF($A50="N/A"," ",AI50*$BA50)</f>
        <v> </v>
      </c>
      <c r="CC50" s="308" t="str">
        <f aca="false">IF($A50="N/A"," ",AJ50*$AS50)</f>
        <v> </v>
      </c>
      <c r="CD50" s="309" t="str">
        <f aca="false">IF($A50="N/A"," ",AK50*$AT50)</f>
        <v> </v>
      </c>
      <c r="CE50" s="309" t="str">
        <f aca="false">IF($A50="N/A"," ",AL50*$AU50)</f>
        <v> </v>
      </c>
      <c r="CF50" s="309" t="str">
        <f aca="false">IF($A50="N/A"," ",AM50*$AV50)</f>
        <v> </v>
      </c>
      <c r="CG50" s="309" t="str">
        <f aca="false">IF($A50="N/A"," ",AN50*$AW50)</f>
        <v> </v>
      </c>
      <c r="CH50" s="309" t="str">
        <f aca="false">IF($A50="N/A"," ",AO50*$AX50)</f>
        <v> </v>
      </c>
      <c r="CI50" s="309" t="str">
        <f aca="false">IF($A50="N/A"," ",AP50*$AY50)</f>
        <v> </v>
      </c>
      <c r="CJ50" s="309" t="str">
        <f aca="false">IF($A50="N/A"," ",AQ50*$AZ50)</f>
        <v> </v>
      </c>
      <c r="CK50" s="310" t="str">
        <f aca="false">IF($A50="N/A"," ",AR50*$BA50)</f>
        <v> </v>
      </c>
      <c r="CL50" s="311" t="str">
        <f aca="false">IF(A50="N/A"," ",(VLOOKUP(A50,PowerVolTable,(IF(VolBMO=2,7,IF(VolBMO=1,6,8))),FALSE())))</f>
        <v> </v>
      </c>
      <c r="CM50" s="312" t="str">
        <f aca="false">IF(A50="N/A"," ",(VLOOKUP(A50,IntraPowerVol,(IF(VolBMO=2,3,IF(VolBMO=1,2,4))),FALSE())*VLOOKUP(MONTH($A50),Volscale,2)))</f>
        <v> </v>
      </c>
      <c r="CN50" s="312" t="str">
        <f aca="false">IF($A50="N/A"," ",IF(VolType=1,CM50,CL50))</f>
        <v> </v>
      </c>
      <c r="CO50" s="312" t="str">
        <f aca="false">IF($A50="N/A"," ",(VLOOKUP($A50,OffPeakVol,(IF(VolBMO=2,7,IF(VolBMO=1,6,8))),FALSE())))</f>
        <v> </v>
      </c>
      <c r="CP50" s="312" t="str">
        <f aca="false">IF($A50="N/A"," ",(VLOOKUP($A50,OffPeakVol,(IF(VolBMO=2,3,IF(VolBMO=1,2,4))),FALSE())*VLOOKUP(MONTH($A50),Volscale,2)))</f>
        <v> </v>
      </c>
      <c r="CQ50" s="312" t="str">
        <f aca="false">IF($A50="N/A"," ",IF(VolType=1,CP50,CO50))</f>
        <v> </v>
      </c>
      <c r="CR50" s="312" t="str">
        <f aca="false">IF($A50="N/A"," ",(VLOOKUP($A50,GasVolTable,(IF(VolBMO=2,6,IF(VolBMO=1,7,5))),FALSE())))</f>
        <v> </v>
      </c>
      <c r="CS50" s="312" t="str">
        <f aca="false">IF($A50="N/A"," ",(VLOOKUP($A50,OmicronVol,(IF(VolBMO=2,3,IF(VolBMO=1,4,2))),FALSE())))</f>
        <v> </v>
      </c>
      <c r="CT50" s="312" t="str">
        <f aca="false">IF($A50="N/A"," ",(IF(DateToday&gt;$A50,$CS50,IF(VolType=1,((($CR50^2)*((($A50-1)-DateToday)/((EOMONTH($A50,0)+1)-DateToday-15)))+((($CS50)^2)*((15)/((EOMONTH($A50,0)+1)-DateToday-15))))^0.5,CR50))))</f>
        <v> </v>
      </c>
      <c r="CU50" s="312" t="str">
        <f aca="false">IF($A50="N/A"," ",IF('Pricing Inputs'!$AR$23=TRUE(),Inputs!$S$22,VLOOKUP($A50,CorrelationTable,2,FALSE())))</f>
        <v> </v>
      </c>
      <c r="CV50" s="313" t="str">
        <f aca="false">IF($A50="N/A"," ",F50+G50+(D50*('Pricing Inputs'!X85)))</f>
        <v> </v>
      </c>
      <c r="CW50" s="314" t="str">
        <f aca="false">IF($A50="N/A"," ",IF(PV=1,0,'Pricing Inputs'!Y85))</f>
        <v> </v>
      </c>
      <c r="CX50" s="315" t="str">
        <f aca="false">IF($A50="N/A"," ",(1+CW50/2)^(-2*((EOMONTH(A50,0)+20)-DateToday)/365.25))</f>
        <v> </v>
      </c>
      <c r="CY50" s="316" t="str">
        <f aca="false">IF($A50="N/A"," ",(IF(MONTH(A50)&gt;=4,IF(MONTH(A50)&lt;=10,Inputs!$S$26,Inputs!$S$27),Inputs!$S$27))*$CX50)</f>
        <v> </v>
      </c>
      <c r="CZ50" s="317" t="str">
        <f aca="false">IF($A50="N/A"," ",BK50+BL50+BN50+BO50+BQ50+BR50)</f>
        <v> </v>
      </c>
      <c r="DA50" s="318" t="str">
        <f aca="false">IF($A50="N/A"," ",BM50+BP50+BS50)</f>
        <v> </v>
      </c>
      <c r="DB50" s="319" t="str">
        <f aca="false">IF($A50="N/A"," ",BT50+BU50+BW50+BX50+BZ50+CA50)</f>
        <v> </v>
      </c>
      <c r="DC50" s="319" t="str">
        <f aca="false">IF($A50="N/A"," ",BV50+BY50+CB50)</f>
        <v> </v>
      </c>
      <c r="DD50" s="320" t="str">
        <f aca="false">IF($A50="N/A"," ",SUM(CC50:CK50))</f>
        <v> </v>
      </c>
      <c r="DE50" s="321" t="str">
        <f aca="false">IF($A50="N/A"," ",VLOOKUP($A50,NumberofDaysTable,2)*Availability)</f>
        <v> </v>
      </c>
      <c r="DF50" s="94" t="str">
        <f aca="false">IF($A50="N/A"," ",VLOOKUP($A50,NumberofDaysTable,3)*Availability)</f>
        <v> </v>
      </c>
      <c r="DG50" s="322" t="str">
        <f aca="false">IF($A50="N/A"," ",VLOOKUP($A50,NumberofDaysTable,4)*Availability)</f>
        <v> </v>
      </c>
      <c r="DH50" s="323" t="str">
        <f aca="false">IF($A50="N/A"," ",IF(Option=1,$D50*Inputs!$S$15*SUM(AS50:BA50),0))</f>
        <v> </v>
      </c>
      <c r="DI50" s="324" t="str">
        <f aca="false">IF($A50="N/A"," ",IF(Option=1,$D50*Inputs!$S$16*SUM(AS50:BA50),0))</f>
        <v> </v>
      </c>
      <c r="DJ50" s="325" t="str">
        <f aca="false">IF($A50="N/A"," ",SUM(AS50:AT50))</f>
        <v> </v>
      </c>
      <c r="DK50" s="325" t="str">
        <f aca="false">IF($A50="N/A"," ",SUM(AU50:BA50))</f>
        <v> </v>
      </c>
      <c r="DL50" s="325" t="str">
        <f aca="false">IF($A50="N/A"," ",SUM(BB50:BC50))</f>
        <v> </v>
      </c>
      <c r="DM50" s="325" t="str">
        <f aca="false">IF($A50="N/A"," ",SUM(BD50:BJ50))</f>
        <v> </v>
      </c>
    </row>
    <row r="51" customFormat="false" ht="12.75" hidden="false" customHeight="false" outlineLevel="0" collapsed="false">
      <c r="A51" s="282" t="str">
        <f aca="false">IF(A50="N/A","N/A",IF(EDATE(A50,1)&gt;Inputs!$S$5,"N/A",EDATE(A50,1)))</f>
        <v>N/A</v>
      </c>
      <c r="B51" s="283" t="str">
        <f aca="false">IF(A51="N/A"," ",YEAR(A51))</f>
        <v> </v>
      </c>
      <c r="C51" s="284" t="str">
        <f aca="false">IF(A51="N/A"," ",VLOOKUP(A51,ScaledPrice,14))</f>
        <v> </v>
      </c>
      <c r="D51" s="285" t="str">
        <f aca="false">IF(A51="N/A"," ",(VLOOKUP(MONTH($A51),Hrtable,2))/1000)</f>
        <v> </v>
      </c>
      <c r="E51" s="286" t="str">
        <f aca="false">IF($A51="N/A"," ",(C51)*D51)</f>
        <v> </v>
      </c>
      <c r="F51" s="287" t="str">
        <f aca="false">IF(A51="N/A"," ",VOM*(1+VOMesc)^(YEAR(A51)-YEAR(Today)))</f>
        <v> </v>
      </c>
      <c r="G51" s="287" t="str">
        <f aca="false">IF(A51="N/A"," ",Perstart/VLOOKUP(Dayrun,'Pricing Inputs'!$AQ$4:$AS$14,3)/(CY51/CX51))</f>
        <v> </v>
      </c>
      <c r="H51" s="288" t="str">
        <f aca="false">IF(A51="N/A"," ",SUM(E51:G51))</f>
        <v> </v>
      </c>
      <c r="I51" s="289" t="str">
        <f aca="false">VLOOKUP($A51,ScaledPrice,6)</f>
        <v> </v>
      </c>
      <c r="J51" s="290" t="str">
        <f aca="false">VLOOKUP($A51,ScaledPrice,10)</f>
        <v> </v>
      </c>
      <c r="K51" s="290" t="str">
        <f aca="false">VLOOKUP($A51,ScaledPrice,13)</f>
        <v> </v>
      </c>
      <c r="L51" s="290" t="str">
        <f aca="false">VLOOKUP($A51,ScaledPrice,7)</f>
        <v> </v>
      </c>
      <c r="M51" s="290" t="str">
        <f aca="false">VLOOKUP($A51,ScaledPrice,11)</f>
        <v> </v>
      </c>
      <c r="N51" s="290" t="str">
        <f aca="false">VLOOKUP($A51,ScaledPrice,13)</f>
        <v> </v>
      </c>
      <c r="O51" s="290" t="str">
        <f aca="false">VLOOKUP($A51,ScaledPrice,8)</f>
        <v> </v>
      </c>
      <c r="P51" s="290" t="str">
        <f aca="false">VLOOKUP($A51,ScaledPrice,12)</f>
        <v> </v>
      </c>
      <c r="Q51" s="291" t="str">
        <f aca="false">VLOOKUP($A51,ScaledPrice,13)</f>
        <v> </v>
      </c>
      <c r="R51" s="292" t="str">
        <f aca="false">IF($A51="N/A"," ",IF(Dayrun&gt;=3,IF(Option=1,MAX($I51-$H51,0),IF(Option=2,MAX($H51-$I51,0),0)),0))</f>
        <v> </v>
      </c>
      <c r="S51" s="286" t="str">
        <f aca="false">IF($A51="N/A"," ",IF(Dayrun&gt;=6,IF(Option=1,MAX($J51-H51,0),IF(Option=2,MAX(H51-$J51,0),0)),0))</f>
        <v> </v>
      </c>
      <c r="T51" s="286" t="str">
        <f aca="false">IF($A51="N/A"," ",IF(OR(Dayrun&lt;=2,Dayrun&gt;=9),IF(Option=1,MAX($K51-$H51,0),IF(Option=2,MAX($H51-$K51,0),0)),0))</f>
        <v> </v>
      </c>
      <c r="U51" s="286" t="str">
        <f aca="false">IF($A51="N/A"," ",IF(OR(Dayrun=1,Dayrun=4,Dayrun=5,Dayrun=7,Dayrun=8,Dayrun=10,Dayrun=11),IF(Option=1,MAX($L51-H51,0),IF(Option=2,MAX(H51-$L51,0),0)),0))</f>
        <v> </v>
      </c>
      <c r="V51" s="286" t="str">
        <f aca="false">IF($A51="N/A"," ",IF(OR(Dayrun=1,Dayrun=7,Dayrun=8,Dayrun=10,Dayrun=11),IF(Option=1,MAX($M51-H51,0),IF(Option=2,MAX(H51-$M51,0),0)),0))</f>
        <v> </v>
      </c>
      <c r="W51" s="286" t="str">
        <f aca="false">IF($A51="N/A"," ",IF(OR(Dayrun&lt;=2,Dayrun&gt;=10),IF(Option=1,MAX($N51-$H51,0),IF(Option=2,MAX($H51-$N51,0),0)),0))</f>
        <v> </v>
      </c>
      <c r="X51" s="286" t="str">
        <f aca="false">IF($A51="N/A"," ",IF(OR(Dayrun=1,Dayrun=5,Dayrun=8,Dayrun=11),IF(Option=1,MAX($O51-H51,0),IF(Option=2,MAX(H51-$O51,0),0)),0))</f>
        <v> </v>
      </c>
      <c r="Y51" s="286" t="str">
        <f aca="false">IF($A51="N/A"," ",IF(OR(Dayrun=1,Dayrun=8,Dayrun=11),IF(Option=1,MAX($P51-H51,0),IF(Option=2,MAX(H51-$P51,0),0)),0))</f>
        <v> </v>
      </c>
      <c r="Z51" s="293" t="str">
        <f aca="false">IF($A51="N/A"," ",IF(OR(Dayrun&lt;=2,Dayrun&gt;=11),IF(Option=1,MAX($Q51-$H51,0),IF(Option=2,MAX($H51-$Q51,0),0)),0))</f>
        <v> </v>
      </c>
      <c r="AA51" s="289" t="str">
        <f aca="false">IF($A51="N/A"," ",IF(Dayrun&gt;=3,(MAX(0,(xSPRDOPT(I51,($E51-'Pricing Inputs'!$X86*$D51),$CV51,0,($CN51+IF(Smile=TRUE(),VLOOKUP(MAX(-5,$H51-I51),Volsmile,2),0)),$CT51,$CU51,($A51-DateToday)+15,ABS(Option-2),0)-R51))),0))</f>
        <v> </v>
      </c>
      <c r="AB51" s="290" t="str">
        <f aca="false">IF($A51="N/A"," ",IF(Dayrun&gt;=6,MAX(0,(xSPRDOPT(J51,($E51-'Pricing Inputs'!$X86*$D51),$CV51,0,($CN51+IF(Smile=TRUE(),VLOOKUP(MAX(-5,$H51-J51),Volsmile,2),0)),$CT51,$CU51,($A51-DateToday)+15,ABS(Option-2),0)-S51)),0))</f>
        <v> </v>
      </c>
      <c r="AC51" s="290" t="str">
        <f aca="false">IF($A51="N/A"," ",IF(OR(Dayrun&lt;=2,Dayrun&gt;=9),IF(OffPeakEx=TRUE(),MAX(0,(xSPRDOPT(K51,($E51-'Pricing Inputs'!$X86*$D51),$CV51,0,($CQ51+IF(Smile=TRUE(),VLOOKUP(MAX(-5,$H51-K51),Volsmile,2),0)),$CT51,$CU51,($A51-DateToday)+15,ABS(Option-2),0)-T51)),0),0))</f>
        <v> </v>
      </c>
      <c r="AD51" s="290" t="str">
        <f aca="false">IF($A51="N/A"," ",IF(OR(Dayrun=1,Dayrun=4,Dayrun=5,Dayrun=7,Dayrun=8,Dayrun=10,Dayrun=11),MAX(0,(xSPRDOPT(L51,($E51-'Pricing Inputs'!$X86*$D51),$CV51,0,($CQ51+IF(Smile=TRUE(),VLOOKUP(MAX(-5,$H51-L51),Volsmile,2),0)),$CT51,$CU51,($A51-DateToday)+15,ABS(Option-2),0)-U51)),0))</f>
        <v> </v>
      </c>
      <c r="AE51" s="290" t="str">
        <f aca="false">IF($A51="N/A"," ",IF(OR(Dayrun=1,Dayrun=7,Dayrun=8,Dayrun=10,Dayrun=11),MAX(0,(xSPRDOPT(M51,($E51-'Pricing Inputs'!$X86*$D51),$CV51,0,($CQ51+IF(Smile=TRUE(),VLOOKUP(MAX(-5,$H51-M51),Volsmile,2),0)),$CT51,$CU51,($A51-DateToday)+15,ABS(Option-2),0)-V51)),0))</f>
        <v> </v>
      </c>
      <c r="AF51" s="290" t="str">
        <f aca="false">IF($A51="N/A"," ",IF(OR(Dayrun&lt;=2,Dayrun&gt;=10),IF(OffPeakEx=TRUE(),MAX(0,(xSPRDOPT(N51,($E51-'Pricing Inputs'!$X86*$D51),$CV51,0,($CQ51+IF(Smile=TRUE(),VLOOKUP(MAX(-5,$H51-N51),Volsmile,2),0)),$CT51,$CU51,($A51-DateToday)+15,ABS(Option-2),0)-W51)),0),0))</f>
        <v> </v>
      </c>
      <c r="AG51" s="290" t="str">
        <f aca="false">IF($A51="N/A"," ",IF(OR(Dayrun=1,Dayrun=5,Dayrun=8,Dayrun=11),MAX(0,(xSPRDOPT(O51,($E51-'Pricing Inputs'!$X86*$D51),$CV51,0,($CQ51+IF(Smile=TRUE(),VLOOKUP(MAX(-5,$H51-O51),Volsmile,2),0)),$CT51,$CU51,($A51-DateToday)+15,ABS(Option-2),0)-X51)),0))</f>
        <v> </v>
      </c>
      <c r="AH51" s="290" t="str">
        <f aca="false">IF($A51="N/A"," ",IF(OR(Dayrun=1,Dayrun=8,Dayrun=11),MAX(0,(xSPRDOPT(P51,($E51-'Pricing Inputs'!$X86*$D51),$CV51,0,($CQ51+IF(Smile=TRUE(),VLOOKUP(MAX(-5,$H51-P51),Volsmile,2),0)),$CT51,$CU51,($A51-DateToday)+15,ABS(Option-2),0)-Y51)),0))</f>
        <v> </v>
      </c>
      <c r="AI51" s="290" t="str">
        <f aca="false">IF($A51="N/A"," ",IF(OR(Dayrun&lt;=2,Dayrun&gt;=11),IF(OffPeakEx=TRUE(),MAX(0,(xSPRDOPT(Q51,($E51-'Pricing Inputs'!$X86*$D51),$CV51,0,($CQ51+IF(Smile=TRUE(),VLOOKUP(MAX(-5,$H51-Q51),Volsmile,2),0)),$CT51,$CU51,($A51-DateToday)+15,ABS(Option-2),0)-Z51)),0),0))</f>
        <v> </v>
      </c>
      <c r="AJ51" s="294" t="str">
        <f aca="false">IF($A51="N/A"," ",IF(Dayrun&gt;=3,IF(Option=1,$I51-$H51,IF(Option=2,$H51-$I51)),0))</f>
        <v> </v>
      </c>
      <c r="AK51" s="295" t="str">
        <f aca="false">IF($A51="N/A"," ",IF(Dayrun&gt;=6,IF(Option=1,$J51-H51,IF(Option=2,H51-$J51)),0))</f>
        <v> </v>
      </c>
      <c r="AL51" s="295" t="str">
        <f aca="false">IF($A51="N/A"," ",IF(OR(Dayrun&lt;=2,Dayrun&gt;=9),IF(Option=1,$K51-$H51,IF(Option=2,$H51-$K51)),0))</f>
        <v> </v>
      </c>
      <c r="AM51" s="295" t="str">
        <f aca="false">IF($A51="N/A"," ",IF(OR(Dayrun=1,Dayrun=4,Dayrun=5,Dayrun=7,Dayrun=8,Dayrun=10,Dayrun=11),IF(Option=1,$L51-H51,IF(Option=2,H51-$L51)),0))</f>
        <v> </v>
      </c>
      <c r="AN51" s="295" t="str">
        <f aca="false">IF($A51="N/A"," ",IF(OR(Dayrun=1,Dayrun=7,Dayrun=8,Dayrun=10,Dayrun=11),IF(Option=1,$M51-H51,IF(Option=2,H51-$M51)),0))</f>
        <v> </v>
      </c>
      <c r="AO51" s="295" t="str">
        <f aca="false">IF($A51="N/A"," ",IF(OR(Dayrun&lt;=2,Dayrun&gt;=9),IF(Option=1,$N51-$H51,IF(Option=2,$H51-$N51)),0))</f>
        <v> </v>
      </c>
      <c r="AP51" s="295" t="str">
        <f aca="false">IF($A51="N/A"," ",IF(OR(Dayrun=1,Dayrun=5,Dayrun=8,Dayrun=11),IF(Option=1,$O51-H51,IF(Option=2,H51-$O51)),0))</f>
        <v> </v>
      </c>
      <c r="AQ51" s="295" t="str">
        <f aca="false">IF($A51="N/A"," ",IF(OR(Dayrun=1,Dayrun=8,Dayrun=11),IF(Option=1,$P51-H51,IF(Option=2,H51-$P51)),0))</f>
        <v> </v>
      </c>
      <c r="AR51" s="296" t="str">
        <f aca="false">IF($A51="N/A"," ",IF(OR(Dayrun&lt;=2,Dayrun&gt;=9),IF(Option=1,$Q51-H51,IF(Option=2,H51-$Q51)),0))</f>
        <v> </v>
      </c>
      <c r="AS51" s="297" t="str">
        <f aca="false">IF($A51="N/A"," ",IF(VLOOKUP(MONTH($A51),ManualTable,2)=1,IF(Dayrun&gt;=3,$DE51*8*$CY51,0),0))</f>
        <v> </v>
      </c>
      <c r="AT51" s="297" t="str">
        <f aca="false">IF($A51="N/A"," ",IF(VLOOKUP(MONTH($A51),ManualTable,3)=1,IF(Dayrun&gt;=6,$DE51*8*$CY51,0),0))</f>
        <v> </v>
      </c>
      <c r="AU51" s="297" t="str">
        <f aca="false">IF($A51="N/A"," ",IF(VLOOKUP(MONTH($A51),ManualTable,4)=1,IF(OR(Dayrun&lt;=2,Dayrun&gt;=9),$DE51*8*$CY51,0),0))</f>
        <v> </v>
      </c>
      <c r="AV51" s="297" t="str">
        <f aca="false">IF($A51="N/A"," ",IF(VLOOKUP(MONTH($A51),ManualTable,5)=1,IF(OR(Dayrun=1,Dayrun=4,Dayrun=5,Dayrun=7,Dayrun=8,Dayrun=10,Dayrun=11),$DF51*8*$CY51,0),0))</f>
        <v> </v>
      </c>
      <c r="AW51" s="297" t="str">
        <f aca="false">IF($A51="N/A"," ",IF(VLOOKUP(MONTH($A51),ManualTable,6)=1,IF(OR(Dayrun=1,Dayrun=7,Dayrun=8,Dayrun=10,Dayrun=11),$DF51*8*$CY51,0),0))</f>
        <v> </v>
      </c>
      <c r="AX51" s="297" t="str">
        <f aca="false">IF($A51="N/A"," ",IF(VLOOKUP(MONTH($A51),ManualTable,7)=1,IF(OR(Dayrun&lt;=2,Dayrun&gt;=9),$DF51*8*$CY51,0),0))</f>
        <v> </v>
      </c>
      <c r="AY51" s="297" t="str">
        <f aca="false">IF($A51="N/A"," ",IF(VLOOKUP(MONTH($A51),ManualTable,8)=1,IF(OR(Dayrun=1,Dayrun=5,Dayrun=8,Dayrun=11),$DG51*8*$CY51,0),0))</f>
        <v> </v>
      </c>
      <c r="AZ51" s="297" t="str">
        <f aca="false">IF($A51="N/A"," ",IF(VLOOKUP(MONTH($A51),ManualTable,9)=1,IF(OR(Dayrun=1,Dayrun=8,Dayrun=11),$DG51*8*$CY51,0),0))</f>
        <v> </v>
      </c>
      <c r="BA51" s="298" t="str">
        <f aca="false">IF($A51="N/A"," ",IF(VLOOKUP(MONTH($A51),ManualTable,10)=1,IF(OR(Dayrun&lt;=2,Dayrun&gt;=9),$DG51*8*$CY51,0),0))</f>
        <v> </v>
      </c>
      <c r="BB51" s="299" t="str">
        <f aca="false">IF($A51="N/A"," ",IF(Dayrun&gt;=3,(MAX(0,(xSPRDOPT(I51,($E51-'Pricing Inputs'!$X86*$D51),$CV51,0,($CN51+IF(Smile=TRUE(),VLOOKUP(MAX(-5,$H51-I51),Volsmile,2),0)),$CT51,$CU51,($A51-DateToday)+15,ABS(Option-2),1)*DE51*8))),0))</f>
        <v> </v>
      </c>
      <c r="BC51" s="300" t="str">
        <f aca="false">IF($A51="N/A"," ",IF(Dayrun&gt;=6,MAX(0,(xSPRDOPT(J51,($E51-'Pricing Inputs'!$X86*$D51),$CV51,0,($CN51+IF(Smile=TRUE(),VLOOKUP(MAX(-5,$H51-J51),Volsmile,2),0)),$CT51,$CU51,($A51-DateToday)+15,ABS(Option-2),1)*DE51*8)),0))</f>
        <v> </v>
      </c>
      <c r="BD51" s="300" t="str">
        <f aca="false">IF($A51="N/A"," ",IF(OR(Dayrun&lt;=2,Dayrun&gt;=9),IF(OffPeakEx=TRUE(),MAX(0,(xSPRDOPT(K51,($E51-'Pricing Inputs'!$X86*$D51),$CV51,0,($CQ51+IF(Smile=TRUE(),VLOOKUP(MAX(-5,$H51-K51),Volsmile,2),0)),$CT51,$CU51,($A51-DateToday)+15,ABS(Option-2),1)*DE51*8)),0),0))</f>
        <v> </v>
      </c>
      <c r="BE51" s="300" t="str">
        <f aca="false">IF($A51="N/A"," ",IF(OR(Dayrun=1,Dayrun=4,Dayrun=5,Dayrun=7,Dayrun=8,Dayrun=10,Dayrun=11),MAX(0,(xSPRDOPT(L51,($E51-'Pricing Inputs'!$X86*$D51),$CV51,0,($CQ51+IF(Smile=TRUE(),VLOOKUP(MAX(-5,$H51-L51),Volsmile,2),0)),$CT51,$CU51,($A51-DateToday)+15,ABS(Option-2),1)*DF51*8)),0))</f>
        <v> </v>
      </c>
      <c r="BF51" s="300" t="str">
        <f aca="false">IF($A51="N/A"," ",IF(OR(Dayrun=1,Dayrun=7,Dayrun=8,Dayrun=10,Dayrun=11),MAX(0,(xSPRDOPT(M51,($E51-'Pricing Inputs'!$X86*$D51),$CV51,0,($CQ51+IF(Smile=TRUE(),VLOOKUP(MAX(-5,$H51-M51),Volsmile,2),0)),$CT51,$CU51,($A51-DateToday)+15,ABS(Option-2),1)*DF51*8)),0))</f>
        <v> </v>
      </c>
      <c r="BG51" s="300" t="str">
        <f aca="false">IF($A51="N/A"," ",IF(OR(Dayrun&lt;=2,Dayrun&gt;=10),IF(OffPeakEx=TRUE(),MAX(0,(xSPRDOPT(N51,($E51-'Pricing Inputs'!$X86*$D51),$CV51,0,($CQ51+IF(Smile=TRUE(),VLOOKUP(MAX(-5,$H51-N51),Volsmile,2),0)),$CT51,$CU51,($A51-DateToday)+15,ABS(Option-2),1)*DF51*8)),0),0))</f>
        <v> </v>
      </c>
      <c r="BH51" s="300" t="str">
        <f aca="false">IF($A51="N/A"," ",IF(OR(Dayrun=1,Dayrun=5,Dayrun=8,Dayrun=11),MAX(0,(xSPRDOPT(O51,($E51-'Pricing Inputs'!$X86*$D51),$CV51,0,($CQ51+IF(Smile=TRUE(),VLOOKUP(MAX(-5,$H51-O51),Volsmile,2),0)),$CT51,$CU51,($A51-DateToday)+15,ABS(Option-2),1)*DG51*8)),0))</f>
        <v> </v>
      </c>
      <c r="BI51" s="300" t="str">
        <f aca="false">IF($A51="N/A"," ",IF(OR(Dayrun=1,Dayrun=8,Dayrun=11),MAX(0,(xSPRDOPT(P51,($E51-'Pricing Inputs'!$X86*$D51),$CV51,0,($CQ51+IF(Smile=TRUE(),VLOOKUP(MAX(-5,$H51-P51),Volsmile,2),0)),$CT51,$CU51,($A51-DateToday)+15,ABS(Option-2),1)*DG51*8)),0))</f>
        <v> </v>
      </c>
      <c r="BJ51" s="301" t="str">
        <f aca="false">IF($A51="N/A"," ",IF(OR(Dayrun&lt;=2,Dayrun&gt;=11),IF(OffPeakEx=TRUE(),MAX(0,(xSPRDOPT(Q51,($E51-'Pricing Inputs'!$X86*$D51),$CV51,0,($CQ51+IF(Smile=TRUE(),VLOOKUP(MAX(-5,$H51-Q51),Volsmile,2),0)),$CT51,$CU51,($A51-DateToday)+15,ABS(Option-2),1)*DG51*8)),0),0))</f>
        <v> </v>
      </c>
      <c r="BK51" s="302" t="str">
        <f aca="false">IF($A51="N/A"," ",R51*$AS51)</f>
        <v> </v>
      </c>
      <c r="BL51" s="303" t="str">
        <f aca="false">IF($A51="N/A"," ",S51*$AT51)</f>
        <v> </v>
      </c>
      <c r="BM51" s="303" t="str">
        <f aca="false">IF($A51="N/A"," ",T51*$AU51)</f>
        <v> </v>
      </c>
      <c r="BN51" s="303" t="str">
        <f aca="false">IF($A51="N/A"," ",U51*$AV51)</f>
        <v> </v>
      </c>
      <c r="BO51" s="303" t="str">
        <f aca="false">IF($A51="N/A"," ",V51*$AW51)</f>
        <v> </v>
      </c>
      <c r="BP51" s="303" t="str">
        <f aca="false">IF($A51="N/A"," ",W51*$AX51)</f>
        <v> </v>
      </c>
      <c r="BQ51" s="303" t="str">
        <f aca="false">IF($A51="N/A"," ",X51*$AY51)</f>
        <v> </v>
      </c>
      <c r="BR51" s="303" t="str">
        <f aca="false">IF($A51="N/A"," ",Y51*$AZ51)</f>
        <v> </v>
      </c>
      <c r="BS51" s="304" t="str">
        <f aca="false">IF($A51="N/A"," ",Z51*$BA51)</f>
        <v> </v>
      </c>
      <c r="BT51" s="305" t="str">
        <f aca="false">IF($A51="N/A"," ",AA51*$AS51)</f>
        <v> </v>
      </c>
      <c r="BU51" s="306" t="str">
        <f aca="false">IF($A51="N/A"," ",AB51*$AT51)</f>
        <v> </v>
      </c>
      <c r="BV51" s="306" t="str">
        <f aca="false">IF($A51="N/A"," ",AC51*$AU51)</f>
        <v> </v>
      </c>
      <c r="BW51" s="306" t="str">
        <f aca="false">IF($A51="N/A"," ",AD51*$AV51)</f>
        <v> </v>
      </c>
      <c r="BX51" s="306" t="str">
        <f aca="false">IF($A51="N/A"," ",AE51*$AW51)</f>
        <v> </v>
      </c>
      <c r="BY51" s="306" t="str">
        <f aca="false">IF($A51="N/A"," ",AF51*$AX51)</f>
        <v> </v>
      </c>
      <c r="BZ51" s="306" t="str">
        <f aca="false">IF($A51="N/A"," ",AG51*$AY51)</f>
        <v> </v>
      </c>
      <c r="CA51" s="306" t="str">
        <f aca="false">IF($A51="N/A"," ",AH51*$AZ51)</f>
        <v> </v>
      </c>
      <c r="CB51" s="307" t="str">
        <f aca="false">IF($A51="N/A"," ",AI51*$BA51)</f>
        <v> </v>
      </c>
      <c r="CC51" s="308" t="str">
        <f aca="false">IF($A51="N/A"," ",AJ51*$AS51)</f>
        <v> </v>
      </c>
      <c r="CD51" s="309" t="str">
        <f aca="false">IF($A51="N/A"," ",AK51*$AT51)</f>
        <v> </v>
      </c>
      <c r="CE51" s="309" t="str">
        <f aca="false">IF($A51="N/A"," ",AL51*$AU51)</f>
        <v> </v>
      </c>
      <c r="CF51" s="309" t="str">
        <f aca="false">IF($A51="N/A"," ",AM51*$AV51)</f>
        <v> </v>
      </c>
      <c r="CG51" s="309" t="str">
        <f aca="false">IF($A51="N/A"," ",AN51*$AW51)</f>
        <v> </v>
      </c>
      <c r="CH51" s="309" t="str">
        <f aca="false">IF($A51="N/A"," ",AO51*$AX51)</f>
        <v> </v>
      </c>
      <c r="CI51" s="309" t="str">
        <f aca="false">IF($A51="N/A"," ",AP51*$AY51)</f>
        <v> </v>
      </c>
      <c r="CJ51" s="309" t="str">
        <f aca="false">IF($A51="N/A"," ",AQ51*$AZ51)</f>
        <v> </v>
      </c>
      <c r="CK51" s="310" t="str">
        <f aca="false">IF($A51="N/A"," ",AR51*$BA51)</f>
        <v> </v>
      </c>
      <c r="CL51" s="311" t="str">
        <f aca="false">IF(A51="N/A"," ",(VLOOKUP(A51,PowerVolTable,(IF(VolBMO=2,7,IF(VolBMO=1,6,8))),FALSE())))</f>
        <v> </v>
      </c>
      <c r="CM51" s="312" t="str">
        <f aca="false">IF(A51="N/A"," ",(VLOOKUP(A51,IntraPowerVol,(IF(VolBMO=2,3,IF(VolBMO=1,2,4))),FALSE())*VLOOKUP(MONTH($A51),Volscale,2)))</f>
        <v> </v>
      </c>
      <c r="CN51" s="312" t="str">
        <f aca="false">IF($A51="N/A"," ",IF(VolType=1,CM51,CL51))</f>
        <v> </v>
      </c>
      <c r="CO51" s="312" t="str">
        <f aca="false">IF($A51="N/A"," ",(VLOOKUP($A51,OffPeakVol,(IF(VolBMO=2,7,IF(VolBMO=1,6,8))),FALSE())))</f>
        <v> </v>
      </c>
      <c r="CP51" s="312" t="str">
        <f aca="false">IF($A51="N/A"," ",(VLOOKUP($A51,OffPeakVol,(IF(VolBMO=2,3,IF(VolBMO=1,2,4))),FALSE())*VLOOKUP(MONTH($A51),Volscale,2)))</f>
        <v> </v>
      </c>
      <c r="CQ51" s="312" t="str">
        <f aca="false">IF($A51="N/A"," ",IF(VolType=1,CP51,CO51))</f>
        <v> </v>
      </c>
      <c r="CR51" s="312" t="str">
        <f aca="false">IF($A51="N/A"," ",(VLOOKUP($A51,GasVolTable,(IF(VolBMO=2,6,IF(VolBMO=1,7,5))),FALSE())))</f>
        <v> </v>
      </c>
      <c r="CS51" s="312" t="str">
        <f aca="false">IF($A51="N/A"," ",(VLOOKUP($A51,OmicronVol,(IF(VolBMO=2,3,IF(VolBMO=1,4,2))),FALSE())))</f>
        <v> </v>
      </c>
      <c r="CT51" s="312" t="str">
        <f aca="false">IF($A51="N/A"," ",(IF(DateToday&gt;$A51,$CS51,IF(VolType=1,((($CR51^2)*((($A51-1)-DateToday)/((EOMONTH($A51,0)+1)-DateToday-15)))+((($CS51)^2)*((15)/((EOMONTH($A51,0)+1)-DateToday-15))))^0.5,CR51))))</f>
        <v> </v>
      </c>
      <c r="CU51" s="312" t="str">
        <f aca="false">IF($A51="N/A"," ",IF('Pricing Inputs'!$AR$23=TRUE(),Inputs!$S$22,VLOOKUP($A51,CorrelationTable,2,FALSE())))</f>
        <v> </v>
      </c>
      <c r="CV51" s="313" t="str">
        <f aca="false">IF($A51="N/A"," ",F51+G51+(D51*('Pricing Inputs'!X86)))</f>
        <v> </v>
      </c>
      <c r="CW51" s="314" t="str">
        <f aca="false">IF($A51="N/A"," ",IF(PV=1,0,'Pricing Inputs'!Y86))</f>
        <v> </v>
      </c>
      <c r="CX51" s="315" t="str">
        <f aca="false">IF($A51="N/A"," ",(1+CW51/2)^(-2*((EOMONTH(A51,0)+20)-DateToday)/365.25))</f>
        <v> </v>
      </c>
      <c r="CY51" s="316" t="str">
        <f aca="false">IF($A51="N/A"," ",(IF(MONTH(A51)&gt;=4,IF(MONTH(A51)&lt;=10,Inputs!$S$26,Inputs!$S$27),Inputs!$S$27))*$CX51)</f>
        <v> </v>
      </c>
      <c r="CZ51" s="317" t="str">
        <f aca="false">IF($A51="N/A"," ",BK51+BL51+BN51+BO51+BQ51+BR51)</f>
        <v> </v>
      </c>
      <c r="DA51" s="318" t="str">
        <f aca="false">IF($A51="N/A"," ",BM51+BP51+BS51)</f>
        <v> </v>
      </c>
      <c r="DB51" s="319" t="str">
        <f aca="false">IF($A51="N/A"," ",BT51+BU51+BW51+BX51+BZ51+CA51)</f>
        <v> </v>
      </c>
      <c r="DC51" s="319" t="str">
        <f aca="false">IF($A51="N/A"," ",BV51+BY51+CB51)</f>
        <v> </v>
      </c>
      <c r="DD51" s="320" t="str">
        <f aca="false">IF($A51="N/A"," ",SUM(CC51:CK51))</f>
        <v> </v>
      </c>
      <c r="DE51" s="321" t="str">
        <f aca="false">IF($A51="N/A"," ",VLOOKUP($A51,NumberofDaysTable,2)*Availability)</f>
        <v> </v>
      </c>
      <c r="DF51" s="94" t="str">
        <f aca="false">IF($A51="N/A"," ",VLOOKUP($A51,NumberofDaysTable,3)*Availability)</f>
        <v> </v>
      </c>
      <c r="DG51" s="322" t="str">
        <f aca="false">IF($A51="N/A"," ",VLOOKUP($A51,NumberofDaysTable,4)*Availability)</f>
        <v> </v>
      </c>
      <c r="DH51" s="323" t="str">
        <f aca="false">IF($A51="N/A"," ",IF(Option=1,$D51*Inputs!$S$15*SUM(AS51:BA51),0))</f>
        <v> </v>
      </c>
      <c r="DI51" s="324" t="str">
        <f aca="false">IF($A51="N/A"," ",IF(Option=1,$D51*Inputs!$S$16*SUM(AS51:BA51),0))</f>
        <v> </v>
      </c>
      <c r="DJ51" s="325" t="str">
        <f aca="false">IF($A51="N/A"," ",SUM(AS51:AT51))</f>
        <v> </v>
      </c>
      <c r="DK51" s="325" t="str">
        <f aca="false">IF($A51="N/A"," ",SUM(AU51:BA51))</f>
        <v> </v>
      </c>
      <c r="DL51" s="325" t="str">
        <f aca="false">IF($A51="N/A"," ",SUM(BB51:BC51))</f>
        <v> </v>
      </c>
      <c r="DM51" s="325" t="str">
        <f aca="false">IF($A51="N/A"," ",SUM(BD51:BJ51))</f>
        <v> </v>
      </c>
    </row>
    <row r="52" customFormat="false" ht="12.75" hidden="false" customHeight="false" outlineLevel="0" collapsed="false">
      <c r="A52" s="282" t="str">
        <f aca="false">IF(A51="N/A","N/A",IF(EDATE(A51,1)&gt;Inputs!$S$5,"N/A",EDATE(A51,1)))</f>
        <v>N/A</v>
      </c>
      <c r="B52" s="283" t="str">
        <f aca="false">IF(A52="N/A"," ",YEAR(A52))</f>
        <v> </v>
      </c>
      <c r="C52" s="284" t="str">
        <f aca="false">IF(A52="N/A"," ",VLOOKUP(A52,ScaledPrice,14))</f>
        <v> </v>
      </c>
      <c r="D52" s="285" t="str">
        <f aca="false">IF(A52="N/A"," ",(VLOOKUP(MONTH($A52),Hrtable,2))/1000)</f>
        <v> </v>
      </c>
      <c r="E52" s="286" t="str">
        <f aca="false">IF($A52="N/A"," ",(C52)*D52)</f>
        <v> </v>
      </c>
      <c r="F52" s="287" t="str">
        <f aca="false">IF(A52="N/A"," ",VOM*(1+VOMesc)^(YEAR(A52)-YEAR(Today)))</f>
        <v> </v>
      </c>
      <c r="G52" s="287" t="str">
        <f aca="false">IF(A52="N/A"," ",Perstart/VLOOKUP(Dayrun,'Pricing Inputs'!$AQ$4:$AS$14,3)/(CY52/CX52))</f>
        <v> </v>
      </c>
      <c r="H52" s="288" t="str">
        <f aca="false">IF(A52="N/A"," ",SUM(E52:G52))</f>
        <v> </v>
      </c>
      <c r="I52" s="289" t="str">
        <f aca="false">VLOOKUP($A52,ScaledPrice,6)</f>
        <v> </v>
      </c>
      <c r="J52" s="290" t="str">
        <f aca="false">VLOOKUP($A52,ScaledPrice,10)</f>
        <v> </v>
      </c>
      <c r="K52" s="290" t="str">
        <f aca="false">VLOOKUP($A52,ScaledPrice,13)</f>
        <v> </v>
      </c>
      <c r="L52" s="290" t="str">
        <f aca="false">VLOOKUP($A52,ScaledPrice,7)</f>
        <v> </v>
      </c>
      <c r="M52" s="290" t="str">
        <f aca="false">VLOOKUP($A52,ScaledPrice,11)</f>
        <v> </v>
      </c>
      <c r="N52" s="290" t="str">
        <f aca="false">VLOOKUP($A52,ScaledPrice,13)</f>
        <v> </v>
      </c>
      <c r="O52" s="290" t="str">
        <f aca="false">VLOOKUP($A52,ScaledPrice,8)</f>
        <v> </v>
      </c>
      <c r="P52" s="290" t="str">
        <f aca="false">VLOOKUP($A52,ScaledPrice,12)</f>
        <v> </v>
      </c>
      <c r="Q52" s="291" t="str">
        <f aca="false">VLOOKUP($A52,ScaledPrice,13)</f>
        <v> </v>
      </c>
      <c r="R52" s="292" t="str">
        <f aca="false">IF($A52="N/A"," ",IF(Dayrun&gt;=3,IF(Option=1,MAX($I52-$H52,0),IF(Option=2,MAX($H52-$I52,0),0)),0))</f>
        <v> </v>
      </c>
      <c r="S52" s="286" t="str">
        <f aca="false">IF($A52="N/A"," ",IF(Dayrun&gt;=6,IF(Option=1,MAX($J52-H52,0),IF(Option=2,MAX(H52-$J52,0),0)),0))</f>
        <v> </v>
      </c>
      <c r="T52" s="286" t="str">
        <f aca="false">IF($A52="N/A"," ",IF(OR(Dayrun&lt;=2,Dayrun&gt;=9),IF(Option=1,MAX($K52-$H52,0),IF(Option=2,MAX($H52-$K52,0),0)),0))</f>
        <v> </v>
      </c>
      <c r="U52" s="286" t="str">
        <f aca="false">IF($A52="N/A"," ",IF(OR(Dayrun=1,Dayrun=4,Dayrun=5,Dayrun=7,Dayrun=8,Dayrun=10,Dayrun=11),IF(Option=1,MAX($L52-H52,0),IF(Option=2,MAX(H52-$L52,0),0)),0))</f>
        <v> </v>
      </c>
      <c r="V52" s="286" t="str">
        <f aca="false">IF($A52="N/A"," ",IF(OR(Dayrun=1,Dayrun=7,Dayrun=8,Dayrun=10,Dayrun=11),IF(Option=1,MAX($M52-H52,0),IF(Option=2,MAX(H52-$M52,0),0)),0))</f>
        <v> </v>
      </c>
      <c r="W52" s="286" t="str">
        <f aca="false">IF($A52="N/A"," ",IF(OR(Dayrun&lt;=2,Dayrun&gt;=10),IF(Option=1,MAX($N52-$H52,0),IF(Option=2,MAX($H52-$N52,0),0)),0))</f>
        <v> </v>
      </c>
      <c r="X52" s="286" t="str">
        <f aca="false">IF($A52="N/A"," ",IF(OR(Dayrun=1,Dayrun=5,Dayrun=8,Dayrun=11),IF(Option=1,MAX($O52-H52,0),IF(Option=2,MAX(H52-$O52,0),0)),0))</f>
        <v> </v>
      </c>
      <c r="Y52" s="286" t="str">
        <f aca="false">IF($A52="N/A"," ",IF(OR(Dayrun=1,Dayrun=8,Dayrun=11),IF(Option=1,MAX($P52-H52,0),IF(Option=2,MAX(H52-$P52,0),0)),0))</f>
        <v> </v>
      </c>
      <c r="Z52" s="293" t="str">
        <f aca="false">IF($A52="N/A"," ",IF(OR(Dayrun&lt;=2,Dayrun&gt;=11),IF(Option=1,MAX($Q52-$H52,0),IF(Option=2,MAX($H52-$Q52,0),0)),0))</f>
        <v> </v>
      </c>
      <c r="AA52" s="289" t="str">
        <f aca="false">IF($A52="N/A"," ",IF(Dayrun&gt;=3,(MAX(0,(xSPRDOPT(I52,($E52-'Pricing Inputs'!$X87*$D52),$CV52,0,($CN52+IF(Smile=TRUE(),VLOOKUP(MAX(-5,$H52-I52),Volsmile,2),0)),$CT52,$CU52,($A52-DateToday)+15,ABS(Option-2),0)-R52))),0))</f>
        <v> </v>
      </c>
      <c r="AB52" s="290" t="str">
        <f aca="false">IF($A52="N/A"," ",IF(Dayrun&gt;=6,MAX(0,(xSPRDOPT(J52,($E52-'Pricing Inputs'!$X87*$D52),$CV52,0,($CN52+IF(Smile=TRUE(),VLOOKUP(MAX(-5,$H52-J52),Volsmile,2),0)),$CT52,$CU52,($A52-DateToday)+15,ABS(Option-2),0)-S52)),0))</f>
        <v> </v>
      </c>
      <c r="AC52" s="290" t="str">
        <f aca="false">IF($A52="N/A"," ",IF(OR(Dayrun&lt;=2,Dayrun&gt;=9),IF(OffPeakEx=TRUE(),MAX(0,(xSPRDOPT(K52,($E52-'Pricing Inputs'!$X87*$D52),$CV52,0,($CQ52+IF(Smile=TRUE(),VLOOKUP(MAX(-5,$H52-K52),Volsmile,2),0)),$CT52,$CU52,($A52-DateToday)+15,ABS(Option-2),0)-T52)),0),0))</f>
        <v> </v>
      </c>
      <c r="AD52" s="290" t="str">
        <f aca="false">IF($A52="N/A"," ",IF(OR(Dayrun=1,Dayrun=4,Dayrun=5,Dayrun=7,Dayrun=8,Dayrun=10,Dayrun=11),MAX(0,(xSPRDOPT(L52,($E52-'Pricing Inputs'!$X87*$D52),$CV52,0,($CQ52+IF(Smile=TRUE(),VLOOKUP(MAX(-5,$H52-L52),Volsmile,2),0)),$CT52,$CU52,($A52-DateToday)+15,ABS(Option-2),0)-U52)),0))</f>
        <v> </v>
      </c>
      <c r="AE52" s="290" t="str">
        <f aca="false">IF($A52="N/A"," ",IF(OR(Dayrun=1,Dayrun=7,Dayrun=8,Dayrun=10,Dayrun=11),MAX(0,(xSPRDOPT(M52,($E52-'Pricing Inputs'!$X87*$D52),$CV52,0,($CQ52+IF(Smile=TRUE(),VLOOKUP(MAX(-5,$H52-M52),Volsmile,2),0)),$CT52,$CU52,($A52-DateToday)+15,ABS(Option-2),0)-V52)),0))</f>
        <v> </v>
      </c>
      <c r="AF52" s="290" t="str">
        <f aca="false">IF($A52="N/A"," ",IF(OR(Dayrun&lt;=2,Dayrun&gt;=10),IF(OffPeakEx=TRUE(),MAX(0,(xSPRDOPT(N52,($E52-'Pricing Inputs'!$X87*$D52),$CV52,0,($CQ52+IF(Smile=TRUE(),VLOOKUP(MAX(-5,$H52-N52),Volsmile,2),0)),$CT52,$CU52,($A52-DateToday)+15,ABS(Option-2),0)-W52)),0),0))</f>
        <v> </v>
      </c>
      <c r="AG52" s="290" t="str">
        <f aca="false">IF($A52="N/A"," ",IF(OR(Dayrun=1,Dayrun=5,Dayrun=8,Dayrun=11),MAX(0,(xSPRDOPT(O52,($E52-'Pricing Inputs'!$X87*$D52),$CV52,0,($CQ52+IF(Smile=TRUE(),VLOOKUP(MAX(-5,$H52-O52),Volsmile,2),0)),$CT52,$CU52,($A52-DateToday)+15,ABS(Option-2),0)-X52)),0))</f>
        <v> </v>
      </c>
      <c r="AH52" s="290" t="str">
        <f aca="false">IF($A52="N/A"," ",IF(OR(Dayrun=1,Dayrun=8,Dayrun=11),MAX(0,(xSPRDOPT(P52,($E52-'Pricing Inputs'!$X87*$D52),$CV52,0,($CQ52+IF(Smile=TRUE(),VLOOKUP(MAX(-5,$H52-P52),Volsmile,2),0)),$CT52,$CU52,($A52-DateToday)+15,ABS(Option-2),0)-Y52)),0))</f>
        <v> </v>
      </c>
      <c r="AI52" s="290" t="str">
        <f aca="false">IF($A52="N/A"," ",IF(OR(Dayrun&lt;=2,Dayrun&gt;=11),IF(OffPeakEx=TRUE(),MAX(0,(xSPRDOPT(Q52,($E52-'Pricing Inputs'!$X87*$D52),$CV52,0,($CQ52+IF(Smile=TRUE(),VLOOKUP(MAX(-5,$H52-Q52),Volsmile,2),0)),$CT52,$CU52,($A52-DateToday)+15,ABS(Option-2),0)-Z52)),0),0))</f>
        <v> </v>
      </c>
      <c r="AJ52" s="294" t="str">
        <f aca="false">IF($A52="N/A"," ",IF(Dayrun&gt;=3,IF(Option=1,$I52-$H52,IF(Option=2,$H52-$I52)),0))</f>
        <v> </v>
      </c>
      <c r="AK52" s="295" t="str">
        <f aca="false">IF($A52="N/A"," ",IF(Dayrun&gt;=6,IF(Option=1,$J52-H52,IF(Option=2,H52-$J52)),0))</f>
        <v> </v>
      </c>
      <c r="AL52" s="295" t="str">
        <f aca="false">IF($A52="N/A"," ",IF(OR(Dayrun&lt;=2,Dayrun&gt;=9),IF(Option=1,$K52-$H52,IF(Option=2,$H52-$K52)),0))</f>
        <v> </v>
      </c>
      <c r="AM52" s="295" t="str">
        <f aca="false">IF($A52="N/A"," ",IF(OR(Dayrun=1,Dayrun=4,Dayrun=5,Dayrun=7,Dayrun=8,Dayrun=10,Dayrun=11),IF(Option=1,$L52-H52,IF(Option=2,H52-$L52)),0))</f>
        <v> </v>
      </c>
      <c r="AN52" s="295" t="str">
        <f aca="false">IF($A52="N/A"," ",IF(OR(Dayrun=1,Dayrun=7,Dayrun=8,Dayrun=10,Dayrun=11),IF(Option=1,$M52-H52,IF(Option=2,H52-$M52)),0))</f>
        <v> </v>
      </c>
      <c r="AO52" s="295" t="str">
        <f aca="false">IF($A52="N/A"," ",IF(OR(Dayrun&lt;=2,Dayrun&gt;=9),IF(Option=1,$N52-$H52,IF(Option=2,$H52-$N52)),0))</f>
        <v> </v>
      </c>
      <c r="AP52" s="295" t="str">
        <f aca="false">IF($A52="N/A"," ",IF(OR(Dayrun=1,Dayrun=5,Dayrun=8,Dayrun=11),IF(Option=1,$O52-H52,IF(Option=2,H52-$O52)),0))</f>
        <v> </v>
      </c>
      <c r="AQ52" s="295" t="str">
        <f aca="false">IF($A52="N/A"," ",IF(OR(Dayrun=1,Dayrun=8,Dayrun=11),IF(Option=1,$P52-H52,IF(Option=2,H52-$P52)),0))</f>
        <v> </v>
      </c>
      <c r="AR52" s="296" t="str">
        <f aca="false">IF($A52="N/A"," ",IF(OR(Dayrun&lt;=2,Dayrun&gt;=9),IF(Option=1,$Q52-H52,IF(Option=2,H52-$Q52)),0))</f>
        <v> </v>
      </c>
      <c r="AS52" s="297" t="str">
        <f aca="false">IF($A52="N/A"," ",IF(VLOOKUP(MONTH($A52),ManualTable,2)=1,IF(Dayrun&gt;=3,$DE52*8*$CY52,0),0))</f>
        <v> </v>
      </c>
      <c r="AT52" s="297" t="str">
        <f aca="false">IF($A52="N/A"," ",IF(VLOOKUP(MONTH($A52),ManualTable,3)=1,IF(Dayrun&gt;=6,$DE52*8*$CY52,0),0))</f>
        <v> </v>
      </c>
      <c r="AU52" s="297" t="str">
        <f aca="false">IF($A52="N/A"," ",IF(VLOOKUP(MONTH($A52),ManualTable,4)=1,IF(OR(Dayrun&lt;=2,Dayrun&gt;=9),$DE52*8*$CY52,0),0))</f>
        <v> </v>
      </c>
      <c r="AV52" s="297" t="str">
        <f aca="false">IF($A52="N/A"," ",IF(VLOOKUP(MONTH($A52),ManualTable,5)=1,IF(OR(Dayrun=1,Dayrun=4,Dayrun=5,Dayrun=7,Dayrun=8,Dayrun=10,Dayrun=11),$DF52*8*$CY52,0),0))</f>
        <v> </v>
      </c>
      <c r="AW52" s="297" t="str">
        <f aca="false">IF($A52="N/A"," ",IF(VLOOKUP(MONTH($A52),ManualTable,6)=1,IF(OR(Dayrun=1,Dayrun=7,Dayrun=8,Dayrun=10,Dayrun=11),$DF52*8*$CY52,0),0))</f>
        <v> </v>
      </c>
      <c r="AX52" s="297" t="str">
        <f aca="false">IF($A52="N/A"," ",IF(VLOOKUP(MONTH($A52),ManualTable,7)=1,IF(OR(Dayrun&lt;=2,Dayrun&gt;=9),$DF52*8*$CY52,0),0))</f>
        <v> </v>
      </c>
      <c r="AY52" s="297" t="str">
        <f aca="false">IF($A52="N/A"," ",IF(VLOOKUP(MONTH($A52),ManualTable,8)=1,IF(OR(Dayrun=1,Dayrun=5,Dayrun=8,Dayrun=11),$DG52*8*$CY52,0),0))</f>
        <v> </v>
      </c>
      <c r="AZ52" s="297" t="str">
        <f aca="false">IF($A52="N/A"," ",IF(VLOOKUP(MONTH($A52),ManualTable,9)=1,IF(OR(Dayrun=1,Dayrun=8,Dayrun=11),$DG52*8*$CY52,0),0))</f>
        <v> </v>
      </c>
      <c r="BA52" s="298" t="str">
        <f aca="false">IF($A52="N/A"," ",IF(VLOOKUP(MONTH($A52),ManualTable,10)=1,IF(OR(Dayrun&lt;=2,Dayrun&gt;=9),$DG52*8*$CY52,0),0))</f>
        <v> </v>
      </c>
      <c r="BB52" s="299" t="str">
        <f aca="false">IF($A52="N/A"," ",IF(Dayrun&gt;=3,(MAX(0,(xSPRDOPT(I52,($E52-'Pricing Inputs'!$X87*$D52),$CV52,0,($CN52+IF(Smile=TRUE(),VLOOKUP(MAX(-5,$H52-I52),Volsmile,2),0)),$CT52,$CU52,($A52-DateToday)+15,ABS(Option-2),1)*DE52*8))),0))</f>
        <v> </v>
      </c>
      <c r="BC52" s="300" t="str">
        <f aca="false">IF($A52="N/A"," ",IF(Dayrun&gt;=6,MAX(0,(xSPRDOPT(J52,($E52-'Pricing Inputs'!$X87*$D52),$CV52,0,($CN52+IF(Smile=TRUE(),VLOOKUP(MAX(-5,$H52-J52),Volsmile,2),0)),$CT52,$CU52,($A52-DateToday)+15,ABS(Option-2),1)*DE52*8)),0))</f>
        <v> </v>
      </c>
      <c r="BD52" s="300" t="str">
        <f aca="false">IF($A52="N/A"," ",IF(OR(Dayrun&lt;=2,Dayrun&gt;=9),IF(OffPeakEx=TRUE(),MAX(0,(xSPRDOPT(K52,($E52-'Pricing Inputs'!$X87*$D52),$CV52,0,($CQ52+IF(Smile=TRUE(),VLOOKUP(MAX(-5,$H52-K52),Volsmile,2),0)),$CT52,$CU52,($A52-DateToday)+15,ABS(Option-2),1)*DE52*8)),0),0))</f>
        <v> </v>
      </c>
      <c r="BE52" s="300" t="str">
        <f aca="false">IF($A52="N/A"," ",IF(OR(Dayrun=1,Dayrun=4,Dayrun=5,Dayrun=7,Dayrun=8,Dayrun=10,Dayrun=11),MAX(0,(xSPRDOPT(L52,($E52-'Pricing Inputs'!$X87*$D52),$CV52,0,($CQ52+IF(Smile=TRUE(),VLOOKUP(MAX(-5,$H52-L52),Volsmile,2),0)),$CT52,$CU52,($A52-DateToday)+15,ABS(Option-2),1)*DF52*8)),0))</f>
        <v> </v>
      </c>
      <c r="BF52" s="300" t="str">
        <f aca="false">IF($A52="N/A"," ",IF(OR(Dayrun=1,Dayrun=7,Dayrun=8,Dayrun=10,Dayrun=11),MAX(0,(xSPRDOPT(M52,($E52-'Pricing Inputs'!$X87*$D52),$CV52,0,($CQ52+IF(Smile=TRUE(),VLOOKUP(MAX(-5,$H52-M52),Volsmile,2),0)),$CT52,$CU52,($A52-DateToday)+15,ABS(Option-2),1)*DF52*8)),0))</f>
        <v> </v>
      </c>
      <c r="BG52" s="300" t="str">
        <f aca="false">IF($A52="N/A"," ",IF(OR(Dayrun&lt;=2,Dayrun&gt;=10),IF(OffPeakEx=TRUE(),MAX(0,(xSPRDOPT(N52,($E52-'Pricing Inputs'!$X87*$D52),$CV52,0,($CQ52+IF(Smile=TRUE(),VLOOKUP(MAX(-5,$H52-N52),Volsmile,2),0)),$CT52,$CU52,($A52-DateToday)+15,ABS(Option-2),1)*DF52*8)),0),0))</f>
        <v> </v>
      </c>
      <c r="BH52" s="300" t="str">
        <f aca="false">IF($A52="N/A"," ",IF(OR(Dayrun=1,Dayrun=5,Dayrun=8,Dayrun=11),MAX(0,(xSPRDOPT(O52,($E52-'Pricing Inputs'!$X87*$D52),$CV52,0,($CQ52+IF(Smile=TRUE(),VLOOKUP(MAX(-5,$H52-O52),Volsmile,2),0)),$CT52,$CU52,($A52-DateToday)+15,ABS(Option-2),1)*DG52*8)),0))</f>
        <v> </v>
      </c>
      <c r="BI52" s="300" t="str">
        <f aca="false">IF($A52="N/A"," ",IF(OR(Dayrun=1,Dayrun=8,Dayrun=11),MAX(0,(xSPRDOPT(P52,($E52-'Pricing Inputs'!$X87*$D52),$CV52,0,($CQ52+IF(Smile=TRUE(),VLOOKUP(MAX(-5,$H52-P52),Volsmile,2),0)),$CT52,$CU52,($A52-DateToday)+15,ABS(Option-2),1)*DG52*8)),0))</f>
        <v> </v>
      </c>
      <c r="BJ52" s="301" t="str">
        <f aca="false">IF($A52="N/A"," ",IF(OR(Dayrun&lt;=2,Dayrun&gt;=11),IF(OffPeakEx=TRUE(),MAX(0,(xSPRDOPT(Q52,($E52-'Pricing Inputs'!$X87*$D52),$CV52,0,($CQ52+IF(Smile=TRUE(),VLOOKUP(MAX(-5,$H52-Q52),Volsmile,2),0)),$CT52,$CU52,($A52-DateToday)+15,ABS(Option-2),1)*DG52*8)),0),0))</f>
        <v> </v>
      </c>
      <c r="BK52" s="302" t="str">
        <f aca="false">IF($A52="N/A"," ",R52*$AS52)</f>
        <v> </v>
      </c>
      <c r="BL52" s="303" t="str">
        <f aca="false">IF($A52="N/A"," ",S52*$AT52)</f>
        <v> </v>
      </c>
      <c r="BM52" s="303" t="str">
        <f aca="false">IF($A52="N/A"," ",T52*$AU52)</f>
        <v> </v>
      </c>
      <c r="BN52" s="303" t="str">
        <f aca="false">IF($A52="N/A"," ",U52*$AV52)</f>
        <v> </v>
      </c>
      <c r="BO52" s="303" t="str">
        <f aca="false">IF($A52="N/A"," ",V52*$AW52)</f>
        <v> </v>
      </c>
      <c r="BP52" s="303" t="str">
        <f aca="false">IF($A52="N/A"," ",W52*$AX52)</f>
        <v> </v>
      </c>
      <c r="BQ52" s="303" t="str">
        <f aca="false">IF($A52="N/A"," ",X52*$AY52)</f>
        <v> </v>
      </c>
      <c r="BR52" s="303" t="str">
        <f aca="false">IF($A52="N/A"," ",Y52*$AZ52)</f>
        <v> </v>
      </c>
      <c r="BS52" s="304" t="str">
        <f aca="false">IF($A52="N/A"," ",Z52*$BA52)</f>
        <v> </v>
      </c>
      <c r="BT52" s="305" t="str">
        <f aca="false">IF($A52="N/A"," ",AA52*$AS52)</f>
        <v> </v>
      </c>
      <c r="BU52" s="306" t="str">
        <f aca="false">IF($A52="N/A"," ",AB52*$AT52)</f>
        <v> </v>
      </c>
      <c r="BV52" s="306" t="str">
        <f aca="false">IF($A52="N/A"," ",AC52*$AU52)</f>
        <v> </v>
      </c>
      <c r="BW52" s="306" t="str">
        <f aca="false">IF($A52="N/A"," ",AD52*$AV52)</f>
        <v> </v>
      </c>
      <c r="BX52" s="306" t="str">
        <f aca="false">IF($A52="N/A"," ",AE52*$AW52)</f>
        <v> </v>
      </c>
      <c r="BY52" s="306" t="str">
        <f aca="false">IF($A52="N/A"," ",AF52*$AX52)</f>
        <v> </v>
      </c>
      <c r="BZ52" s="306" t="str">
        <f aca="false">IF($A52="N/A"," ",AG52*$AY52)</f>
        <v> </v>
      </c>
      <c r="CA52" s="306" t="str">
        <f aca="false">IF($A52="N/A"," ",AH52*$AZ52)</f>
        <v> </v>
      </c>
      <c r="CB52" s="307" t="str">
        <f aca="false">IF($A52="N/A"," ",AI52*$BA52)</f>
        <v> </v>
      </c>
      <c r="CC52" s="308" t="str">
        <f aca="false">IF($A52="N/A"," ",AJ52*$AS52)</f>
        <v> </v>
      </c>
      <c r="CD52" s="309" t="str">
        <f aca="false">IF($A52="N/A"," ",AK52*$AT52)</f>
        <v> </v>
      </c>
      <c r="CE52" s="309" t="str">
        <f aca="false">IF($A52="N/A"," ",AL52*$AU52)</f>
        <v> </v>
      </c>
      <c r="CF52" s="309" t="str">
        <f aca="false">IF($A52="N/A"," ",AM52*$AV52)</f>
        <v> </v>
      </c>
      <c r="CG52" s="309" t="str">
        <f aca="false">IF($A52="N/A"," ",AN52*$AW52)</f>
        <v> </v>
      </c>
      <c r="CH52" s="309" t="str">
        <f aca="false">IF($A52="N/A"," ",AO52*$AX52)</f>
        <v> </v>
      </c>
      <c r="CI52" s="309" t="str">
        <f aca="false">IF($A52="N/A"," ",AP52*$AY52)</f>
        <v> </v>
      </c>
      <c r="CJ52" s="309" t="str">
        <f aca="false">IF($A52="N/A"," ",AQ52*$AZ52)</f>
        <v> </v>
      </c>
      <c r="CK52" s="310" t="str">
        <f aca="false">IF($A52="N/A"," ",AR52*$BA52)</f>
        <v> </v>
      </c>
      <c r="CL52" s="311" t="str">
        <f aca="false">IF(A52="N/A"," ",(VLOOKUP(A52,PowerVolTable,(IF(VolBMO=2,7,IF(VolBMO=1,6,8))),FALSE())))</f>
        <v> </v>
      </c>
      <c r="CM52" s="312" t="str">
        <f aca="false">IF(A52="N/A"," ",(VLOOKUP(A52,IntraPowerVol,(IF(VolBMO=2,3,IF(VolBMO=1,2,4))),FALSE())*VLOOKUP(MONTH($A52),Volscale,2)))</f>
        <v> </v>
      </c>
      <c r="CN52" s="312" t="str">
        <f aca="false">IF($A52="N/A"," ",IF(VolType=1,CM52,CL52))</f>
        <v> </v>
      </c>
      <c r="CO52" s="312" t="str">
        <f aca="false">IF($A52="N/A"," ",(VLOOKUP($A52,OffPeakVol,(IF(VolBMO=2,7,IF(VolBMO=1,6,8))),FALSE())))</f>
        <v> </v>
      </c>
      <c r="CP52" s="312" t="str">
        <f aca="false">IF($A52="N/A"," ",(VLOOKUP($A52,OffPeakVol,(IF(VolBMO=2,3,IF(VolBMO=1,2,4))),FALSE())*VLOOKUP(MONTH($A52),Volscale,2)))</f>
        <v> </v>
      </c>
      <c r="CQ52" s="312" t="str">
        <f aca="false">IF($A52="N/A"," ",IF(VolType=1,CP52,CO52))</f>
        <v> </v>
      </c>
      <c r="CR52" s="312" t="str">
        <f aca="false">IF($A52="N/A"," ",(VLOOKUP($A52,GasVolTable,(IF(VolBMO=2,6,IF(VolBMO=1,7,5))),FALSE())))</f>
        <v> </v>
      </c>
      <c r="CS52" s="312" t="str">
        <f aca="false">IF($A52="N/A"," ",(VLOOKUP($A52,OmicronVol,(IF(VolBMO=2,3,IF(VolBMO=1,4,2))),FALSE())))</f>
        <v> </v>
      </c>
      <c r="CT52" s="312" t="str">
        <f aca="false">IF($A52="N/A"," ",(IF(DateToday&gt;$A52,$CS52,IF(VolType=1,((($CR52^2)*((($A52-1)-DateToday)/((EOMONTH($A52,0)+1)-DateToday-15)))+((($CS52)^2)*((15)/((EOMONTH($A52,0)+1)-DateToday-15))))^0.5,CR52))))</f>
        <v> </v>
      </c>
      <c r="CU52" s="312" t="str">
        <f aca="false">IF($A52="N/A"," ",IF('Pricing Inputs'!$AR$23=TRUE(),Inputs!$S$22,VLOOKUP($A52,CorrelationTable,2,FALSE())))</f>
        <v> </v>
      </c>
      <c r="CV52" s="313" t="str">
        <f aca="false">IF($A52="N/A"," ",F52+G52+(D52*('Pricing Inputs'!X87)))</f>
        <v> </v>
      </c>
      <c r="CW52" s="314" t="str">
        <f aca="false">IF($A52="N/A"," ",IF(PV=1,0,'Pricing Inputs'!Y87))</f>
        <v> </v>
      </c>
      <c r="CX52" s="315" t="str">
        <f aca="false">IF($A52="N/A"," ",(1+CW52/2)^(-2*((EOMONTH(A52,0)+20)-DateToday)/365.25))</f>
        <v> </v>
      </c>
      <c r="CY52" s="316" t="str">
        <f aca="false">IF($A52="N/A"," ",(IF(MONTH(A52)&gt;=4,IF(MONTH(A52)&lt;=10,Inputs!$S$26,Inputs!$S$27),Inputs!$S$27))*$CX52)</f>
        <v> </v>
      </c>
      <c r="CZ52" s="317" t="str">
        <f aca="false">IF($A52="N/A"," ",BK52+BL52+BN52+BO52+BQ52+BR52)</f>
        <v> </v>
      </c>
      <c r="DA52" s="318" t="str">
        <f aca="false">IF($A52="N/A"," ",BM52+BP52+BS52)</f>
        <v> </v>
      </c>
      <c r="DB52" s="319" t="str">
        <f aca="false">IF($A52="N/A"," ",BT52+BU52+BW52+BX52+BZ52+CA52)</f>
        <v> </v>
      </c>
      <c r="DC52" s="319" t="str">
        <f aca="false">IF($A52="N/A"," ",BV52+BY52+CB52)</f>
        <v> </v>
      </c>
      <c r="DD52" s="320" t="str">
        <f aca="false">IF($A52="N/A"," ",SUM(CC52:CK52))</f>
        <v> </v>
      </c>
      <c r="DE52" s="321" t="str">
        <f aca="false">IF($A52="N/A"," ",VLOOKUP($A52,NumberofDaysTable,2)*Availability)</f>
        <v> </v>
      </c>
      <c r="DF52" s="94" t="str">
        <f aca="false">IF($A52="N/A"," ",VLOOKUP($A52,NumberofDaysTable,3)*Availability)</f>
        <v> </v>
      </c>
      <c r="DG52" s="322" t="str">
        <f aca="false">IF($A52="N/A"," ",VLOOKUP($A52,NumberofDaysTable,4)*Availability)</f>
        <v> </v>
      </c>
      <c r="DH52" s="323" t="str">
        <f aca="false">IF($A52="N/A"," ",IF(Option=1,$D52*Inputs!$S$15*SUM(AS52:BA52),0))</f>
        <v> </v>
      </c>
      <c r="DI52" s="324" t="str">
        <f aca="false">IF($A52="N/A"," ",IF(Option=1,$D52*Inputs!$S$16*SUM(AS52:BA52),0))</f>
        <v> </v>
      </c>
      <c r="DJ52" s="325" t="str">
        <f aca="false">IF($A52="N/A"," ",SUM(AS52:AT52))</f>
        <v> </v>
      </c>
      <c r="DK52" s="325" t="str">
        <f aca="false">IF($A52="N/A"," ",SUM(AU52:BA52))</f>
        <v> </v>
      </c>
      <c r="DL52" s="325" t="str">
        <f aca="false">IF($A52="N/A"," ",SUM(BB52:BC52))</f>
        <v> </v>
      </c>
      <c r="DM52" s="325" t="str">
        <f aca="false">IF($A52="N/A"," ",SUM(BD52:BJ52))</f>
        <v> </v>
      </c>
    </row>
    <row r="53" customFormat="false" ht="12.75" hidden="false" customHeight="false" outlineLevel="0" collapsed="false">
      <c r="A53" s="282" t="str">
        <f aca="false">IF(A52="N/A","N/A",IF(EDATE(A52,1)&gt;Inputs!$S$5,"N/A",EDATE(A52,1)))</f>
        <v>N/A</v>
      </c>
      <c r="B53" s="283" t="str">
        <f aca="false">IF(A53="N/A"," ",YEAR(A53))</f>
        <v> </v>
      </c>
      <c r="C53" s="284" t="str">
        <f aca="false">IF(A53="N/A"," ",VLOOKUP(A53,ScaledPrice,14))</f>
        <v> </v>
      </c>
      <c r="D53" s="285" t="str">
        <f aca="false">IF(A53="N/A"," ",(VLOOKUP(MONTH($A53),Hrtable,2))/1000)</f>
        <v> </v>
      </c>
      <c r="E53" s="286" t="str">
        <f aca="false">IF($A53="N/A"," ",(C53)*D53)</f>
        <v> </v>
      </c>
      <c r="F53" s="287" t="str">
        <f aca="false">IF(A53="N/A"," ",VOM*(1+VOMesc)^(YEAR(A53)-YEAR(Today)))</f>
        <v> </v>
      </c>
      <c r="G53" s="287" t="str">
        <f aca="false">IF(A53="N/A"," ",Perstart/VLOOKUP(Dayrun,'Pricing Inputs'!$AQ$4:$AS$14,3)/(CY53/CX53))</f>
        <v> </v>
      </c>
      <c r="H53" s="288" t="str">
        <f aca="false">IF(A53="N/A"," ",SUM(E53:G53))</f>
        <v> </v>
      </c>
      <c r="I53" s="289" t="str">
        <f aca="false">VLOOKUP($A53,ScaledPrice,6)</f>
        <v> </v>
      </c>
      <c r="J53" s="290" t="str">
        <f aca="false">VLOOKUP($A53,ScaledPrice,10)</f>
        <v> </v>
      </c>
      <c r="K53" s="290" t="str">
        <f aca="false">VLOOKUP($A53,ScaledPrice,13)</f>
        <v> </v>
      </c>
      <c r="L53" s="290" t="str">
        <f aca="false">VLOOKUP($A53,ScaledPrice,7)</f>
        <v> </v>
      </c>
      <c r="M53" s="290" t="str">
        <f aca="false">VLOOKUP($A53,ScaledPrice,11)</f>
        <v> </v>
      </c>
      <c r="N53" s="290" t="str">
        <f aca="false">VLOOKUP($A53,ScaledPrice,13)</f>
        <v> </v>
      </c>
      <c r="O53" s="290" t="str">
        <f aca="false">VLOOKUP($A53,ScaledPrice,8)</f>
        <v> </v>
      </c>
      <c r="P53" s="290" t="str">
        <f aca="false">VLOOKUP($A53,ScaledPrice,12)</f>
        <v> </v>
      </c>
      <c r="Q53" s="291" t="str">
        <f aca="false">VLOOKUP($A53,ScaledPrice,13)</f>
        <v> </v>
      </c>
      <c r="R53" s="292" t="str">
        <f aca="false">IF($A53="N/A"," ",IF(Dayrun&gt;=3,IF(Option=1,MAX($I53-$H53,0),IF(Option=2,MAX($H53-$I53,0),0)),0))</f>
        <v> </v>
      </c>
      <c r="S53" s="286" t="str">
        <f aca="false">IF($A53="N/A"," ",IF(Dayrun&gt;=6,IF(Option=1,MAX($J53-H53,0),IF(Option=2,MAX(H53-$J53,0),0)),0))</f>
        <v> </v>
      </c>
      <c r="T53" s="286" t="str">
        <f aca="false">IF($A53="N/A"," ",IF(OR(Dayrun&lt;=2,Dayrun&gt;=9),IF(Option=1,MAX($K53-$H53,0),IF(Option=2,MAX($H53-$K53,0),0)),0))</f>
        <v> </v>
      </c>
      <c r="U53" s="286" t="str">
        <f aca="false">IF($A53="N/A"," ",IF(OR(Dayrun=1,Dayrun=4,Dayrun=5,Dayrun=7,Dayrun=8,Dayrun=10,Dayrun=11),IF(Option=1,MAX($L53-H53,0),IF(Option=2,MAX(H53-$L53,0),0)),0))</f>
        <v> </v>
      </c>
      <c r="V53" s="286" t="str">
        <f aca="false">IF($A53="N/A"," ",IF(OR(Dayrun=1,Dayrun=7,Dayrun=8,Dayrun=10,Dayrun=11),IF(Option=1,MAX($M53-H53,0),IF(Option=2,MAX(H53-$M53,0),0)),0))</f>
        <v> </v>
      </c>
      <c r="W53" s="286" t="str">
        <f aca="false">IF($A53="N/A"," ",IF(OR(Dayrun&lt;=2,Dayrun&gt;=10),IF(Option=1,MAX($N53-$H53,0),IF(Option=2,MAX($H53-$N53,0),0)),0))</f>
        <v> </v>
      </c>
      <c r="X53" s="286" t="str">
        <f aca="false">IF($A53="N/A"," ",IF(OR(Dayrun=1,Dayrun=5,Dayrun=8,Dayrun=11),IF(Option=1,MAX($O53-H53,0),IF(Option=2,MAX(H53-$O53,0),0)),0))</f>
        <v> </v>
      </c>
      <c r="Y53" s="286" t="str">
        <f aca="false">IF($A53="N/A"," ",IF(OR(Dayrun=1,Dayrun=8,Dayrun=11),IF(Option=1,MAX($P53-H53,0),IF(Option=2,MAX(H53-$P53,0),0)),0))</f>
        <v> </v>
      </c>
      <c r="Z53" s="293" t="str">
        <f aca="false">IF($A53="N/A"," ",IF(OR(Dayrun&lt;=2,Dayrun&gt;=11),IF(Option=1,MAX($Q53-$H53,0),IF(Option=2,MAX($H53-$Q53,0),0)),0))</f>
        <v> </v>
      </c>
      <c r="AA53" s="289" t="str">
        <f aca="false">IF($A53="N/A"," ",IF(Dayrun&gt;=3,(MAX(0,(xSPRDOPT(I53,($E53-'Pricing Inputs'!$X88*$D53),$CV53,0,($CN53+IF(Smile=TRUE(),VLOOKUP(MAX(-5,$H53-I53),Volsmile,2),0)),$CT53,$CU53,($A53-DateToday)+15,ABS(Option-2),0)-R53))),0))</f>
        <v> </v>
      </c>
      <c r="AB53" s="290" t="str">
        <f aca="false">IF($A53="N/A"," ",IF(Dayrun&gt;=6,MAX(0,(xSPRDOPT(J53,($E53-'Pricing Inputs'!$X88*$D53),$CV53,0,($CN53+IF(Smile=TRUE(),VLOOKUP(MAX(-5,$H53-J53),Volsmile,2),0)),$CT53,$CU53,($A53-DateToday)+15,ABS(Option-2),0)-S53)),0))</f>
        <v> </v>
      </c>
      <c r="AC53" s="290" t="str">
        <f aca="false">IF($A53="N/A"," ",IF(OR(Dayrun&lt;=2,Dayrun&gt;=9),IF(OffPeakEx=TRUE(),MAX(0,(xSPRDOPT(K53,($E53-'Pricing Inputs'!$X88*$D53),$CV53,0,($CQ53+IF(Smile=TRUE(),VLOOKUP(MAX(-5,$H53-K53),Volsmile,2),0)),$CT53,$CU53,($A53-DateToday)+15,ABS(Option-2),0)-T53)),0),0))</f>
        <v> </v>
      </c>
      <c r="AD53" s="290" t="str">
        <f aca="false">IF($A53="N/A"," ",IF(OR(Dayrun=1,Dayrun=4,Dayrun=5,Dayrun=7,Dayrun=8,Dayrun=10,Dayrun=11),MAX(0,(xSPRDOPT(L53,($E53-'Pricing Inputs'!$X88*$D53),$CV53,0,($CQ53+IF(Smile=TRUE(),VLOOKUP(MAX(-5,$H53-L53),Volsmile,2),0)),$CT53,$CU53,($A53-DateToday)+15,ABS(Option-2),0)-U53)),0))</f>
        <v> </v>
      </c>
      <c r="AE53" s="290" t="str">
        <f aca="false">IF($A53="N/A"," ",IF(OR(Dayrun=1,Dayrun=7,Dayrun=8,Dayrun=10,Dayrun=11),MAX(0,(xSPRDOPT(M53,($E53-'Pricing Inputs'!$X88*$D53),$CV53,0,($CQ53+IF(Smile=TRUE(),VLOOKUP(MAX(-5,$H53-M53),Volsmile,2),0)),$CT53,$CU53,($A53-DateToday)+15,ABS(Option-2),0)-V53)),0))</f>
        <v> </v>
      </c>
      <c r="AF53" s="290" t="str">
        <f aca="false">IF($A53="N/A"," ",IF(OR(Dayrun&lt;=2,Dayrun&gt;=10),IF(OffPeakEx=TRUE(),MAX(0,(xSPRDOPT(N53,($E53-'Pricing Inputs'!$X88*$D53),$CV53,0,($CQ53+IF(Smile=TRUE(),VLOOKUP(MAX(-5,$H53-N53),Volsmile,2),0)),$CT53,$CU53,($A53-DateToday)+15,ABS(Option-2),0)-W53)),0),0))</f>
        <v> </v>
      </c>
      <c r="AG53" s="290" t="str">
        <f aca="false">IF($A53="N/A"," ",IF(OR(Dayrun=1,Dayrun=5,Dayrun=8,Dayrun=11),MAX(0,(xSPRDOPT(O53,($E53-'Pricing Inputs'!$X88*$D53),$CV53,0,($CQ53+IF(Smile=TRUE(),VLOOKUP(MAX(-5,$H53-O53),Volsmile,2),0)),$CT53,$CU53,($A53-DateToday)+15,ABS(Option-2),0)-X53)),0))</f>
        <v> </v>
      </c>
      <c r="AH53" s="290" t="str">
        <f aca="false">IF($A53="N/A"," ",IF(OR(Dayrun=1,Dayrun=8,Dayrun=11),MAX(0,(xSPRDOPT(P53,($E53-'Pricing Inputs'!$X88*$D53),$CV53,0,($CQ53+IF(Smile=TRUE(),VLOOKUP(MAX(-5,$H53-P53),Volsmile,2),0)),$CT53,$CU53,($A53-DateToday)+15,ABS(Option-2),0)-Y53)),0))</f>
        <v> </v>
      </c>
      <c r="AI53" s="290" t="str">
        <f aca="false">IF($A53="N/A"," ",IF(OR(Dayrun&lt;=2,Dayrun&gt;=11),IF(OffPeakEx=TRUE(),MAX(0,(xSPRDOPT(Q53,($E53-'Pricing Inputs'!$X88*$D53),$CV53,0,($CQ53+IF(Smile=TRUE(),VLOOKUP(MAX(-5,$H53-Q53),Volsmile,2),0)),$CT53,$CU53,($A53-DateToday)+15,ABS(Option-2),0)-Z53)),0),0))</f>
        <v> </v>
      </c>
      <c r="AJ53" s="294" t="str">
        <f aca="false">IF($A53="N/A"," ",IF(Dayrun&gt;=3,IF(Option=1,$I53-$H53,IF(Option=2,$H53-$I53)),0))</f>
        <v> </v>
      </c>
      <c r="AK53" s="295" t="str">
        <f aca="false">IF($A53="N/A"," ",IF(Dayrun&gt;=6,IF(Option=1,$J53-H53,IF(Option=2,H53-$J53)),0))</f>
        <v> </v>
      </c>
      <c r="AL53" s="295" t="str">
        <f aca="false">IF($A53="N/A"," ",IF(OR(Dayrun&lt;=2,Dayrun&gt;=9),IF(Option=1,$K53-$H53,IF(Option=2,$H53-$K53)),0))</f>
        <v> </v>
      </c>
      <c r="AM53" s="295" t="str">
        <f aca="false">IF($A53="N/A"," ",IF(OR(Dayrun=1,Dayrun=4,Dayrun=5,Dayrun=7,Dayrun=8,Dayrun=10,Dayrun=11),IF(Option=1,$L53-H53,IF(Option=2,H53-$L53)),0))</f>
        <v> </v>
      </c>
      <c r="AN53" s="295" t="str">
        <f aca="false">IF($A53="N/A"," ",IF(OR(Dayrun=1,Dayrun=7,Dayrun=8,Dayrun=10,Dayrun=11),IF(Option=1,$M53-H53,IF(Option=2,H53-$M53)),0))</f>
        <v> </v>
      </c>
      <c r="AO53" s="295" t="str">
        <f aca="false">IF($A53="N/A"," ",IF(OR(Dayrun&lt;=2,Dayrun&gt;=9),IF(Option=1,$N53-$H53,IF(Option=2,$H53-$N53)),0))</f>
        <v> </v>
      </c>
      <c r="AP53" s="295" t="str">
        <f aca="false">IF($A53="N/A"," ",IF(OR(Dayrun=1,Dayrun=5,Dayrun=8,Dayrun=11),IF(Option=1,$O53-H53,IF(Option=2,H53-$O53)),0))</f>
        <v> </v>
      </c>
      <c r="AQ53" s="295" t="str">
        <f aca="false">IF($A53="N/A"," ",IF(OR(Dayrun=1,Dayrun=8,Dayrun=11),IF(Option=1,$P53-H53,IF(Option=2,H53-$P53)),0))</f>
        <v> </v>
      </c>
      <c r="AR53" s="296" t="str">
        <f aca="false">IF($A53="N/A"," ",IF(OR(Dayrun&lt;=2,Dayrun&gt;=9),IF(Option=1,$Q53-H53,IF(Option=2,H53-$Q53)),0))</f>
        <v> </v>
      </c>
      <c r="AS53" s="297" t="str">
        <f aca="false">IF($A53="N/A"," ",IF(VLOOKUP(MONTH($A53),ManualTable,2)=1,IF(Dayrun&gt;=3,$DE53*8*$CY53,0),0))</f>
        <v> </v>
      </c>
      <c r="AT53" s="297" t="str">
        <f aca="false">IF($A53="N/A"," ",IF(VLOOKUP(MONTH($A53),ManualTable,3)=1,IF(Dayrun&gt;=6,$DE53*8*$CY53,0),0))</f>
        <v> </v>
      </c>
      <c r="AU53" s="297" t="str">
        <f aca="false">IF($A53="N/A"," ",IF(VLOOKUP(MONTH($A53),ManualTable,4)=1,IF(OR(Dayrun&lt;=2,Dayrun&gt;=9),$DE53*8*$CY53,0),0))</f>
        <v> </v>
      </c>
      <c r="AV53" s="297" t="str">
        <f aca="false">IF($A53="N/A"," ",IF(VLOOKUP(MONTH($A53),ManualTable,5)=1,IF(OR(Dayrun=1,Dayrun=4,Dayrun=5,Dayrun=7,Dayrun=8,Dayrun=10,Dayrun=11),$DF53*8*$CY53,0),0))</f>
        <v> </v>
      </c>
      <c r="AW53" s="297" t="str">
        <f aca="false">IF($A53="N/A"," ",IF(VLOOKUP(MONTH($A53),ManualTable,6)=1,IF(OR(Dayrun=1,Dayrun=7,Dayrun=8,Dayrun=10,Dayrun=11),$DF53*8*$CY53,0),0))</f>
        <v> </v>
      </c>
      <c r="AX53" s="297" t="str">
        <f aca="false">IF($A53="N/A"," ",IF(VLOOKUP(MONTH($A53),ManualTable,7)=1,IF(OR(Dayrun&lt;=2,Dayrun&gt;=9),$DF53*8*$CY53,0),0))</f>
        <v> </v>
      </c>
      <c r="AY53" s="297" t="str">
        <f aca="false">IF($A53="N/A"," ",IF(VLOOKUP(MONTH($A53),ManualTable,8)=1,IF(OR(Dayrun=1,Dayrun=5,Dayrun=8,Dayrun=11),$DG53*8*$CY53,0),0))</f>
        <v> </v>
      </c>
      <c r="AZ53" s="297" t="str">
        <f aca="false">IF($A53="N/A"," ",IF(VLOOKUP(MONTH($A53),ManualTable,9)=1,IF(OR(Dayrun=1,Dayrun=8,Dayrun=11),$DG53*8*$CY53,0),0))</f>
        <v> </v>
      </c>
      <c r="BA53" s="298" t="str">
        <f aca="false">IF($A53="N/A"," ",IF(VLOOKUP(MONTH($A53),ManualTable,10)=1,IF(OR(Dayrun&lt;=2,Dayrun&gt;=9),$DG53*8*$CY53,0),0))</f>
        <v> </v>
      </c>
      <c r="BB53" s="299" t="str">
        <f aca="false">IF($A53="N/A"," ",IF(Dayrun&gt;=3,(MAX(0,(xSPRDOPT(I53,($E53-'Pricing Inputs'!$X88*$D53),$CV53,0,($CN53+IF(Smile=TRUE(),VLOOKUP(MAX(-5,$H53-I53),Volsmile,2),0)),$CT53,$CU53,($A53-DateToday)+15,ABS(Option-2),1)*DE53*8))),0))</f>
        <v> </v>
      </c>
      <c r="BC53" s="300" t="str">
        <f aca="false">IF($A53="N/A"," ",IF(Dayrun&gt;=6,MAX(0,(xSPRDOPT(J53,($E53-'Pricing Inputs'!$X88*$D53),$CV53,0,($CN53+IF(Smile=TRUE(),VLOOKUP(MAX(-5,$H53-J53),Volsmile,2),0)),$CT53,$CU53,($A53-DateToday)+15,ABS(Option-2),1)*DE53*8)),0))</f>
        <v> </v>
      </c>
      <c r="BD53" s="300" t="str">
        <f aca="false">IF($A53="N/A"," ",IF(OR(Dayrun&lt;=2,Dayrun&gt;=9),IF(OffPeakEx=TRUE(),MAX(0,(xSPRDOPT(K53,($E53-'Pricing Inputs'!$X88*$D53),$CV53,0,($CQ53+IF(Smile=TRUE(),VLOOKUP(MAX(-5,$H53-K53),Volsmile,2),0)),$CT53,$CU53,($A53-DateToday)+15,ABS(Option-2),1)*DE53*8)),0),0))</f>
        <v> </v>
      </c>
      <c r="BE53" s="300" t="str">
        <f aca="false">IF($A53="N/A"," ",IF(OR(Dayrun=1,Dayrun=4,Dayrun=5,Dayrun=7,Dayrun=8,Dayrun=10,Dayrun=11),MAX(0,(xSPRDOPT(L53,($E53-'Pricing Inputs'!$X88*$D53),$CV53,0,($CQ53+IF(Smile=TRUE(),VLOOKUP(MAX(-5,$H53-L53),Volsmile,2),0)),$CT53,$CU53,($A53-DateToday)+15,ABS(Option-2),1)*DF53*8)),0))</f>
        <v> </v>
      </c>
      <c r="BF53" s="300" t="str">
        <f aca="false">IF($A53="N/A"," ",IF(OR(Dayrun=1,Dayrun=7,Dayrun=8,Dayrun=10,Dayrun=11),MAX(0,(xSPRDOPT(M53,($E53-'Pricing Inputs'!$X88*$D53),$CV53,0,($CQ53+IF(Smile=TRUE(),VLOOKUP(MAX(-5,$H53-M53),Volsmile,2),0)),$CT53,$CU53,($A53-DateToday)+15,ABS(Option-2),1)*DF53*8)),0))</f>
        <v> </v>
      </c>
      <c r="BG53" s="300" t="str">
        <f aca="false">IF($A53="N/A"," ",IF(OR(Dayrun&lt;=2,Dayrun&gt;=10),IF(OffPeakEx=TRUE(),MAX(0,(xSPRDOPT(N53,($E53-'Pricing Inputs'!$X88*$D53),$CV53,0,($CQ53+IF(Smile=TRUE(),VLOOKUP(MAX(-5,$H53-N53),Volsmile,2),0)),$CT53,$CU53,($A53-DateToday)+15,ABS(Option-2),1)*DF53*8)),0),0))</f>
        <v> </v>
      </c>
      <c r="BH53" s="300" t="str">
        <f aca="false">IF($A53="N/A"," ",IF(OR(Dayrun=1,Dayrun=5,Dayrun=8,Dayrun=11),MAX(0,(xSPRDOPT(O53,($E53-'Pricing Inputs'!$X88*$D53),$CV53,0,($CQ53+IF(Smile=TRUE(),VLOOKUP(MAX(-5,$H53-O53),Volsmile,2),0)),$CT53,$CU53,($A53-DateToday)+15,ABS(Option-2),1)*DG53*8)),0))</f>
        <v> </v>
      </c>
      <c r="BI53" s="300" t="str">
        <f aca="false">IF($A53="N/A"," ",IF(OR(Dayrun=1,Dayrun=8,Dayrun=11),MAX(0,(xSPRDOPT(P53,($E53-'Pricing Inputs'!$X88*$D53),$CV53,0,($CQ53+IF(Smile=TRUE(),VLOOKUP(MAX(-5,$H53-P53),Volsmile,2),0)),$CT53,$CU53,($A53-DateToday)+15,ABS(Option-2),1)*DG53*8)),0))</f>
        <v> </v>
      </c>
      <c r="BJ53" s="301" t="str">
        <f aca="false">IF($A53="N/A"," ",IF(OR(Dayrun&lt;=2,Dayrun&gt;=11),IF(OffPeakEx=TRUE(),MAX(0,(xSPRDOPT(Q53,($E53-'Pricing Inputs'!$X88*$D53),$CV53,0,($CQ53+IF(Smile=TRUE(),VLOOKUP(MAX(-5,$H53-Q53),Volsmile,2),0)),$CT53,$CU53,($A53-DateToday)+15,ABS(Option-2),1)*DG53*8)),0),0))</f>
        <v> </v>
      </c>
      <c r="BK53" s="302" t="str">
        <f aca="false">IF($A53="N/A"," ",R53*$AS53)</f>
        <v> </v>
      </c>
      <c r="BL53" s="303" t="str">
        <f aca="false">IF($A53="N/A"," ",S53*$AT53)</f>
        <v> </v>
      </c>
      <c r="BM53" s="303" t="str">
        <f aca="false">IF($A53="N/A"," ",T53*$AU53)</f>
        <v> </v>
      </c>
      <c r="BN53" s="303" t="str">
        <f aca="false">IF($A53="N/A"," ",U53*$AV53)</f>
        <v> </v>
      </c>
      <c r="BO53" s="303" t="str">
        <f aca="false">IF($A53="N/A"," ",V53*$AW53)</f>
        <v> </v>
      </c>
      <c r="BP53" s="303" t="str">
        <f aca="false">IF($A53="N/A"," ",W53*$AX53)</f>
        <v> </v>
      </c>
      <c r="BQ53" s="303" t="str">
        <f aca="false">IF($A53="N/A"," ",X53*$AY53)</f>
        <v> </v>
      </c>
      <c r="BR53" s="303" t="str">
        <f aca="false">IF($A53="N/A"," ",Y53*$AZ53)</f>
        <v> </v>
      </c>
      <c r="BS53" s="304" t="str">
        <f aca="false">IF($A53="N/A"," ",Z53*$BA53)</f>
        <v> </v>
      </c>
      <c r="BT53" s="305" t="str">
        <f aca="false">IF($A53="N/A"," ",AA53*$AS53)</f>
        <v> </v>
      </c>
      <c r="BU53" s="306" t="str">
        <f aca="false">IF($A53="N/A"," ",AB53*$AT53)</f>
        <v> </v>
      </c>
      <c r="BV53" s="306" t="str">
        <f aca="false">IF($A53="N/A"," ",AC53*$AU53)</f>
        <v> </v>
      </c>
      <c r="BW53" s="306" t="str">
        <f aca="false">IF($A53="N/A"," ",AD53*$AV53)</f>
        <v> </v>
      </c>
      <c r="BX53" s="306" t="str">
        <f aca="false">IF($A53="N/A"," ",AE53*$AW53)</f>
        <v> </v>
      </c>
      <c r="BY53" s="306" t="str">
        <f aca="false">IF($A53="N/A"," ",AF53*$AX53)</f>
        <v> </v>
      </c>
      <c r="BZ53" s="306" t="str">
        <f aca="false">IF($A53="N/A"," ",AG53*$AY53)</f>
        <v> </v>
      </c>
      <c r="CA53" s="306" t="str">
        <f aca="false">IF($A53="N/A"," ",AH53*$AZ53)</f>
        <v> </v>
      </c>
      <c r="CB53" s="307" t="str">
        <f aca="false">IF($A53="N/A"," ",AI53*$BA53)</f>
        <v> </v>
      </c>
      <c r="CC53" s="308" t="str">
        <f aca="false">IF($A53="N/A"," ",AJ53*$AS53)</f>
        <v> </v>
      </c>
      <c r="CD53" s="309" t="str">
        <f aca="false">IF($A53="N/A"," ",AK53*$AT53)</f>
        <v> </v>
      </c>
      <c r="CE53" s="309" t="str">
        <f aca="false">IF($A53="N/A"," ",AL53*$AU53)</f>
        <v> </v>
      </c>
      <c r="CF53" s="309" t="str">
        <f aca="false">IF($A53="N/A"," ",AM53*$AV53)</f>
        <v> </v>
      </c>
      <c r="CG53" s="309" t="str">
        <f aca="false">IF($A53="N/A"," ",AN53*$AW53)</f>
        <v> </v>
      </c>
      <c r="CH53" s="309" t="str">
        <f aca="false">IF($A53="N/A"," ",AO53*$AX53)</f>
        <v> </v>
      </c>
      <c r="CI53" s="309" t="str">
        <f aca="false">IF($A53="N/A"," ",AP53*$AY53)</f>
        <v> </v>
      </c>
      <c r="CJ53" s="309" t="str">
        <f aca="false">IF($A53="N/A"," ",AQ53*$AZ53)</f>
        <v> </v>
      </c>
      <c r="CK53" s="310" t="str">
        <f aca="false">IF($A53="N/A"," ",AR53*$BA53)</f>
        <v> </v>
      </c>
      <c r="CL53" s="311" t="str">
        <f aca="false">IF(A53="N/A"," ",(VLOOKUP(A53,PowerVolTable,(IF(VolBMO=2,7,IF(VolBMO=1,6,8))),FALSE())))</f>
        <v> </v>
      </c>
      <c r="CM53" s="312" t="str">
        <f aca="false">IF(A53="N/A"," ",(VLOOKUP(A53,IntraPowerVol,(IF(VolBMO=2,3,IF(VolBMO=1,2,4))),FALSE())*VLOOKUP(MONTH($A53),Volscale,2)))</f>
        <v> </v>
      </c>
      <c r="CN53" s="312" t="str">
        <f aca="false">IF($A53="N/A"," ",IF(VolType=1,CM53,CL53))</f>
        <v> </v>
      </c>
      <c r="CO53" s="312" t="str">
        <f aca="false">IF($A53="N/A"," ",(VLOOKUP($A53,OffPeakVol,(IF(VolBMO=2,7,IF(VolBMO=1,6,8))),FALSE())))</f>
        <v> </v>
      </c>
      <c r="CP53" s="312" t="str">
        <f aca="false">IF($A53="N/A"," ",(VLOOKUP($A53,OffPeakVol,(IF(VolBMO=2,3,IF(VolBMO=1,2,4))),FALSE())*VLOOKUP(MONTH($A53),Volscale,2)))</f>
        <v> </v>
      </c>
      <c r="CQ53" s="312" t="str">
        <f aca="false">IF($A53="N/A"," ",IF(VolType=1,CP53,CO53))</f>
        <v> </v>
      </c>
      <c r="CR53" s="312" t="str">
        <f aca="false">IF($A53="N/A"," ",(VLOOKUP($A53,GasVolTable,(IF(VolBMO=2,6,IF(VolBMO=1,7,5))),FALSE())))</f>
        <v> </v>
      </c>
      <c r="CS53" s="312" t="str">
        <f aca="false">IF($A53="N/A"," ",(VLOOKUP($A53,OmicronVol,(IF(VolBMO=2,3,IF(VolBMO=1,4,2))),FALSE())))</f>
        <v> </v>
      </c>
      <c r="CT53" s="312" t="str">
        <f aca="false">IF($A53="N/A"," ",(IF(DateToday&gt;$A53,$CS53,IF(VolType=1,((($CR53^2)*((($A53-1)-DateToday)/((EOMONTH($A53,0)+1)-DateToday-15)))+((($CS53)^2)*((15)/((EOMONTH($A53,0)+1)-DateToday-15))))^0.5,CR53))))</f>
        <v> </v>
      </c>
      <c r="CU53" s="312" t="str">
        <f aca="false">IF($A53="N/A"," ",IF('Pricing Inputs'!$AR$23=TRUE(),Inputs!$S$22,VLOOKUP($A53,CorrelationTable,2,FALSE())))</f>
        <v> </v>
      </c>
      <c r="CV53" s="313" t="str">
        <f aca="false">IF($A53="N/A"," ",F53+G53+(D53*('Pricing Inputs'!X88)))</f>
        <v> </v>
      </c>
      <c r="CW53" s="314" t="str">
        <f aca="false">IF($A53="N/A"," ",IF(PV=1,0,'Pricing Inputs'!Y88))</f>
        <v> </v>
      </c>
      <c r="CX53" s="315" t="str">
        <f aca="false">IF($A53="N/A"," ",(1+CW53/2)^(-2*((EOMONTH(A53,0)+20)-DateToday)/365.25))</f>
        <v> </v>
      </c>
      <c r="CY53" s="316" t="str">
        <f aca="false">IF($A53="N/A"," ",(IF(MONTH(A53)&gt;=4,IF(MONTH(A53)&lt;=10,Inputs!$S$26,Inputs!$S$27),Inputs!$S$27))*$CX53)</f>
        <v> </v>
      </c>
      <c r="CZ53" s="317" t="str">
        <f aca="false">IF($A53="N/A"," ",BK53+BL53+BN53+BO53+BQ53+BR53)</f>
        <v> </v>
      </c>
      <c r="DA53" s="318" t="str">
        <f aca="false">IF($A53="N/A"," ",BM53+BP53+BS53)</f>
        <v> </v>
      </c>
      <c r="DB53" s="319" t="str">
        <f aca="false">IF($A53="N/A"," ",BT53+BU53+BW53+BX53+BZ53+CA53)</f>
        <v> </v>
      </c>
      <c r="DC53" s="319" t="str">
        <f aca="false">IF($A53="N/A"," ",BV53+BY53+CB53)</f>
        <v> </v>
      </c>
      <c r="DD53" s="320" t="str">
        <f aca="false">IF($A53="N/A"," ",SUM(CC53:CK53))</f>
        <v> </v>
      </c>
      <c r="DE53" s="321" t="str">
        <f aca="false">IF($A53="N/A"," ",VLOOKUP($A53,NumberofDaysTable,2)*Availability)</f>
        <v> </v>
      </c>
      <c r="DF53" s="94" t="str">
        <f aca="false">IF($A53="N/A"," ",VLOOKUP($A53,NumberofDaysTable,3)*Availability)</f>
        <v> </v>
      </c>
      <c r="DG53" s="322" t="str">
        <f aca="false">IF($A53="N/A"," ",VLOOKUP($A53,NumberofDaysTable,4)*Availability)</f>
        <v> </v>
      </c>
      <c r="DH53" s="323" t="str">
        <f aca="false">IF($A53="N/A"," ",IF(Option=1,$D53*Inputs!$S$15*SUM(AS53:BA53),0))</f>
        <v> </v>
      </c>
      <c r="DI53" s="324" t="str">
        <f aca="false">IF($A53="N/A"," ",IF(Option=1,$D53*Inputs!$S$16*SUM(AS53:BA53),0))</f>
        <v> </v>
      </c>
      <c r="DJ53" s="325" t="str">
        <f aca="false">IF($A53="N/A"," ",SUM(AS53:AT53))</f>
        <v> </v>
      </c>
      <c r="DK53" s="325" t="str">
        <f aca="false">IF($A53="N/A"," ",SUM(AU53:BA53))</f>
        <v> </v>
      </c>
      <c r="DL53" s="325" t="str">
        <f aca="false">IF($A53="N/A"," ",SUM(BB53:BC53))</f>
        <v> </v>
      </c>
      <c r="DM53" s="325" t="str">
        <f aca="false">IF($A53="N/A"," ",SUM(BD53:BJ53))</f>
        <v> </v>
      </c>
    </row>
    <row r="54" customFormat="false" ht="12.75" hidden="false" customHeight="false" outlineLevel="0" collapsed="false">
      <c r="A54" s="282" t="str">
        <f aca="false">IF(A53="N/A","N/A",IF(EDATE(A53,1)&gt;Inputs!$S$5,"N/A",EDATE(A53,1)))</f>
        <v>N/A</v>
      </c>
      <c r="B54" s="283" t="str">
        <f aca="false">IF(A54="N/A"," ",YEAR(A54))</f>
        <v> </v>
      </c>
      <c r="C54" s="284" t="str">
        <f aca="false">IF(A54="N/A"," ",VLOOKUP(A54,ScaledPrice,14))</f>
        <v> </v>
      </c>
      <c r="D54" s="285" t="str">
        <f aca="false">IF(A54="N/A"," ",(VLOOKUP(MONTH($A54),Hrtable,2))/1000)</f>
        <v> </v>
      </c>
      <c r="E54" s="286" t="str">
        <f aca="false">IF($A54="N/A"," ",(C54)*D54)</f>
        <v> </v>
      </c>
      <c r="F54" s="287" t="str">
        <f aca="false">IF(A54="N/A"," ",VOM*(1+VOMesc)^(YEAR(A54)-YEAR(Today)))</f>
        <v> </v>
      </c>
      <c r="G54" s="287" t="str">
        <f aca="false">IF(A54="N/A"," ",Perstart/VLOOKUP(Dayrun,'Pricing Inputs'!$AQ$4:$AS$14,3)/(CY54/CX54))</f>
        <v> </v>
      </c>
      <c r="H54" s="288" t="str">
        <f aca="false">IF(A54="N/A"," ",SUM(E54:G54))</f>
        <v> </v>
      </c>
      <c r="I54" s="289" t="str">
        <f aca="false">VLOOKUP($A54,ScaledPrice,6)</f>
        <v> </v>
      </c>
      <c r="J54" s="290" t="str">
        <f aca="false">VLOOKUP($A54,ScaledPrice,10)</f>
        <v> </v>
      </c>
      <c r="K54" s="290" t="str">
        <f aca="false">VLOOKUP($A54,ScaledPrice,13)</f>
        <v> </v>
      </c>
      <c r="L54" s="290" t="str">
        <f aca="false">VLOOKUP($A54,ScaledPrice,7)</f>
        <v> </v>
      </c>
      <c r="M54" s="290" t="str">
        <f aca="false">VLOOKUP($A54,ScaledPrice,11)</f>
        <v> </v>
      </c>
      <c r="N54" s="290" t="str">
        <f aca="false">VLOOKUP($A54,ScaledPrice,13)</f>
        <v> </v>
      </c>
      <c r="O54" s="290" t="str">
        <f aca="false">VLOOKUP($A54,ScaledPrice,8)</f>
        <v> </v>
      </c>
      <c r="P54" s="290" t="str">
        <f aca="false">VLOOKUP($A54,ScaledPrice,12)</f>
        <v> </v>
      </c>
      <c r="Q54" s="291" t="str">
        <f aca="false">VLOOKUP($A54,ScaledPrice,13)</f>
        <v> </v>
      </c>
      <c r="R54" s="292" t="str">
        <f aca="false">IF($A54="N/A"," ",IF(Dayrun&gt;=3,IF(Option=1,MAX($I54-$H54,0),IF(Option=2,MAX($H54-$I54,0),0)),0))</f>
        <v> </v>
      </c>
      <c r="S54" s="286" t="str">
        <f aca="false">IF($A54="N/A"," ",IF(Dayrun&gt;=6,IF(Option=1,MAX($J54-H54,0),IF(Option=2,MAX(H54-$J54,0),0)),0))</f>
        <v> </v>
      </c>
      <c r="T54" s="286" t="str">
        <f aca="false">IF($A54="N/A"," ",IF(OR(Dayrun&lt;=2,Dayrun&gt;=9),IF(Option=1,MAX($K54-$H54,0),IF(Option=2,MAX($H54-$K54,0),0)),0))</f>
        <v> </v>
      </c>
      <c r="U54" s="286" t="str">
        <f aca="false">IF($A54="N/A"," ",IF(OR(Dayrun=1,Dayrun=4,Dayrun=5,Dayrun=7,Dayrun=8,Dayrun=10,Dayrun=11),IF(Option=1,MAX($L54-H54,0),IF(Option=2,MAX(H54-$L54,0),0)),0))</f>
        <v> </v>
      </c>
      <c r="V54" s="286" t="str">
        <f aca="false">IF($A54="N/A"," ",IF(OR(Dayrun=1,Dayrun=7,Dayrun=8,Dayrun=10,Dayrun=11),IF(Option=1,MAX($M54-H54,0),IF(Option=2,MAX(H54-$M54,0),0)),0))</f>
        <v> </v>
      </c>
      <c r="W54" s="286" t="str">
        <f aca="false">IF($A54="N/A"," ",IF(OR(Dayrun&lt;=2,Dayrun&gt;=10),IF(Option=1,MAX($N54-$H54,0),IF(Option=2,MAX($H54-$N54,0),0)),0))</f>
        <v> </v>
      </c>
      <c r="X54" s="286" t="str">
        <f aca="false">IF($A54="N/A"," ",IF(OR(Dayrun=1,Dayrun=5,Dayrun=8,Dayrun=11),IF(Option=1,MAX($O54-H54,0),IF(Option=2,MAX(H54-$O54,0),0)),0))</f>
        <v> </v>
      </c>
      <c r="Y54" s="286" t="str">
        <f aca="false">IF($A54="N/A"," ",IF(OR(Dayrun=1,Dayrun=8,Dayrun=11),IF(Option=1,MAX($P54-H54,0),IF(Option=2,MAX(H54-$P54,0),0)),0))</f>
        <v> </v>
      </c>
      <c r="Z54" s="293" t="str">
        <f aca="false">IF($A54="N/A"," ",IF(OR(Dayrun&lt;=2,Dayrun&gt;=11),IF(Option=1,MAX($Q54-$H54,0),IF(Option=2,MAX($H54-$Q54,0),0)),0))</f>
        <v> </v>
      </c>
      <c r="AA54" s="289" t="str">
        <f aca="false">IF($A54="N/A"," ",IF(Dayrun&gt;=3,(MAX(0,(xSPRDOPT(I54,($E54-'Pricing Inputs'!$X89*$D54),$CV54,0,($CN54+IF(Smile=TRUE(),VLOOKUP(MAX(-5,$H54-I54),Volsmile,2),0)),$CT54,$CU54,($A54-DateToday)+15,ABS(Option-2),0)-R54))),0))</f>
        <v> </v>
      </c>
      <c r="AB54" s="290" t="str">
        <f aca="false">IF($A54="N/A"," ",IF(Dayrun&gt;=6,MAX(0,(xSPRDOPT(J54,($E54-'Pricing Inputs'!$X89*$D54),$CV54,0,($CN54+IF(Smile=TRUE(),VLOOKUP(MAX(-5,$H54-J54),Volsmile,2),0)),$CT54,$CU54,($A54-DateToday)+15,ABS(Option-2),0)-S54)),0))</f>
        <v> </v>
      </c>
      <c r="AC54" s="290" t="str">
        <f aca="false">IF($A54="N/A"," ",IF(OR(Dayrun&lt;=2,Dayrun&gt;=9),IF(OffPeakEx=TRUE(),MAX(0,(xSPRDOPT(K54,($E54-'Pricing Inputs'!$X89*$D54),$CV54,0,($CQ54+IF(Smile=TRUE(),VLOOKUP(MAX(-5,$H54-K54),Volsmile,2),0)),$CT54,$CU54,($A54-DateToday)+15,ABS(Option-2),0)-T54)),0),0))</f>
        <v> </v>
      </c>
      <c r="AD54" s="290" t="str">
        <f aca="false">IF($A54="N/A"," ",IF(OR(Dayrun=1,Dayrun=4,Dayrun=5,Dayrun=7,Dayrun=8,Dayrun=10,Dayrun=11),MAX(0,(xSPRDOPT(L54,($E54-'Pricing Inputs'!$X89*$D54),$CV54,0,($CQ54+IF(Smile=TRUE(),VLOOKUP(MAX(-5,$H54-L54),Volsmile,2),0)),$CT54,$CU54,($A54-DateToday)+15,ABS(Option-2),0)-U54)),0))</f>
        <v> </v>
      </c>
      <c r="AE54" s="290" t="str">
        <f aca="false">IF($A54="N/A"," ",IF(OR(Dayrun=1,Dayrun=7,Dayrun=8,Dayrun=10,Dayrun=11),MAX(0,(xSPRDOPT(M54,($E54-'Pricing Inputs'!$X89*$D54),$CV54,0,($CQ54+IF(Smile=TRUE(),VLOOKUP(MAX(-5,$H54-M54),Volsmile,2),0)),$CT54,$CU54,($A54-DateToday)+15,ABS(Option-2),0)-V54)),0))</f>
        <v> </v>
      </c>
      <c r="AF54" s="290" t="str">
        <f aca="false">IF($A54="N/A"," ",IF(OR(Dayrun&lt;=2,Dayrun&gt;=10),IF(OffPeakEx=TRUE(),MAX(0,(xSPRDOPT(N54,($E54-'Pricing Inputs'!$X89*$D54),$CV54,0,($CQ54+IF(Smile=TRUE(),VLOOKUP(MAX(-5,$H54-N54),Volsmile,2),0)),$CT54,$CU54,($A54-DateToday)+15,ABS(Option-2),0)-W54)),0),0))</f>
        <v> </v>
      </c>
      <c r="AG54" s="290" t="str">
        <f aca="false">IF($A54="N/A"," ",IF(OR(Dayrun=1,Dayrun=5,Dayrun=8,Dayrun=11),MAX(0,(xSPRDOPT(O54,($E54-'Pricing Inputs'!$X89*$D54),$CV54,0,($CQ54+IF(Smile=TRUE(),VLOOKUP(MAX(-5,$H54-O54),Volsmile,2),0)),$CT54,$CU54,($A54-DateToday)+15,ABS(Option-2),0)-X54)),0))</f>
        <v> </v>
      </c>
      <c r="AH54" s="290" t="str">
        <f aca="false">IF($A54="N/A"," ",IF(OR(Dayrun=1,Dayrun=8,Dayrun=11),MAX(0,(xSPRDOPT(P54,($E54-'Pricing Inputs'!$X89*$D54),$CV54,0,($CQ54+IF(Smile=TRUE(),VLOOKUP(MAX(-5,$H54-P54),Volsmile,2),0)),$CT54,$CU54,($A54-DateToday)+15,ABS(Option-2),0)-Y54)),0))</f>
        <v> </v>
      </c>
      <c r="AI54" s="290" t="str">
        <f aca="false">IF($A54="N/A"," ",IF(OR(Dayrun&lt;=2,Dayrun&gt;=11),IF(OffPeakEx=TRUE(),MAX(0,(xSPRDOPT(Q54,($E54-'Pricing Inputs'!$X89*$D54),$CV54,0,($CQ54+IF(Smile=TRUE(),VLOOKUP(MAX(-5,$H54-Q54),Volsmile,2),0)),$CT54,$CU54,($A54-DateToday)+15,ABS(Option-2),0)-Z54)),0),0))</f>
        <v> </v>
      </c>
      <c r="AJ54" s="294" t="str">
        <f aca="false">IF($A54="N/A"," ",IF(Dayrun&gt;=3,IF(Option=1,$I54-$H54,IF(Option=2,$H54-$I54)),0))</f>
        <v> </v>
      </c>
      <c r="AK54" s="295" t="str">
        <f aca="false">IF($A54="N/A"," ",IF(Dayrun&gt;=6,IF(Option=1,$J54-H54,IF(Option=2,H54-$J54)),0))</f>
        <v> </v>
      </c>
      <c r="AL54" s="295" t="str">
        <f aca="false">IF($A54="N/A"," ",IF(OR(Dayrun&lt;=2,Dayrun&gt;=9),IF(Option=1,$K54-$H54,IF(Option=2,$H54-$K54)),0))</f>
        <v> </v>
      </c>
      <c r="AM54" s="295" t="str">
        <f aca="false">IF($A54="N/A"," ",IF(OR(Dayrun=1,Dayrun=4,Dayrun=5,Dayrun=7,Dayrun=8,Dayrun=10,Dayrun=11),IF(Option=1,$L54-H54,IF(Option=2,H54-$L54)),0))</f>
        <v> </v>
      </c>
      <c r="AN54" s="295" t="str">
        <f aca="false">IF($A54="N/A"," ",IF(OR(Dayrun=1,Dayrun=7,Dayrun=8,Dayrun=10,Dayrun=11),IF(Option=1,$M54-H54,IF(Option=2,H54-$M54)),0))</f>
        <v> </v>
      </c>
      <c r="AO54" s="295" t="str">
        <f aca="false">IF($A54="N/A"," ",IF(OR(Dayrun&lt;=2,Dayrun&gt;=9),IF(Option=1,$N54-$H54,IF(Option=2,$H54-$N54)),0))</f>
        <v> </v>
      </c>
      <c r="AP54" s="295" t="str">
        <f aca="false">IF($A54="N/A"," ",IF(OR(Dayrun=1,Dayrun=5,Dayrun=8,Dayrun=11),IF(Option=1,$O54-H54,IF(Option=2,H54-$O54)),0))</f>
        <v> </v>
      </c>
      <c r="AQ54" s="295" t="str">
        <f aca="false">IF($A54="N/A"," ",IF(OR(Dayrun=1,Dayrun=8,Dayrun=11),IF(Option=1,$P54-H54,IF(Option=2,H54-$P54)),0))</f>
        <v> </v>
      </c>
      <c r="AR54" s="296" t="str">
        <f aca="false">IF($A54="N/A"," ",IF(OR(Dayrun&lt;=2,Dayrun&gt;=9),IF(Option=1,$Q54-H54,IF(Option=2,H54-$Q54)),0))</f>
        <v> </v>
      </c>
      <c r="AS54" s="297" t="str">
        <f aca="false">IF($A54="N/A"," ",IF(VLOOKUP(MONTH($A54),ManualTable,2)=1,IF(Dayrun&gt;=3,$DE54*8*$CY54,0),0))</f>
        <v> </v>
      </c>
      <c r="AT54" s="297" t="str">
        <f aca="false">IF($A54="N/A"," ",IF(VLOOKUP(MONTH($A54),ManualTable,3)=1,IF(Dayrun&gt;=6,$DE54*8*$CY54,0),0))</f>
        <v> </v>
      </c>
      <c r="AU54" s="297" t="str">
        <f aca="false">IF($A54="N/A"," ",IF(VLOOKUP(MONTH($A54),ManualTable,4)=1,IF(OR(Dayrun&lt;=2,Dayrun&gt;=9),$DE54*8*$CY54,0),0))</f>
        <v> </v>
      </c>
      <c r="AV54" s="297" t="str">
        <f aca="false">IF($A54="N/A"," ",IF(VLOOKUP(MONTH($A54),ManualTable,5)=1,IF(OR(Dayrun=1,Dayrun=4,Dayrun=5,Dayrun=7,Dayrun=8,Dayrun=10,Dayrun=11),$DF54*8*$CY54,0),0))</f>
        <v> </v>
      </c>
      <c r="AW54" s="297" t="str">
        <f aca="false">IF($A54="N/A"," ",IF(VLOOKUP(MONTH($A54),ManualTable,6)=1,IF(OR(Dayrun=1,Dayrun=7,Dayrun=8,Dayrun=10,Dayrun=11),$DF54*8*$CY54,0),0))</f>
        <v> </v>
      </c>
      <c r="AX54" s="297" t="str">
        <f aca="false">IF($A54="N/A"," ",IF(VLOOKUP(MONTH($A54),ManualTable,7)=1,IF(OR(Dayrun&lt;=2,Dayrun&gt;=9),$DF54*8*$CY54,0),0))</f>
        <v> </v>
      </c>
      <c r="AY54" s="297" t="str">
        <f aca="false">IF($A54="N/A"," ",IF(VLOOKUP(MONTH($A54),ManualTable,8)=1,IF(OR(Dayrun=1,Dayrun=5,Dayrun=8,Dayrun=11),$DG54*8*$CY54,0),0))</f>
        <v> </v>
      </c>
      <c r="AZ54" s="297" t="str">
        <f aca="false">IF($A54="N/A"," ",IF(VLOOKUP(MONTH($A54),ManualTable,9)=1,IF(OR(Dayrun=1,Dayrun=8,Dayrun=11),$DG54*8*$CY54,0),0))</f>
        <v> </v>
      </c>
      <c r="BA54" s="298" t="str">
        <f aca="false">IF($A54="N/A"," ",IF(VLOOKUP(MONTH($A54),ManualTable,10)=1,IF(OR(Dayrun&lt;=2,Dayrun&gt;=9),$DG54*8*$CY54,0),0))</f>
        <v> </v>
      </c>
      <c r="BB54" s="299" t="str">
        <f aca="false">IF($A54="N/A"," ",IF(Dayrun&gt;=3,(MAX(0,(xSPRDOPT(I54,($E54-'Pricing Inputs'!$X89*$D54),$CV54,0,($CN54+IF(Smile=TRUE(),VLOOKUP(MAX(-5,$H54-I54),Volsmile,2),0)),$CT54,$CU54,($A54-DateToday)+15,ABS(Option-2),1)*DE54*8))),0))</f>
        <v> </v>
      </c>
      <c r="BC54" s="300" t="str">
        <f aca="false">IF($A54="N/A"," ",IF(Dayrun&gt;=6,MAX(0,(xSPRDOPT(J54,($E54-'Pricing Inputs'!$X89*$D54),$CV54,0,($CN54+IF(Smile=TRUE(),VLOOKUP(MAX(-5,$H54-J54),Volsmile,2),0)),$CT54,$CU54,($A54-DateToday)+15,ABS(Option-2),1)*DE54*8)),0))</f>
        <v> </v>
      </c>
      <c r="BD54" s="300" t="str">
        <f aca="false">IF($A54="N/A"," ",IF(OR(Dayrun&lt;=2,Dayrun&gt;=9),IF(OffPeakEx=TRUE(),MAX(0,(xSPRDOPT(K54,($E54-'Pricing Inputs'!$X89*$D54),$CV54,0,($CQ54+IF(Smile=TRUE(),VLOOKUP(MAX(-5,$H54-K54),Volsmile,2),0)),$CT54,$CU54,($A54-DateToday)+15,ABS(Option-2),1)*DE54*8)),0),0))</f>
        <v> </v>
      </c>
      <c r="BE54" s="300" t="str">
        <f aca="false">IF($A54="N/A"," ",IF(OR(Dayrun=1,Dayrun=4,Dayrun=5,Dayrun=7,Dayrun=8,Dayrun=10,Dayrun=11),MAX(0,(xSPRDOPT(L54,($E54-'Pricing Inputs'!$X89*$D54),$CV54,0,($CQ54+IF(Smile=TRUE(),VLOOKUP(MAX(-5,$H54-L54),Volsmile,2),0)),$CT54,$CU54,($A54-DateToday)+15,ABS(Option-2),1)*DF54*8)),0))</f>
        <v> </v>
      </c>
      <c r="BF54" s="300" t="str">
        <f aca="false">IF($A54="N/A"," ",IF(OR(Dayrun=1,Dayrun=7,Dayrun=8,Dayrun=10,Dayrun=11),MAX(0,(xSPRDOPT(M54,($E54-'Pricing Inputs'!$X89*$D54),$CV54,0,($CQ54+IF(Smile=TRUE(),VLOOKUP(MAX(-5,$H54-M54),Volsmile,2),0)),$CT54,$CU54,($A54-DateToday)+15,ABS(Option-2),1)*DF54*8)),0))</f>
        <v> </v>
      </c>
      <c r="BG54" s="300" t="str">
        <f aca="false">IF($A54="N/A"," ",IF(OR(Dayrun&lt;=2,Dayrun&gt;=10),IF(OffPeakEx=TRUE(),MAX(0,(xSPRDOPT(N54,($E54-'Pricing Inputs'!$X89*$D54),$CV54,0,($CQ54+IF(Smile=TRUE(),VLOOKUP(MAX(-5,$H54-N54),Volsmile,2),0)),$CT54,$CU54,($A54-DateToday)+15,ABS(Option-2),1)*DF54*8)),0),0))</f>
        <v> </v>
      </c>
      <c r="BH54" s="300" t="str">
        <f aca="false">IF($A54="N/A"," ",IF(OR(Dayrun=1,Dayrun=5,Dayrun=8,Dayrun=11),MAX(0,(xSPRDOPT(O54,($E54-'Pricing Inputs'!$X89*$D54),$CV54,0,($CQ54+IF(Smile=TRUE(),VLOOKUP(MAX(-5,$H54-O54),Volsmile,2),0)),$CT54,$CU54,($A54-DateToday)+15,ABS(Option-2),1)*DG54*8)),0))</f>
        <v> </v>
      </c>
      <c r="BI54" s="300" t="str">
        <f aca="false">IF($A54="N/A"," ",IF(OR(Dayrun=1,Dayrun=8,Dayrun=11),MAX(0,(xSPRDOPT(P54,($E54-'Pricing Inputs'!$X89*$D54),$CV54,0,($CQ54+IF(Smile=TRUE(),VLOOKUP(MAX(-5,$H54-P54),Volsmile,2),0)),$CT54,$CU54,($A54-DateToday)+15,ABS(Option-2),1)*DG54*8)),0))</f>
        <v> </v>
      </c>
      <c r="BJ54" s="301" t="str">
        <f aca="false">IF($A54="N/A"," ",IF(OR(Dayrun&lt;=2,Dayrun&gt;=11),IF(OffPeakEx=TRUE(),MAX(0,(xSPRDOPT(Q54,($E54-'Pricing Inputs'!$X89*$D54),$CV54,0,($CQ54+IF(Smile=TRUE(),VLOOKUP(MAX(-5,$H54-Q54),Volsmile,2),0)),$CT54,$CU54,($A54-DateToday)+15,ABS(Option-2),1)*DG54*8)),0),0))</f>
        <v> </v>
      </c>
      <c r="BK54" s="302" t="str">
        <f aca="false">IF($A54="N/A"," ",R54*$AS54)</f>
        <v> </v>
      </c>
      <c r="BL54" s="303" t="str">
        <f aca="false">IF($A54="N/A"," ",S54*$AT54)</f>
        <v> </v>
      </c>
      <c r="BM54" s="303" t="str">
        <f aca="false">IF($A54="N/A"," ",T54*$AU54)</f>
        <v> </v>
      </c>
      <c r="BN54" s="303" t="str">
        <f aca="false">IF($A54="N/A"," ",U54*$AV54)</f>
        <v> </v>
      </c>
      <c r="BO54" s="303" t="str">
        <f aca="false">IF($A54="N/A"," ",V54*$AW54)</f>
        <v> </v>
      </c>
      <c r="BP54" s="303" t="str">
        <f aca="false">IF($A54="N/A"," ",W54*$AX54)</f>
        <v> </v>
      </c>
      <c r="BQ54" s="303" t="str">
        <f aca="false">IF($A54="N/A"," ",X54*$AY54)</f>
        <v> </v>
      </c>
      <c r="BR54" s="303" t="str">
        <f aca="false">IF($A54="N/A"," ",Y54*$AZ54)</f>
        <v> </v>
      </c>
      <c r="BS54" s="304" t="str">
        <f aca="false">IF($A54="N/A"," ",Z54*$BA54)</f>
        <v> </v>
      </c>
      <c r="BT54" s="305" t="str">
        <f aca="false">IF($A54="N/A"," ",AA54*$AS54)</f>
        <v> </v>
      </c>
      <c r="BU54" s="306" t="str">
        <f aca="false">IF($A54="N/A"," ",AB54*$AT54)</f>
        <v> </v>
      </c>
      <c r="BV54" s="306" t="str">
        <f aca="false">IF($A54="N/A"," ",AC54*$AU54)</f>
        <v> </v>
      </c>
      <c r="BW54" s="306" t="str">
        <f aca="false">IF($A54="N/A"," ",AD54*$AV54)</f>
        <v> </v>
      </c>
      <c r="BX54" s="306" t="str">
        <f aca="false">IF($A54="N/A"," ",AE54*$AW54)</f>
        <v> </v>
      </c>
      <c r="BY54" s="306" t="str">
        <f aca="false">IF($A54="N/A"," ",AF54*$AX54)</f>
        <v> </v>
      </c>
      <c r="BZ54" s="306" t="str">
        <f aca="false">IF($A54="N/A"," ",AG54*$AY54)</f>
        <v> </v>
      </c>
      <c r="CA54" s="306" t="str">
        <f aca="false">IF($A54="N/A"," ",AH54*$AZ54)</f>
        <v> </v>
      </c>
      <c r="CB54" s="307" t="str">
        <f aca="false">IF($A54="N/A"," ",AI54*$BA54)</f>
        <v> </v>
      </c>
      <c r="CC54" s="308" t="str">
        <f aca="false">IF($A54="N/A"," ",AJ54*$AS54)</f>
        <v> </v>
      </c>
      <c r="CD54" s="309" t="str">
        <f aca="false">IF($A54="N/A"," ",AK54*$AT54)</f>
        <v> </v>
      </c>
      <c r="CE54" s="309" t="str">
        <f aca="false">IF($A54="N/A"," ",AL54*$AU54)</f>
        <v> </v>
      </c>
      <c r="CF54" s="309" t="str">
        <f aca="false">IF($A54="N/A"," ",AM54*$AV54)</f>
        <v> </v>
      </c>
      <c r="CG54" s="309" t="str">
        <f aca="false">IF($A54="N/A"," ",AN54*$AW54)</f>
        <v> </v>
      </c>
      <c r="CH54" s="309" t="str">
        <f aca="false">IF($A54="N/A"," ",AO54*$AX54)</f>
        <v> </v>
      </c>
      <c r="CI54" s="309" t="str">
        <f aca="false">IF($A54="N/A"," ",AP54*$AY54)</f>
        <v> </v>
      </c>
      <c r="CJ54" s="309" t="str">
        <f aca="false">IF($A54="N/A"," ",AQ54*$AZ54)</f>
        <v> </v>
      </c>
      <c r="CK54" s="310" t="str">
        <f aca="false">IF($A54="N/A"," ",AR54*$BA54)</f>
        <v> </v>
      </c>
      <c r="CL54" s="311" t="str">
        <f aca="false">IF(A54="N/A"," ",(VLOOKUP(A54,PowerVolTable,(IF(VolBMO=2,7,IF(VolBMO=1,6,8))),FALSE())))</f>
        <v> </v>
      </c>
      <c r="CM54" s="312" t="str">
        <f aca="false">IF(A54="N/A"," ",(VLOOKUP(A54,IntraPowerVol,(IF(VolBMO=2,3,IF(VolBMO=1,2,4))),FALSE())*VLOOKUP(MONTH($A54),Volscale,2)))</f>
        <v> </v>
      </c>
      <c r="CN54" s="312" t="str">
        <f aca="false">IF($A54="N/A"," ",IF(VolType=1,CM54,CL54))</f>
        <v> </v>
      </c>
      <c r="CO54" s="312" t="str">
        <f aca="false">IF($A54="N/A"," ",(VLOOKUP($A54,OffPeakVol,(IF(VolBMO=2,7,IF(VolBMO=1,6,8))),FALSE())))</f>
        <v> </v>
      </c>
      <c r="CP54" s="312" t="str">
        <f aca="false">IF($A54="N/A"," ",(VLOOKUP($A54,OffPeakVol,(IF(VolBMO=2,3,IF(VolBMO=1,2,4))),FALSE())*VLOOKUP(MONTH($A54),Volscale,2)))</f>
        <v> </v>
      </c>
      <c r="CQ54" s="312" t="str">
        <f aca="false">IF($A54="N/A"," ",IF(VolType=1,CP54,CO54))</f>
        <v> </v>
      </c>
      <c r="CR54" s="312" t="str">
        <f aca="false">IF($A54="N/A"," ",(VLOOKUP($A54,GasVolTable,(IF(VolBMO=2,6,IF(VolBMO=1,7,5))),FALSE())))</f>
        <v> </v>
      </c>
      <c r="CS54" s="312" t="str">
        <f aca="false">IF($A54="N/A"," ",(VLOOKUP($A54,OmicronVol,(IF(VolBMO=2,3,IF(VolBMO=1,4,2))),FALSE())))</f>
        <v> </v>
      </c>
      <c r="CT54" s="312" t="str">
        <f aca="false">IF($A54="N/A"," ",(IF(DateToday&gt;$A54,$CS54,IF(VolType=1,((($CR54^2)*((($A54-1)-DateToday)/((EOMONTH($A54,0)+1)-DateToday-15)))+((($CS54)^2)*((15)/((EOMONTH($A54,0)+1)-DateToday-15))))^0.5,CR54))))</f>
        <v> </v>
      </c>
      <c r="CU54" s="312" t="str">
        <f aca="false">IF($A54="N/A"," ",IF('Pricing Inputs'!$AR$23=TRUE(),Inputs!$S$22,VLOOKUP($A54,CorrelationTable,2,FALSE())))</f>
        <v> </v>
      </c>
      <c r="CV54" s="313" t="str">
        <f aca="false">IF($A54="N/A"," ",F54+G54+(D54*('Pricing Inputs'!X89)))</f>
        <v> </v>
      </c>
      <c r="CW54" s="314" t="str">
        <f aca="false">IF($A54="N/A"," ",IF(PV=1,0,'Pricing Inputs'!Y89))</f>
        <v> </v>
      </c>
      <c r="CX54" s="315" t="str">
        <f aca="false">IF($A54="N/A"," ",(1+CW54/2)^(-2*((EOMONTH(A54,0)+20)-DateToday)/365.25))</f>
        <v> </v>
      </c>
      <c r="CY54" s="316" t="str">
        <f aca="false">IF($A54="N/A"," ",(IF(MONTH(A54)&gt;=4,IF(MONTH(A54)&lt;=10,Inputs!$S$26,Inputs!$S$27),Inputs!$S$27))*$CX54)</f>
        <v> </v>
      </c>
      <c r="CZ54" s="317" t="str">
        <f aca="false">IF($A54="N/A"," ",BK54+BL54+BN54+BO54+BQ54+BR54)</f>
        <v> </v>
      </c>
      <c r="DA54" s="318" t="str">
        <f aca="false">IF($A54="N/A"," ",BM54+BP54+BS54)</f>
        <v> </v>
      </c>
      <c r="DB54" s="319" t="str">
        <f aca="false">IF($A54="N/A"," ",BT54+BU54+BW54+BX54+BZ54+CA54)</f>
        <v> </v>
      </c>
      <c r="DC54" s="319" t="str">
        <f aca="false">IF($A54="N/A"," ",BV54+BY54+CB54)</f>
        <v> </v>
      </c>
      <c r="DD54" s="320" t="str">
        <f aca="false">IF($A54="N/A"," ",SUM(CC54:CK54))</f>
        <v> </v>
      </c>
      <c r="DE54" s="321" t="str">
        <f aca="false">IF($A54="N/A"," ",VLOOKUP($A54,NumberofDaysTable,2)*Availability)</f>
        <v> </v>
      </c>
      <c r="DF54" s="94" t="str">
        <f aca="false">IF($A54="N/A"," ",VLOOKUP($A54,NumberofDaysTable,3)*Availability)</f>
        <v> </v>
      </c>
      <c r="DG54" s="322" t="str">
        <f aca="false">IF($A54="N/A"," ",VLOOKUP($A54,NumberofDaysTable,4)*Availability)</f>
        <v> </v>
      </c>
      <c r="DH54" s="323" t="str">
        <f aca="false">IF($A54="N/A"," ",IF(Option=1,$D54*Inputs!$S$15*SUM(AS54:BA54),0))</f>
        <v> </v>
      </c>
      <c r="DI54" s="324" t="str">
        <f aca="false">IF($A54="N/A"," ",IF(Option=1,$D54*Inputs!$S$16*SUM(AS54:BA54),0))</f>
        <v> </v>
      </c>
      <c r="DJ54" s="325" t="str">
        <f aca="false">IF($A54="N/A"," ",SUM(AS54:AT54))</f>
        <v> </v>
      </c>
      <c r="DK54" s="325" t="str">
        <f aca="false">IF($A54="N/A"," ",SUM(AU54:BA54))</f>
        <v> </v>
      </c>
      <c r="DL54" s="325" t="str">
        <f aca="false">IF($A54="N/A"," ",SUM(BB54:BC54))</f>
        <v> </v>
      </c>
      <c r="DM54" s="325" t="str">
        <f aca="false">IF($A54="N/A"," ",SUM(BD54:BJ54))</f>
        <v> </v>
      </c>
    </row>
    <row r="55" customFormat="false" ht="12.75" hidden="false" customHeight="false" outlineLevel="0" collapsed="false">
      <c r="A55" s="282" t="str">
        <f aca="false">IF(A54="N/A","N/A",IF(EDATE(A54,1)&gt;Inputs!$S$5,"N/A",EDATE(A54,1)))</f>
        <v>N/A</v>
      </c>
      <c r="B55" s="283" t="str">
        <f aca="false">IF(A55="N/A"," ",YEAR(A55))</f>
        <v> </v>
      </c>
      <c r="C55" s="284" t="str">
        <f aca="false">IF(A55="N/A"," ",VLOOKUP(A55,ScaledPrice,14))</f>
        <v> </v>
      </c>
      <c r="D55" s="285" t="str">
        <f aca="false">IF(A55="N/A"," ",(VLOOKUP(MONTH($A55),Hrtable,2))/1000)</f>
        <v> </v>
      </c>
      <c r="E55" s="286" t="str">
        <f aca="false">IF($A55="N/A"," ",(C55)*D55)</f>
        <v> </v>
      </c>
      <c r="F55" s="287" t="str">
        <f aca="false">IF(A55="N/A"," ",VOM*(1+VOMesc)^(YEAR(A55)-YEAR(Today)))</f>
        <v> </v>
      </c>
      <c r="G55" s="287" t="str">
        <f aca="false">IF(A55="N/A"," ",Perstart/VLOOKUP(Dayrun,'Pricing Inputs'!$AQ$4:$AS$14,3)/(CY55/CX55))</f>
        <v> </v>
      </c>
      <c r="H55" s="288" t="str">
        <f aca="false">IF(A55="N/A"," ",SUM(E55:G55))</f>
        <v> </v>
      </c>
      <c r="I55" s="289" t="str">
        <f aca="false">VLOOKUP($A55,ScaledPrice,6)</f>
        <v> </v>
      </c>
      <c r="J55" s="290" t="str">
        <f aca="false">VLOOKUP($A55,ScaledPrice,10)</f>
        <v> </v>
      </c>
      <c r="K55" s="290" t="str">
        <f aca="false">VLOOKUP($A55,ScaledPrice,13)</f>
        <v> </v>
      </c>
      <c r="L55" s="290" t="str">
        <f aca="false">VLOOKUP($A55,ScaledPrice,7)</f>
        <v> </v>
      </c>
      <c r="M55" s="290" t="str">
        <f aca="false">VLOOKUP($A55,ScaledPrice,11)</f>
        <v> </v>
      </c>
      <c r="N55" s="290" t="str">
        <f aca="false">VLOOKUP($A55,ScaledPrice,13)</f>
        <v> </v>
      </c>
      <c r="O55" s="290" t="str">
        <f aca="false">VLOOKUP($A55,ScaledPrice,8)</f>
        <v> </v>
      </c>
      <c r="P55" s="290" t="str">
        <f aca="false">VLOOKUP($A55,ScaledPrice,12)</f>
        <v> </v>
      </c>
      <c r="Q55" s="291" t="str">
        <f aca="false">VLOOKUP($A55,ScaledPrice,13)</f>
        <v> </v>
      </c>
      <c r="R55" s="292" t="str">
        <f aca="false">IF($A55="N/A"," ",IF(Dayrun&gt;=3,IF(Option=1,MAX($I55-$H55,0),IF(Option=2,MAX($H55-$I55,0),0)),0))</f>
        <v> </v>
      </c>
      <c r="S55" s="286" t="str">
        <f aca="false">IF($A55="N/A"," ",IF(Dayrun&gt;=6,IF(Option=1,MAX($J55-H55,0),IF(Option=2,MAX(H55-$J55,0),0)),0))</f>
        <v> </v>
      </c>
      <c r="T55" s="286" t="str">
        <f aca="false">IF($A55="N/A"," ",IF(OR(Dayrun&lt;=2,Dayrun&gt;=9),IF(Option=1,MAX($K55-$H55,0),IF(Option=2,MAX($H55-$K55,0),0)),0))</f>
        <v> </v>
      </c>
      <c r="U55" s="286" t="str">
        <f aca="false">IF($A55="N/A"," ",IF(OR(Dayrun=1,Dayrun=4,Dayrun=5,Dayrun=7,Dayrun=8,Dayrun=10,Dayrun=11),IF(Option=1,MAX($L55-H55,0),IF(Option=2,MAX(H55-$L55,0),0)),0))</f>
        <v> </v>
      </c>
      <c r="V55" s="286" t="str">
        <f aca="false">IF($A55="N/A"," ",IF(OR(Dayrun=1,Dayrun=7,Dayrun=8,Dayrun=10,Dayrun=11),IF(Option=1,MAX($M55-H55,0),IF(Option=2,MAX(H55-$M55,0),0)),0))</f>
        <v> </v>
      </c>
      <c r="W55" s="286" t="str">
        <f aca="false">IF($A55="N/A"," ",IF(OR(Dayrun&lt;=2,Dayrun&gt;=10),IF(Option=1,MAX($N55-$H55,0),IF(Option=2,MAX($H55-$N55,0),0)),0))</f>
        <v> </v>
      </c>
      <c r="X55" s="286" t="str">
        <f aca="false">IF($A55="N/A"," ",IF(OR(Dayrun=1,Dayrun=5,Dayrun=8,Dayrun=11),IF(Option=1,MAX($O55-H55,0),IF(Option=2,MAX(H55-$O55,0),0)),0))</f>
        <v> </v>
      </c>
      <c r="Y55" s="286" t="str">
        <f aca="false">IF($A55="N/A"," ",IF(OR(Dayrun=1,Dayrun=8,Dayrun=11),IF(Option=1,MAX($P55-H55,0),IF(Option=2,MAX(H55-$P55,0),0)),0))</f>
        <v> </v>
      </c>
      <c r="Z55" s="293" t="str">
        <f aca="false">IF($A55="N/A"," ",IF(OR(Dayrun&lt;=2,Dayrun&gt;=11),IF(Option=1,MAX($Q55-$H55,0),IF(Option=2,MAX($H55-$Q55,0),0)),0))</f>
        <v> </v>
      </c>
      <c r="AA55" s="289" t="str">
        <f aca="false">IF($A55="N/A"," ",IF(Dayrun&gt;=3,(MAX(0,(xSPRDOPT(I55,($E55-'Pricing Inputs'!$X90*$D55),$CV55,0,($CN55+IF(Smile=TRUE(),VLOOKUP(MAX(-5,$H55-I55),Volsmile,2),0)),$CT55,$CU55,($A55-DateToday)+15,ABS(Option-2),0)-R55))),0))</f>
        <v> </v>
      </c>
      <c r="AB55" s="290" t="str">
        <f aca="false">IF($A55="N/A"," ",IF(Dayrun&gt;=6,MAX(0,(xSPRDOPT(J55,($E55-'Pricing Inputs'!$X90*$D55),$CV55,0,($CN55+IF(Smile=TRUE(),VLOOKUP(MAX(-5,$H55-J55),Volsmile,2),0)),$CT55,$CU55,($A55-DateToday)+15,ABS(Option-2),0)-S55)),0))</f>
        <v> </v>
      </c>
      <c r="AC55" s="290" t="str">
        <f aca="false">IF($A55="N/A"," ",IF(OR(Dayrun&lt;=2,Dayrun&gt;=9),IF(OffPeakEx=TRUE(),MAX(0,(xSPRDOPT(K55,($E55-'Pricing Inputs'!$X90*$D55),$CV55,0,($CQ55+IF(Smile=TRUE(),VLOOKUP(MAX(-5,$H55-K55),Volsmile,2),0)),$CT55,$CU55,($A55-DateToday)+15,ABS(Option-2),0)-T55)),0),0))</f>
        <v> </v>
      </c>
      <c r="AD55" s="290" t="str">
        <f aca="false">IF($A55="N/A"," ",IF(OR(Dayrun=1,Dayrun=4,Dayrun=5,Dayrun=7,Dayrun=8,Dayrun=10,Dayrun=11),MAX(0,(xSPRDOPT(L55,($E55-'Pricing Inputs'!$X90*$D55),$CV55,0,($CQ55+IF(Smile=TRUE(),VLOOKUP(MAX(-5,$H55-L55),Volsmile,2),0)),$CT55,$CU55,($A55-DateToday)+15,ABS(Option-2),0)-U55)),0))</f>
        <v> </v>
      </c>
      <c r="AE55" s="290" t="str">
        <f aca="false">IF($A55="N/A"," ",IF(OR(Dayrun=1,Dayrun=7,Dayrun=8,Dayrun=10,Dayrun=11),MAX(0,(xSPRDOPT(M55,($E55-'Pricing Inputs'!$X90*$D55),$CV55,0,($CQ55+IF(Smile=TRUE(),VLOOKUP(MAX(-5,$H55-M55),Volsmile,2),0)),$CT55,$CU55,($A55-DateToday)+15,ABS(Option-2),0)-V55)),0))</f>
        <v> </v>
      </c>
      <c r="AF55" s="290" t="str">
        <f aca="false">IF($A55="N/A"," ",IF(OR(Dayrun&lt;=2,Dayrun&gt;=10),IF(OffPeakEx=TRUE(),MAX(0,(xSPRDOPT(N55,($E55-'Pricing Inputs'!$X90*$D55),$CV55,0,($CQ55+IF(Smile=TRUE(),VLOOKUP(MAX(-5,$H55-N55),Volsmile,2),0)),$CT55,$CU55,($A55-DateToday)+15,ABS(Option-2),0)-W55)),0),0))</f>
        <v> </v>
      </c>
      <c r="AG55" s="290" t="str">
        <f aca="false">IF($A55="N/A"," ",IF(OR(Dayrun=1,Dayrun=5,Dayrun=8,Dayrun=11),MAX(0,(xSPRDOPT(O55,($E55-'Pricing Inputs'!$X90*$D55),$CV55,0,($CQ55+IF(Smile=TRUE(),VLOOKUP(MAX(-5,$H55-O55),Volsmile,2),0)),$CT55,$CU55,($A55-DateToday)+15,ABS(Option-2),0)-X55)),0))</f>
        <v> </v>
      </c>
      <c r="AH55" s="290" t="str">
        <f aca="false">IF($A55="N/A"," ",IF(OR(Dayrun=1,Dayrun=8,Dayrun=11),MAX(0,(xSPRDOPT(P55,($E55-'Pricing Inputs'!$X90*$D55),$CV55,0,($CQ55+IF(Smile=TRUE(),VLOOKUP(MAX(-5,$H55-P55),Volsmile,2),0)),$CT55,$CU55,($A55-DateToday)+15,ABS(Option-2),0)-Y55)),0))</f>
        <v> </v>
      </c>
      <c r="AI55" s="290" t="str">
        <f aca="false">IF($A55="N/A"," ",IF(OR(Dayrun&lt;=2,Dayrun&gt;=11),IF(OffPeakEx=TRUE(),MAX(0,(xSPRDOPT(Q55,($E55-'Pricing Inputs'!$X90*$D55),$CV55,0,($CQ55+IF(Smile=TRUE(),VLOOKUP(MAX(-5,$H55-Q55),Volsmile,2),0)),$CT55,$CU55,($A55-DateToday)+15,ABS(Option-2),0)-Z55)),0),0))</f>
        <v> </v>
      </c>
      <c r="AJ55" s="294" t="str">
        <f aca="false">IF($A55="N/A"," ",IF(Dayrun&gt;=3,IF(Option=1,$I55-$H55,IF(Option=2,$H55-$I55)),0))</f>
        <v> </v>
      </c>
      <c r="AK55" s="295" t="str">
        <f aca="false">IF($A55="N/A"," ",IF(Dayrun&gt;=6,IF(Option=1,$J55-H55,IF(Option=2,H55-$J55)),0))</f>
        <v> </v>
      </c>
      <c r="AL55" s="295" t="str">
        <f aca="false">IF($A55="N/A"," ",IF(OR(Dayrun&lt;=2,Dayrun&gt;=9),IF(Option=1,$K55-$H55,IF(Option=2,$H55-$K55)),0))</f>
        <v> </v>
      </c>
      <c r="AM55" s="295" t="str">
        <f aca="false">IF($A55="N/A"," ",IF(OR(Dayrun=1,Dayrun=4,Dayrun=5,Dayrun=7,Dayrun=8,Dayrun=10,Dayrun=11),IF(Option=1,$L55-H55,IF(Option=2,H55-$L55)),0))</f>
        <v> </v>
      </c>
      <c r="AN55" s="295" t="str">
        <f aca="false">IF($A55="N/A"," ",IF(OR(Dayrun=1,Dayrun=7,Dayrun=8,Dayrun=10,Dayrun=11),IF(Option=1,$M55-H55,IF(Option=2,H55-$M55)),0))</f>
        <v> </v>
      </c>
      <c r="AO55" s="295" t="str">
        <f aca="false">IF($A55="N/A"," ",IF(OR(Dayrun&lt;=2,Dayrun&gt;=9),IF(Option=1,$N55-$H55,IF(Option=2,$H55-$N55)),0))</f>
        <v> </v>
      </c>
      <c r="AP55" s="295" t="str">
        <f aca="false">IF($A55="N/A"," ",IF(OR(Dayrun=1,Dayrun=5,Dayrun=8,Dayrun=11),IF(Option=1,$O55-H55,IF(Option=2,H55-$O55)),0))</f>
        <v> </v>
      </c>
      <c r="AQ55" s="295" t="str">
        <f aca="false">IF($A55="N/A"," ",IF(OR(Dayrun=1,Dayrun=8,Dayrun=11),IF(Option=1,$P55-H55,IF(Option=2,H55-$P55)),0))</f>
        <v> </v>
      </c>
      <c r="AR55" s="296" t="str">
        <f aca="false">IF($A55="N/A"," ",IF(OR(Dayrun&lt;=2,Dayrun&gt;=9),IF(Option=1,$Q55-H55,IF(Option=2,H55-$Q55)),0))</f>
        <v> </v>
      </c>
      <c r="AS55" s="297" t="str">
        <f aca="false">IF($A55="N/A"," ",IF(VLOOKUP(MONTH($A55),ManualTable,2)=1,IF(Dayrun&gt;=3,$DE55*8*$CY55,0),0))</f>
        <v> </v>
      </c>
      <c r="AT55" s="297" t="str">
        <f aca="false">IF($A55="N/A"," ",IF(VLOOKUP(MONTH($A55),ManualTable,3)=1,IF(Dayrun&gt;=6,$DE55*8*$CY55,0),0))</f>
        <v> </v>
      </c>
      <c r="AU55" s="297" t="str">
        <f aca="false">IF($A55="N/A"," ",IF(VLOOKUP(MONTH($A55),ManualTable,4)=1,IF(OR(Dayrun&lt;=2,Dayrun&gt;=9),$DE55*8*$CY55,0),0))</f>
        <v> </v>
      </c>
      <c r="AV55" s="297" t="str">
        <f aca="false">IF($A55="N/A"," ",IF(VLOOKUP(MONTH($A55),ManualTable,5)=1,IF(OR(Dayrun=1,Dayrun=4,Dayrun=5,Dayrun=7,Dayrun=8,Dayrun=10,Dayrun=11),$DF55*8*$CY55,0),0))</f>
        <v> </v>
      </c>
      <c r="AW55" s="297" t="str">
        <f aca="false">IF($A55="N/A"," ",IF(VLOOKUP(MONTH($A55),ManualTable,6)=1,IF(OR(Dayrun=1,Dayrun=7,Dayrun=8,Dayrun=10,Dayrun=11),$DF55*8*$CY55,0),0))</f>
        <v> </v>
      </c>
      <c r="AX55" s="297" t="str">
        <f aca="false">IF($A55="N/A"," ",IF(VLOOKUP(MONTH($A55),ManualTable,7)=1,IF(OR(Dayrun&lt;=2,Dayrun&gt;=9),$DF55*8*$CY55,0),0))</f>
        <v> </v>
      </c>
      <c r="AY55" s="297" t="str">
        <f aca="false">IF($A55="N/A"," ",IF(VLOOKUP(MONTH($A55),ManualTable,8)=1,IF(OR(Dayrun=1,Dayrun=5,Dayrun=8,Dayrun=11),$DG55*8*$CY55,0),0))</f>
        <v> </v>
      </c>
      <c r="AZ55" s="297" t="str">
        <f aca="false">IF($A55="N/A"," ",IF(VLOOKUP(MONTH($A55),ManualTable,9)=1,IF(OR(Dayrun=1,Dayrun=8,Dayrun=11),$DG55*8*$CY55,0),0))</f>
        <v> </v>
      </c>
      <c r="BA55" s="298" t="str">
        <f aca="false">IF($A55="N/A"," ",IF(VLOOKUP(MONTH($A55),ManualTable,10)=1,IF(OR(Dayrun&lt;=2,Dayrun&gt;=9),$DG55*8*$CY55,0),0))</f>
        <v> </v>
      </c>
      <c r="BB55" s="299" t="str">
        <f aca="false">IF($A55="N/A"," ",IF(Dayrun&gt;=3,(MAX(0,(xSPRDOPT(I55,($E55-'Pricing Inputs'!$X90*$D55),$CV55,0,($CN55+IF(Smile=TRUE(),VLOOKUP(MAX(-5,$H55-I55),Volsmile,2),0)),$CT55,$CU55,($A55-DateToday)+15,ABS(Option-2),1)*DE55*8))),0))</f>
        <v> </v>
      </c>
      <c r="BC55" s="300" t="str">
        <f aca="false">IF($A55="N/A"," ",IF(Dayrun&gt;=6,MAX(0,(xSPRDOPT(J55,($E55-'Pricing Inputs'!$X90*$D55),$CV55,0,($CN55+IF(Smile=TRUE(),VLOOKUP(MAX(-5,$H55-J55),Volsmile,2),0)),$CT55,$CU55,($A55-DateToday)+15,ABS(Option-2),1)*DE55*8)),0))</f>
        <v> </v>
      </c>
      <c r="BD55" s="300" t="str">
        <f aca="false">IF($A55="N/A"," ",IF(OR(Dayrun&lt;=2,Dayrun&gt;=9),IF(OffPeakEx=TRUE(),MAX(0,(xSPRDOPT(K55,($E55-'Pricing Inputs'!$X90*$D55),$CV55,0,($CQ55+IF(Smile=TRUE(),VLOOKUP(MAX(-5,$H55-K55),Volsmile,2),0)),$CT55,$CU55,($A55-DateToday)+15,ABS(Option-2),1)*DE55*8)),0),0))</f>
        <v> </v>
      </c>
      <c r="BE55" s="300" t="str">
        <f aca="false">IF($A55="N/A"," ",IF(OR(Dayrun=1,Dayrun=4,Dayrun=5,Dayrun=7,Dayrun=8,Dayrun=10,Dayrun=11),MAX(0,(xSPRDOPT(L55,($E55-'Pricing Inputs'!$X90*$D55),$CV55,0,($CQ55+IF(Smile=TRUE(),VLOOKUP(MAX(-5,$H55-L55),Volsmile,2),0)),$CT55,$CU55,($A55-DateToday)+15,ABS(Option-2),1)*DF55*8)),0))</f>
        <v> </v>
      </c>
      <c r="BF55" s="300" t="str">
        <f aca="false">IF($A55="N/A"," ",IF(OR(Dayrun=1,Dayrun=7,Dayrun=8,Dayrun=10,Dayrun=11),MAX(0,(xSPRDOPT(M55,($E55-'Pricing Inputs'!$X90*$D55),$CV55,0,($CQ55+IF(Smile=TRUE(),VLOOKUP(MAX(-5,$H55-M55),Volsmile,2),0)),$CT55,$CU55,($A55-DateToday)+15,ABS(Option-2),1)*DF55*8)),0))</f>
        <v> </v>
      </c>
      <c r="BG55" s="300" t="str">
        <f aca="false">IF($A55="N/A"," ",IF(OR(Dayrun&lt;=2,Dayrun&gt;=10),IF(OffPeakEx=TRUE(),MAX(0,(xSPRDOPT(N55,($E55-'Pricing Inputs'!$X90*$D55),$CV55,0,($CQ55+IF(Smile=TRUE(),VLOOKUP(MAX(-5,$H55-N55),Volsmile,2),0)),$CT55,$CU55,($A55-DateToday)+15,ABS(Option-2),1)*DF55*8)),0),0))</f>
        <v> </v>
      </c>
      <c r="BH55" s="300" t="str">
        <f aca="false">IF($A55="N/A"," ",IF(OR(Dayrun=1,Dayrun=5,Dayrun=8,Dayrun=11),MAX(0,(xSPRDOPT(O55,($E55-'Pricing Inputs'!$X90*$D55),$CV55,0,($CQ55+IF(Smile=TRUE(),VLOOKUP(MAX(-5,$H55-O55),Volsmile,2),0)),$CT55,$CU55,($A55-DateToday)+15,ABS(Option-2),1)*DG55*8)),0))</f>
        <v> </v>
      </c>
      <c r="BI55" s="300" t="str">
        <f aca="false">IF($A55="N/A"," ",IF(OR(Dayrun=1,Dayrun=8,Dayrun=11),MAX(0,(xSPRDOPT(P55,($E55-'Pricing Inputs'!$X90*$D55),$CV55,0,($CQ55+IF(Smile=TRUE(),VLOOKUP(MAX(-5,$H55-P55),Volsmile,2),0)),$CT55,$CU55,($A55-DateToday)+15,ABS(Option-2),1)*DG55*8)),0))</f>
        <v> </v>
      </c>
      <c r="BJ55" s="301" t="str">
        <f aca="false">IF($A55="N/A"," ",IF(OR(Dayrun&lt;=2,Dayrun&gt;=11),IF(OffPeakEx=TRUE(),MAX(0,(xSPRDOPT(Q55,($E55-'Pricing Inputs'!$X90*$D55),$CV55,0,($CQ55+IF(Smile=TRUE(),VLOOKUP(MAX(-5,$H55-Q55),Volsmile,2),0)),$CT55,$CU55,($A55-DateToday)+15,ABS(Option-2),1)*DG55*8)),0),0))</f>
        <v> </v>
      </c>
      <c r="BK55" s="302" t="str">
        <f aca="false">IF($A55="N/A"," ",R55*$AS55)</f>
        <v> </v>
      </c>
      <c r="BL55" s="303" t="str">
        <f aca="false">IF($A55="N/A"," ",S55*$AT55)</f>
        <v> </v>
      </c>
      <c r="BM55" s="303" t="str">
        <f aca="false">IF($A55="N/A"," ",T55*$AU55)</f>
        <v> </v>
      </c>
      <c r="BN55" s="303" t="str">
        <f aca="false">IF($A55="N/A"," ",U55*$AV55)</f>
        <v> </v>
      </c>
      <c r="BO55" s="303" t="str">
        <f aca="false">IF($A55="N/A"," ",V55*$AW55)</f>
        <v> </v>
      </c>
      <c r="BP55" s="303" t="str">
        <f aca="false">IF($A55="N/A"," ",W55*$AX55)</f>
        <v> </v>
      </c>
      <c r="BQ55" s="303" t="str">
        <f aca="false">IF($A55="N/A"," ",X55*$AY55)</f>
        <v> </v>
      </c>
      <c r="BR55" s="303" t="str">
        <f aca="false">IF($A55="N/A"," ",Y55*$AZ55)</f>
        <v> </v>
      </c>
      <c r="BS55" s="304" t="str">
        <f aca="false">IF($A55="N/A"," ",Z55*$BA55)</f>
        <v> </v>
      </c>
      <c r="BT55" s="305" t="str">
        <f aca="false">IF($A55="N/A"," ",AA55*$AS55)</f>
        <v> </v>
      </c>
      <c r="BU55" s="306" t="str">
        <f aca="false">IF($A55="N/A"," ",AB55*$AT55)</f>
        <v> </v>
      </c>
      <c r="BV55" s="306" t="str">
        <f aca="false">IF($A55="N/A"," ",AC55*$AU55)</f>
        <v> </v>
      </c>
      <c r="BW55" s="306" t="str">
        <f aca="false">IF($A55="N/A"," ",AD55*$AV55)</f>
        <v> </v>
      </c>
      <c r="BX55" s="306" t="str">
        <f aca="false">IF($A55="N/A"," ",AE55*$AW55)</f>
        <v> </v>
      </c>
      <c r="BY55" s="306" t="str">
        <f aca="false">IF($A55="N/A"," ",AF55*$AX55)</f>
        <v> </v>
      </c>
      <c r="BZ55" s="306" t="str">
        <f aca="false">IF($A55="N/A"," ",AG55*$AY55)</f>
        <v> </v>
      </c>
      <c r="CA55" s="306" t="str">
        <f aca="false">IF($A55="N/A"," ",AH55*$AZ55)</f>
        <v> </v>
      </c>
      <c r="CB55" s="307" t="str">
        <f aca="false">IF($A55="N/A"," ",AI55*$BA55)</f>
        <v> </v>
      </c>
      <c r="CC55" s="308" t="str">
        <f aca="false">IF($A55="N/A"," ",AJ55*$AS55)</f>
        <v> </v>
      </c>
      <c r="CD55" s="309" t="str">
        <f aca="false">IF($A55="N/A"," ",AK55*$AT55)</f>
        <v> </v>
      </c>
      <c r="CE55" s="309" t="str">
        <f aca="false">IF($A55="N/A"," ",AL55*$AU55)</f>
        <v> </v>
      </c>
      <c r="CF55" s="309" t="str">
        <f aca="false">IF($A55="N/A"," ",AM55*$AV55)</f>
        <v> </v>
      </c>
      <c r="CG55" s="309" t="str">
        <f aca="false">IF($A55="N/A"," ",AN55*$AW55)</f>
        <v> </v>
      </c>
      <c r="CH55" s="309" t="str">
        <f aca="false">IF($A55="N/A"," ",AO55*$AX55)</f>
        <v> </v>
      </c>
      <c r="CI55" s="309" t="str">
        <f aca="false">IF($A55="N/A"," ",AP55*$AY55)</f>
        <v> </v>
      </c>
      <c r="CJ55" s="309" t="str">
        <f aca="false">IF($A55="N/A"," ",AQ55*$AZ55)</f>
        <v> </v>
      </c>
      <c r="CK55" s="310" t="str">
        <f aca="false">IF($A55="N/A"," ",AR55*$BA55)</f>
        <v> </v>
      </c>
      <c r="CL55" s="311" t="str">
        <f aca="false">IF(A55="N/A"," ",(VLOOKUP(A55,PowerVolTable,(IF(VolBMO=2,7,IF(VolBMO=1,6,8))),FALSE())))</f>
        <v> </v>
      </c>
      <c r="CM55" s="312" t="str">
        <f aca="false">IF(A55="N/A"," ",(VLOOKUP(A55,IntraPowerVol,(IF(VolBMO=2,3,IF(VolBMO=1,2,4))),FALSE())*VLOOKUP(MONTH($A55),Volscale,2)))</f>
        <v> </v>
      </c>
      <c r="CN55" s="312" t="str">
        <f aca="false">IF($A55="N/A"," ",IF(VolType=1,CM55,CL55))</f>
        <v> </v>
      </c>
      <c r="CO55" s="312" t="str">
        <f aca="false">IF($A55="N/A"," ",(VLOOKUP($A55,OffPeakVol,(IF(VolBMO=2,7,IF(VolBMO=1,6,8))),FALSE())))</f>
        <v> </v>
      </c>
      <c r="CP55" s="312" t="str">
        <f aca="false">IF($A55="N/A"," ",(VLOOKUP($A55,OffPeakVol,(IF(VolBMO=2,3,IF(VolBMO=1,2,4))),FALSE())*VLOOKUP(MONTH($A55),Volscale,2)))</f>
        <v> </v>
      </c>
      <c r="CQ55" s="312" t="str">
        <f aca="false">IF($A55="N/A"," ",IF(VolType=1,CP55,CO55))</f>
        <v> </v>
      </c>
      <c r="CR55" s="312" t="str">
        <f aca="false">IF($A55="N/A"," ",(VLOOKUP($A55,GasVolTable,(IF(VolBMO=2,6,IF(VolBMO=1,7,5))),FALSE())))</f>
        <v> </v>
      </c>
      <c r="CS55" s="312" t="str">
        <f aca="false">IF($A55="N/A"," ",(VLOOKUP($A55,OmicronVol,(IF(VolBMO=2,3,IF(VolBMO=1,4,2))),FALSE())))</f>
        <v> </v>
      </c>
      <c r="CT55" s="312" t="str">
        <f aca="false">IF($A55="N/A"," ",(IF(DateToday&gt;$A55,$CS55,IF(VolType=1,((($CR55^2)*((($A55-1)-DateToday)/((EOMONTH($A55,0)+1)-DateToday-15)))+((($CS55)^2)*((15)/((EOMONTH($A55,0)+1)-DateToday-15))))^0.5,CR55))))</f>
        <v> </v>
      </c>
      <c r="CU55" s="312" t="str">
        <f aca="false">IF($A55="N/A"," ",IF('Pricing Inputs'!$AR$23=TRUE(),Inputs!$S$22,VLOOKUP($A55,CorrelationTable,2,FALSE())))</f>
        <v> </v>
      </c>
      <c r="CV55" s="313" t="str">
        <f aca="false">IF($A55="N/A"," ",F55+G55+(D55*('Pricing Inputs'!X90)))</f>
        <v> </v>
      </c>
      <c r="CW55" s="314" t="str">
        <f aca="false">IF($A55="N/A"," ",IF(PV=1,0,'Pricing Inputs'!Y90))</f>
        <v> </v>
      </c>
      <c r="CX55" s="315" t="str">
        <f aca="false">IF($A55="N/A"," ",(1+CW55/2)^(-2*((EOMONTH(A55,0)+20)-DateToday)/365.25))</f>
        <v> </v>
      </c>
      <c r="CY55" s="316" t="str">
        <f aca="false">IF($A55="N/A"," ",(IF(MONTH(A55)&gt;=4,IF(MONTH(A55)&lt;=10,Inputs!$S$26,Inputs!$S$27),Inputs!$S$27))*$CX55)</f>
        <v> </v>
      </c>
      <c r="CZ55" s="317" t="str">
        <f aca="false">IF($A55="N/A"," ",BK55+BL55+BN55+BO55+BQ55+BR55)</f>
        <v> </v>
      </c>
      <c r="DA55" s="318" t="str">
        <f aca="false">IF($A55="N/A"," ",BM55+BP55+BS55)</f>
        <v> </v>
      </c>
      <c r="DB55" s="319" t="str">
        <f aca="false">IF($A55="N/A"," ",BT55+BU55+BW55+BX55+BZ55+CA55)</f>
        <v> </v>
      </c>
      <c r="DC55" s="319" t="str">
        <f aca="false">IF($A55="N/A"," ",BV55+BY55+CB55)</f>
        <v> </v>
      </c>
      <c r="DD55" s="320" t="str">
        <f aca="false">IF($A55="N/A"," ",SUM(CC55:CK55))</f>
        <v> </v>
      </c>
      <c r="DE55" s="321" t="str">
        <f aca="false">IF($A55="N/A"," ",VLOOKUP($A55,NumberofDaysTable,2)*Availability)</f>
        <v> </v>
      </c>
      <c r="DF55" s="94" t="str">
        <f aca="false">IF($A55="N/A"," ",VLOOKUP($A55,NumberofDaysTable,3)*Availability)</f>
        <v> </v>
      </c>
      <c r="DG55" s="322" t="str">
        <f aca="false">IF($A55="N/A"," ",VLOOKUP($A55,NumberofDaysTable,4)*Availability)</f>
        <v> </v>
      </c>
      <c r="DH55" s="323" t="str">
        <f aca="false">IF($A55="N/A"," ",IF(Option=1,$D55*Inputs!$S$15*SUM(AS55:BA55),0))</f>
        <v> </v>
      </c>
      <c r="DI55" s="324" t="str">
        <f aca="false">IF($A55="N/A"," ",IF(Option=1,$D55*Inputs!$S$16*SUM(AS55:BA55),0))</f>
        <v> </v>
      </c>
      <c r="DJ55" s="325" t="str">
        <f aca="false">IF($A55="N/A"," ",SUM(AS55:AT55))</f>
        <v> </v>
      </c>
      <c r="DK55" s="325" t="str">
        <f aca="false">IF($A55="N/A"," ",SUM(AU55:BA55))</f>
        <v> </v>
      </c>
      <c r="DL55" s="325" t="str">
        <f aca="false">IF($A55="N/A"," ",SUM(BB55:BC55))</f>
        <v> </v>
      </c>
      <c r="DM55" s="325" t="str">
        <f aca="false">IF($A55="N/A"," ",SUM(BD55:BJ55))</f>
        <v> </v>
      </c>
    </row>
    <row r="56" customFormat="false" ht="12.75" hidden="false" customHeight="false" outlineLevel="0" collapsed="false">
      <c r="A56" s="282" t="str">
        <f aca="false">IF(A55="N/A","N/A",IF(EDATE(A55,1)&gt;Inputs!$S$5,"N/A",EDATE(A55,1)))</f>
        <v>N/A</v>
      </c>
      <c r="B56" s="283" t="str">
        <f aca="false">IF(A56="N/A"," ",YEAR(A56))</f>
        <v> </v>
      </c>
      <c r="C56" s="284" t="str">
        <f aca="false">IF(A56="N/A"," ",VLOOKUP(A56,ScaledPrice,14))</f>
        <v> </v>
      </c>
      <c r="D56" s="285" t="str">
        <f aca="false">IF(A56="N/A"," ",(VLOOKUP(MONTH($A56),Hrtable,2))/1000)</f>
        <v> </v>
      </c>
      <c r="E56" s="286" t="str">
        <f aca="false">IF($A56="N/A"," ",(C56)*D56)</f>
        <v> </v>
      </c>
      <c r="F56" s="287" t="str">
        <f aca="false">IF(A56="N/A"," ",VOM*(1+VOMesc)^(YEAR(A56)-YEAR(Today)))</f>
        <v> </v>
      </c>
      <c r="G56" s="287" t="str">
        <f aca="false">IF(A56="N/A"," ",Perstart/VLOOKUP(Dayrun,'Pricing Inputs'!$AQ$4:$AS$14,3)/(CY56/CX56))</f>
        <v> </v>
      </c>
      <c r="H56" s="288" t="str">
        <f aca="false">IF(A56="N/A"," ",SUM(E56:G56))</f>
        <v> </v>
      </c>
      <c r="I56" s="289" t="str">
        <f aca="false">VLOOKUP($A56,ScaledPrice,6)</f>
        <v> </v>
      </c>
      <c r="J56" s="290" t="str">
        <f aca="false">VLOOKUP($A56,ScaledPrice,10)</f>
        <v> </v>
      </c>
      <c r="K56" s="290" t="str">
        <f aca="false">VLOOKUP($A56,ScaledPrice,13)</f>
        <v> </v>
      </c>
      <c r="L56" s="290" t="str">
        <f aca="false">VLOOKUP($A56,ScaledPrice,7)</f>
        <v> </v>
      </c>
      <c r="M56" s="290" t="str">
        <f aca="false">VLOOKUP($A56,ScaledPrice,11)</f>
        <v> </v>
      </c>
      <c r="N56" s="290" t="str">
        <f aca="false">VLOOKUP($A56,ScaledPrice,13)</f>
        <v> </v>
      </c>
      <c r="O56" s="290" t="str">
        <f aca="false">VLOOKUP($A56,ScaledPrice,8)</f>
        <v> </v>
      </c>
      <c r="P56" s="290" t="str">
        <f aca="false">VLOOKUP($A56,ScaledPrice,12)</f>
        <v> </v>
      </c>
      <c r="Q56" s="291" t="str">
        <f aca="false">VLOOKUP($A56,ScaledPrice,13)</f>
        <v> </v>
      </c>
      <c r="R56" s="292" t="str">
        <f aca="false">IF($A56="N/A"," ",IF(Dayrun&gt;=3,IF(Option=1,MAX($I56-$H56,0),IF(Option=2,MAX($H56-$I56,0),0)),0))</f>
        <v> </v>
      </c>
      <c r="S56" s="286" t="str">
        <f aca="false">IF($A56="N/A"," ",IF(Dayrun&gt;=6,IF(Option=1,MAX($J56-H56,0),IF(Option=2,MAX(H56-$J56,0),0)),0))</f>
        <v> </v>
      </c>
      <c r="T56" s="286" t="str">
        <f aca="false">IF($A56="N/A"," ",IF(OR(Dayrun&lt;=2,Dayrun&gt;=9),IF(Option=1,MAX($K56-$H56,0),IF(Option=2,MAX($H56-$K56,0),0)),0))</f>
        <v> </v>
      </c>
      <c r="U56" s="286" t="str">
        <f aca="false">IF($A56="N/A"," ",IF(OR(Dayrun=1,Dayrun=4,Dayrun=5,Dayrun=7,Dayrun=8,Dayrun=10,Dayrun=11),IF(Option=1,MAX($L56-H56,0),IF(Option=2,MAX(H56-$L56,0),0)),0))</f>
        <v> </v>
      </c>
      <c r="V56" s="286" t="str">
        <f aca="false">IF($A56="N/A"," ",IF(OR(Dayrun=1,Dayrun=7,Dayrun=8,Dayrun=10,Dayrun=11),IF(Option=1,MAX($M56-H56,0),IF(Option=2,MAX(H56-$M56,0),0)),0))</f>
        <v> </v>
      </c>
      <c r="W56" s="286" t="str">
        <f aca="false">IF($A56="N/A"," ",IF(OR(Dayrun&lt;=2,Dayrun&gt;=10),IF(Option=1,MAX($N56-$H56,0),IF(Option=2,MAX($H56-$N56,0),0)),0))</f>
        <v> </v>
      </c>
      <c r="X56" s="286" t="str">
        <f aca="false">IF($A56="N/A"," ",IF(OR(Dayrun=1,Dayrun=5,Dayrun=8,Dayrun=11),IF(Option=1,MAX($O56-H56,0),IF(Option=2,MAX(H56-$O56,0),0)),0))</f>
        <v> </v>
      </c>
      <c r="Y56" s="286" t="str">
        <f aca="false">IF($A56="N/A"," ",IF(OR(Dayrun=1,Dayrun=8,Dayrun=11),IF(Option=1,MAX($P56-H56,0),IF(Option=2,MAX(H56-$P56,0),0)),0))</f>
        <v> </v>
      </c>
      <c r="Z56" s="293" t="str">
        <f aca="false">IF($A56="N/A"," ",IF(OR(Dayrun&lt;=2,Dayrun&gt;=11),IF(Option=1,MAX($Q56-$H56,0),IF(Option=2,MAX($H56-$Q56,0),0)),0))</f>
        <v> </v>
      </c>
      <c r="AA56" s="289" t="str">
        <f aca="false">IF($A56="N/A"," ",IF(Dayrun&gt;=3,(MAX(0,(xSPRDOPT(I56,($E56-'Pricing Inputs'!$X91*$D56),$CV56,0,($CN56+IF(Smile=TRUE(),VLOOKUP(MAX(-5,$H56-I56),Volsmile,2),0)),$CT56,$CU56,($A56-DateToday)+15,ABS(Option-2),0)-R56))),0))</f>
        <v> </v>
      </c>
      <c r="AB56" s="290" t="str">
        <f aca="false">IF($A56="N/A"," ",IF(Dayrun&gt;=6,MAX(0,(xSPRDOPT(J56,($E56-'Pricing Inputs'!$X91*$D56),$CV56,0,($CN56+IF(Smile=TRUE(),VLOOKUP(MAX(-5,$H56-J56),Volsmile,2),0)),$CT56,$CU56,($A56-DateToday)+15,ABS(Option-2),0)-S56)),0))</f>
        <v> </v>
      </c>
      <c r="AC56" s="290" t="str">
        <f aca="false">IF($A56="N/A"," ",IF(OR(Dayrun&lt;=2,Dayrun&gt;=9),IF(OffPeakEx=TRUE(),MAX(0,(xSPRDOPT(K56,($E56-'Pricing Inputs'!$X91*$D56),$CV56,0,($CQ56+IF(Smile=TRUE(),VLOOKUP(MAX(-5,$H56-K56),Volsmile,2),0)),$CT56,$CU56,($A56-DateToday)+15,ABS(Option-2),0)-T56)),0),0))</f>
        <v> </v>
      </c>
      <c r="AD56" s="290" t="str">
        <f aca="false">IF($A56="N/A"," ",IF(OR(Dayrun=1,Dayrun=4,Dayrun=5,Dayrun=7,Dayrun=8,Dayrun=10,Dayrun=11),MAX(0,(xSPRDOPT(L56,($E56-'Pricing Inputs'!$X91*$D56),$CV56,0,($CQ56+IF(Smile=TRUE(),VLOOKUP(MAX(-5,$H56-L56),Volsmile,2),0)),$CT56,$CU56,($A56-DateToday)+15,ABS(Option-2),0)-U56)),0))</f>
        <v> </v>
      </c>
      <c r="AE56" s="290" t="str">
        <f aca="false">IF($A56="N/A"," ",IF(OR(Dayrun=1,Dayrun=7,Dayrun=8,Dayrun=10,Dayrun=11),MAX(0,(xSPRDOPT(M56,($E56-'Pricing Inputs'!$X91*$D56),$CV56,0,($CQ56+IF(Smile=TRUE(),VLOOKUP(MAX(-5,$H56-M56),Volsmile,2),0)),$CT56,$CU56,($A56-DateToday)+15,ABS(Option-2),0)-V56)),0))</f>
        <v> </v>
      </c>
      <c r="AF56" s="290" t="str">
        <f aca="false">IF($A56="N/A"," ",IF(OR(Dayrun&lt;=2,Dayrun&gt;=10),IF(OffPeakEx=TRUE(),MAX(0,(xSPRDOPT(N56,($E56-'Pricing Inputs'!$X91*$D56),$CV56,0,($CQ56+IF(Smile=TRUE(),VLOOKUP(MAX(-5,$H56-N56),Volsmile,2),0)),$CT56,$CU56,($A56-DateToday)+15,ABS(Option-2),0)-W56)),0),0))</f>
        <v> </v>
      </c>
      <c r="AG56" s="290" t="str">
        <f aca="false">IF($A56="N/A"," ",IF(OR(Dayrun=1,Dayrun=5,Dayrun=8,Dayrun=11),MAX(0,(xSPRDOPT(O56,($E56-'Pricing Inputs'!$X91*$D56),$CV56,0,($CQ56+IF(Smile=TRUE(),VLOOKUP(MAX(-5,$H56-O56),Volsmile,2),0)),$CT56,$CU56,($A56-DateToday)+15,ABS(Option-2),0)-X56)),0))</f>
        <v> </v>
      </c>
      <c r="AH56" s="290" t="str">
        <f aca="false">IF($A56="N/A"," ",IF(OR(Dayrun=1,Dayrun=8,Dayrun=11),MAX(0,(xSPRDOPT(P56,($E56-'Pricing Inputs'!$X91*$D56),$CV56,0,($CQ56+IF(Smile=TRUE(),VLOOKUP(MAX(-5,$H56-P56),Volsmile,2),0)),$CT56,$CU56,($A56-DateToday)+15,ABS(Option-2),0)-Y56)),0))</f>
        <v> </v>
      </c>
      <c r="AI56" s="290" t="str">
        <f aca="false">IF($A56="N/A"," ",IF(OR(Dayrun&lt;=2,Dayrun&gt;=11),IF(OffPeakEx=TRUE(),MAX(0,(xSPRDOPT(Q56,($E56-'Pricing Inputs'!$X91*$D56),$CV56,0,($CQ56+IF(Smile=TRUE(),VLOOKUP(MAX(-5,$H56-Q56),Volsmile,2),0)),$CT56,$CU56,($A56-DateToday)+15,ABS(Option-2),0)-Z56)),0),0))</f>
        <v> </v>
      </c>
      <c r="AJ56" s="294" t="str">
        <f aca="false">IF($A56="N/A"," ",IF(Dayrun&gt;=3,IF(Option=1,$I56-$H56,IF(Option=2,$H56-$I56)),0))</f>
        <v> </v>
      </c>
      <c r="AK56" s="295" t="str">
        <f aca="false">IF($A56="N/A"," ",IF(Dayrun&gt;=6,IF(Option=1,$J56-H56,IF(Option=2,H56-$J56)),0))</f>
        <v> </v>
      </c>
      <c r="AL56" s="295" t="str">
        <f aca="false">IF($A56="N/A"," ",IF(OR(Dayrun&lt;=2,Dayrun&gt;=9),IF(Option=1,$K56-$H56,IF(Option=2,$H56-$K56)),0))</f>
        <v> </v>
      </c>
      <c r="AM56" s="295" t="str">
        <f aca="false">IF($A56="N/A"," ",IF(OR(Dayrun=1,Dayrun=4,Dayrun=5,Dayrun=7,Dayrun=8,Dayrun=10,Dayrun=11),IF(Option=1,$L56-H56,IF(Option=2,H56-$L56)),0))</f>
        <v> </v>
      </c>
      <c r="AN56" s="295" t="str">
        <f aca="false">IF($A56="N/A"," ",IF(OR(Dayrun=1,Dayrun=7,Dayrun=8,Dayrun=10,Dayrun=11),IF(Option=1,$M56-H56,IF(Option=2,H56-$M56)),0))</f>
        <v> </v>
      </c>
      <c r="AO56" s="295" t="str">
        <f aca="false">IF($A56="N/A"," ",IF(OR(Dayrun&lt;=2,Dayrun&gt;=9),IF(Option=1,$N56-$H56,IF(Option=2,$H56-$N56)),0))</f>
        <v> </v>
      </c>
      <c r="AP56" s="295" t="str">
        <f aca="false">IF($A56="N/A"," ",IF(OR(Dayrun=1,Dayrun=5,Dayrun=8,Dayrun=11),IF(Option=1,$O56-H56,IF(Option=2,H56-$O56)),0))</f>
        <v> </v>
      </c>
      <c r="AQ56" s="295" t="str">
        <f aca="false">IF($A56="N/A"," ",IF(OR(Dayrun=1,Dayrun=8,Dayrun=11),IF(Option=1,$P56-H56,IF(Option=2,H56-$P56)),0))</f>
        <v> </v>
      </c>
      <c r="AR56" s="296" t="str">
        <f aca="false">IF($A56="N/A"," ",IF(OR(Dayrun&lt;=2,Dayrun&gt;=9),IF(Option=1,$Q56-H56,IF(Option=2,H56-$Q56)),0))</f>
        <v> </v>
      </c>
      <c r="AS56" s="297" t="str">
        <f aca="false">IF($A56="N/A"," ",IF(VLOOKUP(MONTH($A56),ManualTable,2)=1,IF(Dayrun&gt;=3,$DE56*8*$CY56,0),0))</f>
        <v> </v>
      </c>
      <c r="AT56" s="297" t="str">
        <f aca="false">IF($A56="N/A"," ",IF(VLOOKUP(MONTH($A56),ManualTable,3)=1,IF(Dayrun&gt;=6,$DE56*8*$CY56,0),0))</f>
        <v> </v>
      </c>
      <c r="AU56" s="297" t="str">
        <f aca="false">IF($A56="N/A"," ",IF(VLOOKUP(MONTH($A56),ManualTable,4)=1,IF(OR(Dayrun&lt;=2,Dayrun&gt;=9),$DE56*8*$CY56,0),0))</f>
        <v> </v>
      </c>
      <c r="AV56" s="297" t="str">
        <f aca="false">IF($A56="N/A"," ",IF(VLOOKUP(MONTH($A56),ManualTable,5)=1,IF(OR(Dayrun=1,Dayrun=4,Dayrun=5,Dayrun=7,Dayrun=8,Dayrun=10,Dayrun=11),$DF56*8*$CY56,0),0))</f>
        <v> </v>
      </c>
      <c r="AW56" s="297" t="str">
        <f aca="false">IF($A56="N/A"," ",IF(VLOOKUP(MONTH($A56),ManualTable,6)=1,IF(OR(Dayrun=1,Dayrun=7,Dayrun=8,Dayrun=10,Dayrun=11),$DF56*8*$CY56,0),0))</f>
        <v> </v>
      </c>
      <c r="AX56" s="297" t="str">
        <f aca="false">IF($A56="N/A"," ",IF(VLOOKUP(MONTH($A56),ManualTable,7)=1,IF(OR(Dayrun&lt;=2,Dayrun&gt;=9),$DF56*8*$CY56,0),0))</f>
        <v> </v>
      </c>
      <c r="AY56" s="297" t="str">
        <f aca="false">IF($A56="N/A"," ",IF(VLOOKUP(MONTH($A56),ManualTable,8)=1,IF(OR(Dayrun=1,Dayrun=5,Dayrun=8,Dayrun=11),$DG56*8*$CY56,0),0))</f>
        <v> </v>
      </c>
      <c r="AZ56" s="297" t="str">
        <f aca="false">IF($A56="N/A"," ",IF(VLOOKUP(MONTH($A56),ManualTable,9)=1,IF(OR(Dayrun=1,Dayrun=8,Dayrun=11),$DG56*8*$CY56,0),0))</f>
        <v> </v>
      </c>
      <c r="BA56" s="298" t="str">
        <f aca="false">IF($A56="N/A"," ",IF(VLOOKUP(MONTH($A56),ManualTable,10)=1,IF(OR(Dayrun&lt;=2,Dayrun&gt;=9),$DG56*8*$CY56,0),0))</f>
        <v> </v>
      </c>
      <c r="BB56" s="299" t="str">
        <f aca="false">IF($A56="N/A"," ",IF(Dayrun&gt;=3,(MAX(0,(xSPRDOPT(I56,($E56-'Pricing Inputs'!$X91*$D56),$CV56,0,($CN56+IF(Smile=TRUE(),VLOOKUP(MAX(-5,$H56-I56),Volsmile,2),0)),$CT56,$CU56,($A56-DateToday)+15,ABS(Option-2),1)*DE56*8))),0))</f>
        <v> </v>
      </c>
      <c r="BC56" s="300" t="str">
        <f aca="false">IF($A56="N/A"," ",IF(Dayrun&gt;=6,MAX(0,(xSPRDOPT(J56,($E56-'Pricing Inputs'!$X91*$D56),$CV56,0,($CN56+IF(Smile=TRUE(),VLOOKUP(MAX(-5,$H56-J56),Volsmile,2),0)),$CT56,$CU56,($A56-DateToday)+15,ABS(Option-2),1)*DE56*8)),0))</f>
        <v> </v>
      </c>
      <c r="BD56" s="300" t="str">
        <f aca="false">IF($A56="N/A"," ",IF(OR(Dayrun&lt;=2,Dayrun&gt;=9),IF(OffPeakEx=TRUE(),MAX(0,(xSPRDOPT(K56,($E56-'Pricing Inputs'!$X91*$D56),$CV56,0,($CQ56+IF(Smile=TRUE(),VLOOKUP(MAX(-5,$H56-K56),Volsmile,2),0)),$CT56,$CU56,($A56-DateToday)+15,ABS(Option-2),1)*DE56*8)),0),0))</f>
        <v> </v>
      </c>
      <c r="BE56" s="300" t="str">
        <f aca="false">IF($A56="N/A"," ",IF(OR(Dayrun=1,Dayrun=4,Dayrun=5,Dayrun=7,Dayrun=8,Dayrun=10,Dayrun=11),MAX(0,(xSPRDOPT(L56,($E56-'Pricing Inputs'!$X91*$D56),$CV56,0,($CQ56+IF(Smile=TRUE(),VLOOKUP(MAX(-5,$H56-L56),Volsmile,2),0)),$CT56,$CU56,($A56-DateToday)+15,ABS(Option-2),1)*DF56*8)),0))</f>
        <v> </v>
      </c>
      <c r="BF56" s="300" t="str">
        <f aca="false">IF($A56="N/A"," ",IF(OR(Dayrun=1,Dayrun=7,Dayrun=8,Dayrun=10,Dayrun=11),MAX(0,(xSPRDOPT(M56,($E56-'Pricing Inputs'!$X91*$D56),$CV56,0,($CQ56+IF(Smile=TRUE(),VLOOKUP(MAX(-5,$H56-M56),Volsmile,2),0)),$CT56,$CU56,($A56-DateToday)+15,ABS(Option-2),1)*DF56*8)),0))</f>
        <v> </v>
      </c>
      <c r="BG56" s="300" t="str">
        <f aca="false">IF($A56="N/A"," ",IF(OR(Dayrun&lt;=2,Dayrun&gt;=10),IF(OffPeakEx=TRUE(),MAX(0,(xSPRDOPT(N56,($E56-'Pricing Inputs'!$X91*$D56),$CV56,0,($CQ56+IF(Smile=TRUE(),VLOOKUP(MAX(-5,$H56-N56),Volsmile,2),0)),$CT56,$CU56,($A56-DateToday)+15,ABS(Option-2),1)*DF56*8)),0),0))</f>
        <v> </v>
      </c>
      <c r="BH56" s="300" t="str">
        <f aca="false">IF($A56="N/A"," ",IF(OR(Dayrun=1,Dayrun=5,Dayrun=8,Dayrun=11),MAX(0,(xSPRDOPT(O56,($E56-'Pricing Inputs'!$X91*$D56),$CV56,0,($CQ56+IF(Smile=TRUE(),VLOOKUP(MAX(-5,$H56-O56),Volsmile,2),0)),$CT56,$CU56,($A56-DateToday)+15,ABS(Option-2),1)*DG56*8)),0))</f>
        <v> </v>
      </c>
      <c r="BI56" s="300" t="str">
        <f aca="false">IF($A56="N/A"," ",IF(OR(Dayrun=1,Dayrun=8,Dayrun=11),MAX(0,(xSPRDOPT(P56,($E56-'Pricing Inputs'!$X91*$D56),$CV56,0,($CQ56+IF(Smile=TRUE(),VLOOKUP(MAX(-5,$H56-P56),Volsmile,2),0)),$CT56,$CU56,($A56-DateToday)+15,ABS(Option-2),1)*DG56*8)),0))</f>
        <v> </v>
      </c>
      <c r="BJ56" s="301" t="str">
        <f aca="false">IF($A56="N/A"," ",IF(OR(Dayrun&lt;=2,Dayrun&gt;=11),IF(OffPeakEx=TRUE(),MAX(0,(xSPRDOPT(Q56,($E56-'Pricing Inputs'!$X91*$D56),$CV56,0,($CQ56+IF(Smile=TRUE(),VLOOKUP(MAX(-5,$H56-Q56),Volsmile,2),0)),$CT56,$CU56,($A56-DateToday)+15,ABS(Option-2),1)*DG56*8)),0),0))</f>
        <v> </v>
      </c>
      <c r="BK56" s="302" t="str">
        <f aca="false">IF($A56="N/A"," ",R56*$AS56)</f>
        <v> </v>
      </c>
      <c r="BL56" s="303" t="str">
        <f aca="false">IF($A56="N/A"," ",S56*$AT56)</f>
        <v> </v>
      </c>
      <c r="BM56" s="303" t="str">
        <f aca="false">IF($A56="N/A"," ",T56*$AU56)</f>
        <v> </v>
      </c>
      <c r="BN56" s="303" t="str">
        <f aca="false">IF($A56="N/A"," ",U56*$AV56)</f>
        <v> </v>
      </c>
      <c r="BO56" s="303" t="str">
        <f aca="false">IF($A56="N/A"," ",V56*$AW56)</f>
        <v> </v>
      </c>
      <c r="BP56" s="303" t="str">
        <f aca="false">IF($A56="N/A"," ",W56*$AX56)</f>
        <v> </v>
      </c>
      <c r="BQ56" s="303" t="str">
        <f aca="false">IF($A56="N/A"," ",X56*$AY56)</f>
        <v> </v>
      </c>
      <c r="BR56" s="303" t="str">
        <f aca="false">IF($A56="N/A"," ",Y56*$AZ56)</f>
        <v> </v>
      </c>
      <c r="BS56" s="304" t="str">
        <f aca="false">IF($A56="N/A"," ",Z56*$BA56)</f>
        <v> </v>
      </c>
      <c r="BT56" s="305" t="str">
        <f aca="false">IF($A56="N/A"," ",AA56*$AS56)</f>
        <v> </v>
      </c>
      <c r="BU56" s="306" t="str">
        <f aca="false">IF($A56="N/A"," ",AB56*$AT56)</f>
        <v> </v>
      </c>
      <c r="BV56" s="306" t="str">
        <f aca="false">IF($A56="N/A"," ",AC56*$AU56)</f>
        <v> </v>
      </c>
      <c r="BW56" s="306" t="str">
        <f aca="false">IF($A56="N/A"," ",AD56*$AV56)</f>
        <v> </v>
      </c>
      <c r="BX56" s="306" t="str">
        <f aca="false">IF($A56="N/A"," ",AE56*$AW56)</f>
        <v> </v>
      </c>
      <c r="BY56" s="306" t="str">
        <f aca="false">IF($A56="N/A"," ",AF56*$AX56)</f>
        <v> </v>
      </c>
      <c r="BZ56" s="306" t="str">
        <f aca="false">IF($A56="N/A"," ",AG56*$AY56)</f>
        <v> </v>
      </c>
      <c r="CA56" s="306" t="str">
        <f aca="false">IF($A56="N/A"," ",AH56*$AZ56)</f>
        <v> </v>
      </c>
      <c r="CB56" s="307" t="str">
        <f aca="false">IF($A56="N/A"," ",AI56*$BA56)</f>
        <v> </v>
      </c>
      <c r="CC56" s="308" t="str">
        <f aca="false">IF($A56="N/A"," ",AJ56*$AS56)</f>
        <v> </v>
      </c>
      <c r="CD56" s="309" t="str">
        <f aca="false">IF($A56="N/A"," ",AK56*$AT56)</f>
        <v> </v>
      </c>
      <c r="CE56" s="309" t="str">
        <f aca="false">IF($A56="N/A"," ",AL56*$AU56)</f>
        <v> </v>
      </c>
      <c r="CF56" s="309" t="str">
        <f aca="false">IF($A56="N/A"," ",AM56*$AV56)</f>
        <v> </v>
      </c>
      <c r="CG56" s="309" t="str">
        <f aca="false">IF($A56="N/A"," ",AN56*$AW56)</f>
        <v> </v>
      </c>
      <c r="CH56" s="309" t="str">
        <f aca="false">IF($A56="N/A"," ",AO56*$AX56)</f>
        <v> </v>
      </c>
      <c r="CI56" s="309" t="str">
        <f aca="false">IF($A56="N/A"," ",AP56*$AY56)</f>
        <v> </v>
      </c>
      <c r="CJ56" s="309" t="str">
        <f aca="false">IF($A56="N/A"," ",AQ56*$AZ56)</f>
        <v> </v>
      </c>
      <c r="CK56" s="310" t="str">
        <f aca="false">IF($A56="N/A"," ",AR56*$BA56)</f>
        <v> </v>
      </c>
      <c r="CL56" s="311" t="str">
        <f aca="false">IF(A56="N/A"," ",(VLOOKUP(A56,PowerVolTable,(IF(VolBMO=2,7,IF(VolBMO=1,6,8))),FALSE())))</f>
        <v> </v>
      </c>
      <c r="CM56" s="312" t="str">
        <f aca="false">IF(A56="N/A"," ",(VLOOKUP(A56,IntraPowerVol,(IF(VolBMO=2,3,IF(VolBMO=1,2,4))),FALSE())*VLOOKUP(MONTH($A56),Volscale,2)))</f>
        <v> </v>
      </c>
      <c r="CN56" s="312" t="str">
        <f aca="false">IF($A56="N/A"," ",IF(VolType=1,CM56,CL56))</f>
        <v> </v>
      </c>
      <c r="CO56" s="312" t="str">
        <f aca="false">IF($A56="N/A"," ",(VLOOKUP($A56,OffPeakVol,(IF(VolBMO=2,7,IF(VolBMO=1,6,8))),FALSE())))</f>
        <v> </v>
      </c>
      <c r="CP56" s="312" t="str">
        <f aca="false">IF($A56="N/A"," ",(VLOOKUP($A56,OffPeakVol,(IF(VolBMO=2,3,IF(VolBMO=1,2,4))),FALSE())*VLOOKUP(MONTH($A56),Volscale,2)))</f>
        <v> </v>
      </c>
      <c r="CQ56" s="312" t="str">
        <f aca="false">IF($A56="N/A"," ",IF(VolType=1,CP56,CO56))</f>
        <v> </v>
      </c>
      <c r="CR56" s="312" t="str">
        <f aca="false">IF($A56="N/A"," ",(VLOOKUP($A56,GasVolTable,(IF(VolBMO=2,6,IF(VolBMO=1,7,5))),FALSE())))</f>
        <v> </v>
      </c>
      <c r="CS56" s="312" t="str">
        <f aca="false">IF($A56="N/A"," ",(VLOOKUP($A56,OmicronVol,(IF(VolBMO=2,3,IF(VolBMO=1,4,2))),FALSE())))</f>
        <v> </v>
      </c>
      <c r="CT56" s="312" t="str">
        <f aca="false">IF($A56="N/A"," ",(IF(DateToday&gt;$A56,$CS56,IF(VolType=1,((($CR56^2)*((($A56-1)-DateToday)/((EOMONTH($A56,0)+1)-DateToday-15)))+((($CS56)^2)*((15)/((EOMONTH($A56,0)+1)-DateToday-15))))^0.5,CR56))))</f>
        <v> </v>
      </c>
      <c r="CU56" s="312" t="str">
        <f aca="false">IF($A56="N/A"," ",IF('Pricing Inputs'!$AR$23=TRUE(),Inputs!$S$22,VLOOKUP($A56,CorrelationTable,2,FALSE())))</f>
        <v> </v>
      </c>
      <c r="CV56" s="313" t="str">
        <f aca="false">IF($A56="N/A"," ",F56+G56+(D56*('Pricing Inputs'!X91)))</f>
        <v> </v>
      </c>
      <c r="CW56" s="314" t="str">
        <f aca="false">IF($A56="N/A"," ",IF(PV=1,0,'Pricing Inputs'!Y91))</f>
        <v> </v>
      </c>
      <c r="CX56" s="315" t="str">
        <f aca="false">IF($A56="N/A"," ",(1+CW56/2)^(-2*((EOMONTH(A56,0)+20)-DateToday)/365.25))</f>
        <v> </v>
      </c>
      <c r="CY56" s="316" t="str">
        <f aca="false">IF($A56="N/A"," ",(IF(MONTH(A56)&gt;=4,IF(MONTH(A56)&lt;=10,Inputs!$S$26,Inputs!$S$27),Inputs!$S$27))*$CX56)</f>
        <v> </v>
      </c>
      <c r="CZ56" s="317" t="str">
        <f aca="false">IF($A56="N/A"," ",BK56+BL56+BN56+BO56+BQ56+BR56)</f>
        <v> </v>
      </c>
      <c r="DA56" s="318" t="str">
        <f aca="false">IF($A56="N/A"," ",BM56+BP56+BS56)</f>
        <v> </v>
      </c>
      <c r="DB56" s="319" t="str">
        <f aca="false">IF($A56="N/A"," ",BT56+BU56+BW56+BX56+BZ56+CA56)</f>
        <v> </v>
      </c>
      <c r="DC56" s="319" t="str">
        <f aca="false">IF($A56="N/A"," ",BV56+BY56+CB56)</f>
        <v> </v>
      </c>
      <c r="DD56" s="320" t="str">
        <f aca="false">IF($A56="N/A"," ",SUM(CC56:CK56))</f>
        <v> </v>
      </c>
      <c r="DE56" s="321" t="str">
        <f aca="false">IF($A56="N/A"," ",VLOOKUP($A56,NumberofDaysTable,2)*Availability)</f>
        <v> </v>
      </c>
      <c r="DF56" s="94" t="str">
        <f aca="false">IF($A56="N/A"," ",VLOOKUP($A56,NumberofDaysTable,3)*Availability)</f>
        <v> </v>
      </c>
      <c r="DG56" s="322" t="str">
        <f aca="false">IF($A56="N/A"," ",VLOOKUP($A56,NumberofDaysTable,4)*Availability)</f>
        <v> </v>
      </c>
      <c r="DH56" s="323" t="str">
        <f aca="false">IF($A56="N/A"," ",IF(Option=1,$D56*Inputs!$S$15*SUM(AS56:BA56),0))</f>
        <v> </v>
      </c>
      <c r="DI56" s="324" t="str">
        <f aca="false">IF($A56="N/A"," ",IF(Option=1,$D56*Inputs!$S$16*SUM(AS56:BA56),0))</f>
        <v> </v>
      </c>
      <c r="DJ56" s="325" t="str">
        <f aca="false">IF($A56="N/A"," ",SUM(AS56:AT56))</f>
        <v> </v>
      </c>
      <c r="DK56" s="325" t="str">
        <f aca="false">IF($A56="N/A"," ",SUM(AU56:BA56))</f>
        <v> </v>
      </c>
      <c r="DL56" s="325" t="str">
        <f aca="false">IF($A56="N/A"," ",SUM(BB56:BC56))</f>
        <v> </v>
      </c>
      <c r="DM56" s="325" t="str">
        <f aca="false">IF($A56="N/A"," ",SUM(BD56:BJ56))</f>
        <v> </v>
      </c>
    </row>
    <row r="57" customFormat="false" ht="12.75" hidden="false" customHeight="false" outlineLevel="0" collapsed="false">
      <c r="A57" s="282" t="str">
        <f aca="false">IF(A56="N/A","N/A",IF(EDATE(A56,1)&gt;Inputs!$S$5,"N/A",EDATE(A56,1)))</f>
        <v>N/A</v>
      </c>
      <c r="B57" s="283" t="str">
        <f aca="false">IF(A57="N/A"," ",YEAR(A57))</f>
        <v> </v>
      </c>
      <c r="C57" s="284" t="str">
        <f aca="false">IF(A57="N/A"," ",VLOOKUP(A57,ScaledPrice,14))</f>
        <v> </v>
      </c>
      <c r="D57" s="285" t="str">
        <f aca="false">IF(A57="N/A"," ",(VLOOKUP(MONTH($A57),Hrtable,2))/1000)</f>
        <v> </v>
      </c>
      <c r="E57" s="286" t="str">
        <f aca="false">IF($A57="N/A"," ",(C57)*D57)</f>
        <v> </v>
      </c>
      <c r="F57" s="287" t="str">
        <f aca="false">IF(A57="N/A"," ",VOM*(1+VOMesc)^(YEAR(A57)-YEAR(Today)))</f>
        <v> </v>
      </c>
      <c r="G57" s="287" t="str">
        <f aca="false">IF(A57="N/A"," ",Perstart/VLOOKUP(Dayrun,'Pricing Inputs'!$AQ$4:$AS$14,3)/(CY57/CX57))</f>
        <v> </v>
      </c>
      <c r="H57" s="288" t="str">
        <f aca="false">IF(A57="N/A"," ",SUM(E57:G57))</f>
        <v> </v>
      </c>
      <c r="I57" s="289" t="str">
        <f aca="false">VLOOKUP($A57,ScaledPrice,6)</f>
        <v> </v>
      </c>
      <c r="J57" s="290" t="str">
        <f aca="false">VLOOKUP($A57,ScaledPrice,10)</f>
        <v> </v>
      </c>
      <c r="K57" s="290" t="str">
        <f aca="false">VLOOKUP($A57,ScaledPrice,13)</f>
        <v> </v>
      </c>
      <c r="L57" s="290" t="str">
        <f aca="false">VLOOKUP($A57,ScaledPrice,7)</f>
        <v> </v>
      </c>
      <c r="M57" s="290" t="str">
        <f aca="false">VLOOKUP($A57,ScaledPrice,11)</f>
        <v> </v>
      </c>
      <c r="N57" s="290" t="str">
        <f aca="false">VLOOKUP($A57,ScaledPrice,13)</f>
        <v> </v>
      </c>
      <c r="O57" s="290" t="str">
        <f aca="false">VLOOKUP($A57,ScaledPrice,8)</f>
        <v> </v>
      </c>
      <c r="P57" s="290" t="str">
        <f aca="false">VLOOKUP($A57,ScaledPrice,12)</f>
        <v> </v>
      </c>
      <c r="Q57" s="291" t="str">
        <f aca="false">VLOOKUP($A57,ScaledPrice,13)</f>
        <v> </v>
      </c>
      <c r="R57" s="292" t="str">
        <f aca="false">IF($A57="N/A"," ",IF(Dayrun&gt;=3,IF(Option=1,MAX($I57-$H57,0),IF(Option=2,MAX($H57-$I57,0),0)),0))</f>
        <v> </v>
      </c>
      <c r="S57" s="286" t="str">
        <f aca="false">IF($A57="N/A"," ",IF(Dayrun&gt;=6,IF(Option=1,MAX($J57-H57,0),IF(Option=2,MAX(H57-$J57,0),0)),0))</f>
        <v> </v>
      </c>
      <c r="T57" s="286" t="str">
        <f aca="false">IF($A57="N/A"," ",IF(OR(Dayrun&lt;=2,Dayrun&gt;=9),IF(Option=1,MAX($K57-$H57,0),IF(Option=2,MAX($H57-$K57,0),0)),0))</f>
        <v> </v>
      </c>
      <c r="U57" s="286" t="str">
        <f aca="false">IF($A57="N/A"," ",IF(OR(Dayrun=1,Dayrun=4,Dayrun=5,Dayrun=7,Dayrun=8,Dayrun=10,Dayrun=11),IF(Option=1,MAX($L57-H57,0),IF(Option=2,MAX(H57-$L57,0),0)),0))</f>
        <v> </v>
      </c>
      <c r="V57" s="286" t="str">
        <f aca="false">IF($A57="N/A"," ",IF(OR(Dayrun=1,Dayrun=7,Dayrun=8,Dayrun=10,Dayrun=11),IF(Option=1,MAX($M57-H57,0),IF(Option=2,MAX(H57-$M57,0),0)),0))</f>
        <v> </v>
      </c>
      <c r="W57" s="286" t="str">
        <f aca="false">IF($A57="N/A"," ",IF(OR(Dayrun&lt;=2,Dayrun&gt;=10),IF(Option=1,MAX($N57-$H57,0),IF(Option=2,MAX($H57-$N57,0),0)),0))</f>
        <v> </v>
      </c>
      <c r="X57" s="286" t="str">
        <f aca="false">IF($A57="N/A"," ",IF(OR(Dayrun=1,Dayrun=5,Dayrun=8,Dayrun=11),IF(Option=1,MAX($O57-H57,0),IF(Option=2,MAX(H57-$O57,0),0)),0))</f>
        <v> </v>
      </c>
      <c r="Y57" s="286" t="str">
        <f aca="false">IF($A57="N/A"," ",IF(OR(Dayrun=1,Dayrun=8,Dayrun=11),IF(Option=1,MAX($P57-H57,0),IF(Option=2,MAX(H57-$P57,0),0)),0))</f>
        <v> </v>
      </c>
      <c r="Z57" s="293" t="str">
        <f aca="false">IF($A57="N/A"," ",IF(OR(Dayrun&lt;=2,Dayrun&gt;=11),IF(Option=1,MAX($Q57-$H57,0),IF(Option=2,MAX($H57-$Q57,0),0)),0))</f>
        <v> </v>
      </c>
      <c r="AA57" s="289" t="str">
        <f aca="false">IF($A57="N/A"," ",IF(Dayrun&gt;=3,(MAX(0,(xSPRDOPT(I57,($E57-'Pricing Inputs'!$X92*$D57),$CV57,0,($CN57+IF(Smile=TRUE(),VLOOKUP(MAX(-5,$H57-I57),Volsmile,2),0)),$CT57,$CU57,($A57-DateToday)+15,ABS(Option-2),0)-R57))),0))</f>
        <v> </v>
      </c>
      <c r="AB57" s="290" t="str">
        <f aca="false">IF($A57="N/A"," ",IF(Dayrun&gt;=6,MAX(0,(xSPRDOPT(J57,($E57-'Pricing Inputs'!$X92*$D57),$CV57,0,($CN57+IF(Smile=TRUE(),VLOOKUP(MAX(-5,$H57-J57),Volsmile,2),0)),$CT57,$CU57,($A57-DateToday)+15,ABS(Option-2),0)-S57)),0))</f>
        <v> </v>
      </c>
      <c r="AC57" s="290" t="str">
        <f aca="false">IF($A57="N/A"," ",IF(OR(Dayrun&lt;=2,Dayrun&gt;=9),IF(OffPeakEx=TRUE(),MAX(0,(xSPRDOPT(K57,($E57-'Pricing Inputs'!$X92*$D57),$CV57,0,($CQ57+IF(Smile=TRUE(),VLOOKUP(MAX(-5,$H57-K57),Volsmile,2),0)),$CT57,$CU57,($A57-DateToday)+15,ABS(Option-2),0)-T57)),0),0))</f>
        <v> </v>
      </c>
      <c r="AD57" s="290" t="str">
        <f aca="false">IF($A57="N/A"," ",IF(OR(Dayrun=1,Dayrun=4,Dayrun=5,Dayrun=7,Dayrun=8,Dayrun=10,Dayrun=11),MAX(0,(xSPRDOPT(L57,($E57-'Pricing Inputs'!$X92*$D57),$CV57,0,($CQ57+IF(Smile=TRUE(),VLOOKUP(MAX(-5,$H57-L57),Volsmile,2),0)),$CT57,$CU57,($A57-DateToday)+15,ABS(Option-2),0)-U57)),0))</f>
        <v> </v>
      </c>
      <c r="AE57" s="290" t="str">
        <f aca="false">IF($A57="N/A"," ",IF(OR(Dayrun=1,Dayrun=7,Dayrun=8,Dayrun=10,Dayrun=11),MAX(0,(xSPRDOPT(M57,($E57-'Pricing Inputs'!$X92*$D57),$CV57,0,($CQ57+IF(Smile=TRUE(),VLOOKUP(MAX(-5,$H57-M57),Volsmile,2),0)),$CT57,$CU57,($A57-DateToday)+15,ABS(Option-2),0)-V57)),0))</f>
        <v> </v>
      </c>
      <c r="AF57" s="290" t="str">
        <f aca="false">IF($A57="N/A"," ",IF(OR(Dayrun&lt;=2,Dayrun&gt;=10),IF(OffPeakEx=TRUE(),MAX(0,(xSPRDOPT(N57,($E57-'Pricing Inputs'!$X92*$D57),$CV57,0,($CQ57+IF(Smile=TRUE(),VLOOKUP(MAX(-5,$H57-N57),Volsmile,2),0)),$CT57,$CU57,($A57-DateToday)+15,ABS(Option-2),0)-W57)),0),0))</f>
        <v> </v>
      </c>
      <c r="AG57" s="290" t="str">
        <f aca="false">IF($A57="N/A"," ",IF(OR(Dayrun=1,Dayrun=5,Dayrun=8,Dayrun=11),MAX(0,(xSPRDOPT(O57,($E57-'Pricing Inputs'!$X92*$D57),$CV57,0,($CQ57+IF(Smile=TRUE(),VLOOKUP(MAX(-5,$H57-O57),Volsmile,2),0)),$CT57,$CU57,($A57-DateToday)+15,ABS(Option-2),0)-X57)),0))</f>
        <v> </v>
      </c>
      <c r="AH57" s="290" t="str">
        <f aca="false">IF($A57="N/A"," ",IF(OR(Dayrun=1,Dayrun=8,Dayrun=11),MAX(0,(xSPRDOPT(P57,($E57-'Pricing Inputs'!$X92*$D57),$CV57,0,($CQ57+IF(Smile=TRUE(),VLOOKUP(MAX(-5,$H57-P57),Volsmile,2),0)),$CT57,$CU57,($A57-DateToday)+15,ABS(Option-2),0)-Y57)),0))</f>
        <v> </v>
      </c>
      <c r="AI57" s="290" t="str">
        <f aca="false">IF($A57="N/A"," ",IF(OR(Dayrun&lt;=2,Dayrun&gt;=11),IF(OffPeakEx=TRUE(),MAX(0,(xSPRDOPT(Q57,($E57-'Pricing Inputs'!$X92*$D57),$CV57,0,($CQ57+IF(Smile=TRUE(),VLOOKUP(MAX(-5,$H57-Q57),Volsmile,2),0)),$CT57,$CU57,($A57-DateToday)+15,ABS(Option-2),0)-Z57)),0),0))</f>
        <v> </v>
      </c>
      <c r="AJ57" s="294" t="str">
        <f aca="false">IF($A57="N/A"," ",IF(Dayrun&gt;=3,IF(Option=1,$I57-$H57,IF(Option=2,$H57-$I57)),0))</f>
        <v> </v>
      </c>
      <c r="AK57" s="295" t="str">
        <f aca="false">IF($A57="N/A"," ",IF(Dayrun&gt;=6,IF(Option=1,$J57-H57,IF(Option=2,H57-$J57)),0))</f>
        <v> </v>
      </c>
      <c r="AL57" s="295" t="str">
        <f aca="false">IF($A57="N/A"," ",IF(OR(Dayrun&lt;=2,Dayrun&gt;=9),IF(Option=1,$K57-$H57,IF(Option=2,$H57-$K57)),0))</f>
        <v> </v>
      </c>
      <c r="AM57" s="295" t="str">
        <f aca="false">IF($A57="N/A"," ",IF(OR(Dayrun=1,Dayrun=4,Dayrun=5,Dayrun=7,Dayrun=8,Dayrun=10,Dayrun=11),IF(Option=1,$L57-H57,IF(Option=2,H57-$L57)),0))</f>
        <v> </v>
      </c>
      <c r="AN57" s="295" t="str">
        <f aca="false">IF($A57="N/A"," ",IF(OR(Dayrun=1,Dayrun=7,Dayrun=8,Dayrun=10,Dayrun=11),IF(Option=1,$M57-H57,IF(Option=2,H57-$M57)),0))</f>
        <v> </v>
      </c>
      <c r="AO57" s="295" t="str">
        <f aca="false">IF($A57="N/A"," ",IF(OR(Dayrun&lt;=2,Dayrun&gt;=9),IF(Option=1,$N57-$H57,IF(Option=2,$H57-$N57)),0))</f>
        <v> </v>
      </c>
      <c r="AP57" s="295" t="str">
        <f aca="false">IF($A57="N/A"," ",IF(OR(Dayrun=1,Dayrun=5,Dayrun=8,Dayrun=11),IF(Option=1,$O57-H57,IF(Option=2,H57-$O57)),0))</f>
        <v> </v>
      </c>
      <c r="AQ57" s="295" t="str">
        <f aca="false">IF($A57="N/A"," ",IF(OR(Dayrun=1,Dayrun=8,Dayrun=11),IF(Option=1,$P57-H57,IF(Option=2,H57-$P57)),0))</f>
        <v> </v>
      </c>
      <c r="AR57" s="296" t="str">
        <f aca="false">IF($A57="N/A"," ",IF(OR(Dayrun&lt;=2,Dayrun&gt;=9),IF(Option=1,$Q57-H57,IF(Option=2,H57-$Q57)),0))</f>
        <v> </v>
      </c>
      <c r="AS57" s="297" t="str">
        <f aca="false">IF($A57="N/A"," ",IF(VLOOKUP(MONTH($A57),ManualTable,2)=1,IF(Dayrun&gt;=3,$DE57*8*$CY57,0),0))</f>
        <v> </v>
      </c>
      <c r="AT57" s="297" t="str">
        <f aca="false">IF($A57="N/A"," ",IF(VLOOKUP(MONTH($A57),ManualTable,3)=1,IF(Dayrun&gt;=6,$DE57*8*$CY57,0),0))</f>
        <v> </v>
      </c>
      <c r="AU57" s="297" t="str">
        <f aca="false">IF($A57="N/A"," ",IF(VLOOKUP(MONTH($A57),ManualTable,4)=1,IF(OR(Dayrun&lt;=2,Dayrun&gt;=9),$DE57*8*$CY57,0),0))</f>
        <v> </v>
      </c>
      <c r="AV57" s="297" t="str">
        <f aca="false">IF($A57="N/A"," ",IF(VLOOKUP(MONTH($A57),ManualTable,5)=1,IF(OR(Dayrun=1,Dayrun=4,Dayrun=5,Dayrun=7,Dayrun=8,Dayrun=10,Dayrun=11),$DF57*8*$CY57,0),0))</f>
        <v> </v>
      </c>
      <c r="AW57" s="297" t="str">
        <f aca="false">IF($A57="N/A"," ",IF(VLOOKUP(MONTH($A57),ManualTable,6)=1,IF(OR(Dayrun=1,Dayrun=7,Dayrun=8,Dayrun=10,Dayrun=11),$DF57*8*$CY57,0),0))</f>
        <v> </v>
      </c>
      <c r="AX57" s="297" t="str">
        <f aca="false">IF($A57="N/A"," ",IF(VLOOKUP(MONTH($A57),ManualTable,7)=1,IF(OR(Dayrun&lt;=2,Dayrun&gt;=9),$DF57*8*$CY57,0),0))</f>
        <v> </v>
      </c>
      <c r="AY57" s="297" t="str">
        <f aca="false">IF($A57="N/A"," ",IF(VLOOKUP(MONTH($A57),ManualTable,8)=1,IF(OR(Dayrun=1,Dayrun=5,Dayrun=8,Dayrun=11),$DG57*8*$CY57,0),0))</f>
        <v> </v>
      </c>
      <c r="AZ57" s="297" t="str">
        <f aca="false">IF($A57="N/A"," ",IF(VLOOKUP(MONTH($A57),ManualTable,9)=1,IF(OR(Dayrun=1,Dayrun=8,Dayrun=11),$DG57*8*$CY57,0),0))</f>
        <v> </v>
      </c>
      <c r="BA57" s="298" t="str">
        <f aca="false">IF($A57="N/A"," ",IF(VLOOKUP(MONTH($A57),ManualTable,10)=1,IF(OR(Dayrun&lt;=2,Dayrun&gt;=9),$DG57*8*$CY57,0),0))</f>
        <v> </v>
      </c>
      <c r="BB57" s="299" t="str">
        <f aca="false">IF($A57="N/A"," ",IF(Dayrun&gt;=3,(MAX(0,(xSPRDOPT(I57,($E57-'Pricing Inputs'!$X92*$D57),$CV57,0,($CN57+IF(Smile=TRUE(),VLOOKUP(MAX(-5,$H57-I57),Volsmile,2),0)),$CT57,$CU57,($A57-DateToday)+15,ABS(Option-2),1)*DE57*8))),0))</f>
        <v> </v>
      </c>
      <c r="BC57" s="300" t="str">
        <f aca="false">IF($A57="N/A"," ",IF(Dayrun&gt;=6,MAX(0,(xSPRDOPT(J57,($E57-'Pricing Inputs'!$X92*$D57),$CV57,0,($CN57+IF(Smile=TRUE(),VLOOKUP(MAX(-5,$H57-J57),Volsmile,2),0)),$CT57,$CU57,($A57-DateToday)+15,ABS(Option-2),1)*DE57*8)),0))</f>
        <v> </v>
      </c>
      <c r="BD57" s="300" t="str">
        <f aca="false">IF($A57="N/A"," ",IF(OR(Dayrun&lt;=2,Dayrun&gt;=9),IF(OffPeakEx=TRUE(),MAX(0,(xSPRDOPT(K57,($E57-'Pricing Inputs'!$X92*$D57),$CV57,0,($CQ57+IF(Smile=TRUE(),VLOOKUP(MAX(-5,$H57-K57),Volsmile,2),0)),$CT57,$CU57,($A57-DateToday)+15,ABS(Option-2),1)*DE57*8)),0),0))</f>
        <v> </v>
      </c>
      <c r="BE57" s="300" t="str">
        <f aca="false">IF($A57="N/A"," ",IF(OR(Dayrun=1,Dayrun=4,Dayrun=5,Dayrun=7,Dayrun=8,Dayrun=10,Dayrun=11),MAX(0,(xSPRDOPT(L57,($E57-'Pricing Inputs'!$X92*$D57),$CV57,0,($CQ57+IF(Smile=TRUE(),VLOOKUP(MAX(-5,$H57-L57),Volsmile,2),0)),$CT57,$CU57,($A57-DateToday)+15,ABS(Option-2),1)*DF57*8)),0))</f>
        <v> </v>
      </c>
      <c r="BF57" s="300" t="str">
        <f aca="false">IF($A57="N/A"," ",IF(OR(Dayrun=1,Dayrun=7,Dayrun=8,Dayrun=10,Dayrun=11),MAX(0,(xSPRDOPT(M57,($E57-'Pricing Inputs'!$X92*$D57),$CV57,0,($CQ57+IF(Smile=TRUE(),VLOOKUP(MAX(-5,$H57-M57),Volsmile,2),0)),$CT57,$CU57,($A57-DateToday)+15,ABS(Option-2),1)*DF57*8)),0))</f>
        <v> </v>
      </c>
      <c r="BG57" s="300" t="str">
        <f aca="false">IF($A57="N/A"," ",IF(OR(Dayrun&lt;=2,Dayrun&gt;=10),IF(OffPeakEx=TRUE(),MAX(0,(xSPRDOPT(N57,($E57-'Pricing Inputs'!$X92*$D57),$CV57,0,($CQ57+IF(Smile=TRUE(),VLOOKUP(MAX(-5,$H57-N57),Volsmile,2),0)),$CT57,$CU57,($A57-DateToday)+15,ABS(Option-2),1)*DF57*8)),0),0))</f>
        <v> </v>
      </c>
      <c r="BH57" s="300" t="str">
        <f aca="false">IF($A57="N/A"," ",IF(OR(Dayrun=1,Dayrun=5,Dayrun=8,Dayrun=11),MAX(0,(xSPRDOPT(O57,($E57-'Pricing Inputs'!$X92*$D57),$CV57,0,($CQ57+IF(Smile=TRUE(),VLOOKUP(MAX(-5,$H57-O57),Volsmile,2),0)),$CT57,$CU57,($A57-DateToday)+15,ABS(Option-2),1)*DG57*8)),0))</f>
        <v> </v>
      </c>
      <c r="BI57" s="300" t="str">
        <f aca="false">IF($A57="N/A"," ",IF(OR(Dayrun=1,Dayrun=8,Dayrun=11),MAX(0,(xSPRDOPT(P57,($E57-'Pricing Inputs'!$X92*$D57),$CV57,0,($CQ57+IF(Smile=TRUE(),VLOOKUP(MAX(-5,$H57-P57),Volsmile,2),0)),$CT57,$CU57,($A57-DateToday)+15,ABS(Option-2),1)*DG57*8)),0))</f>
        <v> </v>
      </c>
      <c r="BJ57" s="301" t="str">
        <f aca="false">IF($A57="N/A"," ",IF(OR(Dayrun&lt;=2,Dayrun&gt;=11),IF(OffPeakEx=TRUE(),MAX(0,(xSPRDOPT(Q57,($E57-'Pricing Inputs'!$X92*$D57),$CV57,0,($CQ57+IF(Smile=TRUE(),VLOOKUP(MAX(-5,$H57-Q57),Volsmile,2),0)),$CT57,$CU57,($A57-DateToday)+15,ABS(Option-2),1)*DG57*8)),0),0))</f>
        <v> </v>
      </c>
      <c r="BK57" s="302" t="str">
        <f aca="false">IF($A57="N/A"," ",R57*$AS57)</f>
        <v> </v>
      </c>
      <c r="BL57" s="303" t="str">
        <f aca="false">IF($A57="N/A"," ",S57*$AT57)</f>
        <v> </v>
      </c>
      <c r="BM57" s="303" t="str">
        <f aca="false">IF($A57="N/A"," ",T57*$AU57)</f>
        <v> </v>
      </c>
      <c r="BN57" s="303" t="str">
        <f aca="false">IF($A57="N/A"," ",U57*$AV57)</f>
        <v> </v>
      </c>
      <c r="BO57" s="303" t="str">
        <f aca="false">IF($A57="N/A"," ",V57*$AW57)</f>
        <v> </v>
      </c>
      <c r="BP57" s="303" t="str">
        <f aca="false">IF($A57="N/A"," ",W57*$AX57)</f>
        <v> </v>
      </c>
      <c r="BQ57" s="303" t="str">
        <f aca="false">IF($A57="N/A"," ",X57*$AY57)</f>
        <v> </v>
      </c>
      <c r="BR57" s="303" t="str">
        <f aca="false">IF($A57="N/A"," ",Y57*$AZ57)</f>
        <v> </v>
      </c>
      <c r="BS57" s="304" t="str">
        <f aca="false">IF($A57="N/A"," ",Z57*$BA57)</f>
        <v> </v>
      </c>
      <c r="BT57" s="305" t="str">
        <f aca="false">IF($A57="N/A"," ",AA57*$AS57)</f>
        <v> </v>
      </c>
      <c r="BU57" s="306" t="str">
        <f aca="false">IF($A57="N/A"," ",AB57*$AT57)</f>
        <v> </v>
      </c>
      <c r="BV57" s="306" t="str">
        <f aca="false">IF($A57="N/A"," ",AC57*$AU57)</f>
        <v> </v>
      </c>
      <c r="BW57" s="306" t="str">
        <f aca="false">IF($A57="N/A"," ",AD57*$AV57)</f>
        <v> </v>
      </c>
      <c r="BX57" s="306" t="str">
        <f aca="false">IF($A57="N/A"," ",AE57*$AW57)</f>
        <v> </v>
      </c>
      <c r="BY57" s="306" t="str">
        <f aca="false">IF($A57="N/A"," ",AF57*$AX57)</f>
        <v> </v>
      </c>
      <c r="BZ57" s="306" t="str">
        <f aca="false">IF($A57="N/A"," ",AG57*$AY57)</f>
        <v> </v>
      </c>
      <c r="CA57" s="306" t="str">
        <f aca="false">IF($A57="N/A"," ",AH57*$AZ57)</f>
        <v> </v>
      </c>
      <c r="CB57" s="307" t="str">
        <f aca="false">IF($A57="N/A"," ",AI57*$BA57)</f>
        <v> </v>
      </c>
      <c r="CC57" s="308" t="str">
        <f aca="false">IF($A57="N/A"," ",AJ57*$AS57)</f>
        <v> </v>
      </c>
      <c r="CD57" s="309" t="str">
        <f aca="false">IF($A57="N/A"," ",AK57*$AT57)</f>
        <v> </v>
      </c>
      <c r="CE57" s="309" t="str">
        <f aca="false">IF($A57="N/A"," ",AL57*$AU57)</f>
        <v> </v>
      </c>
      <c r="CF57" s="309" t="str">
        <f aca="false">IF($A57="N/A"," ",AM57*$AV57)</f>
        <v> </v>
      </c>
      <c r="CG57" s="309" t="str">
        <f aca="false">IF($A57="N/A"," ",AN57*$AW57)</f>
        <v> </v>
      </c>
      <c r="CH57" s="309" t="str">
        <f aca="false">IF($A57="N/A"," ",AO57*$AX57)</f>
        <v> </v>
      </c>
      <c r="CI57" s="309" t="str">
        <f aca="false">IF($A57="N/A"," ",AP57*$AY57)</f>
        <v> </v>
      </c>
      <c r="CJ57" s="309" t="str">
        <f aca="false">IF($A57="N/A"," ",AQ57*$AZ57)</f>
        <v> </v>
      </c>
      <c r="CK57" s="310" t="str">
        <f aca="false">IF($A57="N/A"," ",AR57*$BA57)</f>
        <v> </v>
      </c>
      <c r="CL57" s="311" t="str">
        <f aca="false">IF(A57="N/A"," ",(VLOOKUP(A57,PowerVolTable,(IF(VolBMO=2,7,IF(VolBMO=1,6,8))),FALSE())))</f>
        <v> </v>
      </c>
      <c r="CM57" s="312" t="str">
        <f aca="false">IF(A57="N/A"," ",(VLOOKUP(A57,IntraPowerVol,(IF(VolBMO=2,3,IF(VolBMO=1,2,4))),FALSE())*VLOOKUP(MONTH($A57),Volscale,2)))</f>
        <v> </v>
      </c>
      <c r="CN57" s="312" t="str">
        <f aca="false">IF($A57="N/A"," ",IF(VolType=1,CM57,CL57))</f>
        <v> </v>
      </c>
      <c r="CO57" s="312" t="str">
        <f aca="false">IF($A57="N/A"," ",(VLOOKUP($A57,OffPeakVol,(IF(VolBMO=2,7,IF(VolBMO=1,6,8))),FALSE())))</f>
        <v> </v>
      </c>
      <c r="CP57" s="312" t="str">
        <f aca="false">IF($A57="N/A"," ",(VLOOKUP($A57,OffPeakVol,(IF(VolBMO=2,3,IF(VolBMO=1,2,4))),FALSE())*VLOOKUP(MONTH($A57),Volscale,2)))</f>
        <v> </v>
      </c>
      <c r="CQ57" s="312" t="str">
        <f aca="false">IF($A57="N/A"," ",IF(VolType=1,CP57,CO57))</f>
        <v> </v>
      </c>
      <c r="CR57" s="312" t="str">
        <f aca="false">IF($A57="N/A"," ",(VLOOKUP($A57,GasVolTable,(IF(VolBMO=2,6,IF(VolBMO=1,7,5))),FALSE())))</f>
        <v> </v>
      </c>
      <c r="CS57" s="312" t="str">
        <f aca="false">IF($A57="N/A"," ",(VLOOKUP($A57,OmicronVol,(IF(VolBMO=2,3,IF(VolBMO=1,4,2))),FALSE())))</f>
        <v> </v>
      </c>
      <c r="CT57" s="312" t="str">
        <f aca="false">IF($A57="N/A"," ",(IF(DateToday&gt;$A57,$CS57,IF(VolType=1,((($CR57^2)*((($A57-1)-DateToday)/((EOMONTH($A57,0)+1)-DateToday-15)))+((($CS57)^2)*((15)/((EOMONTH($A57,0)+1)-DateToday-15))))^0.5,CR57))))</f>
        <v> </v>
      </c>
      <c r="CU57" s="312" t="str">
        <f aca="false">IF($A57="N/A"," ",IF('Pricing Inputs'!$AR$23=TRUE(),Inputs!$S$22,VLOOKUP($A57,CorrelationTable,2,FALSE())))</f>
        <v> </v>
      </c>
      <c r="CV57" s="313" t="str">
        <f aca="false">IF($A57="N/A"," ",F57+G57+(D57*('Pricing Inputs'!X92)))</f>
        <v> </v>
      </c>
      <c r="CW57" s="314" t="str">
        <f aca="false">IF($A57="N/A"," ",IF(PV=1,0,'Pricing Inputs'!Y92))</f>
        <v> </v>
      </c>
      <c r="CX57" s="315" t="str">
        <f aca="false">IF($A57="N/A"," ",(1+CW57/2)^(-2*((EOMONTH(A57,0)+20)-DateToday)/365.25))</f>
        <v> </v>
      </c>
      <c r="CY57" s="316" t="str">
        <f aca="false">IF($A57="N/A"," ",(IF(MONTH(A57)&gt;=4,IF(MONTH(A57)&lt;=10,Inputs!$S$26,Inputs!$S$27),Inputs!$S$27))*$CX57)</f>
        <v> </v>
      </c>
      <c r="CZ57" s="317" t="str">
        <f aca="false">IF($A57="N/A"," ",BK57+BL57+BN57+BO57+BQ57+BR57)</f>
        <v> </v>
      </c>
      <c r="DA57" s="318" t="str">
        <f aca="false">IF($A57="N/A"," ",BM57+BP57+BS57)</f>
        <v> </v>
      </c>
      <c r="DB57" s="319" t="str">
        <f aca="false">IF($A57="N/A"," ",BT57+BU57+BW57+BX57+BZ57+CA57)</f>
        <v> </v>
      </c>
      <c r="DC57" s="319" t="str">
        <f aca="false">IF($A57="N/A"," ",BV57+BY57+CB57)</f>
        <v> </v>
      </c>
      <c r="DD57" s="320" t="str">
        <f aca="false">IF($A57="N/A"," ",SUM(CC57:CK57))</f>
        <v> </v>
      </c>
      <c r="DE57" s="321" t="str">
        <f aca="false">IF($A57="N/A"," ",VLOOKUP($A57,NumberofDaysTable,2)*Availability)</f>
        <v> </v>
      </c>
      <c r="DF57" s="94" t="str">
        <f aca="false">IF($A57="N/A"," ",VLOOKUP($A57,NumberofDaysTable,3)*Availability)</f>
        <v> </v>
      </c>
      <c r="DG57" s="322" t="str">
        <f aca="false">IF($A57="N/A"," ",VLOOKUP($A57,NumberofDaysTable,4)*Availability)</f>
        <v> </v>
      </c>
      <c r="DH57" s="323" t="str">
        <f aca="false">IF($A57="N/A"," ",IF(Option=1,$D57*Inputs!$S$15*SUM(AS57:BA57),0))</f>
        <v> </v>
      </c>
      <c r="DI57" s="324" t="str">
        <f aca="false">IF($A57="N/A"," ",IF(Option=1,$D57*Inputs!$S$16*SUM(AS57:BA57),0))</f>
        <v> </v>
      </c>
      <c r="DJ57" s="325" t="str">
        <f aca="false">IF($A57="N/A"," ",SUM(AS57:AT57))</f>
        <v> </v>
      </c>
      <c r="DK57" s="325" t="str">
        <f aca="false">IF($A57="N/A"," ",SUM(AU57:BA57))</f>
        <v> </v>
      </c>
      <c r="DL57" s="325" t="str">
        <f aca="false">IF($A57="N/A"," ",SUM(BB57:BC57))</f>
        <v> </v>
      </c>
      <c r="DM57" s="325" t="str">
        <f aca="false">IF($A57="N/A"," ",SUM(BD57:BJ57))</f>
        <v> </v>
      </c>
    </row>
    <row r="58" customFormat="false" ht="12.75" hidden="false" customHeight="false" outlineLevel="0" collapsed="false">
      <c r="A58" s="282" t="str">
        <f aca="false">IF(A57="N/A","N/A",IF(EDATE(A57,1)&gt;Inputs!$S$5,"N/A",EDATE(A57,1)))</f>
        <v>N/A</v>
      </c>
      <c r="B58" s="283" t="str">
        <f aca="false">IF(A58="N/A"," ",YEAR(A58))</f>
        <v> </v>
      </c>
      <c r="C58" s="284" t="str">
        <f aca="false">IF(A58="N/A"," ",VLOOKUP(A58,ScaledPrice,14))</f>
        <v> </v>
      </c>
      <c r="D58" s="285" t="str">
        <f aca="false">IF(A58="N/A"," ",(VLOOKUP(MONTH($A58),Hrtable,2))/1000)</f>
        <v> </v>
      </c>
      <c r="E58" s="286" t="str">
        <f aca="false">IF($A58="N/A"," ",(C58)*D58)</f>
        <v> </v>
      </c>
      <c r="F58" s="287" t="str">
        <f aca="false">IF(A58="N/A"," ",VOM*(1+VOMesc)^(YEAR(A58)-YEAR(Today)))</f>
        <v> </v>
      </c>
      <c r="G58" s="287" t="str">
        <f aca="false">IF(A58="N/A"," ",Perstart/VLOOKUP(Dayrun,'Pricing Inputs'!$AQ$4:$AS$14,3)/(CY58/CX58))</f>
        <v> </v>
      </c>
      <c r="H58" s="288" t="str">
        <f aca="false">IF(A58="N/A"," ",SUM(E58:G58))</f>
        <v> </v>
      </c>
      <c r="I58" s="289" t="str">
        <f aca="false">VLOOKUP($A58,ScaledPrice,6)</f>
        <v> </v>
      </c>
      <c r="J58" s="290" t="str">
        <f aca="false">VLOOKUP($A58,ScaledPrice,10)</f>
        <v> </v>
      </c>
      <c r="K58" s="290" t="str">
        <f aca="false">VLOOKUP($A58,ScaledPrice,13)</f>
        <v> </v>
      </c>
      <c r="L58" s="290" t="str">
        <f aca="false">VLOOKUP($A58,ScaledPrice,7)</f>
        <v> </v>
      </c>
      <c r="M58" s="290" t="str">
        <f aca="false">VLOOKUP($A58,ScaledPrice,11)</f>
        <v> </v>
      </c>
      <c r="N58" s="290" t="str">
        <f aca="false">VLOOKUP($A58,ScaledPrice,13)</f>
        <v> </v>
      </c>
      <c r="O58" s="290" t="str">
        <f aca="false">VLOOKUP($A58,ScaledPrice,8)</f>
        <v> </v>
      </c>
      <c r="P58" s="290" t="str">
        <f aca="false">VLOOKUP($A58,ScaledPrice,12)</f>
        <v> </v>
      </c>
      <c r="Q58" s="291" t="str">
        <f aca="false">VLOOKUP($A58,ScaledPrice,13)</f>
        <v> </v>
      </c>
      <c r="R58" s="292" t="str">
        <f aca="false">IF($A58="N/A"," ",IF(Dayrun&gt;=3,IF(Option=1,MAX($I58-$H58,0),IF(Option=2,MAX($H58-$I58,0),0)),0))</f>
        <v> </v>
      </c>
      <c r="S58" s="286" t="str">
        <f aca="false">IF($A58="N/A"," ",IF(Dayrun&gt;=6,IF(Option=1,MAX($J58-H58,0),IF(Option=2,MAX(H58-$J58,0),0)),0))</f>
        <v> </v>
      </c>
      <c r="T58" s="286" t="str">
        <f aca="false">IF($A58="N/A"," ",IF(OR(Dayrun&lt;=2,Dayrun&gt;=9),IF(Option=1,MAX($K58-$H58,0),IF(Option=2,MAX($H58-$K58,0),0)),0))</f>
        <v> </v>
      </c>
      <c r="U58" s="286" t="str">
        <f aca="false">IF($A58="N/A"," ",IF(OR(Dayrun=1,Dayrun=4,Dayrun=5,Dayrun=7,Dayrun=8,Dayrun=10,Dayrun=11),IF(Option=1,MAX($L58-H58,0),IF(Option=2,MAX(H58-$L58,0),0)),0))</f>
        <v> </v>
      </c>
      <c r="V58" s="286" t="str">
        <f aca="false">IF($A58="N/A"," ",IF(OR(Dayrun=1,Dayrun=7,Dayrun=8,Dayrun=10,Dayrun=11),IF(Option=1,MAX($M58-H58,0),IF(Option=2,MAX(H58-$M58,0),0)),0))</f>
        <v> </v>
      </c>
      <c r="W58" s="286" t="str">
        <f aca="false">IF($A58="N/A"," ",IF(OR(Dayrun&lt;=2,Dayrun&gt;=10),IF(Option=1,MAX($N58-$H58,0),IF(Option=2,MAX($H58-$N58,0),0)),0))</f>
        <v> </v>
      </c>
      <c r="X58" s="286" t="str">
        <f aca="false">IF($A58="N/A"," ",IF(OR(Dayrun=1,Dayrun=5,Dayrun=8,Dayrun=11),IF(Option=1,MAX($O58-H58,0),IF(Option=2,MAX(H58-$O58,0),0)),0))</f>
        <v> </v>
      </c>
      <c r="Y58" s="286" t="str">
        <f aca="false">IF($A58="N/A"," ",IF(OR(Dayrun=1,Dayrun=8,Dayrun=11),IF(Option=1,MAX($P58-H58,0),IF(Option=2,MAX(H58-$P58,0),0)),0))</f>
        <v> </v>
      </c>
      <c r="Z58" s="293" t="str">
        <f aca="false">IF($A58="N/A"," ",IF(OR(Dayrun&lt;=2,Dayrun&gt;=11),IF(Option=1,MAX($Q58-$H58,0),IF(Option=2,MAX($H58-$Q58,0),0)),0))</f>
        <v> </v>
      </c>
      <c r="AA58" s="289" t="str">
        <f aca="false">IF($A58="N/A"," ",IF(Dayrun&gt;=3,(MAX(0,(xSPRDOPT(I58,($E58-'Pricing Inputs'!$X93*$D58),$CV58,0,($CN58+IF(Smile=TRUE(),VLOOKUP(MAX(-5,$H58-I58),Volsmile,2),0)),$CT58,$CU58,($A58-DateToday)+15,ABS(Option-2),0)-R58))),0))</f>
        <v> </v>
      </c>
      <c r="AB58" s="290" t="str">
        <f aca="false">IF($A58="N/A"," ",IF(Dayrun&gt;=6,MAX(0,(xSPRDOPT(J58,($E58-'Pricing Inputs'!$X93*$D58),$CV58,0,($CN58+IF(Smile=TRUE(),VLOOKUP(MAX(-5,$H58-J58),Volsmile,2),0)),$CT58,$CU58,($A58-DateToday)+15,ABS(Option-2),0)-S58)),0))</f>
        <v> </v>
      </c>
      <c r="AC58" s="290" t="str">
        <f aca="false">IF($A58="N/A"," ",IF(OR(Dayrun&lt;=2,Dayrun&gt;=9),IF(OffPeakEx=TRUE(),MAX(0,(xSPRDOPT(K58,($E58-'Pricing Inputs'!$X93*$D58),$CV58,0,($CQ58+IF(Smile=TRUE(),VLOOKUP(MAX(-5,$H58-K58),Volsmile,2),0)),$CT58,$CU58,($A58-DateToday)+15,ABS(Option-2),0)-T58)),0),0))</f>
        <v> </v>
      </c>
      <c r="AD58" s="290" t="str">
        <f aca="false">IF($A58="N/A"," ",IF(OR(Dayrun=1,Dayrun=4,Dayrun=5,Dayrun=7,Dayrun=8,Dayrun=10,Dayrun=11),MAX(0,(xSPRDOPT(L58,($E58-'Pricing Inputs'!$X93*$D58),$CV58,0,($CQ58+IF(Smile=TRUE(),VLOOKUP(MAX(-5,$H58-L58),Volsmile,2),0)),$CT58,$CU58,($A58-DateToday)+15,ABS(Option-2),0)-U58)),0))</f>
        <v> </v>
      </c>
      <c r="AE58" s="290" t="str">
        <f aca="false">IF($A58="N/A"," ",IF(OR(Dayrun=1,Dayrun=7,Dayrun=8,Dayrun=10,Dayrun=11),MAX(0,(xSPRDOPT(M58,($E58-'Pricing Inputs'!$X93*$D58),$CV58,0,($CQ58+IF(Smile=TRUE(),VLOOKUP(MAX(-5,$H58-M58),Volsmile,2),0)),$CT58,$CU58,($A58-DateToday)+15,ABS(Option-2),0)-V58)),0))</f>
        <v> </v>
      </c>
      <c r="AF58" s="290" t="str">
        <f aca="false">IF($A58="N/A"," ",IF(OR(Dayrun&lt;=2,Dayrun&gt;=10),IF(OffPeakEx=TRUE(),MAX(0,(xSPRDOPT(N58,($E58-'Pricing Inputs'!$X93*$D58),$CV58,0,($CQ58+IF(Smile=TRUE(),VLOOKUP(MAX(-5,$H58-N58),Volsmile,2),0)),$CT58,$CU58,($A58-DateToday)+15,ABS(Option-2),0)-W58)),0),0))</f>
        <v> </v>
      </c>
      <c r="AG58" s="290" t="str">
        <f aca="false">IF($A58="N/A"," ",IF(OR(Dayrun=1,Dayrun=5,Dayrun=8,Dayrun=11),MAX(0,(xSPRDOPT(O58,($E58-'Pricing Inputs'!$X93*$D58),$CV58,0,($CQ58+IF(Smile=TRUE(),VLOOKUP(MAX(-5,$H58-O58),Volsmile,2),0)),$CT58,$CU58,($A58-DateToday)+15,ABS(Option-2),0)-X58)),0))</f>
        <v> </v>
      </c>
      <c r="AH58" s="290" t="str">
        <f aca="false">IF($A58="N/A"," ",IF(OR(Dayrun=1,Dayrun=8,Dayrun=11),MAX(0,(xSPRDOPT(P58,($E58-'Pricing Inputs'!$X93*$D58),$CV58,0,($CQ58+IF(Smile=TRUE(),VLOOKUP(MAX(-5,$H58-P58),Volsmile,2),0)),$CT58,$CU58,($A58-DateToday)+15,ABS(Option-2),0)-Y58)),0))</f>
        <v> </v>
      </c>
      <c r="AI58" s="290" t="str">
        <f aca="false">IF($A58="N/A"," ",IF(OR(Dayrun&lt;=2,Dayrun&gt;=11),IF(OffPeakEx=TRUE(),MAX(0,(xSPRDOPT(Q58,($E58-'Pricing Inputs'!$X93*$D58),$CV58,0,($CQ58+IF(Smile=TRUE(),VLOOKUP(MAX(-5,$H58-Q58),Volsmile,2),0)),$CT58,$CU58,($A58-DateToday)+15,ABS(Option-2),0)-Z58)),0),0))</f>
        <v> </v>
      </c>
      <c r="AJ58" s="294" t="str">
        <f aca="false">IF($A58="N/A"," ",IF(Dayrun&gt;=3,IF(Option=1,$I58-$H58,IF(Option=2,$H58-$I58)),0))</f>
        <v> </v>
      </c>
      <c r="AK58" s="295" t="str">
        <f aca="false">IF($A58="N/A"," ",IF(Dayrun&gt;=6,IF(Option=1,$J58-H58,IF(Option=2,H58-$J58)),0))</f>
        <v> </v>
      </c>
      <c r="AL58" s="295" t="str">
        <f aca="false">IF($A58="N/A"," ",IF(OR(Dayrun&lt;=2,Dayrun&gt;=9),IF(Option=1,$K58-$H58,IF(Option=2,$H58-$K58)),0))</f>
        <v> </v>
      </c>
      <c r="AM58" s="295" t="str">
        <f aca="false">IF($A58="N/A"," ",IF(OR(Dayrun=1,Dayrun=4,Dayrun=5,Dayrun=7,Dayrun=8,Dayrun=10,Dayrun=11),IF(Option=1,$L58-H58,IF(Option=2,H58-$L58)),0))</f>
        <v> </v>
      </c>
      <c r="AN58" s="295" t="str">
        <f aca="false">IF($A58="N/A"," ",IF(OR(Dayrun=1,Dayrun=7,Dayrun=8,Dayrun=10,Dayrun=11),IF(Option=1,$M58-H58,IF(Option=2,H58-$M58)),0))</f>
        <v> </v>
      </c>
      <c r="AO58" s="295" t="str">
        <f aca="false">IF($A58="N/A"," ",IF(OR(Dayrun&lt;=2,Dayrun&gt;=9),IF(Option=1,$N58-$H58,IF(Option=2,$H58-$N58)),0))</f>
        <v> </v>
      </c>
      <c r="AP58" s="295" t="str">
        <f aca="false">IF($A58="N/A"," ",IF(OR(Dayrun=1,Dayrun=5,Dayrun=8,Dayrun=11),IF(Option=1,$O58-H58,IF(Option=2,H58-$O58)),0))</f>
        <v> </v>
      </c>
      <c r="AQ58" s="295" t="str">
        <f aca="false">IF($A58="N/A"," ",IF(OR(Dayrun=1,Dayrun=8,Dayrun=11),IF(Option=1,$P58-H58,IF(Option=2,H58-$P58)),0))</f>
        <v> </v>
      </c>
      <c r="AR58" s="296" t="str">
        <f aca="false">IF($A58="N/A"," ",IF(OR(Dayrun&lt;=2,Dayrun&gt;=9),IF(Option=1,$Q58-H58,IF(Option=2,H58-$Q58)),0))</f>
        <v> </v>
      </c>
      <c r="AS58" s="297" t="str">
        <f aca="false">IF($A58="N/A"," ",IF(VLOOKUP(MONTH($A58),ManualTable,2)=1,IF(Dayrun&gt;=3,$DE58*8*$CY58,0),0))</f>
        <v> </v>
      </c>
      <c r="AT58" s="297" t="str">
        <f aca="false">IF($A58="N/A"," ",IF(VLOOKUP(MONTH($A58),ManualTable,3)=1,IF(Dayrun&gt;=6,$DE58*8*$CY58,0),0))</f>
        <v> </v>
      </c>
      <c r="AU58" s="297" t="str">
        <f aca="false">IF($A58="N/A"," ",IF(VLOOKUP(MONTH($A58),ManualTable,4)=1,IF(OR(Dayrun&lt;=2,Dayrun&gt;=9),$DE58*8*$CY58,0),0))</f>
        <v> </v>
      </c>
      <c r="AV58" s="297" t="str">
        <f aca="false">IF($A58="N/A"," ",IF(VLOOKUP(MONTH($A58),ManualTable,5)=1,IF(OR(Dayrun=1,Dayrun=4,Dayrun=5,Dayrun=7,Dayrun=8,Dayrun=10,Dayrun=11),$DF58*8*$CY58,0),0))</f>
        <v> </v>
      </c>
      <c r="AW58" s="297" t="str">
        <f aca="false">IF($A58="N/A"," ",IF(VLOOKUP(MONTH($A58),ManualTable,6)=1,IF(OR(Dayrun=1,Dayrun=7,Dayrun=8,Dayrun=10,Dayrun=11),$DF58*8*$CY58,0),0))</f>
        <v> </v>
      </c>
      <c r="AX58" s="297" t="str">
        <f aca="false">IF($A58="N/A"," ",IF(VLOOKUP(MONTH($A58),ManualTable,7)=1,IF(OR(Dayrun&lt;=2,Dayrun&gt;=9),$DF58*8*$CY58,0),0))</f>
        <v> </v>
      </c>
      <c r="AY58" s="297" t="str">
        <f aca="false">IF($A58="N/A"," ",IF(VLOOKUP(MONTH($A58),ManualTable,8)=1,IF(OR(Dayrun=1,Dayrun=5,Dayrun=8,Dayrun=11),$DG58*8*$CY58,0),0))</f>
        <v> </v>
      </c>
      <c r="AZ58" s="297" t="str">
        <f aca="false">IF($A58="N/A"," ",IF(VLOOKUP(MONTH($A58),ManualTable,9)=1,IF(OR(Dayrun=1,Dayrun=8,Dayrun=11),$DG58*8*$CY58,0),0))</f>
        <v> </v>
      </c>
      <c r="BA58" s="298" t="str">
        <f aca="false">IF($A58="N/A"," ",IF(VLOOKUP(MONTH($A58),ManualTable,10)=1,IF(OR(Dayrun&lt;=2,Dayrun&gt;=9),$DG58*8*$CY58,0),0))</f>
        <v> </v>
      </c>
      <c r="BB58" s="299" t="str">
        <f aca="false">IF($A58="N/A"," ",IF(Dayrun&gt;=3,(MAX(0,(xSPRDOPT(I58,($E58-'Pricing Inputs'!$X93*$D58),$CV58,0,($CN58+IF(Smile=TRUE(),VLOOKUP(MAX(-5,$H58-I58),Volsmile,2),0)),$CT58,$CU58,($A58-DateToday)+15,ABS(Option-2),1)*DE58*8))),0))</f>
        <v> </v>
      </c>
      <c r="BC58" s="300" t="str">
        <f aca="false">IF($A58="N/A"," ",IF(Dayrun&gt;=6,MAX(0,(xSPRDOPT(J58,($E58-'Pricing Inputs'!$X93*$D58),$CV58,0,($CN58+IF(Smile=TRUE(),VLOOKUP(MAX(-5,$H58-J58),Volsmile,2),0)),$CT58,$CU58,($A58-DateToday)+15,ABS(Option-2),1)*DE58*8)),0))</f>
        <v> </v>
      </c>
      <c r="BD58" s="300" t="str">
        <f aca="false">IF($A58="N/A"," ",IF(OR(Dayrun&lt;=2,Dayrun&gt;=9),IF(OffPeakEx=TRUE(),MAX(0,(xSPRDOPT(K58,($E58-'Pricing Inputs'!$X93*$D58),$CV58,0,($CQ58+IF(Smile=TRUE(),VLOOKUP(MAX(-5,$H58-K58),Volsmile,2),0)),$CT58,$CU58,($A58-DateToday)+15,ABS(Option-2),1)*DE58*8)),0),0))</f>
        <v> </v>
      </c>
      <c r="BE58" s="300" t="str">
        <f aca="false">IF($A58="N/A"," ",IF(OR(Dayrun=1,Dayrun=4,Dayrun=5,Dayrun=7,Dayrun=8,Dayrun=10,Dayrun=11),MAX(0,(xSPRDOPT(L58,($E58-'Pricing Inputs'!$X93*$D58),$CV58,0,($CQ58+IF(Smile=TRUE(),VLOOKUP(MAX(-5,$H58-L58),Volsmile,2),0)),$CT58,$CU58,($A58-DateToday)+15,ABS(Option-2),1)*DF58*8)),0))</f>
        <v> </v>
      </c>
      <c r="BF58" s="300" t="str">
        <f aca="false">IF($A58="N/A"," ",IF(OR(Dayrun=1,Dayrun=7,Dayrun=8,Dayrun=10,Dayrun=11),MAX(0,(xSPRDOPT(M58,($E58-'Pricing Inputs'!$X93*$D58),$CV58,0,($CQ58+IF(Smile=TRUE(),VLOOKUP(MAX(-5,$H58-M58),Volsmile,2),0)),$CT58,$CU58,($A58-DateToday)+15,ABS(Option-2),1)*DF58*8)),0))</f>
        <v> </v>
      </c>
      <c r="BG58" s="300" t="str">
        <f aca="false">IF($A58="N/A"," ",IF(OR(Dayrun&lt;=2,Dayrun&gt;=10),IF(OffPeakEx=TRUE(),MAX(0,(xSPRDOPT(N58,($E58-'Pricing Inputs'!$X93*$D58),$CV58,0,($CQ58+IF(Smile=TRUE(),VLOOKUP(MAX(-5,$H58-N58),Volsmile,2),0)),$CT58,$CU58,($A58-DateToday)+15,ABS(Option-2),1)*DF58*8)),0),0))</f>
        <v> </v>
      </c>
      <c r="BH58" s="300" t="str">
        <f aca="false">IF($A58="N/A"," ",IF(OR(Dayrun=1,Dayrun=5,Dayrun=8,Dayrun=11),MAX(0,(xSPRDOPT(O58,($E58-'Pricing Inputs'!$X93*$D58),$CV58,0,($CQ58+IF(Smile=TRUE(),VLOOKUP(MAX(-5,$H58-O58),Volsmile,2),0)),$CT58,$CU58,($A58-DateToday)+15,ABS(Option-2),1)*DG58*8)),0))</f>
        <v> </v>
      </c>
      <c r="BI58" s="300" t="str">
        <f aca="false">IF($A58="N/A"," ",IF(OR(Dayrun=1,Dayrun=8,Dayrun=11),MAX(0,(xSPRDOPT(P58,($E58-'Pricing Inputs'!$X93*$D58),$CV58,0,($CQ58+IF(Smile=TRUE(),VLOOKUP(MAX(-5,$H58-P58),Volsmile,2),0)),$CT58,$CU58,($A58-DateToday)+15,ABS(Option-2),1)*DG58*8)),0))</f>
        <v> </v>
      </c>
      <c r="BJ58" s="301" t="str">
        <f aca="false">IF($A58="N/A"," ",IF(OR(Dayrun&lt;=2,Dayrun&gt;=11),IF(OffPeakEx=TRUE(),MAX(0,(xSPRDOPT(Q58,($E58-'Pricing Inputs'!$X93*$D58),$CV58,0,($CQ58+IF(Smile=TRUE(),VLOOKUP(MAX(-5,$H58-Q58),Volsmile,2),0)),$CT58,$CU58,($A58-DateToday)+15,ABS(Option-2),1)*DG58*8)),0),0))</f>
        <v> </v>
      </c>
      <c r="BK58" s="302" t="str">
        <f aca="false">IF($A58="N/A"," ",R58*$AS58)</f>
        <v> </v>
      </c>
      <c r="BL58" s="303" t="str">
        <f aca="false">IF($A58="N/A"," ",S58*$AT58)</f>
        <v> </v>
      </c>
      <c r="BM58" s="303" t="str">
        <f aca="false">IF($A58="N/A"," ",T58*$AU58)</f>
        <v> </v>
      </c>
      <c r="BN58" s="303" t="str">
        <f aca="false">IF($A58="N/A"," ",U58*$AV58)</f>
        <v> </v>
      </c>
      <c r="BO58" s="303" t="str">
        <f aca="false">IF($A58="N/A"," ",V58*$AW58)</f>
        <v> </v>
      </c>
      <c r="BP58" s="303" t="str">
        <f aca="false">IF($A58="N/A"," ",W58*$AX58)</f>
        <v> </v>
      </c>
      <c r="BQ58" s="303" t="str">
        <f aca="false">IF($A58="N/A"," ",X58*$AY58)</f>
        <v> </v>
      </c>
      <c r="BR58" s="303" t="str">
        <f aca="false">IF($A58="N/A"," ",Y58*$AZ58)</f>
        <v> </v>
      </c>
      <c r="BS58" s="304" t="str">
        <f aca="false">IF($A58="N/A"," ",Z58*$BA58)</f>
        <v> </v>
      </c>
      <c r="BT58" s="305" t="str">
        <f aca="false">IF($A58="N/A"," ",AA58*$AS58)</f>
        <v> </v>
      </c>
      <c r="BU58" s="306" t="str">
        <f aca="false">IF($A58="N/A"," ",AB58*$AT58)</f>
        <v> </v>
      </c>
      <c r="BV58" s="306" t="str">
        <f aca="false">IF($A58="N/A"," ",AC58*$AU58)</f>
        <v> </v>
      </c>
      <c r="BW58" s="306" t="str">
        <f aca="false">IF($A58="N/A"," ",AD58*$AV58)</f>
        <v> </v>
      </c>
      <c r="BX58" s="306" t="str">
        <f aca="false">IF($A58="N/A"," ",AE58*$AW58)</f>
        <v> </v>
      </c>
      <c r="BY58" s="306" t="str">
        <f aca="false">IF($A58="N/A"," ",AF58*$AX58)</f>
        <v> </v>
      </c>
      <c r="BZ58" s="306" t="str">
        <f aca="false">IF($A58="N/A"," ",AG58*$AY58)</f>
        <v> </v>
      </c>
      <c r="CA58" s="306" t="str">
        <f aca="false">IF($A58="N/A"," ",AH58*$AZ58)</f>
        <v> </v>
      </c>
      <c r="CB58" s="307" t="str">
        <f aca="false">IF($A58="N/A"," ",AI58*$BA58)</f>
        <v> </v>
      </c>
      <c r="CC58" s="308" t="str">
        <f aca="false">IF($A58="N/A"," ",AJ58*$AS58)</f>
        <v> </v>
      </c>
      <c r="CD58" s="309" t="str">
        <f aca="false">IF($A58="N/A"," ",AK58*$AT58)</f>
        <v> </v>
      </c>
      <c r="CE58" s="309" t="str">
        <f aca="false">IF($A58="N/A"," ",AL58*$AU58)</f>
        <v> </v>
      </c>
      <c r="CF58" s="309" t="str">
        <f aca="false">IF($A58="N/A"," ",AM58*$AV58)</f>
        <v> </v>
      </c>
      <c r="CG58" s="309" t="str">
        <f aca="false">IF($A58="N/A"," ",AN58*$AW58)</f>
        <v> </v>
      </c>
      <c r="CH58" s="309" t="str">
        <f aca="false">IF($A58="N/A"," ",AO58*$AX58)</f>
        <v> </v>
      </c>
      <c r="CI58" s="309" t="str">
        <f aca="false">IF($A58="N/A"," ",AP58*$AY58)</f>
        <v> </v>
      </c>
      <c r="CJ58" s="309" t="str">
        <f aca="false">IF($A58="N/A"," ",AQ58*$AZ58)</f>
        <v> </v>
      </c>
      <c r="CK58" s="310" t="str">
        <f aca="false">IF($A58="N/A"," ",AR58*$BA58)</f>
        <v> </v>
      </c>
      <c r="CL58" s="311" t="str">
        <f aca="false">IF(A58="N/A"," ",(VLOOKUP(A58,PowerVolTable,(IF(VolBMO=2,7,IF(VolBMO=1,6,8))),FALSE())))</f>
        <v> </v>
      </c>
      <c r="CM58" s="312" t="str">
        <f aca="false">IF(A58="N/A"," ",(VLOOKUP(A58,IntraPowerVol,(IF(VolBMO=2,3,IF(VolBMO=1,2,4))),FALSE())*VLOOKUP(MONTH($A58),Volscale,2)))</f>
        <v> </v>
      </c>
      <c r="CN58" s="312" t="str">
        <f aca="false">IF($A58="N/A"," ",IF(VolType=1,CM58,CL58))</f>
        <v> </v>
      </c>
      <c r="CO58" s="312" t="str">
        <f aca="false">IF($A58="N/A"," ",(VLOOKUP($A58,OffPeakVol,(IF(VolBMO=2,7,IF(VolBMO=1,6,8))),FALSE())))</f>
        <v> </v>
      </c>
      <c r="CP58" s="312" t="str">
        <f aca="false">IF($A58="N/A"," ",(VLOOKUP($A58,OffPeakVol,(IF(VolBMO=2,3,IF(VolBMO=1,2,4))),FALSE())*VLOOKUP(MONTH($A58),Volscale,2)))</f>
        <v> </v>
      </c>
      <c r="CQ58" s="312" t="str">
        <f aca="false">IF($A58="N/A"," ",IF(VolType=1,CP58,CO58))</f>
        <v> </v>
      </c>
      <c r="CR58" s="312" t="str">
        <f aca="false">IF($A58="N/A"," ",(VLOOKUP($A58,GasVolTable,(IF(VolBMO=2,6,IF(VolBMO=1,7,5))),FALSE())))</f>
        <v> </v>
      </c>
      <c r="CS58" s="312" t="str">
        <f aca="false">IF($A58="N/A"," ",(VLOOKUP($A58,OmicronVol,(IF(VolBMO=2,3,IF(VolBMO=1,4,2))),FALSE())))</f>
        <v> </v>
      </c>
      <c r="CT58" s="312" t="str">
        <f aca="false">IF($A58="N/A"," ",(IF(DateToday&gt;$A58,$CS58,IF(VolType=1,((($CR58^2)*((($A58-1)-DateToday)/((EOMONTH($A58,0)+1)-DateToday-15)))+((($CS58)^2)*((15)/((EOMONTH($A58,0)+1)-DateToday-15))))^0.5,CR58))))</f>
        <v> </v>
      </c>
      <c r="CU58" s="312" t="str">
        <f aca="false">IF($A58="N/A"," ",IF('Pricing Inputs'!$AR$23=TRUE(),Inputs!$S$22,VLOOKUP($A58,CorrelationTable,2,FALSE())))</f>
        <v> </v>
      </c>
      <c r="CV58" s="313" t="str">
        <f aca="false">IF($A58="N/A"," ",F58+G58+(D58*('Pricing Inputs'!X93)))</f>
        <v> </v>
      </c>
      <c r="CW58" s="314" t="str">
        <f aca="false">IF($A58="N/A"," ",IF(PV=1,0,'Pricing Inputs'!Y93))</f>
        <v> </v>
      </c>
      <c r="CX58" s="315" t="str">
        <f aca="false">IF($A58="N/A"," ",(1+CW58/2)^(-2*((EOMONTH(A58,0)+20)-DateToday)/365.25))</f>
        <v> </v>
      </c>
      <c r="CY58" s="316" t="str">
        <f aca="false">IF($A58="N/A"," ",(IF(MONTH(A58)&gt;=4,IF(MONTH(A58)&lt;=10,Inputs!$S$26,Inputs!$S$27),Inputs!$S$27))*$CX58)</f>
        <v> </v>
      </c>
      <c r="CZ58" s="317" t="str">
        <f aca="false">IF($A58="N/A"," ",BK58+BL58+BN58+BO58+BQ58+BR58)</f>
        <v> </v>
      </c>
      <c r="DA58" s="318" t="str">
        <f aca="false">IF($A58="N/A"," ",BM58+BP58+BS58)</f>
        <v> </v>
      </c>
      <c r="DB58" s="319" t="str">
        <f aca="false">IF($A58="N/A"," ",BT58+BU58+BW58+BX58+BZ58+CA58)</f>
        <v> </v>
      </c>
      <c r="DC58" s="319" t="str">
        <f aca="false">IF($A58="N/A"," ",BV58+BY58+CB58)</f>
        <v> </v>
      </c>
      <c r="DD58" s="320" t="str">
        <f aca="false">IF($A58="N/A"," ",SUM(CC58:CK58))</f>
        <v> </v>
      </c>
      <c r="DE58" s="321" t="str">
        <f aca="false">IF($A58="N/A"," ",VLOOKUP($A58,NumberofDaysTable,2)*Availability)</f>
        <v> </v>
      </c>
      <c r="DF58" s="94" t="str">
        <f aca="false">IF($A58="N/A"," ",VLOOKUP($A58,NumberofDaysTable,3)*Availability)</f>
        <v> </v>
      </c>
      <c r="DG58" s="322" t="str">
        <f aca="false">IF($A58="N/A"," ",VLOOKUP($A58,NumberofDaysTable,4)*Availability)</f>
        <v> </v>
      </c>
      <c r="DH58" s="323" t="str">
        <f aca="false">IF($A58="N/A"," ",IF(Option=1,$D58*Inputs!$S$15*SUM(AS58:BA58),0))</f>
        <v> </v>
      </c>
      <c r="DI58" s="324" t="str">
        <f aca="false">IF($A58="N/A"," ",IF(Option=1,$D58*Inputs!$S$16*SUM(AS58:BA58),0))</f>
        <v> </v>
      </c>
      <c r="DJ58" s="325" t="str">
        <f aca="false">IF($A58="N/A"," ",SUM(AS58:AT58))</f>
        <v> </v>
      </c>
      <c r="DK58" s="325" t="str">
        <f aca="false">IF($A58="N/A"," ",SUM(AU58:BA58))</f>
        <v> </v>
      </c>
      <c r="DL58" s="325" t="str">
        <f aca="false">IF($A58="N/A"," ",SUM(BB58:BC58))</f>
        <v> </v>
      </c>
      <c r="DM58" s="325" t="str">
        <f aca="false">IF($A58="N/A"," ",SUM(BD58:BJ58))</f>
        <v> </v>
      </c>
    </row>
    <row r="59" customFormat="false" ht="12.75" hidden="false" customHeight="false" outlineLevel="0" collapsed="false">
      <c r="A59" s="282" t="str">
        <f aca="false">IF(A58="N/A","N/A",IF(EDATE(A58,1)&gt;Inputs!$S$5,"N/A",EDATE(A58,1)))</f>
        <v>N/A</v>
      </c>
      <c r="B59" s="283" t="str">
        <f aca="false">IF(A59="N/A"," ",YEAR(A59))</f>
        <v> </v>
      </c>
      <c r="C59" s="284" t="str">
        <f aca="false">IF(A59="N/A"," ",VLOOKUP(A59,ScaledPrice,14))</f>
        <v> </v>
      </c>
      <c r="D59" s="285" t="str">
        <f aca="false">IF(A59="N/A"," ",(VLOOKUP(MONTH($A59),Hrtable,2))/1000)</f>
        <v> </v>
      </c>
      <c r="E59" s="286" t="str">
        <f aca="false">IF($A59="N/A"," ",(C59)*D59)</f>
        <v> </v>
      </c>
      <c r="F59" s="287" t="str">
        <f aca="false">IF(A59="N/A"," ",VOM*(1+VOMesc)^(YEAR(A59)-YEAR(Today)))</f>
        <v> </v>
      </c>
      <c r="G59" s="287" t="str">
        <f aca="false">IF(A59="N/A"," ",Perstart/VLOOKUP(Dayrun,'Pricing Inputs'!$AQ$4:$AS$14,3)/(CY59/CX59))</f>
        <v> </v>
      </c>
      <c r="H59" s="288" t="str">
        <f aca="false">IF(A59="N/A"," ",SUM(E59:G59))</f>
        <v> </v>
      </c>
      <c r="I59" s="289" t="str">
        <f aca="false">VLOOKUP($A59,ScaledPrice,6)</f>
        <v> </v>
      </c>
      <c r="J59" s="290" t="str">
        <f aca="false">VLOOKUP($A59,ScaledPrice,10)</f>
        <v> </v>
      </c>
      <c r="K59" s="290" t="str">
        <f aca="false">VLOOKUP($A59,ScaledPrice,13)</f>
        <v> </v>
      </c>
      <c r="L59" s="290" t="str">
        <f aca="false">VLOOKUP($A59,ScaledPrice,7)</f>
        <v> </v>
      </c>
      <c r="M59" s="290" t="str">
        <f aca="false">VLOOKUP($A59,ScaledPrice,11)</f>
        <v> </v>
      </c>
      <c r="N59" s="290" t="str">
        <f aca="false">VLOOKUP($A59,ScaledPrice,13)</f>
        <v> </v>
      </c>
      <c r="O59" s="290" t="str">
        <f aca="false">VLOOKUP($A59,ScaledPrice,8)</f>
        <v> </v>
      </c>
      <c r="P59" s="290" t="str">
        <f aca="false">VLOOKUP($A59,ScaledPrice,12)</f>
        <v> </v>
      </c>
      <c r="Q59" s="291" t="str">
        <f aca="false">VLOOKUP($A59,ScaledPrice,13)</f>
        <v> </v>
      </c>
      <c r="R59" s="292" t="str">
        <f aca="false">IF($A59="N/A"," ",IF(Dayrun&gt;=3,IF(Option=1,MAX($I59-$H59,0),IF(Option=2,MAX($H59-$I59,0),0)),0))</f>
        <v> </v>
      </c>
      <c r="S59" s="286" t="str">
        <f aca="false">IF($A59="N/A"," ",IF(Dayrun&gt;=6,IF(Option=1,MAX($J59-H59,0),IF(Option=2,MAX(H59-$J59,0),0)),0))</f>
        <v> </v>
      </c>
      <c r="T59" s="286" t="str">
        <f aca="false">IF($A59="N/A"," ",IF(OR(Dayrun&lt;=2,Dayrun&gt;=9),IF(Option=1,MAX($K59-$H59,0),IF(Option=2,MAX($H59-$K59,0),0)),0))</f>
        <v> </v>
      </c>
      <c r="U59" s="286" t="str">
        <f aca="false">IF($A59="N/A"," ",IF(OR(Dayrun=1,Dayrun=4,Dayrun=5,Dayrun=7,Dayrun=8,Dayrun=10,Dayrun=11),IF(Option=1,MAX($L59-H59,0),IF(Option=2,MAX(H59-$L59,0),0)),0))</f>
        <v> </v>
      </c>
      <c r="V59" s="286" t="str">
        <f aca="false">IF($A59="N/A"," ",IF(OR(Dayrun=1,Dayrun=7,Dayrun=8,Dayrun=10,Dayrun=11),IF(Option=1,MAX($M59-H59,0),IF(Option=2,MAX(H59-$M59,0),0)),0))</f>
        <v> </v>
      </c>
      <c r="W59" s="286" t="str">
        <f aca="false">IF($A59="N/A"," ",IF(OR(Dayrun&lt;=2,Dayrun&gt;=10),IF(Option=1,MAX($N59-$H59,0),IF(Option=2,MAX($H59-$N59,0),0)),0))</f>
        <v> </v>
      </c>
      <c r="X59" s="286" t="str">
        <f aca="false">IF($A59="N/A"," ",IF(OR(Dayrun=1,Dayrun=5,Dayrun=8,Dayrun=11),IF(Option=1,MAX($O59-H59,0),IF(Option=2,MAX(H59-$O59,0),0)),0))</f>
        <v> </v>
      </c>
      <c r="Y59" s="286" t="str">
        <f aca="false">IF($A59="N/A"," ",IF(OR(Dayrun=1,Dayrun=8,Dayrun=11),IF(Option=1,MAX($P59-H59,0),IF(Option=2,MAX(H59-$P59,0),0)),0))</f>
        <v> </v>
      </c>
      <c r="Z59" s="293" t="str">
        <f aca="false">IF($A59="N/A"," ",IF(OR(Dayrun&lt;=2,Dayrun&gt;=11),IF(Option=1,MAX($Q59-$H59,0),IF(Option=2,MAX($H59-$Q59,0),0)),0))</f>
        <v> </v>
      </c>
      <c r="AA59" s="289" t="str">
        <f aca="false">IF($A59="N/A"," ",IF(Dayrun&gt;=3,(MAX(0,(xSPRDOPT(I59,($E59-'Pricing Inputs'!$X94*$D59),$CV59,0,($CN59+IF(Smile=TRUE(),VLOOKUP(MAX(-5,$H59-I59),Volsmile,2),0)),$CT59,$CU59,($A59-DateToday)+15,ABS(Option-2),0)-R59))),0))</f>
        <v> </v>
      </c>
      <c r="AB59" s="290" t="str">
        <f aca="false">IF($A59="N/A"," ",IF(Dayrun&gt;=6,MAX(0,(xSPRDOPT(J59,($E59-'Pricing Inputs'!$X94*$D59),$CV59,0,($CN59+IF(Smile=TRUE(),VLOOKUP(MAX(-5,$H59-J59),Volsmile,2),0)),$CT59,$CU59,($A59-DateToday)+15,ABS(Option-2),0)-S59)),0))</f>
        <v> </v>
      </c>
      <c r="AC59" s="290" t="str">
        <f aca="false">IF($A59="N/A"," ",IF(OR(Dayrun&lt;=2,Dayrun&gt;=9),IF(OffPeakEx=TRUE(),MAX(0,(xSPRDOPT(K59,($E59-'Pricing Inputs'!$X94*$D59),$CV59,0,($CQ59+IF(Smile=TRUE(),VLOOKUP(MAX(-5,$H59-K59),Volsmile,2),0)),$CT59,$CU59,($A59-DateToday)+15,ABS(Option-2),0)-T59)),0),0))</f>
        <v> </v>
      </c>
      <c r="AD59" s="290" t="str">
        <f aca="false">IF($A59="N/A"," ",IF(OR(Dayrun=1,Dayrun=4,Dayrun=5,Dayrun=7,Dayrun=8,Dayrun=10,Dayrun=11),MAX(0,(xSPRDOPT(L59,($E59-'Pricing Inputs'!$X94*$D59),$CV59,0,($CQ59+IF(Smile=TRUE(),VLOOKUP(MAX(-5,$H59-L59),Volsmile,2),0)),$CT59,$CU59,($A59-DateToday)+15,ABS(Option-2),0)-U59)),0))</f>
        <v> </v>
      </c>
      <c r="AE59" s="290" t="str">
        <f aca="false">IF($A59="N/A"," ",IF(OR(Dayrun=1,Dayrun=7,Dayrun=8,Dayrun=10,Dayrun=11),MAX(0,(xSPRDOPT(M59,($E59-'Pricing Inputs'!$X94*$D59),$CV59,0,($CQ59+IF(Smile=TRUE(),VLOOKUP(MAX(-5,$H59-M59),Volsmile,2),0)),$CT59,$CU59,($A59-DateToday)+15,ABS(Option-2),0)-V59)),0))</f>
        <v> </v>
      </c>
      <c r="AF59" s="290" t="str">
        <f aca="false">IF($A59="N/A"," ",IF(OR(Dayrun&lt;=2,Dayrun&gt;=10),IF(OffPeakEx=TRUE(),MAX(0,(xSPRDOPT(N59,($E59-'Pricing Inputs'!$X94*$D59),$CV59,0,($CQ59+IF(Smile=TRUE(),VLOOKUP(MAX(-5,$H59-N59),Volsmile,2),0)),$CT59,$CU59,($A59-DateToday)+15,ABS(Option-2),0)-W59)),0),0))</f>
        <v> </v>
      </c>
      <c r="AG59" s="290" t="str">
        <f aca="false">IF($A59="N/A"," ",IF(OR(Dayrun=1,Dayrun=5,Dayrun=8,Dayrun=11),MAX(0,(xSPRDOPT(O59,($E59-'Pricing Inputs'!$X94*$D59),$CV59,0,($CQ59+IF(Smile=TRUE(),VLOOKUP(MAX(-5,$H59-O59),Volsmile,2),0)),$CT59,$CU59,($A59-DateToday)+15,ABS(Option-2),0)-X59)),0))</f>
        <v> </v>
      </c>
      <c r="AH59" s="290" t="str">
        <f aca="false">IF($A59="N/A"," ",IF(OR(Dayrun=1,Dayrun=8,Dayrun=11),MAX(0,(xSPRDOPT(P59,($E59-'Pricing Inputs'!$X94*$D59),$CV59,0,($CQ59+IF(Smile=TRUE(),VLOOKUP(MAX(-5,$H59-P59),Volsmile,2),0)),$CT59,$CU59,($A59-DateToday)+15,ABS(Option-2),0)-Y59)),0))</f>
        <v> </v>
      </c>
      <c r="AI59" s="290" t="str">
        <f aca="false">IF($A59="N/A"," ",IF(OR(Dayrun&lt;=2,Dayrun&gt;=11),IF(OffPeakEx=TRUE(),MAX(0,(xSPRDOPT(Q59,($E59-'Pricing Inputs'!$X94*$D59),$CV59,0,($CQ59+IF(Smile=TRUE(),VLOOKUP(MAX(-5,$H59-Q59),Volsmile,2),0)),$CT59,$CU59,($A59-DateToday)+15,ABS(Option-2),0)-Z59)),0),0))</f>
        <v> </v>
      </c>
      <c r="AJ59" s="294" t="str">
        <f aca="false">IF($A59="N/A"," ",IF(Dayrun&gt;=3,IF(Option=1,$I59-$H59,IF(Option=2,$H59-$I59)),0))</f>
        <v> </v>
      </c>
      <c r="AK59" s="295" t="str">
        <f aca="false">IF($A59="N/A"," ",IF(Dayrun&gt;=6,IF(Option=1,$J59-H59,IF(Option=2,H59-$J59)),0))</f>
        <v> </v>
      </c>
      <c r="AL59" s="295" t="str">
        <f aca="false">IF($A59="N/A"," ",IF(OR(Dayrun&lt;=2,Dayrun&gt;=9),IF(Option=1,$K59-$H59,IF(Option=2,$H59-$K59)),0))</f>
        <v> </v>
      </c>
      <c r="AM59" s="295" t="str">
        <f aca="false">IF($A59="N/A"," ",IF(OR(Dayrun=1,Dayrun=4,Dayrun=5,Dayrun=7,Dayrun=8,Dayrun=10,Dayrun=11),IF(Option=1,$L59-H59,IF(Option=2,H59-$L59)),0))</f>
        <v> </v>
      </c>
      <c r="AN59" s="295" t="str">
        <f aca="false">IF($A59="N/A"," ",IF(OR(Dayrun=1,Dayrun=7,Dayrun=8,Dayrun=10,Dayrun=11),IF(Option=1,$M59-H59,IF(Option=2,H59-$M59)),0))</f>
        <v> </v>
      </c>
      <c r="AO59" s="295" t="str">
        <f aca="false">IF($A59="N/A"," ",IF(OR(Dayrun&lt;=2,Dayrun&gt;=9),IF(Option=1,$N59-$H59,IF(Option=2,$H59-$N59)),0))</f>
        <v> </v>
      </c>
      <c r="AP59" s="295" t="str">
        <f aca="false">IF($A59="N/A"," ",IF(OR(Dayrun=1,Dayrun=5,Dayrun=8,Dayrun=11),IF(Option=1,$O59-H59,IF(Option=2,H59-$O59)),0))</f>
        <v> </v>
      </c>
      <c r="AQ59" s="295" t="str">
        <f aca="false">IF($A59="N/A"," ",IF(OR(Dayrun=1,Dayrun=8,Dayrun=11),IF(Option=1,$P59-H59,IF(Option=2,H59-$P59)),0))</f>
        <v> </v>
      </c>
      <c r="AR59" s="296" t="str">
        <f aca="false">IF($A59="N/A"," ",IF(OR(Dayrun&lt;=2,Dayrun&gt;=9),IF(Option=1,$Q59-H59,IF(Option=2,H59-$Q59)),0))</f>
        <v> </v>
      </c>
      <c r="AS59" s="297" t="str">
        <f aca="false">IF($A59="N/A"," ",IF(VLOOKUP(MONTH($A59),ManualTable,2)=1,IF(Dayrun&gt;=3,$DE59*8*$CY59,0),0))</f>
        <v> </v>
      </c>
      <c r="AT59" s="297" t="str">
        <f aca="false">IF($A59="N/A"," ",IF(VLOOKUP(MONTH($A59),ManualTable,3)=1,IF(Dayrun&gt;=6,$DE59*8*$CY59,0),0))</f>
        <v> </v>
      </c>
      <c r="AU59" s="297" t="str">
        <f aca="false">IF($A59="N/A"," ",IF(VLOOKUP(MONTH($A59),ManualTable,4)=1,IF(OR(Dayrun&lt;=2,Dayrun&gt;=9),$DE59*8*$CY59,0),0))</f>
        <v> </v>
      </c>
      <c r="AV59" s="297" t="str">
        <f aca="false">IF($A59="N/A"," ",IF(VLOOKUP(MONTH($A59),ManualTable,5)=1,IF(OR(Dayrun=1,Dayrun=4,Dayrun=5,Dayrun=7,Dayrun=8,Dayrun=10,Dayrun=11),$DF59*8*$CY59,0),0))</f>
        <v> </v>
      </c>
      <c r="AW59" s="297" t="str">
        <f aca="false">IF($A59="N/A"," ",IF(VLOOKUP(MONTH($A59),ManualTable,6)=1,IF(OR(Dayrun=1,Dayrun=7,Dayrun=8,Dayrun=10,Dayrun=11),$DF59*8*$CY59,0),0))</f>
        <v> </v>
      </c>
      <c r="AX59" s="297" t="str">
        <f aca="false">IF($A59="N/A"," ",IF(VLOOKUP(MONTH($A59),ManualTable,7)=1,IF(OR(Dayrun&lt;=2,Dayrun&gt;=9),$DF59*8*$CY59,0),0))</f>
        <v> </v>
      </c>
      <c r="AY59" s="297" t="str">
        <f aca="false">IF($A59="N/A"," ",IF(VLOOKUP(MONTH($A59),ManualTable,8)=1,IF(OR(Dayrun=1,Dayrun=5,Dayrun=8,Dayrun=11),$DG59*8*$CY59,0),0))</f>
        <v> </v>
      </c>
      <c r="AZ59" s="297" t="str">
        <f aca="false">IF($A59="N/A"," ",IF(VLOOKUP(MONTH($A59),ManualTable,9)=1,IF(OR(Dayrun=1,Dayrun=8,Dayrun=11),$DG59*8*$CY59,0),0))</f>
        <v> </v>
      </c>
      <c r="BA59" s="298" t="str">
        <f aca="false">IF($A59="N/A"," ",IF(VLOOKUP(MONTH($A59),ManualTable,10)=1,IF(OR(Dayrun&lt;=2,Dayrun&gt;=9),$DG59*8*$CY59,0),0))</f>
        <v> </v>
      </c>
      <c r="BB59" s="299" t="str">
        <f aca="false">IF($A59="N/A"," ",IF(Dayrun&gt;=3,(MAX(0,(xSPRDOPT(I59,($E59-'Pricing Inputs'!$X94*$D59),$CV59,0,($CN59+IF(Smile=TRUE(),VLOOKUP(MAX(-5,$H59-I59),Volsmile,2),0)),$CT59,$CU59,($A59-DateToday)+15,ABS(Option-2),1)*DE59*8))),0))</f>
        <v> </v>
      </c>
      <c r="BC59" s="300" t="str">
        <f aca="false">IF($A59="N/A"," ",IF(Dayrun&gt;=6,MAX(0,(xSPRDOPT(J59,($E59-'Pricing Inputs'!$X94*$D59),$CV59,0,($CN59+IF(Smile=TRUE(),VLOOKUP(MAX(-5,$H59-J59),Volsmile,2),0)),$CT59,$CU59,($A59-DateToday)+15,ABS(Option-2),1)*DE59*8)),0))</f>
        <v> </v>
      </c>
      <c r="BD59" s="300" t="str">
        <f aca="false">IF($A59="N/A"," ",IF(OR(Dayrun&lt;=2,Dayrun&gt;=9),IF(OffPeakEx=TRUE(),MAX(0,(xSPRDOPT(K59,($E59-'Pricing Inputs'!$X94*$D59),$CV59,0,($CQ59+IF(Smile=TRUE(),VLOOKUP(MAX(-5,$H59-K59),Volsmile,2),0)),$CT59,$CU59,($A59-DateToday)+15,ABS(Option-2),1)*DE59*8)),0),0))</f>
        <v> </v>
      </c>
      <c r="BE59" s="300" t="str">
        <f aca="false">IF($A59="N/A"," ",IF(OR(Dayrun=1,Dayrun=4,Dayrun=5,Dayrun=7,Dayrun=8,Dayrun=10,Dayrun=11),MAX(0,(xSPRDOPT(L59,($E59-'Pricing Inputs'!$X94*$D59),$CV59,0,($CQ59+IF(Smile=TRUE(),VLOOKUP(MAX(-5,$H59-L59),Volsmile,2),0)),$CT59,$CU59,($A59-DateToday)+15,ABS(Option-2),1)*DF59*8)),0))</f>
        <v> </v>
      </c>
      <c r="BF59" s="300" t="str">
        <f aca="false">IF($A59="N/A"," ",IF(OR(Dayrun=1,Dayrun=7,Dayrun=8,Dayrun=10,Dayrun=11),MAX(0,(xSPRDOPT(M59,($E59-'Pricing Inputs'!$X94*$D59),$CV59,0,($CQ59+IF(Smile=TRUE(),VLOOKUP(MAX(-5,$H59-M59),Volsmile,2),0)),$CT59,$CU59,($A59-DateToday)+15,ABS(Option-2),1)*DF59*8)),0))</f>
        <v> </v>
      </c>
      <c r="BG59" s="300" t="str">
        <f aca="false">IF($A59="N/A"," ",IF(OR(Dayrun&lt;=2,Dayrun&gt;=10),IF(OffPeakEx=TRUE(),MAX(0,(xSPRDOPT(N59,($E59-'Pricing Inputs'!$X94*$D59),$CV59,0,($CQ59+IF(Smile=TRUE(),VLOOKUP(MAX(-5,$H59-N59),Volsmile,2),0)),$CT59,$CU59,($A59-DateToday)+15,ABS(Option-2),1)*DF59*8)),0),0))</f>
        <v> </v>
      </c>
      <c r="BH59" s="300" t="str">
        <f aca="false">IF($A59="N/A"," ",IF(OR(Dayrun=1,Dayrun=5,Dayrun=8,Dayrun=11),MAX(0,(xSPRDOPT(O59,($E59-'Pricing Inputs'!$X94*$D59),$CV59,0,($CQ59+IF(Smile=TRUE(),VLOOKUP(MAX(-5,$H59-O59),Volsmile,2),0)),$CT59,$CU59,($A59-DateToday)+15,ABS(Option-2),1)*DG59*8)),0))</f>
        <v> </v>
      </c>
      <c r="BI59" s="300" t="str">
        <f aca="false">IF($A59="N/A"," ",IF(OR(Dayrun=1,Dayrun=8,Dayrun=11),MAX(0,(xSPRDOPT(P59,($E59-'Pricing Inputs'!$X94*$D59),$CV59,0,($CQ59+IF(Smile=TRUE(),VLOOKUP(MAX(-5,$H59-P59),Volsmile,2),0)),$CT59,$CU59,($A59-DateToday)+15,ABS(Option-2),1)*DG59*8)),0))</f>
        <v> </v>
      </c>
      <c r="BJ59" s="301" t="str">
        <f aca="false">IF($A59="N/A"," ",IF(OR(Dayrun&lt;=2,Dayrun&gt;=11),IF(OffPeakEx=TRUE(),MAX(0,(xSPRDOPT(Q59,($E59-'Pricing Inputs'!$X94*$D59),$CV59,0,($CQ59+IF(Smile=TRUE(),VLOOKUP(MAX(-5,$H59-Q59),Volsmile,2),0)),$CT59,$CU59,($A59-DateToday)+15,ABS(Option-2),1)*DG59*8)),0),0))</f>
        <v> </v>
      </c>
      <c r="BK59" s="302" t="str">
        <f aca="false">IF($A59="N/A"," ",R59*$AS59)</f>
        <v> </v>
      </c>
      <c r="BL59" s="303" t="str">
        <f aca="false">IF($A59="N/A"," ",S59*$AT59)</f>
        <v> </v>
      </c>
      <c r="BM59" s="303" t="str">
        <f aca="false">IF($A59="N/A"," ",T59*$AU59)</f>
        <v> </v>
      </c>
      <c r="BN59" s="303" t="str">
        <f aca="false">IF($A59="N/A"," ",U59*$AV59)</f>
        <v> </v>
      </c>
      <c r="BO59" s="303" t="str">
        <f aca="false">IF($A59="N/A"," ",V59*$AW59)</f>
        <v> </v>
      </c>
      <c r="BP59" s="303" t="str">
        <f aca="false">IF($A59="N/A"," ",W59*$AX59)</f>
        <v> </v>
      </c>
      <c r="BQ59" s="303" t="str">
        <f aca="false">IF($A59="N/A"," ",X59*$AY59)</f>
        <v> </v>
      </c>
      <c r="BR59" s="303" t="str">
        <f aca="false">IF($A59="N/A"," ",Y59*$AZ59)</f>
        <v> </v>
      </c>
      <c r="BS59" s="304" t="str">
        <f aca="false">IF($A59="N/A"," ",Z59*$BA59)</f>
        <v> </v>
      </c>
      <c r="BT59" s="305" t="str">
        <f aca="false">IF($A59="N/A"," ",AA59*$AS59)</f>
        <v> </v>
      </c>
      <c r="BU59" s="306" t="str">
        <f aca="false">IF($A59="N/A"," ",AB59*$AT59)</f>
        <v> </v>
      </c>
      <c r="BV59" s="306" t="str">
        <f aca="false">IF($A59="N/A"," ",AC59*$AU59)</f>
        <v> </v>
      </c>
      <c r="BW59" s="306" t="str">
        <f aca="false">IF($A59="N/A"," ",AD59*$AV59)</f>
        <v> </v>
      </c>
      <c r="BX59" s="306" t="str">
        <f aca="false">IF($A59="N/A"," ",AE59*$AW59)</f>
        <v> </v>
      </c>
      <c r="BY59" s="306" t="str">
        <f aca="false">IF($A59="N/A"," ",AF59*$AX59)</f>
        <v> </v>
      </c>
      <c r="BZ59" s="306" t="str">
        <f aca="false">IF($A59="N/A"," ",AG59*$AY59)</f>
        <v> </v>
      </c>
      <c r="CA59" s="306" t="str">
        <f aca="false">IF($A59="N/A"," ",AH59*$AZ59)</f>
        <v> </v>
      </c>
      <c r="CB59" s="307" t="str">
        <f aca="false">IF($A59="N/A"," ",AI59*$BA59)</f>
        <v> </v>
      </c>
      <c r="CC59" s="308" t="str">
        <f aca="false">IF($A59="N/A"," ",AJ59*$AS59)</f>
        <v> </v>
      </c>
      <c r="CD59" s="309" t="str">
        <f aca="false">IF($A59="N/A"," ",AK59*$AT59)</f>
        <v> </v>
      </c>
      <c r="CE59" s="309" t="str">
        <f aca="false">IF($A59="N/A"," ",AL59*$AU59)</f>
        <v> </v>
      </c>
      <c r="CF59" s="309" t="str">
        <f aca="false">IF($A59="N/A"," ",AM59*$AV59)</f>
        <v> </v>
      </c>
      <c r="CG59" s="309" t="str">
        <f aca="false">IF($A59="N/A"," ",AN59*$AW59)</f>
        <v> </v>
      </c>
      <c r="CH59" s="309" t="str">
        <f aca="false">IF($A59="N/A"," ",AO59*$AX59)</f>
        <v> </v>
      </c>
      <c r="CI59" s="309" t="str">
        <f aca="false">IF($A59="N/A"," ",AP59*$AY59)</f>
        <v> </v>
      </c>
      <c r="CJ59" s="309" t="str">
        <f aca="false">IF($A59="N/A"," ",AQ59*$AZ59)</f>
        <v> </v>
      </c>
      <c r="CK59" s="310" t="str">
        <f aca="false">IF($A59="N/A"," ",AR59*$BA59)</f>
        <v> </v>
      </c>
      <c r="CL59" s="311" t="str">
        <f aca="false">IF(A59="N/A"," ",(VLOOKUP(A59,PowerVolTable,(IF(VolBMO=2,7,IF(VolBMO=1,6,8))),FALSE())))</f>
        <v> </v>
      </c>
      <c r="CM59" s="312" t="str">
        <f aca="false">IF(A59="N/A"," ",(VLOOKUP(A59,IntraPowerVol,(IF(VolBMO=2,3,IF(VolBMO=1,2,4))),FALSE())*VLOOKUP(MONTH($A59),Volscale,2)))</f>
        <v> </v>
      </c>
      <c r="CN59" s="312" t="str">
        <f aca="false">IF($A59="N/A"," ",IF(VolType=1,CM59,CL59))</f>
        <v> </v>
      </c>
      <c r="CO59" s="312" t="str">
        <f aca="false">IF($A59="N/A"," ",(VLOOKUP($A59,OffPeakVol,(IF(VolBMO=2,7,IF(VolBMO=1,6,8))),FALSE())))</f>
        <v> </v>
      </c>
      <c r="CP59" s="312" t="str">
        <f aca="false">IF($A59="N/A"," ",(VLOOKUP($A59,OffPeakVol,(IF(VolBMO=2,3,IF(VolBMO=1,2,4))),FALSE())*VLOOKUP(MONTH($A59),Volscale,2)))</f>
        <v> </v>
      </c>
      <c r="CQ59" s="312" t="str">
        <f aca="false">IF($A59="N/A"," ",IF(VolType=1,CP59,CO59))</f>
        <v> </v>
      </c>
      <c r="CR59" s="312" t="str">
        <f aca="false">IF($A59="N/A"," ",(VLOOKUP($A59,GasVolTable,(IF(VolBMO=2,6,IF(VolBMO=1,7,5))),FALSE())))</f>
        <v> </v>
      </c>
      <c r="CS59" s="312" t="str">
        <f aca="false">IF($A59="N/A"," ",(VLOOKUP($A59,OmicronVol,(IF(VolBMO=2,3,IF(VolBMO=1,4,2))),FALSE())))</f>
        <v> </v>
      </c>
      <c r="CT59" s="312" t="str">
        <f aca="false">IF($A59="N/A"," ",(IF(DateToday&gt;$A59,$CS59,IF(VolType=1,((($CR59^2)*((($A59-1)-DateToday)/((EOMONTH($A59,0)+1)-DateToday-15)))+((($CS59)^2)*((15)/((EOMONTH($A59,0)+1)-DateToday-15))))^0.5,CR59))))</f>
        <v> </v>
      </c>
      <c r="CU59" s="312" t="str">
        <f aca="false">IF($A59="N/A"," ",IF('Pricing Inputs'!$AR$23=TRUE(),Inputs!$S$22,VLOOKUP($A59,CorrelationTable,2,FALSE())))</f>
        <v> </v>
      </c>
      <c r="CV59" s="313" t="str">
        <f aca="false">IF($A59="N/A"," ",F59+G59+(D59*('Pricing Inputs'!X94)))</f>
        <v> </v>
      </c>
      <c r="CW59" s="314" t="str">
        <f aca="false">IF($A59="N/A"," ",IF(PV=1,0,'Pricing Inputs'!Y94))</f>
        <v> </v>
      </c>
      <c r="CX59" s="315" t="str">
        <f aca="false">IF($A59="N/A"," ",(1+CW59/2)^(-2*((EOMONTH(A59,0)+20)-DateToday)/365.25))</f>
        <v> </v>
      </c>
      <c r="CY59" s="316" t="str">
        <f aca="false">IF($A59="N/A"," ",(IF(MONTH(A59)&gt;=4,IF(MONTH(A59)&lt;=10,Inputs!$S$26,Inputs!$S$27),Inputs!$S$27))*$CX59)</f>
        <v> </v>
      </c>
      <c r="CZ59" s="317" t="str">
        <f aca="false">IF($A59="N/A"," ",BK59+BL59+BN59+BO59+BQ59+BR59)</f>
        <v> </v>
      </c>
      <c r="DA59" s="318" t="str">
        <f aca="false">IF($A59="N/A"," ",BM59+BP59+BS59)</f>
        <v> </v>
      </c>
      <c r="DB59" s="319" t="str">
        <f aca="false">IF($A59="N/A"," ",BT59+BU59+BW59+BX59+BZ59+CA59)</f>
        <v> </v>
      </c>
      <c r="DC59" s="319" t="str">
        <f aca="false">IF($A59="N/A"," ",BV59+BY59+CB59)</f>
        <v> </v>
      </c>
      <c r="DD59" s="320" t="str">
        <f aca="false">IF($A59="N/A"," ",SUM(CC59:CK59))</f>
        <v> </v>
      </c>
      <c r="DE59" s="321" t="str">
        <f aca="false">IF($A59="N/A"," ",VLOOKUP($A59,NumberofDaysTable,2)*Availability)</f>
        <v> </v>
      </c>
      <c r="DF59" s="94" t="str">
        <f aca="false">IF($A59="N/A"," ",VLOOKUP($A59,NumberofDaysTable,3)*Availability)</f>
        <v> </v>
      </c>
      <c r="DG59" s="322" t="str">
        <f aca="false">IF($A59="N/A"," ",VLOOKUP($A59,NumberofDaysTable,4)*Availability)</f>
        <v> </v>
      </c>
      <c r="DH59" s="323" t="str">
        <f aca="false">IF($A59="N/A"," ",IF(Option=1,$D59*Inputs!$S$15*SUM(AS59:BA59),0))</f>
        <v> </v>
      </c>
      <c r="DI59" s="324" t="str">
        <f aca="false">IF($A59="N/A"," ",IF(Option=1,$D59*Inputs!$S$16*SUM(AS59:BA59),0))</f>
        <v> </v>
      </c>
      <c r="DJ59" s="325" t="str">
        <f aca="false">IF($A59="N/A"," ",SUM(AS59:AT59))</f>
        <v> </v>
      </c>
      <c r="DK59" s="325" t="str">
        <f aca="false">IF($A59="N/A"," ",SUM(AU59:BA59))</f>
        <v> </v>
      </c>
      <c r="DL59" s="325" t="str">
        <f aca="false">IF($A59="N/A"," ",SUM(BB59:BC59))</f>
        <v> </v>
      </c>
      <c r="DM59" s="325" t="str">
        <f aca="false">IF($A59="N/A"," ",SUM(BD59:BJ59))</f>
        <v> </v>
      </c>
    </row>
    <row r="60" customFormat="false" ht="12.75" hidden="false" customHeight="false" outlineLevel="0" collapsed="false">
      <c r="A60" s="282" t="str">
        <f aca="false">IF(A59="N/A","N/A",IF(EDATE(A59,1)&gt;Inputs!$S$5,"N/A",EDATE(A59,1)))</f>
        <v>N/A</v>
      </c>
      <c r="B60" s="283" t="str">
        <f aca="false">IF(A60="N/A"," ",YEAR(A60))</f>
        <v> </v>
      </c>
      <c r="C60" s="284" t="str">
        <f aca="false">IF(A60="N/A"," ",VLOOKUP(A60,ScaledPrice,14))</f>
        <v> </v>
      </c>
      <c r="D60" s="285" t="str">
        <f aca="false">IF(A60="N/A"," ",(VLOOKUP(MONTH($A60),Hrtable,2))/1000)</f>
        <v> </v>
      </c>
      <c r="E60" s="286" t="str">
        <f aca="false">IF($A60="N/A"," ",(C60)*D60)</f>
        <v> </v>
      </c>
      <c r="F60" s="287" t="str">
        <f aca="false">IF(A60="N/A"," ",VOM*(1+VOMesc)^(YEAR(A60)-YEAR(Today)))</f>
        <v> </v>
      </c>
      <c r="G60" s="287" t="str">
        <f aca="false">IF(A60="N/A"," ",Perstart/VLOOKUP(Dayrun,'Pricing Inputs'!$AQ$4:$AS$14,3)/(CY60/CX60))</f>
        <v> </v>
      </c>
      <c r="H60" s="288" t="str">
        <f aca="false">IF(A60="N/A"," ",SUM(E60:G60))</f>
        <v> </v>
      </c>
      <c r="I60" s="289" t="str">
        <f aca="false">VLOOKUP($A60,ScaledPrice,6)</f>
        <v> </v>
      </c>
      <c r="J60" s="290" t="str">
        <f aca="false">VLOOKUP($A60,ScaledPrice,10)</f>
        <v> </v>
      </c>
      <c r="K60" s="290" t="str">
        <f aca="false">VLOOKUP($A60,ScaledPrice,13)</f>
        <v> </v>
      </c>
      <c r="L60" s="290" t="str">
        <f aca="false">VLOOKUP($A60,ScaledPrice,7)</f>
        <v> </v>
      </c>
      <c r="M60" s="290" t="str">
        <f aca="false">VLOOKUP($A60,ScaledPrice,11)</f>
        <v> </v>
      </c>
      <c r="N60" s="290" t="str">
        <f aca="false">VLOOKUP($A60,ScaledPrice,13)</f>
        <v> </v>
      </c>
      <c r="O60" s="290" t="str">
        <f aca="false">VLOOKUP($A60,ScaledPrice,8)</f>
        <v> </v>
      </c>
      <c r="P60" s="290" t="str">
        <f aca="false">VLOOKUP($A60,ScaledPrice,12)</f>
        <v> </v>
      </c>
      <c r="Q60" s="291" t="str">
        <f aca="false">VLOOKUP($A60,ScaledPrice,13)</f>
        <v> </v>
      </c>
      <c r="R60" s="292" t="str">
        <f aca="false">IF($A60="N/A"," ",IF(Dayrun&gt;=3,IF(Option=1,MAX($I60-$H60,0),IF(Option=2,MAX($H60-$I60,0),0)),0))</f>
        <v> </v>
      </c>
      <c r="S60" s="286" t="str">
        <f aca="false">IF($A60="N/A"," ",IF(Dayrun&gt;=6,IF(Option=1,MAX($J60-H60,0),IF(Option=2,MAX(H60-$J60,0),0)),0))</f>
        <v> </v>
      </c>
      <c r="T60" s="286" t="str">
        <f aca="false">IF($A60="N/A"," ",IF(OR(Dayrun&lt;=2,Dayrun&gt;=9),IF(Option=1,MAX($K60-$H60,0),IF(Option=2,MAX($H60-$K60,0),0)),0))</f>
        <v> </v>
      </c>
      <c r="U60" s="286" t="str">
        <f aca="false">IF($A60="N/A"," ",IF(OR(Dayrun=1,Dayrun=4,Dayrun=5,Dayrun=7,Dayrun=8,Dayrun=10,Dayrun=11),IF(Option=1,MAX($L60-H60,0),IF(Option=2,MAX(H60-$L60,0),0)),0))</f>
        <v> </v>
      </c>
      <c r="V60" s="286" t="str">
        <f aca="false">IF($A60="N/A"," ",IF(OR(Dayrun=1,Dayrun=7,Dayrun=8,Dayrun=10,Dayrun=11),IF(Option=1,MAX($M60-H60,0),IF(Option=2,MAX(H60-$M60,0),0)),0))</f>
        <v> </v>
      </c>
      <c r="W60" s="286" t="str">
        <f aca="false">IF($A60="N/A"," ",IF(OR(Dayrun&lt;=2,Dayrun&gt;=10),IF(Option=1,MAX($N60-$H60,0),IF(Option=2,MAX($H60-$N60,0),0)),0))</f>
        <v> </v>
      </c>
      <c r="X60" s="286" t="str">
        <f aca="false">IF($A60="N/A"," ",IF(OR(Dayrun=1,Dayrun=5,Dayrun=8,Dayrun=11),IF(Option=1,MAX($O60-H60,0),IF(Option=2,MAX(H60-$O60,0),0)),0))</f>
        <v> </v>
      </c>
      <c r="Y60" s="286" t="str">
        <f aca="false">IF($A60="N/A"," ",IF(OR(Dayrun=1,Dayrun=8,Dayrun=11),IF(Option=1,MAX($P60-H60,0),IF(Option=2,MAX(H60-$P60,0),0)),0))</f>
        <v> </v>
      </c>
      <c r="Z60" s="293" t="str">
        <f aca="false">IF($A60="N/A"," ",IF(OR(Dayrun&lt;=2,Dayrun&gt;=11),IF(Option=1,MAX($Q60-$H60,0),IF(Option=2,MAX($H60-$Q60,0),0)),0))</f>
        <v> </v>
      </c>
      <c r="AA60" s="289" t="str">
        <f aca="false">IF($A60="N/A"," ",IF(Dayrun&gt;=3,(MAX(0,(xSPRDOPT(I60,($E60-'Pricing Inputs'!$X95*$D60),$CV60,0,($CN60+IF(Smile=TRUE(),VLOOKUP(MAX(-5,$H60-I60),Volsmile,2),0)),$CT60,$CU60,($A60-DateToday)+15,ABS(Option-2),0)-R60))),0))</f>
        <v> </v>
      </c>
      <c r="AB60" s="290" t="str">
        <f aca="false">IF($A60="N/A"," ",IF(Dayrun&gt;=6,MAX(0,(xSPRDOPT(J60,($E60-'Pricing Inputs'!$X95*$D60),$CV60,0,($CN60+IF(Smile=TRUE(),VLOOKUP(MAX(-5,$H60-J60),Volsmile,2),0)),$CT60,$CU60,($A60-DateToday)+15,ABS(Option-2),0)-S60)),0))</f>
        <v> </v>
      </c>
      <c r="AC60" s="290" t="str">
        <f aca="false">IF($A60="N/A"," ",IF(OR(Dayrun&lt;=2,Dayrun&gt;=9),IF(OffPeakEx=TRUE(),MAX(0,(xSPRDOPT(K60,($E60-'Pricing Inputs'!$X95*$D60),$CV60,0,($CQ60+IF(Smile=TRUE(),VLOOKUP(MAX(-5,$H60-K60),Volsmile,2),0)),$CT60,$CU60,($A60-DateToday)+15,ABS(Option-2),0)-T60)),0),0))</f>
        <v> </v>
      </c>
      <c r="AD60" s="290" t="str">
        <f aca="false">IF($A60="N/A"," ",IF(OR(Dayrun=1,Dayrun=4,Dayrun=5,Dayrun=7,Dayrun=8,Dayrun=10,Dayrun=11),MAX(0,(xSPRDOPT(L60,($E60-'Pricing Inputs'!$X95*$D60),$CV60,0,($CQ60+IF(Smile=TRUE(),VLOOKUP(MAX(-5,$H60-L60),Volsmile,2),0)),$CT60,$CU60,($A60-DateToday)+15,ABS(Option-2),0)-U60)),0))</f>
        <v> </v>
      </c>
      <c r="AE60" s="290" t="str">
        <f aca="false">IF($A60="N/A"," ",IF(OR(Dayrun=1,Dayrun=7,Dayrun=8,Dayrun=10,Dayrun=11),MAX(0,(xSPRDOPT(M60,($E60-'Pricing Inputs'!$X95*$D60),$CV60,0,($CQ60+IF(Smile=TRUE(),VLOOKUP(MAX(-5,$H60-M60),Volsmile,2),0)),$CT60,$CU60,($A60-DateToday)+15,ABS(Option-2),0)-V60)),0))</f>
        <v> </v>
      </c>
      <c r="AF60" s="290" t="str">
        <f aca="false">IF($A60="N/A"," ",IF(OR(Dayrun&lt;=2,Dayrun&gt;=10),IF(OffPeakEx=TRUE(),MAX(0,(xSPRDOPT(N60,($E60-'Pricing Inputs'!$X95*$D60),$CV60,0,($CQ60+IF(Smile=TRUE(),VLOOKUP(MAX(-5,$H60-N60),Volsmile,2),0)),$CT60,$CU60,($A60-DateToday)+15,ABS(Option-2),0)-W60)),0),0))</f>
        <v> </v>
      </c>
      <c r="AG60" s="290" t="str">
        <f aca="false">IF($A60="N/A"," ",IF(OR(Dayrun=1,Dayrun=5,Dayrun=8,Dayrun=11),MAX(0,(xSPRDOPT(O60,($E60-'Pricing Inputs'!$X95*$D60),$CV60,0,($CQ60+IF(Smile=TRUE(),VLOOKUP(MAX(-5,$H60-O60),Volsmile,2),0)),$CT60,$CU60,($A60-DateToday)+15,ABS(Option-2),0)-X60)),0))</f>
        <v> </v>
      </c>
      <c r="AH60" s="290" t="str">
        <f aca="false">IF($A60="N/A"," ",IF(OR(Dayrun=1,Dayrun=8,Dayrun=11),MAX(0,(xSPRDOPT(P60,($E60-'Pricing Inputs'!$X95*$D60),$CV60,0,($CQ60+IF(Smile=TRUE(),VLOOKUP(MAX(-5,$H60-P60),Volsmile,2),0)),$CT60,$CU60,($A60-DateToday)+15,ABS(Option-2),0)-Y60)),0))</f>
        <v> </v>
      </c>
      <c r="AI60" s="290" t="str">
        <f aca="false">IF($A60="N/A"," ",IF(OR(Dayrun&lt;=2,Dayrun&gt;=11),IF(OffPeakEx=TRUE(),MAX(0,(xSPRDOPT(Q60,($E60-'Pricing Inputs'!$X95*$D60),$CV60,0,($CQ60+IF(Smile=TRUE(),VLOOKUP(MAX(-5,$H60-Q60),Volsmile,2),0)),$CT60,$CU60,($A60-DateToday)+15,ABS(Option-2),0)-Z60)),0),0))</f>
        <v> </v>
      </c>
      <c r="AJ60" s="294" t="str">
        <f aca="false">IF($A60="N/A"," ",IF(Dayrun&gt;=3,IF(Option=1,$I60-$H60,IF(Option=2,$H60-$I60)),0))</f>
        <v> </v>
      </c>
      <c r="AK60" s="295" t="str">
        <f aca="false">IF($A60="N/A"," ",IF(Dayrun&gt;=6,IF(Option=1,$J60-H60,IF(Option=2,H60-$J60)),0))</f>
        <v> </v>
      </c>
      <c r="AL60" s="295" t="str">
        <f aca="false">IF($A60="N/A"," ",IF(OR(Dayrun&lt;=2,Dayrun&gt;=9),IF(Option=1,$K60-$H60,IF(Option=2,$H60-$K60)),0))</f>
        <v> </v>
      </c>
      <c r="AM60" s="295" t="str">
        <f aca="false">IF($A60="N/A"," ",IF(OR(Dayrun=1,Dayrun=4,Dayrun=5,Dayrun=7,Dayrun=8,Dayrun=10,Dayrun=11),IF(Option=1,$L60-H60,IF(Option=2,H60-$L60)),0))</f>
        <v> </v>
      </c>
      <c r="AN60" s="295" t="str">
        <f aca="false">IF($A60="N/A"," ",IF(OR(Dayrun=1,Dayrun=7,Dayrun=8,Dayrun=10,Dayrun=11),IF(Option=1,$M60-H60,IF(Option=2,H60-$M60)),0))</f>
        <v> </v>
      </c>
      <c r="AO60" s="295" t="str">
        <f aca="false">IF($A60="N/A"," ",IF(OR(Dayrun&lt;=2,Dayrun&gt;=9),IF(Option=1,$N60-$H60,IF(Option=2,$H60-$N60)),0))</f>
        <v> </v>
      </c>
      <c r="AP60" s="295" t="str">
        <f aca="false">IF($A60="N/A"," ",IF(OR(Dayrun=1,Dayrun=5,Dayrun=8,Dayrun=11),IF(Option=1,$O60-H60,IF(Option=2,H60-$O60)),0))</f>
        <v> </v>
      </c>
      <c r="AQ60" s="295" t="str">
        <f aca="false">IF($A60="N/A"," ",IF(OR(Dayrun=1,Dayrun=8,Dayrun=11),IF(Option=1,$P60-H60,IF(Option=2,H60-$P60)),0))</f>
        <v> </v>
      </c>
      <c r="AR60" s="296" t="str">
        <f aca="false">IF($A60="N/A"," ",IF(OR(Dayrun&lt;=2,Dayrun&gt;=9),IF(Option=1,$Q60-H60,IF(Option=2,H60-$Q60)),0))</f>
        <v> </v>
      </c>
      <c r="AS60" s="297" t="str">
        <f aca="false">IF($A60="N/A"," ",IF(VLOOKUP(MONTH($A60),ManualTable,2)=1,IF(Dayrun&gt;=3,$DE60*8*$CY60,0),0))</f>
        <v> </v>
      </c>
      <c r="AT60" s="297" t="str">
        <f aca="false">IF($A60="N/A"," ",IF(VLOOKUP(MONTH($A60),ManualTable,3)=1,IF(Dayrun&gt;=6,$DE60*8*$CY60,0),0))</f>
        <v> </v>
      </c>
      <c r="AU60" s="297" t="str">
        <f aca="false">IF($A60="N/A"," ",IF(VLOOKUP(MONTH($A60),ManualTable,4)=1,IF(OR(Dayrun&lt;=2,Dayrun&gt;=9),$DE60*8*$CY60,0),0))</f>
        <v> </v>
      </c>
      <c r="AV60" s="297" t="str">
        <f aca="false">IF($A60="N/A"," ",IF(VLOOKUP(MONTH($A60),ManualTable,5)=1,IF(OR(Dayrun=1,Dayrun=4,Dayrun=5,Dayrun=7,Dayrun=8,Dayrun=10,Dayrun=11),$DF60*8*$CY60,0),0))</f>
        <v> </v>
      </c>
      <c r="AW60" s="297" t="str">
        <f aca="false">IF($A60="N/A"," ",IF(VLOOKUP(MONTH($A60),ManualTable,6)=1,IF(OR(Dayrun=1,Dayrun=7,Dayrun=8,Dayrun=10,Dayrun=11),$DF60*8*$CY60,0),0))</f>
        <v> </v>
      </c>
      <c r="AX60" s="297" t="str">
        <f aca="false">IF($A60="N/A"," ",IF(VLOOKUP(MONTH($A60),ManualTable,7)=1,IF(OR(Dayrun&lt;=2,Dayrun&gt;=9),$DF60*8*$CY60,0),0))</f>
        <v> </v>
      </c>
      <c r="AY60" s="297" t="str">
        <f aca="false">IF($A60="N/A"," ",IF(VLOOKUP(MONTH($A60),ManualTable,8)=1,IF(OR(Dayrun=1,Dayrun=5,Dayrun=8,Dayrun=11),$DG60*8*$CY60,0),0))</f>
        <v> </v>
      </c>
      <c r="AZ60" s="297" t="str">
        <f aca="false">IF($A60="N/A"," ",IF(VLOOKUP(MONTH($A60),ManualTable,9)=1,IF(OR(Dayrun=1,Dayrun=8,Dayrun=11),$DG60*8*$CY60,0),0))</f>
        <v> </v>
      </c>
      <c r="BA60" s="298" t="str">
        <f aca="false">IF($A60="N/A"," ",IF(VLOOKUP(MONTH($A60),ManualTable,10)=1,IF(OR(Dayrun&lt;=2,Dayrun&gt;=9),$DG60*8*$CY60,0),0))</f>
        <v> </v>
      </c>
      <c r="BB60" s="299" t="str">
        <f aca="false">IF($A60="N/A"," ",IF(Dayrun&gt;=3,(MAX(0,(xSPRDOPT(I60,($E60-'Pricing Inputs'!$X95*$D60),$CV60,0,($CN60+IF(Smile=TRUE(),VLOOKUP(MAX(-5,$H60-I60),Volsmile,2),0)),$CT60,$CU60,($A60-DateToday)+15,ABS(Option-2),1)*DE60*8))),0))</f>
        <v> </v>
      </c>
      <c r="BC60" s="300" t="str">
        <f aca="false">IF($A60="N/A"," ",IF(Dayrun&gt;=6,MAX(0,(xSPRDOPT(J60,($E60-'Pricing Inputs'!$X95*$D60),$CV60,0,($CN60+IF(Smile=TRUE(),VLOOKUP(MAX(-5,$H60-J60),Volsmile,2),0)),$CT60,$CU60,($A60-DateToday)+15,ABS(Option-2),1)*DE60*8)),0))</f>
        <v> </v>
      </c>
      <c r="BD60" s="300" t="str">
        <f aca="false">IF($A60="N/A"," ",IF(OR(Dayrun&lt;=2,Dayrun&gt;=9),IF(OffPeakEx=TRUE(),MAX(0,(xSPRDOPT(K60,($E60-'Pricing Inputs'!$X95*$D60),$CV60,0,($CQ60+IF(Smile=TRUE(),VLOOKUP(MAX(-5,$H60-K60),Volsmile,2),0)),$CT60,$CU60,($A60-DateToday)+15,ABS(Option-2),1)*DE60*8)),0),0))</f>
        <v> </v>
      </c>
      <c r="BE60" s="300" t="str">
        <f aca="false">IF($A60="N/A"," ",IF(OR(Dayrun=1,Dayrun=4,Dayrun=5,Dayrun=7,Dayrun=8,Dayrun=10,Dayrun=11),MAX(0,(xSPRDOPT(L60,($E60-'Pricing Inputs'!$X95*$D60),$CV60,0,($CQ60+IF(Smile=TRUE(),VLOOKUP(MAX(-5,$H60-L60),Volsmile,2),0)),$CT60,$CU60,($A60-DateToday)+15,ABS(Option-2),1)*DF60*8)),0))</f>
        <v> </v>
      </c>
      <c r="BF60" s="300" t="str">
        <f aca="false">IF($A60="N/A"," ",IF(OR(Dayrun=1,Dayrun=7,Dayrun=8,Dayrun=10,Dayrun=11),MAX(0,(xSPRDOPT(M60,($E60-'Pricing Inputs'!$X95*$D60),$CV60,0,($CQ60+IF(Smile=TRUE(),VLOOKUP(MAX(-5,$H60-M60),Volsmile,2),0)),$CT60,$CU60,($A60-DateToday)+15,ABS(Option-2),1)*DF60*8)),0))</f>
        <v> </v>
      </c>
      <c r="BG60" s="300" t="str">
        <f aca="false">IF($A60="N/A"," ",IF(OR(Dayrun&lt;=2,Dayrun&gt;=10),IF(OffPeakEx=TRUE(),MAX(0,(xSPRDOPT(N60,($E60-'Pricing Inputs'!$X95*$D60),$CV60,0,($CQ60+IF(Smile=TRUE(),VLOOKUP(MAX(-5,$H60-N60),Volsmile,2),0)),$CT60,$CU60,($A60-DateToday)+15,ABS(Option-2),1)*DF60*8)),0),0))</f>
        <v> </v>
      </c>
      <c r="BH60" s="300" t="str">
        <f aca="false">IF($A60="N/A"," ",IF(OR(Dayrun=1,Dayrun=5,Dayrun=8,Dayrun=11),MAX(0,(xSPRDOPT(O60,($E60-'Pricing Inputs'!$X95*$D60),$CV60,0,($CQ60+IF(Smile=TRUE(),VLOOKUP(MAX(-5,$H60-O60),Volsmile,2),0)),$CT60,$CU60,($A60-DateToday)+15,ABS(Option-2),1)*DG60*8)),0))</f>
        <v> </v>
      </c>
      <c r="BI60" s="300" t="str">
        <f aca="false">IF($A60="N/A"," ",IF(OR(Dayrun=1,Dayrun=8,Dayrun=11),MAX(0,(xSPRDOPT(P60,($E60-'Pricing Inputs'!$X95*$D60),$CV60,0,($CQ60+IF(Smile=TRUE(),VLOOKUP(MAX(-5,$H60-P60),Volsmile,2),0)),$CT60,$CU60,($A60-DateToday)+15,ABS(Option-2),1)*DG60*8)),0))</f>
        <v> </v>
      </c>
      <c r="BJ60" s="301" t="str">
        <f aca="false">IF($A60="N/A"," ",IF(OR(Dayrun&lt;=2,Dayrun&gt;=11),IF(OffPeakEx=TRUE(),MAX(0,(xSPRDOPT(Q60,($E60-'Pricing Inputs'!$X95*$D60),$CV60,0,($CQ60+IF(Smile=TRUE(),VLOOKUP(MAX(-5,$H60-Q60),Volsmile,2),0)),$CT60,$CU60,($A60-DateToday)+15,ABS(Option-2),1)*DG60*8)),0),0))</f>
        <v> </v>
      </c>
      <c r="BK60" s="302" t="str">
        <f aca="false">IF($A60="N/A"," ",R60*$AS60)</f>
        <v> </v>
      </c>
      <c r="BL60" s="303" t="str">
        <f aca="false">IF($A60="N/A"," ",S60*$AT60)</f>
        <v> </v>
      </c>
      <c r="BM60" s="303" t="str">
        <f aca="false">IF($A60="N/A"," ",T60*$AU60)</f>
        <v> </v>
      </c>
      <c r="BN60" s="303" t="str">
        <f aca="false">IF($A60="N/A"," ",U60*$AV60)</f>
        <v> </v>
      </c>
      <c r="BO60" s="303" t="str">
        <f aca="false">IF($A60="N/A"," ",V60*$AW60)</f>
        <v> </v>
      </c>
      <c r="BP60" s="303" t="str">
        <f aca="false">IF($A60="N/A"," ",W60*$AX60)</f>
        <v> </v>
      </c>
      <c r="BQ60" s="303" t="str">
        <f aca="false">IF($A60="N/A"," ",X60*$AY60)</f>
        <v> </v>
      </c>
      <c r="BR60" s="303" t="str">
        <f aca="false">IF($A60="N/A"," ",Y60*$AZ60)</f>
        <v> </v>
      </c>
      <c r="BS60" s="304" t="str">
        <f aca="false">IF($A60="N/A"," ",Z60*$BA60)</f>
        <v> </v>
      </c>
      <c r="BT60" s="305" t="str">
        <f aca="false">IF($A60="N/A"," ",AA60*$AS60)</f>
        <v> </v>
      </c>
      <c r="BU60" s="306" t="str">
        <f aca="false">IF($A60="N/A"," ",AB60*$AT60)</f>
        <v> </v>
      </c>
      <c r="BV60" s="306" t="str">
        <f aca="false">IF($A60="N/A"," ",AC60*$AU60)</f>
        <v> </v>
      </c>
      <c r="BW60" s="306" t="str">
        <f aca="false">IF($A60="N/A"," ",AD60*$AV60)</f>
        <v> </v>
      </c>
      <c r="BX60" s="306" t="str">
        <f aca="false">IF($A60="N/A"," ",AE60*$AW60)</f>
        <v> </v>
      </c>
      <c r="BY60" s="306" t="str">
        <f aca="false">IF($A60="N/A"," ",AF60*$AX60)</f>
        <v> </v>
      </c>
      <c r="BZ60" s="306" t="str">
        <f aca="false">IF($A60="N/A"," ",AG60*$AY60)</f>
        <v> </v>
      </c>
      <c r="CA60" s="306" t="str">
        <f aca="false">IF($A60="N/A"," ",AH60*$AZ60)</f>
        <v> </v>
      </c>
      <c r="CB60" s="307" t="str">
        <f aca="false">IF($A60="N/A"," ",AI60*$BA60)</f>
        <v> </v>
      </c>
      <c r="CC60" s="308" t="str">
        <f aca="false">IF($A60="N/A"," ",AJ60*$AS60)</f>
        <v> </v>
      </c>
      <c r="CD60" s="309" t="str">
        <f aca="false">IF($A60="N/A"," ",AK60*$AT60)</f>
        <v> </v>
      </c>
      <c r="CE60" s="309" t="str">
        <f aca="false">IF($A60="N/A"," ",AL60*$AU60)</f>
        <v> </v>
      </c>
      <c r="CF60" s="309" t="str">
        <f aca="false">IF($A60="N/A"," ",AM60*$AV60)</f>
        <v> </v>
      </c>
      <c r="CG60" s="309" t="str">
        <f aca="false">IF($A60="N/A"," ",AN60*$AW60)</f>
        <v> </v>
      </c>
      <c r="CH60" s="309" t="str">
        <f aca="false">IF($A60="N/A"," ",AO60*$AX60)</f>
        <v> </v>
      </c>
      <c r="CI60" s="309" t="str">
        <f aca="false">IF($A60="N/A"," ",AP60*$AY60)</f>
        <v> </v>
      </c>
      <c r="CJ60" s="309" t="str">
        <f aca="false">IF($A60="N/A"," ",AQ60*$AZ60)</f>
        <v> </v>
      </c>
      <c r="CK60" s="310" t="str">
        <f aca="false">IF($A60="N/A"," ",AR60*$BA60)</f>
        <v> </v>
      </c>
      <c r="CL60" s="311" t="str">
        <f aca="false">IF(A60="N/A"," ",(VLOOKUP(A60,PowerVolTable,(IF(VolBMO=2,7,IF(VolBMO=1,6,8))),FALSE())))</f>
        <v> </v>
      </c>
      <c r="CM60" s="312" t="str">
        <f aca="false">IF(A60="N/A"," ",(VLOOKUP(A60,IntraPowerVol,(IF(VolBMO=2,3,IF(VolBMO=1,2,4))),FALSE())*VLOOKUP(MONTH($A60),Volscale,2)))</f>
        <v> </v>
      </c>
      <c r="CN60" s="312" t="str">
        <f aca="false">IF($A60="N/A"," ",IF(VolType=1,CM60,CL60))</f>
        <v> </v>
      </c>
      <c r="CO60" s="312" t="str">
        <f aca="false">IF($A60="N/A"," ",(VLOOKUP($A60,OffPeakVol,(IF(VolBMO=2,7,IF(VolBMO=1,6,8))),FALSE())))</f>
        <v> </v>
      </c>
      <c r="CP60" s="312" t="str">
        <f aca="false">IF($A60="N/A"," ",(VLOOKUP($A60,OffPeakVol,(IF(VolBMO=2,3,IF(VolBMO=1,2,4))),FALSE())*VLOOKUP(MONTH($A60),Volscale,2)))</f>
        <v> </v>
      </c>
      <c r="CQ60" s="312" t="str">
        <f aca="false">IF($A60="N/A"," ",IF(VolType=1,CP60,CO60))</f>
        <v> </v>
      </c>
      <c r="CR60" s="312" t="str">
        <f aca="false">IF($A60="N/A"," ",(VLOOKUP($A60,GasVolTable,(IF(VolBMO=2,6,IF(VolBMO=1,7,5))),FALSE())))</f>
        <v> </v>
      </c>
      <c r="CS60" s="312" t="str">
        <f aca="false">IF($A60="N/A"," ",(VLOOKUP($A60,OmicronVol,(IF(VolBMO=2,3,IF(VolBMO=1,4,2))),FALSE())))</f>
        <v> </v>
      </c>
      <c r="CT60" s="312" t="str">
        <f aca="false">IF($A60="N/A"," ",(IF(DateToday&gt;$A60,$CS60,IF(VolType=1,((($CR60^2)*((($A60-1)-DateToday)/((EOMONTH($A60,0)+1)-DateToday-15)))+((($CS60)^2)*((15)/((EOMONTH($A60,0)+1)-DateToday-15))))^0.5,CR60))))</f>
        <v> </v>
      </c>
      <c r="CU60" s="312" t="str">
        <f aca="false">IF($A60="N/A"," ",IF('Pricing Inputs'!$AR$23=TRUE(),Inputs!$S$22,VLOOKUP($A60,CorrelationTable,2,FALSE())))</f>
        <v> </v>
      </c>
      <c r="CV60" s="313" t="str">
        <f aca="false">IF($A60="N/A"," ",F60+G60+(D60*('Pricing Inputs'!X95)))</f>
        <v> </v>
      </c>
      <c r="CW60" s="314" t="str">
        <f aca="false">IF($A60="N/A"," ",IF(PV=1,0,'Pricing Inputs'!Y95))</f>
        <v> </v>
      </c>
      <c r="CX60" s="315" t="str">
        <f aca="false">IF($A60="N/A"," ",(1+CW60/2)^(-2*((EOMONTH(A60,0)+20)-DateToday)/365.25))</f>
        <v> </v>
      </c>
      <c r="CY60" s="316" t="str">
        <f aca="false">IF($A60="N/A"," ",(IF(MONTH(A60)&gt;=4,IF(MONTH(A60)&lt;=10,Inputs!$S$26,Inputs!$S$27),Inputs!$S$27))*$CX60)</f>
        <v> </v>
      </c>
      <c r="CZ60" s="317" t="str">
        <f aca="false">IF($A60="N/A"," ",BK60+BL60+BN60+BO60+BQ60+BR60)</f>
        <v> </v>
      </c>
      <c r="DA60" s="318" t="str">
        <f aca="false">IF($A60="N/A"," ",BM60+BP60+BS60)</f>
        <v> </v>
      </c>
      <c r="DB60" s="319" t="str">
        <f aca="false">IF($A60="N/A"," ",BT60+BU60+BW60+BX60+BZ60+CA60)</f>
        <v> </v>
      </c>
      <c r="DC60" s="319" t="str">
        <f aca="false">IF($A60="N/A"," ",BV60+BY60+CB60)</f>
        <v> </v>
      </c>
      <c r="DD60" s="320" t="str">
        <f aca="false">IF($A60="N/A"," ",SUM(CC60:CK60))</f>
        <v> </v>
      </c>
      <c r="DE60" s="321" t="str">
        <f aca="false">IF($A60="N/A"," ",VLOOKUP($A60,NumberofDaysTable,2)*Availability)</f>
        <v> </v>
      </c>
      <c r="DF60" s="94" t="str">
        <f aca="false">IF($A60="N/A"," ",VLOOKUP($A60,NumberofDaysTable,3)*Availability)</f>
        <v> </v>
      </c>
      <c r="DG60" s="322" t="str">
        <f aca="false">IF($A60="N/A"," ",VLOOKUP($A60,NumberofDaysTable,4)*Availability)</f>
        <v> </v>
      </c>
      <c r="DH60" s="323" t="str">
        <f aca="false">IF($A60="N/A"," ",IF(Option=1,$D60*Inputs!$S$15*SUM(AS60:BA60),0))</f>
        <v> </v>
      </c>
      <c r="DI60" s="324" t="str">
        <f aca="false">IF($A60="N/A"," ",IF(Option=1,$D60*Inputs!$S$16*SUM(AS60:BA60),0))</f>
        <v> </v>
      </c>
      <c r="DJ60" s="325" t="str">
        <f aca="false">IF($A60="N/A"," ",SUM(AS60:AT60))</f>
        <v> </v>
      </c>
      <c r="DK60" s="325" t="str">
        <f aca="false">IF($A60="N/A"," ",SUM(AU60:BA60))</f>
        <v> </v>
      </c>
      <c r="DL60" s="325" t="str">
        <f aca="false">IF($A60="N/A"," ",SUM(BB60:BC60))</f>
        <v> </v>
      </c>
      <c r="DM60" s="325" t="str">
        <f aca="false">IF($A60="N/A"," ",SUM(BD60:BJ60))</f>
        <v> </v>
      </c>
    </row>
    <row r="61" customFormat="false" ht="12.75" hidden="false" customHeight="false" outlineLevel="0" collapsed="false">
      <c r="A61" s="282" t="str">
        <f aca="false">IF(A60="N/A","N/A",IF(EDATE(A60,1)&gt;Inputs!$S$5,"N/A",EDATE(A60,1)))</f>
        <v>N/A</v>
      </c>
      <c r="B61" s="283" t="str">
        <f aca="false">IF(A61="N/A"," ",YEAR(A61))</f>
        <v> </v>
      </c>
      <c r="C61" s="284" t="str">
        <f aca="false">IF(A61="N/A"," ",VLOOKUP(A61,ScaledPrice,14))</f>
        <v> </v>
      </c>
      <c r="D61" s="285" t="str">
        <f aca="false">IF(A61="N/A"," ",(VLOOKUP(MONTH($A61),Hrtable,2))/1000)</f>
        <v> </v>
      </c>
      <c r="E61" s="286" t="str">
        <f aca="false">IF($A61="N/A"," ",(C61)*D61)</f>
        <v> </v>
      </c>
      <c r="F61" s="287" t="str">
        <f aca="false">IF(A61="N/A"," ",VOM*(1+VOMesc)^(YEAR(A61)-YEAR(Today)))</f>
        <v> </v>
      </c>
      <c r="G61" s="287" t="str">
        <f aca="false">IF(A61="N/A"," ",Perstart/VLOOKUP(Dayrun,'Pricing Inputs'!$AQ$4:$AS$14,3)/(CY61/CX61))</f>
        <v> </v>
      </c>
      <c r="H61" s="288" t="str">
        <f aca="false">IF(A61="N/A"," ",SUM(E61:G61))</f>
        <v> </v>
      </c>
      <c r="I61" s="289" t="str">
        <f aca="false">VLOOKUP($A61,ScaledPrice,6)</f>
        <v> </v>
      </c>
      <c r="J61" s="290" t="str">
        <f aca="false">VLOOKUP($A61,ScaledPrice,10)</f>
        <v> </v>
      </c>
      <c r="K61" s="290" t="str">
        <f aca="false">VLOOKUP($A61,ScaledPrice,13)</f>
        <v> </v>
      </c>
      <c r="L61" s="290" t="str">
        <f aca="false">VLOOKUP($A61,ScaledPrice,7)</f>
        <v> </v>
      </c>
      <c r="M61" s="290" t="str">
        <f aca="false">VLOOKUP($A61,ScaledPrice,11)</f>
        <v> </v>
      </c>
      <c r="N61" s="290" t="str">
        <f aca="false">VLOOKUP($A61,ScaledPrice,13)</f>
        <v> </v>
      </c>
      <c r="O61" s="290" t="str">
        <f aca="false">VLOOKUP($A61,ScaledPrice,8)</f>
        <v> </v>
      </c>
      <c r="P61" s="290" t="str">
        <f aca="false">VLOOKUP($A61,ScaledPrice,12)</f>
        <v> </v>
      </c>
      <c r="Q61" s="291" t="str">
        <f aca="false">VLOOKUP($A61,ScaledPrice,13)</f>
        <v> </v>
      </c>
      <c r="R61" s="292" t="str">
        <f aca="false">IF($A61="N/A"," ",IF(Dayrun&gt;=3,IF(Option=1,MAX($I61-$H61,0),IF(Option=2,MAX($H61-$I61,0),0)),0))</f>
        <v> </v>
      </c>
      <c r="S61" s="286" t="str">
        <f aca="false">IF($A61="N/A"," ",IF(Dayrun&gt;=6,IF(Option=1,MAX($J61-H61,0),IF(Option=2,MAX(H61-$J61,0),0)),0))</f>
        <v> </v>
      </c>
      <c r="T61" s="286" t="str">
        <f aca="false">IF($A61="N/A"," ",IF(OR(Dayrun&lt;=2,Dayrun&gt;=9),IF(Option=1,MAX($K61-$H61,0),IF(Option=2,MAX($H61-$K61,0),0)),0))</f>
        <v> </v>
      </c>
      <c r="U61" s="286" t="str">
        <f aca="false">IF($A61="N/A"," ",IF(OR(Dayrun=1,Dayrun=4,Dayrun=5,Dayrun=7,Dayrun=8,Dayrun=10,Dayrun=11),IF(Option=1,MAX($L61-H61,0),IF(Option=2,MAX(H61-$L61,0),0)),0))</f>
        <v> </v>
      </c>
      <c r="V61" s="286" t="str">
        <f aca="false">IF($A61="N/A"," ",IF(OR(Dayrun=1,Dayrun=7,Dayrun=8,Dayrun=10,Dayrun=11),IF(Option=1,MAX($M61-H61,0),IF(Option=2,MAX(H61-$M61,0),0)),0))</f>
        <v> </v>
      </c>
      <c r="W61" s="286" t="str">
        <f aca="false">IF($A61="N/A"," ",IF(OR(Dayrun&lt;=2,Dayrun&gt;=10),IF(Option=1,MAX($N61-$H61,0),IF(Option=2,MAX($H61-$N61,0),0)),0))</f>
        <v> </v>
      </c>
      <c r="X61" s="286" t="str">
        <f aca="false">IF($A61="N/A"," ",IF(OR(Dayrun=1,Dayrun=5,Dayrun=8,Dayrun=11),IF(Option=1,MAX($O61-H61,0),IF(Option=2,MAX(H61-$O61,0),0)),0))</f>
        <v> </v>
      </c>
      <c r="Y61" s="286" t="str">
        <f aca="false">IF($A61="N/A"," ",IF(OR(Dayrun=1,Dayrun=8,Dayrun=11),IF(Option=1,MAX($P61-H61,0),IF(Option=2,MAX(H61-$P61,0),0)),0))</f>
        <v> </v>
      </c>
      <c r="Z61" s="293" t="str">
        <f aca="false">IF($A61="N/A"," ",IF(OR(Dayrun&lt;=2,Dayrun&gt;=11),IF(Option=1,MAX($Q61-$H61,0),IF(Option=2,MAX($H61-$Q61,0),0)),0))</f>
        <v> </v>
      </c>
      <c r="AA61" s="289" t="str">
        <f aca="false">IF($A61="N/A"," ",IF(Dayrun&gt;=3,(MAX(0,(xSPRDOPT(I61,($E61-'Pricing Inputs'!$X96*$D61),$CV61,0,($CN61+IF(Smile=TRUE(),VLOOKUP(MAX(-5,$H61-I61),Volsmile,2),0)),$CT61,$CU61,($A61-DateToday)+15,ABS(Option-2),0)-R61))),0))</f>
        <v> </v>
      </c>
      <c r="AB61" s="290" t="str">
        <f aca="false">IF($A61="N/A"," ",IF(Dayrun&gt;=6,MAX(0,(xSPRDOPT(J61,($E61-'Pricing Inputs'!$X96*$D61),$CV61,0,($CN61+IF(Smile=TRUE(),VLOOKUP(MAX(-5,$H61-J61),Volsmile,2),0)),$CT61,$CU61,($A61-DateToday)+15,ABS(Option-2),0)-S61)),0))</f>
        <v> </v>
      </c>
      <c r="AC61" s="290" t="str">
        <f aca="false">IF($A61="N/A"," ",IF(OR(Dayrun&lt;=2,Dayrun&gt;=9),IF(OffPeakEx=TRUE(),MAX(0,(xSPRDOPT(K61,($E61-'Pricing Inputs'!$X96*$D61),$CV61,0,($CQ61+IF(Smile=TRUE(),VLOOKUP(MAX(-5,$H61-K61),Volsmile,2),0)),$CT61,$CU61,($A61-DateToday)+15,ABS(Option-2),0)-T61)),0),0))</f>
        <v> </v>
      </c>
      <c r="AD61" s="290" t="str">
        <f aca="false">IF($A61="N/A"," ",IF(OR(Dayrun=1,Dayrun=4,Dayrun=5,Dayrun=7,Dayrun=8,Dayrun=10,Dayrun=11),MAX(0,(xSPRDOPT(L61,($E61-'Pricing Inputs'!$X96*$D61),$CV61,0,($CQ61+IF(Smile=TRUE(),VLOOKUP(MAX(-5,$H61-L61),Volsmile,2),0)),$CT61,$CU61,($A61-DateToday)+15,ABS(Option-2),0)-U61)),0))</f>
        <v> </v>
      </c>
      <c r="AE61" s="290" t="str">
        <f aca="false">IF($A61="N/A"," ",IF(OR(Dayrun=1,Dayrun=7,Dayrun=8,Dayrun=10,Dayrun=11),MAX(0,(xSPRDOPT(M61,($E61-'Pricing Inputs'!$X96*$D61),$CV61,0,($CQ61+IF(Smile=TRUE(),VLOOKUP(MAX(-5,$H61-M61),Volsmile,2),0)),$CT61,$CU61,($A61-DateToday)+15,ABS(Option-2),0)-V61)),0))</f>
        <v> </v>
      </c>
      <c r="AF61" s="290" t="str">
        <f aca="false">IF($A61="N/A"," ",IF(OR(Dayrun&lt;=2,Dayrun&gt;=10),IF(OffPeakEx=TRUE(),MAX(0,(xSPRDOPT(N61,($E61-'Pricing Inputs'!$X96*$D61),$CV61,0,($CQ61+IF(Smile=TRUE(),VLOOKUP(MAX(-5,$H61-N61),Volsmile,2),0)),$CT61,$CU61,($A61-DateToday)+15,ABS(Option-2),0)-W61)),0),0))</f>
        <v> </v>
      </c>
      <c r="AG61" s="290" t="str">
        <f aca="false">IF($A61="N/A"," ",IF(OR(Dayrun=1,Dayrun=5,Dayrun=8,Dayrun=11),MAX(0,(xSPRDOPT(O61,($E61-'Pricing Inputs'!$X96*$D61),$CV61,0,($CQ61+IF(Smile=TRUE(),VLOOKUP(MAX(-5,$H61-O61),Volsmile,2),0)),$CT61,$CU61,($A61-DateToday)+15,ABS(Option-2),0)-X61)),0))</f>
        <v> </v>
      </c>
      <c r="AH61" s="290" t="str">
        <f aca="false">IF($A61="N/A"," ",IF(OR(Dayrun=1,Dayrun=8,Dayrun=11),MAX(0,(xSPRDOPT(P61,($E61-'Pricing Inputs'!$X96*$D61),$CV61,0,($CQ61+IF(Smile=TRUE(),VLOOKUP(MAX(-5,$H61-P61),Volsmile,2),0)),$CT61,$CU61,($A61-DateToday)+15,ABS(Option-2),0)-Y61)),0))</f>
        <v> </v>
      </c>
      <c r="AI61" s="290" t="str">
        <f aca="false">IF($A61="N/A"," ",IF(OR(Dayrun&lt;=2,Dayrun&gt;=11),IF(OffPeakEx=TRUE(),MAX(0,(xSPRDOPT(Q61,($E61-'Pricing Inputs'!$X96*$D61),$CV61,0,($CQ61+IF(Smile=TRUE(),VLOOKUP(MAX(-5,$H61-Q61),Volsmile,2),0)),$CT61,$CU61,($A61-DateToday)+15,ABS(Option-2),0)-Z61)),0),0))</f>
        <v> </v>
      </c>
      <c r="AJ61" s="294" t="str">
        <f aca="false">IF($A61="N/A"," ",IF(Dayrun&gt;=3,IF(Option=1,$I61-$H61,IF(Option=2,$H61-$I61)),0))</f>
        <v> </v>
      </c>
      <c r="AK61" s="295" t="str">
        <f aca="false">IF($A61="N/A"," ",IF(Dayrun&gt;=6,IF(Option=1,$J61-H61,IF(Option=2,H61-$J61)),0))</f>
        <v> </v>
      </c>
      <c r="AL61" s="295" t="str">
        <f aca="false">IF($A61="N/A"," ",IF(OR(Dayrun&lt;=2,Dayrun&gt;=9),IF(Option=1,$K61-$H61,IF(Option=2,$H61-$K61)),0))</f>
        <v> </v>
      </c>
      <c r="AM61" s="295" t="str">
        <f aca="false">IF($A61="N/A"," ",IF(OR(Dayrun=1,Dayrun=4,Dayrun=5,Dayrun=7,Dayrun=8,Dayrun=10,Dayrun=11),IF(Option=1,$L61-H61,IF(Option=2,H61-$L61)),0))</f>
        <v> </v>
      </c>
      <c r="AN61" s="295" t="str">
        <f aca="false">IF($A61="N/A"," ",IF(OR(Dayrun=1,Dayrun=7,Dayrun=8,Dayrun=10,Dayrun=11),IF(Option=1,$M61-H61,IF(Option=2,H61-$M61)),0))</f>
        <v> </v>
      </c>
      <c r="AO61" s="295" t="str">
        <f aca="false">IF($A61="N/A"," ",IF(OR(Dayrun&lt;=2,Dayrun&gt;=9),IF(Option=1,$N61-$H61,IF(Option=2,$H61-$N61)),0))</f>
        <v> </v>
      </c>
      <c r="AP61" s="295" t="str">
        <f aca="false">IF($A61="N/A"," ",IF(OR(Dayrun=1,Dayrun=5,Dayrun=8,Dayrun=11),IF(Option=1,$O61-H61,IF(Option=2,H61-$O61)),0))</f>
        <v> </v>
      </c>
      <c r="AQ61" s="295" t="str">
        <f aca="false">IF($A61="N/A"," ",IF(OR(Dayrun=1,Dayrun=8,Dayrun=11),IF(Option=1,$P61-H61,IF(Option=2,H61-$P61)),0))</f>
        <v> </v>
      </c>
      <c r="AR61" s="296" t="str">
        <f aca="false">IF($A61="N/A"," ",IF(OR(Dayrun&lt;=2,Dayrun&gt;=9),IF(Option=1,$Q61-H61,IF(Option=2,H61-$Q61)),0))</f>
        <v> </v>
      </c>
      <c r="AS61" s="297" t="str">
        <f aca="false">IF($A61="N/A"," ",IF(VLOOKUP(MONTH($A61),ManualTable,2)=1,IF(Dayrun&gt;=3,$DE61*8*$CY61,0),0))</f>
        <v> </v>
      </c>
      <c r="AT61" s="297" t="str">
        <f aca="false">IF($A61="N/A"," ",IF(VLOOKUP(MONTH($A61),ManualTable,3)=1,IF(Dayrun&gt;=6,$DE61*8*$CY61,0),0))</f>
        <v> </v>
      </c>
      <c r="AU61" s="297" t="str">
        <f aca="false">IF($A61="N/A"," ",IF(VLOOKUP(MONTH($A61),ManualTable,4)=1,IF(OR(Dayrun&lt;=2,Dayrun&gt;=9),$DE61*8*$CY61,0),0))</f>
        <v> </v>
      </c>
      <c r="AV61" s="297" t="str">
        <f aca="false">IF($A61="N/A"," ",IF(VLOOKUP(MONTH($A61),ManualTable,5)=1,IF(OR(Dayrun=1,Dayrun=4,Dayrun=5,Dayrun=7,Dayrun=8,Dayrun=10,Dayrun=11),$DF61*8*$CY61,0),0))</f>
        <v> </v>
      </c>
      <c r="AW61" s="297" t="str">
        <f aca="false">IF($A61="N/A"," ",IF(VLOOKUP(MONTH($A61),ManualTable,6)=1,IF(OR(Dayrun=1,Dayrun=7,Dayrun=8,Dayrun=10,Dayrun=11),$DF61*8*$CY61,0),0))</f>
        <v> </v>
      </c>
      <c r="AX61" s="297" t="str">
        <f aca="false">IF($A61="N/A"," ",IF(VLOOKUP(MONTH($A61),ManualTable,7)=1,IF(OR(Dayrun&lt;=2,Dayrun&gt;=9),$DF61*8*$CY61,0),0))</f>
        <v> </v>
      </c>
      <c r="AY61" s="297" t="str">
        <f aca="false">IF($A61="N/A"," ",IF(VLOOKUP(MONTH($A61),ManualTable,8)=1,IF(OR(Dayrun=1,Dayrun=5,Dayrun=8,Dayrun=11),$DG61*8*$CY61,0),0))</f>
        <v> </v>
      </c>
      <c r="AZ61" s="297" t="str">
        <f aca="false">IF($A61="N/A"," ",IF(VLOOKUP(MONTH($A61),ManualTable,9)=1,IF(OR(Dayrun=1,Dayrun=8,Dayrun=11),$DG61*8*$CY61,0),0))</f>
        <v> </v>
      </c>
      <c r="BA61" s="298" t="str">
        <f aca="false">IF($A61="N/A"," ",IF(VLOOKUP(MONTH($A61),ManualTable,10)=1,IF(OR(Dayrun&lt;=2,Dayrun&gt;=9),$DG61*8*$CY61,0),0))</f>
        <v> </v>
      </c>
      <c r="BB61" s="299" t="str">
        <f aca="false">IF($A61="N/A"," ",IF(Dayrun&gt;=3,(MAX(0,(xSPRDOPT(I61,($E61-'Pricing Inputs'!$X96*$D61),$CV61,0,($CN61+IF(Smile=TRUE(),VLOOKUP(MAX(-5,$H61-I61),Volsmile,2),0)),$CT61,$CU61,($A61-DateToday)+15,ABS(Option-2),1)*DE61*8))),0))</f>
        <v> </v>
      </c>
      <c r="BC61" s="300" t="str">
        <f aca="false">IF($A61="N/A"," ",IF(Dayrun&gt;=6,MAX(0,(xSPRDOPT(J61,($E61-'Pricing Inputs'!$X96*$D61),$CV61,0,($CN61+IF(Smile=TRUE(),VLOOKUP(MAX(-5,$H61-J61),Volsmile,2),0)),$CT61,$CU61,($A61-DateToday)+15,ABS(Option-2),1)*DE61*8)),0))</f>
        <v> </v>
      </c>
      <c r="BD61" s="300" t="str">
        <f aca="false">IF($A61="N/A"," ",IF(OR(Dayrun&lt;=2,Dayrun&gt;=9),IF(OffPeakEx=TRUE(),MAX(0,(xSPRDOPT(K61,($E61-'Pricing Inputs'!$X96*$D61),$CV61,0,($CQ61+IF(Smile=TRUE(),VLOOKUP(MAX(-5,$H61-K61),Volsmile,2),0)),$CT61,$CU61,($A61-DateToday)+15,ABS(Option-2),1)*DE61*8)),0),0))</f>
        <v> </v>
      </c>
      <c r="BE61" s="300" t="str">
        <f aca="false">IF($A61="N/A"," ",IF(OR(Dayrun=1,Dayrun=4,Dayrun=5,Dayrun=7,Dayrun=8,Dayrun=10,Dayrun=11),MAX(0,(xSPRDOPT(L61,($E61-'Pricing Inputs'!$X96*$D61),$CV61,0,($CQ61+IF(Smile=TRUE(),VLOOKUP(MAX(-5,$H61-L61),Volsmile,2),0)),$CT61,$CU61,($A61-DateToday)+15,ABS(Option-2),1)*DF61*8)),0))</f>
        <v> </v>
      </c>
      <c r="BF61" s="300" t="str">
        <f aca="false">IF($A61="N/A"," ",IF(OR(Dayrun=1,Dayrun=7,Dayrun=8,Dayrun=10,Dayrun=11),MAX(0,(xSPRDOPT(M61,($E61-'Pricing Inputs'!$X96*$D61),$CV61,0,($CQ61+IF(Smile=TRUE(),VLOOKUP(MAX(-5,$H61-M61),Volsmile,2),0)),$CT61,$CU61,($A61-DateToday)+15,ABS(Option-2),1)*DF61*8)),0))</f>
        <v> </v>
      </c>
      <c r="BG61" s="300" t="str">
        <f aca="false">IF($A61="N/A"," ",IF(OR(Dayrun&lt;=2,Dayrun&gt;=10),IF(OffPeakEx=TRUE(),MAX(0,(xSPRDOPT(N61,($E61-'Pricing Inputs'!$X96*$D61),$CV61,0,($CQ61+IF(Smile=TRUE(),VLOOKUP(MAX(-5,$H61-N61),Volsmile,2),0)),$CT61,$CU61,($A61-DateToday)+15,ABS(Option-2),1)*DF61*8)),0),0))</f>
        <v> </v>
      </c>
      <c r="BH61" s="300" t="str">
        <f aca="false">IF($A61="N/A"," ",IF(OR(Dayrun=1,Dayrun=5,Dayrun=8,Dayrun=11),MAX(0,(xSPRDOPT(O61,($E61-'Pricing Inputs'!$X96*$D61),$CV61,0,($CQ61+IF(Smile=TRUE(),VLOOKUP(MAX(-5,$H61-O61),Volsmile,2),0)),$CT61,$CU61,($A61-DateToday)+15,ABS(Option-2),1)*DG61*8)),0))</f>
        <v> </v>
      </c>
      <c r="BI61" s="300" t="str">
        <f aca="false">IF($A61="N/A"," ",IF(OR(Dayrun=1,Dayrun=8,Dayrun=11),MAX(0,(xSPRDOPT(P61,($E61-'Pricing Inputs'!$X96*$D61),$CV61,0,($CQ61+IF(Smile=TRUE(),VLOOKUP(MAX(-5,$H61-P61),Volsmile,2),0)),$CT61,$CU61,($A61-DateToday)+15,ABS(Option-2),1)*DG61*8)),0))</f>
        <v> </v>
      </c>
      <c r="BJ61" s="301" t="str">
        <f aca="false">IF($A61="N/A"," ",IF(OR(Dayrun&lt;=2,Dayrun&gt;=11),IF(OffPeakEx=TRUE(),MAX(0,(xSPRDOPT(Q61,($E61-'Pricing Inputs'!$X96*$D61),$CV61,0,($CQ61+IF(Smile=TRUE(),VLOOKUP(MAX(-5,$H61-Q61),Volsmile,2),0)),$CT61,$CU61,($A61-DateToday)+15,ABS(Option-2),1)*DG61*8)),0),0))</f>
        <v> </v>
      </c>
      <c r="BK61" s="302" t="str">
        <f aca="false">IF($A61="N/A"," ",R61*$AS61)</f>
        <v> </v>
      </c>
      <c r="BL61" s="303" t="str">
        <f aca="false">IF($A61="N/A"," ",S61*$AT61)</f>
        <v> </v>
      </c>
      <c r="BM61" s="303" t="str">
        <f aca="false">IF($A61="N/A"," ",T61*$AU61)</f>
        <v> </v>
      </c>
      <c r="BN61" s="303" t="str">
        <f aca="false">IF($A61="N/A"," ",U61*$AV61)</f>
        <v> </v>
      </c>
      <c r="BO61" s="303" t="str">
        <f aca="false">IF($A61="N/A"," ",V61*$AW61)</f>
        <v> </v>
      </c>
      <c r="BP61" s="303" t="str">
        <f aca="false">IF($A61="N/A"," ",W61*$AX61)</f>
        <v> </v>
      </c>
      <c r="BQ61" s="303" t="str">
        <f aca="false">IF($A61="N/A"," ",X61*$AY61)</f>
        <v> </v>
      </c>
      <c r="BR61" s="303" t="str">
        <f aca="false">IF($A61="N/A"," ",Y61*$AZ61)</f>
        <v> </v>
      </c>
      <c r="BS61" s="304" t="str">
        <f aca="false">IF($A61="N/A"," ",Z61*$BA61)</f>
        <v> </v>
      </c>
      <c r="BT61" s="305" t="str">
        <f aca="false">IF($A61="N/A"," ",AA61*$AS61)</f>
        <v> </v>
      </c>
      <c r="BU61" s="306" t="str">
        <f aca="false">IF($A61="N/A"," ",AB61*$AT61)</f>
        <v> </v>
      </c>
      <c r="BV61" s="306" t="str">
        <f aca="false">IF($A61="N/A"," ",AC61*$AU61)</f>
        <v> </v>
      </c>
      <c r="BW61" s="306" t="str">
        <f aca="false">IF($A61="N/A"," ",AD61*$AV61)</f>
        <v> </v>
      </c>
      <c r="BX61" s="306" t="str">
        <f aca="false">IF($A61="N/A"," ",AE61*$AW61)</f>
        <v> </v>
      </c>
      <c r="BY61" s="306" t="str">
        <f aca="false">IF($A61="N/A"," ",AF61*$AX61)</f>
        <v> </v>
      </c>
      <c r="BZ61" s="306" t="str">
        <f aca="false">IF($A61="N/A"," ",AG61*$AY61)</f>
        <v> </v>
      </c>
      <c r="CA61" s="306" t="str">
        <f aca="false">IF($A61="N/A"," ",AH61*$AZ61)</f>
        <v> </v>
      </c>
      <c r="CB61" s="307" t="str">
        <f aca="false">IF($A61="N/A"," ",AI61*$BA61)</f>
        <v> </v>
      </c>
      <c r="CC61" s="308" t="str">
        <f aca="false">IF($A61="N/A"," ",AJ61*$AS61)</f>
        <v> </v>
      </c>
      <c r="CD61" s="309" t="str">
        <f aca="false">IF($A61="N/A"," ",AK61*$AT61)</f>
        <v> </v>
      </c>
      <c r="CE61" s="309" t="str">
        <f aca="false">IF($A61="N/A"," ",AL61*$AU61)</f>
        <v> </v>
      </c>
      <c r="CF61" s="309" t="str">
        <f aca="false">IF($A61="N/A"," ",AM61*$AV61)</f>
        <v> </v>
      </c>
      <c r="CG61" s="309" t="str">
        <f aca="false">IF($A61="N/A"," ",AN61*$AW61)</f>
        <v> </v>
      </c>
      <c r="CH61" s="309" t="str">
        <f aca="false">IF($A61="N/A"," ",AO61*$AX61)</f>
        <v> </v>
      </c>
      <c r="CI61" s="309" t="str">
        <f aca="false">IF($A61="N/A"," ",AP61*$AY61)</f>
        <v> </v>
      </c>
      <c r="CJ61" s="309" t="str">
        <f aca="false">IF($A61="N/A"," ",AQ61*$AZ61)</f>
        <v> </v>
      </c>
      <c r="CK61" s="310" t="str">
        <f aca="false">IF($A61="N/A"," ",AR61*$BA61)</f>
        <v> </v>
      </c>
      <c r="CL61" s="311" t="str">
        <f aca="false">IF(A61="N/A"," ",(VLOOKUP(A61,PowerVolTable,(IF(VolBMO=2,7,IF(VolBMO=1,6,8))),FALSE())))</f>
        <v> </v>
      </c>
      <c r="CM61" s="312" t="str">
        <f aca="false">IF(A61="N/A"," ",(VLOOKUP(A61,IntraPowerVol,(IF(VolBMO=2,3,IF(VolBMO=1,2,4))),FALSE())*VLOOKUP(MONTH($A61),Volscale,2)))</f>
        <v> </v>
      </c>
      <c r="CN61" s="312" t="str">
        <f aca="false">IF($A61="N/A"," ",IF(VolType=1,CM61,CL61))</f>
        <v> </v>
      </c>
      <c r="CO61" s="312" t="str">
        <f aca="false">IF($A61="N/A"," ",(VLOOKUP($A61,OffPeakVol,(IF(VolBMO=2,7,IF(VolBMO=1,6,8))),FALSE())))</f>
        <v> </v>
      </c>
      <c r="CP61" s="312" t="str">
        <f aca="false">IF($A61="N/A"," ",(VLOOKUP($A61,OffPeakVol,(IF(VolBMO=2,3,IF(VolBMO=1,2,4))),FALSE())*VLOOKUP(MONTH($A61),Volscale,2)))</f>
        <v> </v>
      </c>
      <c r="CQ61" s="312" t="str">
        <f aca="false">IF($A61="N/A"," ",IF(VolType=1,CP61,CO61))</f>
        <v> </v>
      </c>
      <c r="CR61" s="312" t="str">
        <f aca="false">IF($A61="N/A"," ",(VLOOKUP($A61,GasVolTable,(IF(VolBMO=2,6,IF(VolBMO=1,7,5))),FALSE())))</f>
        <v> </v>
      </c>
      <c r="CS61" s="312" t="str">
        <f aca="false">IF($A61="N/A"," ",(VLOOKUP($A61,OmicronVol,(IF(VolBMO=2,3,IF(VolBMO=1,4,2))),FALSE())))</f>
        <v> </v>
      </c>
      <c r="CT61" s="312" t="str">
        <f aca="false">IF($A61="N/A"," ",(IF(DateToday&gt;$A61,$CS61,IF(VolType=1,((($CR61^2)*((($A61-1)-DateToday)/((EOMONTH($A61,0)+1)-DateToday-15)))+((($CS61)^2)*((15)/((EOMONTH($A61,0)+1)-DateToday-15))))^0.5,CR61))))</f>
        <v> </v>
      </c>
      <c r="CU61" s="312" t="str">
        <f aca="false">IF($A61="N/A"," ",IF('Pricing Inputs'!$AR$23=TRUE(),Inputs!$S$22,VLOOKUP($A61,CorrelationTable,2,FALSE())))</f>
        <v> </v>
      </c>
      <c r="CV61" s="313" t="str">
        <f aca="false">IF($A61="N/A"," ",F61+G61+(D61*('Pricing Inputs'!X96)))</f>
        <v> </v>
      </c>
      <c r="CW61" s="314" t="str">
        <f aca="false">IF($A61="N/A"," ",IF(PV=1,0,'Pricing Inputs'!Y96))</f>
        <v> </v>
      </c>
      <c r="CX61" s="315" t="str">
        <f aca="false">IF($A61="N/A"," ",(1+CW61/2)^(-2*((EOMONTH(A61,0)+20)-DateToday)/365.25))</f>
        <v> </v>
      </c>
      <c r="CY61" s="316" t="str">
        <f aca="false">IF($A61="N/A"," ",(IF(MONTH(A61)&gt;=4,IF(MONTH(A61)&lt;=10,Inputs!$S$26,Inputs!$S$27),Inputs!$S$27))*$CX61)</f>
        <v> </v>
      </c>
      <c r="CZ61" s="317" t="str">
        <f aca="false">IF($A61="N/A"," ",BK61+BL61+BN61+BO61+BQ61+BR61)</f>
        <v> </v>
      </c>
      <c r="DA61" s="318" t="str">
        <f aca="false">IF($A61="N/A"," ",BM61+BP61+BS61)</f>
        <v> </v>
      </c>
      <c r="DB61" s="319" t="str">
        <f aca="false">IF($A61="N/A"," ",BT61+BU61+BW61+BX61+BZ61+CA61)</f>
        <v> </v>
      </c>
      <c r="DC61" s="319" t="str">
        <f aca="false">IF($A61="N/A"," ",BV61+BY61+CB61)</f>
        <v> </v>
      </c>
      <c r="DD61" s="320" t="str">
        <f aca="false">IF($A61="N/A"," ",SUM(CC61:CK61))</f>
        <v> </v>
      </c>
      <c r="DE61" s="321" t="str">
        <f aca="false">IF($A61="N/A"," ",VLOOKUP($A61,NumberofDaysTable,2)*Availability)</f>
        <v> </v>
      </c>
      <c r="DF61" s="94" t="str">
        <f aca="false">IF($A61="N/A"," ",VLOOKUP($A61,NumberofDaysTable,3)*Availability)</f>
        <v> </v>
      </c>
      <c r="DG61" s="322" t="str">
        <f aca="false">IF($A61="N/A"," ",VLOOKUP($A61,NumberofDaysTable,4)*Availability)</f>
        <v> </v>
      </c>
      <c r="DH61" s="323" t="str">
        <f aca="false">IF($A61="N/A"," ",IF(Option=1,$D61*Inputs!$S$15*SUM(AS61:BA61),0))</f>
        <v> </v>
      </c>
      <c r="DI61" s="324" t="str">
        <f aca="false">IF($A61="N/A"," ",IF(Option=1,$D61*Inputs!$S$16*SUM(AS61:BA61),0))</f>
        <v> </v>
      </c>
      <c r="DJ61" s="325" t="str">
        <f aca="false">IF($A61="N/A"," ",SUM(AS61:AT61))</f>
        <v> </v>
      </c>
      <c r="DK61" s="325" t="str">
        <f aca="false">IF($A61="N/A"," ",SUM(AU61:BA61))</f>
        <v> </v>
      </c>
      <c r="DL61" s="325" t="str">
        <f aca="false">IF($A61="N/A"," ",SUM(BB61:BC61))</f>
        <v> </v>
      </c>
      <c r="DM61" s="325" t="str">
        <f aca="false">IF($A61="N/A"," ",SUM(BD61:BJ61))</f>
        <v> </v>
      </c>
    </row>
    <row r="62" customFormat="false" ht="12.75" hidden="false" customHeight="false" outlineLevel="0" collapsed="false">
      <c r="A62" s="282" t="str">
        <f aca="false">IF(A61="N/A","N/A",IF(EDATE(A61,1)&gt;Inputs!$S$5,"N/A",EDATE(A61,1)))</f>
        <v>N/A</v>
      </c>
      <c r="B62" s="283" t="str">
        <f aca="false">IF(A62="N/A"," ",YEAR(A62))</f>
        <v> </v>
      </c>
      <c r="C62" s="284" t="str">
        <f aca="false">IF(A62="N/A"," ",VLOOKUP(A62,ScaledPrice,14))</f>
        <v> </v>
      </c>
      <c r="D62" s="285" t="str">
        <f aca="false">IF(A62="N/A"," ",(VLOOKUP(MONTH($A62),Hrtable,2))/1000)</f>
        <v> </v>
      </c>
      <c r="E62" s="286" t="str">
        <f aca="false">IF($A62="N/A"," ",(C62)*D62)</f>
        <v> </v>
      </c>
      <c r="F62" s="287" t="str">
        <f aca="false">IF(A62="N/A"," ",VOM*(1+VOMesc)^(YEAR(A62)-YEAR(Today)))</f>
        <v> </v>
      </c>
      <c r="G62" s="287" t="str">
        <f aca="false">IF(A62="N/A"," ",Perstart/VLOOKUP(Dayrun,'Pricing Inputs'!$AQ$4:$AS$14,3)/(CY62/CX62))</f>
        <v> </v>
      </c>
      <c r="H62" s="288" t="str">
        <f aca="false">IF(A62="N/A"," ",SUM(E62:G62))</f>
        <v> </v>
      </c>
      <c r="I62" s="289" t="str">
        <f aca="false">VLOOKUP($A62,ScaledPrice,6)</f>
        <v> </v>
      </c>
      <c r="J62" s="290" t="str">
        <f aca="false">VLOOKUP($A62,ScaledPrice,10)</f>
        <v> </v>
      </c>
      <c r="K62" s="290" t="str">
        <f aca="false">VLOOKUP($A62,ScaledPrice,13)</f>
        <v> </v>
      </c>
      <c r="L62" s="290" t="str">
        <f aca="false">VLOOKUP($A62,ScaledPrice,7)</f>
        <v> </v>
      </c>
      <c r="M62" s="290" t="str">
        <f aca="false">VLOOKUP($A62,ScaledPrice,11)</f>
        <v> </v>
      </c>
      <c r="N62" s="290" t="str">
        <f aca="false">VLOOKUP($A62,ScaledPrice,13)</f>
        <v> </v>
      </c>
      <c r="O62" s="290" t="str">
        <f aca="false">VLOOKUP($A62,ScaledPrice,8)</f>
        <v> </v>
      </c>
      <c r="P62" s="290" t="str">
        <f aca="false">VLOOKUP($A62,ScaledPrice,12)</f>
        <v> </v>
      </c>
      <c r="Q62" s="291" t="str">
        <f aca="false">VLOOKUP($A62,ScaledPrice,13)</f>
        <v> </v>
      </c>
      <c r="R62" s="292" t="str">
        <f aca="false">IF($A62="N/A"," ",IF(Dayrun&gt;=3,IF(Option=1,MAX($I62-$H62,0),IF(Option=2,MAX($H62-$I62,0),0)),0))</f>
        <v> </v>
      </c>
      <c r="S62" s="286" t="str">
        <f aca="false">IF($A62="N/A"," ",IF(Dayrun&gt;=6,IF(Option=1,MAX($J62-H62,0),IF(Option=2,MAX(H62-$J62,0),0)),0))</f>
        <v> </v>
      </c>
      <c r="T62" s="286" t="str">
        <f aca="false">IF($A62="N/A"," ",IF(OR(Dayrun&lt;=2,Dayrun&gt;=9),IF(Option=1,MAX($K62-$H62,0),IF(Option=2,MAX($H62-$K62,0),0)),0))</f>
        <v> </v>
      </c>
      <c r="U62" s="286" t="str">
        <f aca="false">IF($A62="N/A"," ",IF(OR(Dayrun=1,Dayrun=4,Dayrun=5,Dayrun=7,Dayrun=8,Dayrun=10,Dayrun=11),IF(Option=1,MAX($L62-H62,0),IF(Option=2,MAX(H62-$L62,0),0)),0))</f>
        <v> </v>
      </c>
      <c r="V62" s="286" t="str">
        <f aca="false">IF($A62="N/A"," ",IF(OR(Dayrun=1,Dayrun=7,Dayrun=8,Dayrun=10,Dayrun=11),IF(Option=1,MAX($M62-H62,0),IF(Option=2,MAX(H62-$M62,0),0)),0))</f>
        <v> </v>
      </c>
      <c r="W62" s="286" t="str">
        <f aca="false">IF($A62="N/A"," ",IF(OR(Dayrun&lt;=2,Dayrun&gt;=10),IF(Option=1,MAX($N62-$H62,0),IF(Option=2,MAX($H62-$N62,0),0)),0))</f>
        <v> </v>
      </c>
      <c r="X62" s="286" t="str">
        <f aca="false">IF($A62="N/A"," ",IF(OR(Dayrun=1,Dayrun=5,Dayrun=8,Dayrun=11),IF(Option=1,MAX($O62-H62,0),IF(Option=2,MAX(H62-$O62,0),0)),0))</f>
        <v> </v>
      </c>
      <c r="Y62" s="286" t="str">
        <f aca="false">IF($A62="N/A"," ",IF(OR(Dayrun=1,Dayrun=8,Dayrun=11),IF(Option=1,MAX($P62-H62,0),IF(Option=2,MAX(H62-$P62,0),0)),0))</f>
        <v> </v>
      </c>
      <c r="Z62" s="293" t="str">
        <f aca="false">IF($A62="N/A"," ",IF(OR(Dayrun&lt;=2,Dayrun&gt;=11),IF(Option=1,MAX($Q62-$H62,0),IF(Option=2,MAX($H62-$Q62,0),0)),0))</f>
        <v> </v>
      </c>
      <c r="AA62" s="289" t="str">
        <f aca="false">IF($A62="N/A"," ",IF(Dayrun&gt;=3,(MAX(0,(xSPRDOPT(I62,($E62-'Pricing Inputs'!$X97*$D62),$CV62,0,($CN62+IF(Smile=TRUE(),VLOOKUP(MAX(-5,$H62-I62),Volsmile,2),0)),$CT62,$CU62,($A62-DateToday)+15,ABS(Option-2),0)-R62))),0))</f>
        <v> </v>
      </c>
      <c r="AB62" s="290" t="str">
        <f aca="false">IF($A62="N/A"," ",IF(Dayrun&gt;=6,MAX(0,(xSPRDOPT(J62,($E62-'Pricing Inputs'!$X97*$D62),$CV62,0,($CN62+IF(Smile=TRUE(),VLOOKUP(MAX(-5,$H62-J62),Volsmile,2),0)),$CT62,$CU62,($A62-DateToday)+15,ABS(Option-2),0)-S62)),0))</f>
        <v> </v>
      </c>
      <c r="AC62" s="290" t="str">
        <f aca="false">IF($A62="N/A"," ",IF(OR(Dayrun&lt;=2,Dayrun&gt;=9),IF(OffPeakEx=TRUE(),MAX(0,(xSPRDOPT(K62,($E62-'Pricing Inputs'!$X97*$D62),$CV62,0,($CQ62+IF(Smile=TRUE(),VLOOKUP(MAX(-5,$H62-K62),Volsmile,2),0)),$CT62,$CU62,($A62-DateToday)+15,ABS(Option-2),0)-T62)),0),0))</f>
        <v> </v>
      </c>
      <c r="AD62" s="290" t="str">
        <f aca="false">IF($A62="N/A"," ",IF(OR(Dayrun=1,Dayrun=4,Dayrun=5,Dayrun=7,Dayrun=8,Dayrun=10,Dayrun=11),MAX(0,(xSPRDOPT(L62,($E62-'Pricing Inputs'!$X97*$D62),$CV62,0,($CQ62+IF(Smile=TRUE(),VLOOKUP(MAX(-5,$H62-L62),Volsmile,2),0)),$CT62,$CU62,($A62-DateToday)+15,ABS(Option-2),0)-U62)),0))</f>
        <v> </v>
      </c>
      <c r="AE62" s="290" t="str">
        <f aca="false">IF($A62="N/A"," ",IF(OR(Dayrun=1,Dayrun=7,Dayrun=8,Dayrun=10,Dayrun=11),MAX(0,(xSPRDOPT(M62,($E62-'Pricing Inputs'!$X97*$D62),$CV62,0,($CQ62+IF(Smile=TRUE(),VLOOKUP(MAX(-5,$H62-M62),Volsmile,2),0)),$CT62,$CU62,($A62-DateToday)+15,ABS(Option-2),0)-V62)),0))</f>
        <v> </v>
      </c>
      <c r="AF62" s="290" t="str">
        <f aca="false">IF($A62="N/A"," ",IF(OR(Dayrun&lt;=2,Dayrun&gt;=10),IF(OffPeakEx=TRUE(),MAX(0,(xSPRDOPT(N62,($E62-'Pricing Inputs'!$X97*$D62),$CV62,0,($CQ62+IF(Smile=TRUE(),VLOOKUP(MAX(-5,$H62-N62),Volsmile,2),0)),$CT62,$CU62,($A62-DateToday)+15,ABS(Option-2),0)-W62)),0),0))</f>
        <v> </v>
      </c>
      <c r="AG62" s="290" t="str">
        <f aca="false">IF($A62="N/A"," ",IF(OR(Dayrun=1,Dayrun=5,Dayrun=8,Dayrun=11),MAX(0,(xSPRDOPT(O62,($E62-'Pricing Inputs'!$X97*$D62),$CV62,0,($CQ62+IF(Smile=TRUE(),VLOOKUP(MAX(-5,$H62-O62),Volsmile,2),0)),$CT62,$CU62,($A62-DateToday)+15,ABS(Option-2),0)-X62)),0))</f>
        <v> </v>
      </c>
      <c r="AH62" s="290" t="str">
        <f aca="false">IF($A62="N/A"," ",IF(OR(Dayrun=1,Dayrun=8,Dayrun=11),MAX(0,(xSPRDOPT(P62,($E62-'Pricing Inputs'!$X97*$D62),$CV62,0,($CQ62+IF(Smile=TRUE(),VLOOKUP(MAX(-5,$H62-P62),Volsmile,2),0)),$CT62,$CU62,($A62-DateToday)+15,ABS(Option-2),0)-Y62)),0))</f>
        <v> </v>
      </c>
      <c r="AI62" s="290" t="str">
        <f aca="false">IF($A62="N/A"," ",IF(OR(Dayrun&lt;=2,Dayrun&gt;=11),IF(OffPeakEx=TRUE(),MAX(0,(xSPRDOPT(Q62,($E62-'Pricing Inputs'!$X97*$D62),$CV62,0,($CQ62+IF(Smile=TRUE(),VLOOKUP(MAX(-5,$H62-Q62),Volsmile,2),0)),$CT62,$CU62,($A62-DateToday)+15,ABS(Option-2),0)-Z62)),0),0))</f>
        <v> </v>
      </c>
      <c r="AJ62" s="294" t="str">
        <f aca="false">IF($A62="N/A"," ",IF(Dayrun&gt;=3,IF(Option=1,$I62-$H62,IF(Option=2,$H62-$I62)),0))</f>
        <v> </v>
      </c>
      <c r="AK62" s="295" t="str">
        <f aca="false">IF($A62="N/A"," ",IF(Dayrun&gt;=6,IF(Option=1,$J62-H62,IF(Option=2,H62-$J62)),0))</f>
        <v> </v>
      </c>
      <c r="AL62" s="295" t="str">
        <f aca="false">IF($A62="N/A"," ",IF(OR(Dayrun&lt;=2,Dayrun&gt;=9),IF(Option=1,$K62-$H62,IF(Option=2,$H62-$K62)),0))</f>
        <v> </v>
      </c>
      <c r="AM62" s="295" t="str">
        <f aca="false">IF($A62="N/A"," ",IF(OR(Dayrun=1,Dayrun=4,Dayrun=5,Dayrun=7,Dayrun=8,Dayrun=10,Dayrun=11),IF(Option=1,$L62-H62,IF(Option=2,H62-$L62)),0))</f>
        <v> </v>
      </c>
      <c r="AN62" s="295" t="str">
        <f aca="false">IF($A62="N/A"," ",IF(OR(Dayrun=1,Dayrun=7,Dayrun=8,Dayrun=10,Dayrun=11),IF(Option=1,$M62-H62,IF(Option=2,H62-$M62)),0))</f>
        <v> </v>
      </c>
      <c r="AO62" s="295" t="str">
        <f aca="false">IF($A62="N/A"," ",IF(OR(Dayrun&lt;=2,Dayrun&gt;=9),IF(Option=1,$N62-$H62,IF(Option=2,$H62-$N62)),0))</f>
        <v> </v>
      </c>
      <c r="AP62" s="295" t="str">
        <f aca="false">IF($A62="N/A"," ",IF(OR(Dayrun=1,Dayrun=5,Dayrun=8,Dayrun=11),IF(Option=1,$O62-H62,IF(Option=2,H62-$O62)),0))</f>
        <v> </v>
      </c>
      <c r="AQ62" s="295" t="str">
        <f aca="false">IF($A62="N/A"," ",IF(OR(Dayrun=1,Dayrun=8,Dayrun=11),IF(Option=1,$P62-H62,IF(Option=2,H62-$P62)),0))</f>
        <v> </v>
      </c>
      <c r="AR62" s="296" t="str">
        <f aca="false">IF($A62="N/A"," ",IF(OR(Dayrun&lt;=2,Dayrun&gt;=9),IF(Option=1,$Q62-H62,IF(Option=2,H62-$Q62)),0))</f>
        <v> </v>
      </c>
      <c r="AS62" s="297" t="str">
        <f aca="false">IF($A62="N/A"," ",IF(VLOOKUP(MONTH($A62),ManualTable,2)=1,IF(Dayrun&gt;=3,$DE62*8*$CY62,0),0))</f>
        <v> </v>
      </c>
      <c r="AT62" s="297" t="str">
        <f aca="false">IF($A62="N/A"," ",IF(VLOOKUP(MONTH($A62),ManualTable,3)=1,IF(Dayrun&gt;=6,$DE62*8*$CY62,0),0))</f>
        <v> </v>
      </c>
      <c r="AU62" s="297" t="str">
        <f aca="false">IF($A62="N/A"," ",IF(VLOOKUP(MONTH($A62),ManualTable,4)=1,IF(OR(Dayrun&lt;=2,Dayrun&gt;=9),$DE62*8*$CY62,0),0))</f>
        <v> </v>
      </c>
      <c r="AV62" s="297" t="str">
        <f aca="false">IF($A62="N/A"," ",IF(VLOOKUP(MONTH($A62),ManualTable,5)=1,IF(OR(Dayrun=1,Dayrun=4,Dayrun=5,Dayrun=7,Dayrun=8,Dayrun=10,Dayrun=11),$DF62*8*$CY62,0),0))</f>
        <v> </v>
      </c>
      <c r="AW62" s="297" t="str">
        <f aca="false">IF($A62="N/A"," ",IF(VLOOKUP(MONTH($A62),ManualTable,6)=1,IF(OR(Dayrun=1,Dayrun=7,Dayrun=8,Dayrun=10,Dayrun=11),$DF62*8*$CY62,0),0))</f>
        <v> </v>
      </c>
      <c r="AX62" s="297" t="str">
        <f aca="false">IF($A62="N/A"," ",IF(VLOOKUP(MONTH($A62),ManualTable,7)=1,IF(OR(Dayrun&lt;=2,Dayrun&gt;=9),$DF62*8*$CY62,0),0))</f>
        <v> </v>
      </c>
      <c r="AY62" s="297" t="str">
        <f aca="false">IF($A62="N/A"," ",IF(VLOOKUP(MONTH($A62),ManualTable,8)=1,IF(OR(Dayrun=1,Dayrun=5,Dayrun=8,Dayrun=11),$DG62*8*$CY62,0),0))</f>
        <v> </v>
      </c>
      <c r="AZ62" s="297" t="str">
        <f aca="false">IF($A62="N/A"," ",IF(VLOOKUP(MONTH($A62),ManualTable,9)=1,IF(OR(Dayrun=1,Dayrun=8,Dayrun=11),$DG62*8*$CY62,0),0))</f>
        <v> </v>
      </c>
      <c r="BA62" s="298" t="str">
        <f aca="false">IF($A62="N/A"," ",IF(VLOOKUP(MONTH($A62),ManualTable,10)=1,IF(OR(Dayrun&lt;=2,Dayrun&gt;=9),$DG62*8*$CY62,0),0))</f>
        <v> </v>
      </c>
      <c r="BB62" s="299" t="str">
        <f aca="false">IF($A62="N/A"," ",IF(Dayrun&gt;=3,(MAX(0,(xSPRDOPT(I62,($E62-'Pricing Inputs'!$X97*$D62),$CV62,0,($CN62+IF(Smile=TRUE(),VLOOKUP(MAX(-5,$H62-I62),Volsmile,2),0)),$CT62,$CU62,($A62-DateToday)+15,ABS(Option-2),1)*DE62*8))),0))</f>
        <v> </v>
      </c>
      <c r="BC62" s="300" t="str">
        <f aca="false">IF($A62="N/A"," ",IF(Dayrun&gt;=6,MAX(0,(xSPRDOPT(J62,($E62-'Pricing Inputs'!$X97*$D62),$CV62,0,($CN62+IF(Smile=TRUE(),VLOOKUP(MAX(-5,$H62-J62),Volsmile,2),0)),$CT62,$CU62,($A62-DateToday)+15,ABS(Option-2),1)*DE62*8)),0))</f>
        <v> </v>
      </c>
      <c r="BD62" s="300" t="str">
        <f aca="false">IF($A62="N/A"," ",IF(OR(Dayrun&lt;=2,Dayrun&gt;=9),IF(OffPeakEx=TRUE(),MAX(0,(xSPRDOPT(K62,($E62-'Pricing Inputs'!$X97*$D62),$CV62,0,($CQ62+IF(Smile=TRUE(),VLOOKUP(MAX(-5,$H62-K62),Volsmile,2),0)),$CT62,$CU62,($A62-DateToday)+15,ABS(Option-2),1)*DE62*8)),0),0))</f>
        <v> </v>
      </c>
      <c r="BE62" s="300" t="str">
        <f aca="false">IF($A62="N/A"," ",IF(OR(Dayrun=1,Dayrun=4,Dayrun=5,Dayrun=7,Dayrun=8,Dayrun=10,Dayrun=11),MAX(0,(xSPRDOPT(L62,($E62-'Pricing Inputs'!$X97*$D62),$CV62,0,($CQ62+IF(Smile=TRUE(),VLOOKUP(MAX(-5,$H62-L62),Volsmile,2),0)),$CT62,$CU62,($A62-DateToday)+15,ABS(Option-2),1)*DF62*8)),0))</f>
        <v> </v>
      </c>
      <c r="BF62" s="300" t="str">
        <f aca="false">IF($A62="N/A"," ",IF(OR(Dayrun=1,Dayrun=7,Dayrun=8,Dayrun=10,Dayrun=11),MAX(0,(xSPRDOPT(M62,($E62-'Pricing Inputs'!$X97*$D62),$CV62,0,($CQ62+IF(Smile=TRUE(),VLOOKUP(MAX(-5,$H62-M62),Volsmile,2),0)),$CT62,$CU62,($A62-DateToday)+15,ABS(Option-2),1)*DF62*8)),0))</f>
        <v> </v>
      </c>
      <c r="BG62" s="300" t="str">
        <f aca="false">IF($A62="N/A"," ",IF(OR(Dayrun&lt;=2,Dayrun&gt;=10),IF(OffPeakEx=TRUE(),MAX(0,(xSPRDOPT(N62,($E62-'Pricing Inputs'!$X97*$D62),$CV62,0,($CQ62+IF(Smile=TRUE(),VLOOKUP(MAX(-5,$H62-N62),Volsmile,2),0)),$CT62,$CU62,($A62-DateToday)+15,ABS(Option-2),1)*DF62*8)),0),0))</f>
        <v> </v>
      </c>
      <c r="BH62" s="300" t="str">
        <f aca="false">IF($A62="N/A"," ",IF(OR(Dayrun=1,Dayrun=5,Dayrun=8,Dayrun=11),MAX(0,(xSPRDOPT(O62,($E62-'Pricing Inputs'!$X97*$D62),$CV62,0,($CQ62+IF(Smile=TRUE(),VLOOKUP(MAX(-5,$H62-O62),Volsmile,2),0)),$CT62,$CU62,($A62-DateToday)+15,ABS(Option-2),1)*DG62*8)),0))</f>
        <v> </v>
      </c>
      <c r="BI62" s="300" t="str">
        <f aca="false">IF($A62="N/A"," ",IF(OR(Dayrun=1,Dayrun=8,Dayrun=11),MAX(0,(xSPRDOPT(P62,($E62-'Pricing Inputs'!$X97*$D62),$CV62,0,($CQ62+IF(Smile=TRUE(),VLOOKUP(MAX(-5,$H62-P62),Volsmile,2),0)),$CT62,$CU62,($A62-DateToday)+15,ABS(Option-2),1)*DG62*8)),0))</f>
        <v> </v>
      </c>
      <c r="BJ62" s="301" t="str">
        <f aca="false">IF($A62="N/A"," ",IF(OR(Dayrun&lt;=2,Dayrun&gt;=11),IF(OffPeakEx=TRUE(),MAX(0,(xSPRDOPT(Q62,($E62-'Pricing Inputs'!$X97*$D62),$CV62,0,($CQ62+IF(Smile=TRUE(),VLOOKUP(MAX(-5,$H62-Q62),Volsmile,2),0)),$CT62,$CU62,($A62-DateToday)+15,ABS(Option-2),1)*DG62*8)),0),0))</f>
        <v> </v>
      </c>
      <c r="BK62" s="302" t="str">
        <f aca="false">IF($A62="N/A"," ",R62*$AS62)</f>
        <v> </v>
      </c>
      <c r="BL62" s="303" t="str">
        <f aca="false">IF($A62="N/A"," ",S62*$AT62)</f>
        <v> </v>
      </c>
      <c r="BM62" s="303" t="str">
        <f aca="false">IF($A62="N/A"," ",T62*$AU62)</f>
        <v> </v>
      </c>
      <c r="BN62" s="303" t="str">
        <f aca="false">IF($A62="N/A"," ",U62*$AV62)</f>
        <v> </v>
      </c>
      <c r="BO62" s="303" t="str">
        <f aca="false">IF($A62="N/A"," ",V62*$AW62)</f>
        <v> </v>
      </c>
      <c r="BP62" s="303" t="str">
        <f aca="false">IF($A62="N/A"," ",W62*$AX62)</f>
        <v> </v>
      </c>
      <c r="BQ62" s="303" t="str">
        <f aca="false">IF($A62="N/A"," ",X62*$AY62)</f>
        <v> </v>
      </c>
      <c r="BR62" s="303" t="str">
        <f aca="false">IF($A62="N/A"," ",Y62*$AZ62)</f>
        <v> </v>
      </c>
      <c r="BS62" s="304" t="str">
        <f aca="false">IF($A62="N/A"," ",Z62*$BA62)</f>
        <v> </v>
      </c>
      <c r="BT62" s="305" t="str">
        <f aca="false">IF($A62="N/A"," ",AA62*$AS62)</f>
        <v> </v>
      </c>
      <c r="BU62" s="306" t="str">
        <f aca="false">IF($A62="N/A"," ",AB62*$AT62)</f>
        <v> </v>
      </c>
      <c r="BV62" s="306" t="str">
        <f aca="false">IF($A62="N/A"," ",AC62*$AU62)</f>
        <v> </v>
      </c>
      <c r="BW62" s="306" t="str">
        <f aca="false">IF($A62="N/A"," ",AD62*$AV62)</f>
        <v> </v>
      </c>
      <c r="BX62" s="306" t="str">
        <f aca="false">IF($A62="N/A"," ",AE62*$AW62)</f>
        <v> </v>
      </c>
      <c r="BY62" s="306" t="str">
        <f aca="false">IF($A62="N/A"," ",AF62*$AX62)</f>
        <v> </v>
      </c>
      <c r="BZ62" s="306" t="str">
        <f aca="false">IF($A62="N/A"," ",AG62*$AY62)</f>
        <v> </v>
      </c>
      <c r="CA62" s="306" t="str">
        <f aca="false">IF($A62="N/A"," ",AH62*$AZ62)</f>
        <v> </v>
      </c>
      <c r="CB62" s="307" t="str">
        <f aca="false">IF($A62="N/A"," ",AI62*$BA62)</f>
        <v> </v>
      </c>
      <c r="CC62" s="308" t="str">
        <f aca="false">IF($A62="N/A"," ",AJ62*$AS62)</f>
        <v> </v>
      </c>
      <c r="CD62" s="309" t="str">
        <f aca="false">IF($A62="N/A"," ",AK62*$AT62)</f>
        <v> </v>
      </c>
      <c r="CE62" s="309" t="str">
        <f aca="false">IF($A62="N/A"," ",AL62*$AU62)</f>
        <v> </v>
      </c>
      <c r="CF62" s="309" t="str">
        <f aca="false">IF($A62="N/A"," ",AM62*$AV62)</f>
        <v> </v>
      </c>
      <c r="CG62" s="309" t="str">
        <f aca="false">IF($A62="N/A"," ",AN62*$AW62)</f>
        <v> </v>
      </c>
      <c r="CH62" s="309" t="str">
        <f aca="false">IF($A62="N/A"," ",AO62*$AX62)</f>
        <v> </v>
      </c>
      <c r="CI62" s="309" t="str">
        <f aca="false">IF($A62="N/A"," ",AP62*$AY62)</f>
        <v> </v>
      </c>
      <c r="CJ62" s="309" t="str">
        <f aca="false">IF($A62="N/A"," ",AQ62*$AZ62)</f>
        <v> </v>
      </c>
      <c r="CK62" s="310" t="str">
        <f aca="false">IF($A62="N/A"," ",AR62*$BA62)</f>
        <v> </v>
      </c>
      <c r="CL62" s="311" t="str">
        <f aca="false">IF(A62="N/A"," ",(VLOOKUP(A62,PowerVolTable,(IF(VolBMO=2,7,IF(VolBMO=1,6,8))),FALSE())))</f>
        <v> </v>
      </c>
      <c r="CM62" s="312" t="str">
        <f aca="false">IF(A62="N/A"," ",(VLOOKUP(A62,IntraPowerVol,(IF(VolBMO=2,3,IF(VolBMO=1,2,4))),FALSE())*VLOOKUP(MONTH($A62),Volscale,2)))</f>
        <v> </v>
      </c>
      <c r="CN62" s="312" t="str">
        <f aca="false">IF($A62="N/A"," ",IF(VolType=1,CM62,CL62))</f>
        <v> </v>
      </c>
      <c r="CO62" s="312" t="str">
        <f aca="false">IF($A62="N/A"," ",(VLOOKUP($A62,OffPeakVol,(IF(VolBMO=2,7,IF(VolBMO=1,6,8))),FALSE())))</f>
        <v> </v>
      </c>
      <c r="CP62" s="312" t="str">
        <f aca="false">IF($A62="N/A"," ",(VLOOKUP($A62,OffPeakVol,(IF(VolBMO=2,3,IF(VolBMO=1,2,4))),FALSE())*VLOOKUP(MONTH($A62),Volscale,2)))</f>
        <v> </v>
      </c>
      <c r="CQ62" s="312" t="str">
        <f aca="false">IF($A62="N/A"," ",IF(VolType=1,CP62,CO62))</f>
        <v> </v>
      </c>
      <c r="CR62" s="312" t="str">
        <f aca="false">IF($A62="N/A"," ",(VLOOKUP($A62,GasVolTable,(IF(VolBMO=2,6,IF(VolBMO=1,7,5))),FALSE())))</f>
        <v> </v>
      </c>
      <c r="CS62" s="312" t="str">
        <f aca="false">IF($A62="N/A"," ",(VLOOKUP($A62,OmicronVol,(IF(VolBMO=2,3,IF(VolBMO=1,4,2))),FALSE())))</f>
        <v> </v>
      </c>
      <c r="CT62" s="312" t="str">
        <f aca="false">IF($A62="N/A"," ",(IF(DateToday&gt;$A62,$CS62,IF(VolType=1,((($CR62^2)*((($A62-1)-DateToday)/((EOMONTH($A62,0)+1)-DateToday-15)))+((($CS62)^2)*((15)/((EOMONTH($A62,0)+1)-DateToday-15))))^0.5,CR62))))</f>
        <v> </v>
      </c>
      <c r="CU62" s="312" t="str">
        <f aca="false">IF($A62="N/A"," ",IF('Pricing Inputs'!$AR$23=TRUE(),Inputs!$S$22,VLOOKUP($A62,CorrelationTable,2,FALSE())))</f>
        <v> </v>
      </c>
      <c r="CV62" s="313" t="str">
        <f aca="false">IF($A62="N/A"," ",F62+G62+(D62*('Pricing Inputs'!X97)))</f>
        <v> </v>
      </c>
      <c r="CW62" s="314" t="str">
        <f aca="false">IF($A62="N/A"," ",IF(PV=1,0,'Pricing Inputs'!Y97))</f>
        <v> </v>
      </c>
      <c r="CX62" s="315" t="str">
        <f aca="false">IF($A62="N/A"," ",(1+CW62/2)^(-2*((EOMONTH(A62,0)+20)-DateToday)/365.25))</f>
        <v> </v>
      </c>
      <c r="CY62" s="316" t="str">
        <f aca="false">IF($A62="N/A"," ",(IF(MONTH(A62)&gt;=4,IF(MONTH(A62)&lt;=10,Inputs!$S$26,Inputs!$S$27),Inputs!$S$27))*$CX62)</f>
        <v> </v>
      </c>
      <c r="CZ62" s="317" t="str">
        <f aca="false">IF($A62="N/A"," ",BK62+BL62+BN62+BO62+BQ62+BR62)</f>
        <v> </v>
      </c>
      <c r="DA62" s="318" t="str">
        <f aca="false">IF($A62="N/A"," ",BM62+BP62+BS62)</f>
        <v> </v>
      </c>
      <c r="DB62" s="319" t="str">
        <f aca="false">IF($A62="N/A"," ",BT62+BU62+BW62+BX62+BZ62+CA62)</f>
        <v> </v>
      </c>
      <c r="DC62" s="319" t="str">
        <f aca="false">IF($A62="N/A"," ",BV62+BY62+CB62)</f>
        <v> </v>
      </c>
      <c r="DD62" s="320" t="str">
        <f aca="false">IF($A62="N/A"," ",SUM(CC62:CK62))</f>
        <v> </v>
      </c>
      <c r="DE62" s="321" t="str">
        <f aca="false">IF($A62="N/A"," ",VLOOKUP($A62,NumberofDaysTable,2)*Availability)</f>
        <v> </v>
      </c>
      <c r="DF62" s="94" t="str">
        <f aca="false">IF($A62="N/A"," ",VLOOKUP($A62,NumberofDaysTable,3)*Availability)</f>
        <v> </v>
      </c>
      <c r="DG62" s="322" t="str">
        <f aca="false">IF($A62="N/A"," ",VLOOKUP($A62,NumberofDaysTable,4)*Availability)</f>
        <v> </v>
      </c>
      <c r="DH62" s="323" t="str">
        <f aca="false">IF($A62="N/A"," ",IF(Option=1,$D62*Inputs!$S$15*SUM(AS62:BA62),0))</f>
        <v> </v>
      </c>
      <c r="DI62" s="324" t="str">
        <f aca="false">IF($A62="N/A"," ",IF(Option=1,$D62*Inputs!$S$16*SUM(AS62:BA62),0))</f>
        <v> </v>
      </c>
      <c r="DJ62" s="325" t="str">
        <f aca="false">IF($A62="N/A"," ",SUM(AS62:AT62))</f>
        <v> </v>
      </c>
      <c r="DK62" s="325" t="str">
        <f aca="false">IF($A62="N/A"," ",SUM(AU62:BA62))</f>
        <v> </v>
      </c>
      <c r="DL62" s="325" t="str">
        <f aca="false">IF($A62="N/A"," ",SUM(BB62:BC62))</f>
        <v> </v>
      </c>
      <c r="DM62" s="325" t="str">
        <f aca="false">IF($A62="N/A"," ",SUM(BD62:BJ62))</f>
        <v> </v>
      </c>
    </row>
    <row r="63" customFormat="false" ht="12.75" hidden="false" customHeight="false" outlineLevel="0" collapsed="false">
      <c r="A63" s="282" t="str">
        <f aca="false">IF(A62="N/A","N/A",IF(EDATE(A62,1)&gt;Inputs!$S$5,"N/A",EDATE(A62,1)))</f>
        <v>N/A</v>
      </c>
      <c r="B63" s="283" t="str">
        <f aca="false">IF(A63="N/A"," ",YEAR(A63))</f>
        <v> </v>
      </c>
      <c r="C63" s="284" t="str">
        <f aca="false">IF(A63="N/A"," ",VLOOKUP(A63,ScaledPrice,14))</f>
        <v> </v>
      </c>
      <c r="D63" s="285" t="str">
        <f aca="false">IF(A63="N/A"," ",(VLOOKUP(MONTH($A63),Hrtable,2))/1000)</f>
        <v> </v>
      </c>
      <c r="E63" s="286" t="str">
        <f aca="false">IF($A63="N/A"," ",(C63)*D63)</f>
        <v> </v>
      </c>
      <c r="F63" s="287" t="str">
        <f aca="false">IF(A63="N/A"," ",VOM*(1+VOMesc)^(YEAR(A63)-YEAR(Today)))</f>
        <v> </v>
      </c>
      <c r="G63" s="287" t="str">
        <f aca="false">IF(A63="N/A"," ",Perstart/VLOOKUP(Dayrun,'Pricing Inputs'!$AQ$4:$AS$14,3)/(CY63/CX63))</f>
        <v> </v>
      </c>
      <c r="H63" s="288" t="str">
        <f aca="false">IF(A63="N/A"," ",SUM(E63:G63))</f>
        <v> </v>
      </c>
      <c r="I63" s="289" t="str">
        <f aca="false">VLOOKUP($A63,ScaledPrice,6)</f>
        <v> </v>
      </c>
      <c r="J63" s="290" t="str">
        <f aca="false">VLOOKUP($A63,ScaledPrice,10)</f>
        <v> </v>
      </c>
      <c r="K63" s="290" t="str">
        <f aca="false">VLOOKUP($A63,ScaledPrice,13)</f>
        <v> </v>
      </c>
      <c r="L63" s="290" t="str">
        <f aca="false">VLOOKUP($A63,ScaledPrice,7)</f>
        <v> </v>
      </c>
      <c r="M63" s="290" t="str">
        <f aca="false">VLOOKUP($A63,ScaledPrice,11)</f>
        <v> </v>
      </c>
      <c r="N63" s="290" t="str">
        <f aca="false">VLOOKUP($A63,ScaledPrice,13)</f>
        <v> </v>
      </c>
      <c r="O63" s="290" t="str">
        <f aca="false">VLOOKUP($A63,ScaledPrice,8)</f>
        <v> </v>
      </c>
      <c r="P63" s="290" t="str">
        <f aca="false">VLOOKUP($A63,ScaledPrice,12)</f>
        <v> </v>
      </c>
      <c r="Q63" s="291" t="str">
        <f aca="false">VLOOKUP($A63,ScaledPrice,13)</f>
        <v> </v>
      </c>
      <c r="R63" s="292" t="str">
        <f aca="false">IF($A63="N/A"," ",IF(Dayrun&gt;=3,IF(Option=1,MAX($I63-$H63,0),IF(Option=2,MAX($H63-$I63,0),0)),0))</f>
        <v> </v>
      </c>
      <c r="S63" s="286" t="str">
        <f aca="false">IF($A63="N/A"," ",IF(Dayrun&gt;=6,IF(Option=1,MAX($J63-H63,0),IF(Option=2,MAX(H63-$J63,0),0)),0))</f>
        <v> </v>
      </c>
      <c r="T63" s="286" t="str">
        <f aca="false">IF($A63="N/A"," ",IF(OR(Dayrun&lt;=2,Dayrun&gt;=9),IF(Option=1,MAX($K63-$H63,0),IF(Option=2,MAX($H63-$K63,0),0)),0))</f>
        <v> </v>
      </c>
      <c r="U63" s="286" t="str">
        <f aca="false">IF($A63="N/A"," ",IF(OR(Dayrun=1,Dayrun=4,Dayrun=5,Dayrun=7,Dayrun=8,Dayrun=10,Dayrun=11),IF(Option=1,MAX($L63-H63,0),IF(Option=2,MAX(H63-$L63,0),0)),0))</f>
        <v> </v>
      </c>
      <c r="V63" s="286" t="str">
        <f aca="false">IF($A63="N/A"," ",IF(OR(Dayrun=1,Dayrun=7,Dayrun=8,Dayrun=10,Dayrun=11),IF(Option=1,MAX($M63-H63,0),IF(Option=2,MAX(H63-$M63,0),0)),0))</f>
        <v> </v>
      </c>
      <c r="W63" s="286" t="str">
        <f aca="false">IF($A63="N/A"," ",IF(OR(Dayrun&lt;=2,Dayrun&gt;=10),IF(Option=1,MAX($N63-$H63,0),IF(Option=2,MAX($H63-$N63,0),0)),0))</f>
        <v> </v>
      </c>
      <c r="X63" s="286" t="str">
        <f aca="false">IF($A63="N/A"," ",IF(OR(Dayrun=1,Dayrun=5,Dayrun=8,Dayrun=11),IF(Option=1,MAX($O63-H63,0),IF(Option=2,MAX(H63-$O63,0),0)),0))</f>
        <v> </v>
      </c>
      <c r="Y63" s="286" t="str">
        <f aca="false">IF($A63="N/A"," ",IF(OR(Dayrun=1,Dayrun=8,Dayrun=11),IF(Option=1,MAX($P63-H63,0),IF(Option=2,MAX(H63-$P63,0),0)),0))</f>
        <v> </v>
      </c>
      <c r="Z63" s="293" t="str">
        <f aca="false">IF($A63="N/A"," ",IF(OR(Dayrun&lt;=2,Dayrun&gt;=11),IF(Option=1,MAX($Q63-$H63,0),IF(Option=2,MAX($H63-$Q63,0),0)),0))</f>
        <v> </v>
      </c>
      <c r="AA63" s="289" t="str">
        <f aca="false">IF($A63="N/A"," ",IF(Dayrun&gt;=3,(MAX(0,(xSPRDOPT(I63,($E63-'Pricing Inputs'!$X98*$D63),$CV63,0,($CN63+IF(Smile=TRUE(),VLOOKUP(MAX(-5,$H63-I63),Volsmile,2),0)),$CT63,$CU63,($A63-DateToday)+15,ABS(Option-2),0)-R63))),0))</f>
        <v> </v>
      </c>
      <c r="AB63" s="290" t="str">
        <f aca="false">IF($A63="N/A"," ",IF(Dayrun&gt;=6,MAX(0,(xSPRDOPT(J63,($E63-'Pricing Inputs'!$X98*$D63),$CV63,0,($CN63+IF(Smile=TRUE(),VLOOKUP(MAX(-5,$H63-J63),Volsmile,2),0)),$CT63,$CU63,($A63-DateToday)+15,ABS(Option-2),0)-S63)),0))</f>
        <v> </v>
      </c>
      <c r="AC63" s="290" t="str">
        <f aca="false">IF($A63="N/A"," ",IF(OR(Dayrun&lt;=2,Dayrun&gt;=9),IF(OffPeakEx=TRUE(),MAX(0,(xSPRDOPT(K63,($E63-'Pricing Inputs'!$X98*$D63),$CV63,0,($CQ63+IF(Smile=TRUE(),VLOOKUP(MAX(-5,$H63-K63),Volsmile,2),0)),$CT63,$CU63,($A63-DateToday)+15,ABS(Option-2),0)-T63)),0),0))</f>
        <v> </v>
      </c>
      <c r="AD63" s="290" t="str">
        <f aca="false">IF($A63="N/A"," ",IF(OR(Dayrun=1,Dayrun=4,Dayrun=5,Dayrun=7,Dayrun=8,Dayrun=10,Dayrun=11),MAX(0,(xSPRDOPT(L63,($E63-'Pricing Inputs'!$X98*$D63),$CV63,0,($CQ63+IF(Smile=TRUE(),VLOOKUP(MAX(-5,$H63-L63),Volsmile,2),0)),$CT63,$CU63,($A63-DateToday)+15,ABS(Option-2),0)-U63)),0))</f>
        <v> </v>
      </c>
      <c r="AE63" s="290" t="str">
        <f aca="false">IF($A63="N/A"," ",IF(OR(Dayrun=1,Dayrun=7,Dayrun=8,Dayrun=10,Dayrun=11),MAX(0,(xSPRDOPT(M63,($E63-'Pricing Inputs'!$X98*$D63),$CV63,0,($CQ63+IF(Smile=TRUE(),VLOOKUP(MAX(-5,$H63-M63),Volsmile,2),0)),$CT63,$CU63,($A63-DateToday)+15,ABS(Option-2),0)-V63)),0))</f>
        <v> </v>
      </c>
      <c r="AF63" s="290" t="str">
        <f aca="false">IF($A63="N/A"," ",IF(OR(Dayrun&lt;=2,Dayrun&gt;=10),IF(OffPeakEx=TRUE(),MAX(0,(xSPRDOPT(N63,($E63-'Pricing Inputs'!$X98*$D63),$CV63,0,($CQ63+IF(Smile=TRUE(),VLOOKUP(MAX(-5,$H63-N63),Volsmile,2),0)),$CT63,$CU63,($A63-DateToday)+15,ABS(Option-2),0)-W63)),0),0))</f>
        <v> </v>
      </c>
      <c r="AG63" s="290" t="str">
        <f aca="false">IF($A63="N/A"," ",IF(OR(Dayrun=1,Dayrun=5,Dayrun=8,Dayrun=11),MAX(0,(xSPRDOPT(O63,($E63-'Pricing Inputs'!$X98*$D63),$CV63,0,($CQ63+IF(Smile=TRUE(),VLOOKUP(MAX(-5,$H63-O63),Volsmile,2),0)),$CT63,$CU63,($A63-DateToday)+15,ABS(Option-2),0)-X63)),0))</f>
        <v> </v>
      </c>
      <c r="AH63" s="290" t="str">
        <f aca="false">IF($A63="N/A"," ",IF(OR(Dayrun=1,Dayrun=8,Dayrun=11),MAX(0,(xSPRDOPT(P63,($E63-'Pricing Inputs'!$X98*$D63),$CV63,0,($CQ63+IF(Smile=TRUE(),VLOOKUP(MAX(-5,$H63-P63),Volsmile,2),0)),$CT63,$CU63,($A63-DateToday)+15,ABS(Option-2),0)-Y63)),0))</f>
        <v> </v>
      </c>
      <c r="AI63" s="290" t="str">
        <f aca="false">IF($A63="N/A"," ",IF(OR(Dayrun&lt;=2,Dayrun&gt;=11),IF(OffPeakEx=TRUE(),MAX(0,(xSPRDOPT(Q63,($E63-'Pricing Inputs'!$X98*$D63),$CV63,0,($CQ63+IF(Smile=TRUE(),VLOOKUP(MAX(-5,$H63-Q63),Volsmile,2),0)),$CT63,$CU63,($A63-DateToday)+15,ABS(Option-2),0)-Z63)),0),0))</f>
        <v> </v>
      </c>
      <c r="AJ63" s="294" t="str">
        <f aca="false">IF($A63="N/A"," ",IF(Dayrun&gt;=3,IF(Option=1,$I63-$H63,IF(Option=2,$H63-$I63)),0))</f>
        <v> </v>
      </c>
      <c r="AK63" s="295" t="str">
        <f aca="false">IF($A63="N/A"," ",IF(Dayrun&gt;=6,IF(Option=1,$J63-H63,IF(Option=2,H63-$J63)),0))</f>
        <v> </v>
      </c>
      <c r="AL63" s="295" t="str">
        <f aca="false">IF($A63="N/A"," ",IF(OR(Dayrun&lt;=2,Dayrun&gt;=9),IF(Option=1,$K63-$H63,IF(Option=2,$H63-$K63)),0))</f>
        <v> </v>
      </c>
      <c r="AM63" s="295" t="str">
        <f aca="false">IF($A63="N/A"," ",IF(OR(Dayrun=1,Dayrun=4,Dayrun=5,Dayrun=7,Dayrun=8,Dayrun=10,Dayrun=11),IF(Option=1,$L63-H63,IF(Option=2,H63-$L63)),0))</f>
        <v> </v>
      </c>
      <c r="AN63" s="295" t="str">
        <f aca="false">IF($A63="N/A"," ",IF(OR(Dayrun=1,Dayrun=7,Dayrun=8,Dayrun=10,Dayrun=11),IF(Option=1,$M63-H63,IF(Option=2,H63-$M63)),0))</f>
        <v> </v>
      </c>
      <c r="AO63" s="295" t="str">
        <f aca="false">IF($A63="N/A"," ",IF(OR(Dayrun&lt;=2,Dayrun&gt;=9),IF(Option=1,$N63-$H63,IF(Option=2,$H63-$N63)),0))</f>
        <v> </v>
      </c>
      <c r="AP63" s="295" t="str">
        <f aca="false">IF($A63="N/A"," ",IF(OR(Dayrun=1,Dayrun=5,Dayrun=8,Dayrun=11),IF(Option=1,$O63-H63,IF(Option=2,H63-$O63)),0))</f>
        <v> </v>
      </c>
      <c r="AQ63" s="295" t="str">
        <f aca="false">IF($A63="N/A"," ",IF(OR(Dayrun=1,Dayrun=8,Dayrun=11),IF(Option=1,$P63-H63,IF(Option=2,H63-$P63)),0))</f>
        <v> </v>
      </c>
      <c r="AR63" s="296" t="str">
        <f aca="false">IF($A63="N/A"," ",IF(OR(Dayrun&lt;=2,Dayrun&gt;=9),IF(Option=1,$Q63-H63,IF(Option=2,H63-$Q63)),0))</f>
        <v> </v>
      </c>
      <c r="AS63" s="297" t="str">
        <f aca="false">IF($A63="N/A"," ",IF(VLOOKUP(MONTH($A63),ManualTable,2)=1,IF(Dayrun&gt;=3,$DE63*8*$CY63,0),0))</f>
        <v> </v>
      </c>
      <c r="AT63" s="297" t="str">
        <f aca="false">IF($A63="N/A"," ",IF(VLOOKUP(MONTH($A63),ManualTable,3)=1,IF(Dayrun&gt;=6,$DE63*8*$CY63,0),0))</f>
        <v> </v>
      </c>
      <c r="AU63" s="297" t="str">
        <f aca="false">IF($A63="N/A"," ",IF(VLOOKUP(MONTH($A63),ManualTable,4)=1,IF(OR(Dayrun&lt;=2,Dayrun&gt;=9),$DE63*8*$CY63,0),0))</f>
        <v> </v>
      </c>
      <c r="AV63" s="297" t="str">
        <f aca="false">IF($A63="N/A"," ",IF(VLOOKUP(MONTH($A63),ManualTable,5)=1,IF(OR(Dayrun=1,Dayrun=4,Dayrun=5,Dayrun=7,Dayrun=8,Dayrun=10,Dayrun=11),$DF63*8*$CY63,0),0))</f>
        <v> </v>
      </c>
      <c r="AW63" s="297" t="str">
        <f aca="false">IF($A63="N/A"," ",IF(VLOOKUP(MONTH($A63),ManualTable,6)=1,IF(OR(Dayrun=1,Dayrun=7,Dayrun=8,Dayrun=10,Dayrun=11),$DF63*8*$CY63,0),0))</f>
        <v> </v>
      </c>
      <c r="AX63" s="297" t="str">
        <f aca="false">IF($A63="N/A"," ",IF(VLOOKUP(MONTH($A63),ManualTable,7)=1,IF(OR(Dayrun&lt;=2,Dayrun&gt;=9),$DF63*8*$CY63,0),0))</f>
        <v> </v>
      </c>
      <c r="AY63" s="297" t="str">
        <f aca="false">IF($A63="N/A"," ",IF(VLOOKUP(MONTH($A63),ManualTable,8)=1,IF(OR(Dayrun=1,Dayrun=5,Dayrun=8,Dayrun=11),$DG63*8*$CY63,0),0))</f>
        <v> </v>
      </c>
      <c r="AZ63" s="297" t="str">
        <f aca="false">IF($A63="N/A"," ",IF(VLOOKUP(MONTH($A63),ManualTable,9)=1,IF(OR(Dayrun=1,Dayrun=8,Dayrun=11),$DG63*8*$CY63,0),0))</f>
        <v> </v>
      </c>
      <c r="BA63" s="298" t="str">
        <f aca="false">IF($A63="N/A"," ",IF(VLOOKUP(MONTH($A63),ManualTable,10)=1,IF(OR(Dayrun&lt;=2,Dayrun&gt;=9),$DG63*8*$CY63,0),0))</f>
        <v> </v>
      </c>
      <c r="BB63" s="299" t="str">
        <f aca="false">IF($A63="N/A"," ",IF(Dayrun&gt;=3,(MAX(0,(xSPRDOPT(I63,($E63-'Pricing Inputs'!$X98*$D63),$CV63,0,($CN63+IF(Smile=TRUE(),VLOOKUP(MAX(-5,$H63-I63),Volsmile,2),0)),$CT63,$CU63,($A63-DateToday)+15,ABS(Option-2),1)*DE63*8))),0))</f>
        <v> </v>
      </c>
      <c r="BC63" s="300" t="str">
        <f aca="false">IF($A63="N/A"," ",IF(Dayrun&gt;=6,MAX(0,(xSPRDOPT(J63,($E63-'Pricing Inputs'!$X98*$D63),$CV63,0,($CN63+IF(Smile=TRUE(),VLOOKUP(MAX(-5,$H63-J63),Volsmile,2),0)),$CT63,$CU63,($A63-DateToday)+15,ABS(Option-2),1)*DE63*8)),0))</f>
        <v> </v>
      </c>
      <c r="BD63" s="300" t="str">
        <f aca="false">IF($A63="N/A"," ",IF(OR(Dayrun&lt;=2,Dayrun&gt;=9),IF(OffPeakEx=TRUE(),MAX(0,(xSPRDOPT(K63,($E63-'Pricing Inputs'!$X98*$D63),$CV63,0,($CQ63+IF(Smile=TRUE(),VLOOKUP(MAX(-5,$H63-K63),Volsmile,2),0)),$CT63,$CU63,($A63-DateToday)+15,ABS(Option-2),1)*DE63*8)),0),0))</f>
        <v> </v>
      </c>
      <c r="BE63" s="300" t="str">
        <f aca="false">IF($A63="N/A"," ",IF(OR(Dayrun=1,Dayrun=4,Dayrun=5,Dayrun=7,Dayrun=8,Dayrun=10,Dayrun=11),MAX(0,(xSPRDOPT(L63,($E63-'Pricing Inputs'!$X98*$D63),$CV63,0,($CQ63+IF(Smile=TRUE(),VLOOKUP(MAX(-5,$H63-L63),Volsmile,2),0)),$CT63,$CU63,($A63-DateToday)+15,ABS(Option-2),1)*DF63*8)),0))</f>
        <v> </v>
      </c>
      <c r="BF63" s="300" t="str">
        <f aca="false">IF($A63="N/A"," ",IF(OR(Dayrun=1,Dayrun=7,Dayrun=8,Dayrun=10,Dayrun=11),MAX(0,(xSPRDOPT(M63,($E63-'Pricing Inputs'!$X98*$D63),$CV63,0,($CQ63+IF(Smile=TRUE(),VLOOKUP(MAX(-5,$H63-M63),Volsmile,2),0)),$CT63,$CU63,($A63-DateToday)+15,ABS(Option-2),1)*DF63*8)),0))</f>
        <v> </v>
      </c>
      <c r="BG63" s="300" t="str">
        <f aca="false">IF($A63="N/A"," ",IF(OR(Dayrun&lt;=2,Dayrun&gt;=10),IF(OffPeakEx=TRUE(),MAX(0,(xSPRDOPT(N63,($E63-'Pricing Inputs'!$X98*$D63),$CV63,0,($CQ63+IF(Smile=TRUE(),VLOOKUP(MAX(-5,$H63-N63),Volsmile,2),0)),$CT63,$CU63,($A63-DateToday)+15,ABS(Option-2),1)*DF63*8)),0),0))</f>
        <v> </v>
      </c>
      <c r="BH63" s="300" t="str">
        <f aca="false">IF($A63="N/A"," ",IF(OR(Dayrun=1,Dayrun=5,Dayrun=8,Dayrun=11),MAX(0,(xSPRDOPT(O63,($E63-'Pricing Inputs'!$X98*$D63),$CV63,0,($CQ63+IF(Smile=TRUE(),VLOOKUP(MAX(-5,$H63-O63),Volsmile,2),0)),$CT63,$CU63,($A63-DateToday)+15,ABS(Option-2),1)*DG63*8)),0))</f>
        <v> </v>
      </c>
      <c r="BI63" s="300" t="str">
        <f aca="false">IF($A63="N/A"," ",IF(OR(Dayrun=1,Dayrun=8,Dayrun=11),MAX(0,(xSPRDOPT(P63,($E63-'Pricing Inputs'!$X98*$D63),$CV63,0,($CQ63+IF(Smile=TRUE(),VLOOKUP(MAX(-5,$H63-P63),Volsmile,2),0)),$CT63,$CU63,($A63-DateToday)+15,ABS(Option-2),1)*DG63*8)),0))</f>
        <v> </v>
      </c>
      <c r="BJ63" s="301" t="str">
        <f aca="false">IF($A63="N/A"," ",IF(OR(Dayrun&lt;=2,Dayrun&gt;=11),IF(OffPeakEx=TRUE(),MAX(0,(xSPRDOPT(Q63,($E63-'Pricing Inputs'!$X98*$D63),$CV63,0,($CQ63+IF(Smile=TRUE(),VLOOKUP(MAX(-5,$H63-Q63),Volsmile,2),0)),$CT63,$CU63,($A63-DateToday)+15,ABS(Option-2),1)*DG63*8)),0),0))</f>
        <v> </v>
      </c>
      <c r="BK63" s="302" t="str">
        <f aca="false">IF($A63="N/A"," ",R63*$AS63)</f>
        <v> </v>
      </c>
      <c r="BL63" s="303" t="str">
        <f aca="false">IF($A63="N/A"," ",S63*$AT63)</f>
        <v> </v>
      </c>
      <c r="BM63" s="303" t="str">
        <f aca="false">IF($A63="N/A"," ",T63*$AU63)</f>
        <v> </v>
      </c>
      <c r="BN63" s="303" t="str">
        <f aca="false">IF($A63="N/A"," ",U63*$AV63)</f>
        <v> </v>
      </c>
      <c r="BO63" s="303" t="str">
        <f aca="false">IF($A63="N/A"," ",V63*$AW63)</f>
        <v> </v>
      </c>
      <c r="BP63" s="303" t="str">
        <f aca="false">IF($A63="N/A"," ",W63*$AX63)</f>
        <v> </v>
      </c>
      <c r="BQ63" s="303" t="str">
        <f aca="false">IF($A63="N/A"," ",X63*$AY63)</f>
        <v> </v>
      </c>
      <c r="BR63" s="303" t="str">
        <f aca="false">IF($A63="N/A"," ",Y63*$AZ63)</f>
        <v> </v>
      </c>
      <c r="BS63" s="304" t="str">
        <f aca="false">IF($A63="N/A"," ",Z63*$BA63)</f>
        <v> </v>
      </c>
      <c r="BT63" s="305" t="str">
        <f aca="false">IF($A63="N/A"," ",AA63*$AS63)</f>
        <v> </v>
      </c>
      <c r="BU63" s="306" t="str">
        <f aca="false">IF($A63="N/A"," ",AB63*$AT63)</f>
        <v> </v>
      </c>
      <c r="BV63" s="306" t="str">
        <f aca="false">IF($A63="N/A"," ",AC63*$AU63)</f>
        <v> </v>
      </c>
      <c r="BW63" s="306" t="str">
        <f aca="false">IF($A63="N/A"," ",AD63*$AV63)</f>
        <v> </v>
      </c>
      <c r="BX63" s="306" t="str">
        <f aca="false">IF($A63="N/A"," ",AE63*$AW63)</f>
        <v> </v>
      </c>
      <c r="BY63" s="306" t="str">
        <f aca="false">IF($A63="N/A"," ",AF63*$AX63)</f>
        <v> </v>
      </c>
      <c r="BZ63" s="306" t="str">
        <f aca="false">IF($A63="N/A"," ",AG63*$AY63)</f>
        <v> </v>
      </c>
      <c r="CA63" s="306" t="str">
        <f aca="false">IF($A63="N/A"," ",AH63*$AZ63)</f>
        <v> </v>
      </c>
      <c r="CB63" s="307" t="str">
        <f aca="false">IF($A63="N/A"," ",AI63*$BA63)</f>
        <v> </v>
      </c>
      <c r="CC63" s="308" t="str">
        <f aca="false">IF($A63="N/A"," ",AJ63*$AS63)</f>
        <v> </v>
      </c>
      <c r="CD63" s="309" t="str">
        <f aca="false">IF($A63="N/A"," ",AK63*$AT63)</f>
        <v> </v>
      </c>
      <c r="CE63" s="309" t="str">
        <f aca="false">IF($A63="N/A"," ",AL63*$AU63)</f>
        <v> </v>
      </c>
      <c r="CF63" s="309" t="str">
        <f aca="false">IF($A63="N/A"," ",AM63*$AV63)</f>
        <v> </v>
      </c>
      <c r="CG63" s="309" t="str">
        <f aca="false">IF($A63="N/A"," ",AN63*$AW63)</f>
        <v> </v>
      </c>
      <c r="CH63" s="309" t="str">
        <f aca="false">IF($A63="N/A"," ",AO63*$AX63)</f>
        <v> </v>
      </c>
      <c r="CI63" s="309" t="str">
        <f aca="false">IF($A63="N/A"," ",AP63*$AY63)</f>
        <v> </v>
      </c>
      <c r="CJ63" s="309" t="str">
        <f aca="false">IF($A63="N/A"," ",AQ63*$AZ63)</f>
        <v> </v>
      </c>
      <c r="CK63" s="310" t="str">
        <f aca="false">IF($A63="N/A"," ",AR63*$BA63)</f>
        <v> </v>
      </c>
      <c r="CL63" s="311" t="str">
        <f aca="false">IF(A63="N/A"," ",(VLOOKUP(A63,PowerVolTable,(IF(VolBMO=2,7,IF(VolBMO=1,6,8))),FALSE())))</f>
        <v> </v>
      </c>
      <c r="CM63" s="312" t="str">
        <f aca="false">IF(A63="N/A"," ",(VLOOKUP(A63,IntraPowerVol,(IF(VolBMO=2,3,IF(VolBMO=1,2,4))),FALSE())*VLOOKUP(MONTH($A63),Volscale,2)))</f>
        <v> </v>
      </c>
      <c r="CN63" s="312" t="str">
        <f aca="false">IF($A63="N/A"," ",IF(VolType=1,CM63,CL63))</f>
        <v> </v>
      </c>
      <c r="CO63" s="312" t="str">
        <f aca="false">IF($A63="N/A"," ",(VLOOKUP($A63,OffPeakVol,(IF(VolBMO=2,7,IF(VolBMO=1,6,8))),FALSE())))</f>
        <v> </v>
      </c>
      <c r="CP63" s="312" t="str">
        <f aca="false">IF($A63="N/A"," ",(VLOOKUP($A63,OffPeakVol,(IF(VolBMO=2,3,IF(VolBMO=1,2,4))),FALSE())*VLOOKUP(MONTH($A63),Volscale,2)))</f>
        <v> </v>
      </c>
      <c r="CQ63" s="312" t="str">
        <f aca="false">IF($A63="N/A"," ",IF(VolType=1,CP63,CO63))</f>
        <v> </v>
      </c>
      <c r="CR63" s="312" t="str">
        <f aca="false">IF($A63="N/A"," ",(VLOOKUP($A63,GasVolTable,(IF(VolBMO=2,6,IF(VolBMO=1,7,5))),FALSE())))</f>
        <v> </v>
      </c>
      <c r="CS63" s="312" t="str">
        <f aca="false">IF($A63="N/A"," ",(VLOOKUP($A63,OmicronVol,(IF(VolBMO=2,3,IF(VolBMO=1,4,2))),FALSE())))</f>
        <v> </v>
      </c>
      <c r="CT63" s="312" t="str">
        <f aca="false">IF($A63="N/A"," ",(IF(DateToday&gt;$A63,$CS63,IF(VolType=1,((($CR63^2)*((($A63-1)-DateToday)/((EOMONTH($A63,0)+1)-DateToday-15)))+((($CS63)^2)*((15)/((EOMONTH($A63,0)+1)-DateToday-15))))^0.5,CR63))))</f>
        <v> </v>
      </c>
      <c r="CU63" s="312" t="str">
        <f aca="false">IF($A63="N/A"," ",IF('Pricing Inputs'!$AR$23=TRUE(),Inputs!$S$22,VLOOKUP($A63,CorrelationTable,2,FALSE())))</f>
        <v> </v>
      </c>
      <c r="CV63" s="313" t="str">
        <f aca="false">IF($A63="N/A"," ",F63+G63+(D63*('Pricing Inputs'!X98)))</f>
        <v> </v>
      </c>
      <c r="CW63" s="314" t="str">
        <f aca="false">IF($A63="N/A"," ",IF(PV=1,0,'Pricing Inputs'!Y98))</f>
        <v> </v>
      </c>
      <c r="CX63" s="315" t="str">
        <f aca="false">IF($A63="N/A"," ",(1+CW63/2)^(-2*((EOMONTH(A63,0)+20)-DateToday)/365.25))</f>
        <v> </v>
      </c>
      <c r="CY63" s="316" t="str">
        <f aca="false">IF($A63="N/A"," ",(IF(MONTH(A63)&gt;=4,IF(MONTH(A63)&lt;=10,Inputs!$S$26,Inputs!$S$27),Inputs!$S$27))*$CX63)</f>
        <v> </v>
      </c>
      <c r="CZ63" s="317" t="str">
        <f aca="false">IF($A63="N/A"," ",BK63+BL63+BN63+BO63+BQ63+BR63)</f>
        <v> </v>
      </c>
      <c r="DA63" s="318" t="str">
        <f aca="false">IF($A63="N/A"," ",BM63+BP63+BS63)</f>
        <v> </v>
      </c>
      <c r="DB63" s="319" t="str">
        <f aca="false">IF($A63="N/A"," ",BT63+BU63+BW63+BX63+BZ63+CA63)</f>
        <v> </v>
      </c>
      <c r="DC63" s="319" t="str">
        <f aca="false">IF($A63="N/A"," ",BV63+BY63+CB63)</f>
        <v> </v>
      </c>
      <c r="DD63" s="320" t="str">
        <f aca="false">IF($A63="N/A"," ",SUM(CC63:CK63))</f>
        <v> </v>
      </c>
      <c r="DE63" s="321" t="str">
        <f aca="false">IF($A63="N/A"," ",VLOOKUP($A63,NumberofDaysTable,2)*Availability)</f>
        <v> </v>
      </c>
      <c r="DF63" s="94" t="str">
        <f aca="false">IF($A63="N/A"," ",VLOOKUP($A63,NumberofDaysTable,3)*Availability)</f>
        <v> </v>
      </c>
      <c r="DG63" s="322" t="str">
        <f aca="false">IF($A63="N/A"," ",VLOOKUP($A63,NumberofDaysTable,4)*Availability)</f>
        <v> </v>
      </c>
      <c r="DH63" s="323" t="str">
        <f aca="false">IF($A63="N/A"," ",IF(Option=1,$D63*Inputs!$S$15*SUM(AS63:BA63),0))</f>
        <v> </v>
      </c>
      <c r="DI63" s="324" t="str">
        <f aca="false">IF($A63="N/A"," ",IF(Option=1,$D63*Inputs!$S$16*SUM(AS63:BA63),0))</f>
        <v> </v>
      </c>
      <c r="DJ63" s="325" t="str">
        <f aca="false">IF($A63="N/A"," ",SUM(AS63:AT63))</f>
        <v> </v>
      </c>
      <c r="DK63" s="325" t="str">
        <f aca="false">IF($A63="N/A"," ",SUM(AU63:BA63))</f>
        <v> </v>
      </c>
      <c r="DL63" s="325" t="str">
        <f aca="false">IF($A63="N/A"," ",SUM(BB63:BC63))</f>
        <v> </v>
      </c>
      <c r="DM63" s="325" t="str">
        <f aca="false">IF($A63="N/A"," ",SUM(BD63:BJ63))</f>
        <v> </v>
      </c>
    </row>
    <row r="64" customFormat="false" ht="12.75" hidden="false" customHeight="false" outlineLevel="0" collapsed="false">
      <c r="A64" s="282" t="str">
        <f aca="false">IF(A63="N/A","N/A",IF(EDATE(A63,1)&gt;Inputs!$S$5,"N/A",EDATE(A63,1)))</f>
        <v>N/A</v>
      </c>
      <c r="B64" s="283" t="str">
        <f aca="false">IF(A64="N/A"," ",YEAR(A64))</f>
        <v> </v>
      </c>
      <c r="C64" s="284" t="str">
        <f aca="false">IF(A64="N/A"," ",VLOOKUP(A64,ScaledPrice,14))</f>
        <v> </v>
      </c>
      <c r="D64" s="285" t="str">
        <f aca="false">IF(A64="N/A"," ",(VLOOKUP(MONTH($A64),Hrtable,2))/1000)</f>
        <v> </v>
      </c>
      <c r="E64" s="286" t="str">
        <f aca="false">IF($A64="N/A"," ",(C64)*D64)</f>
        <v> </v>
      </c>
      <c r="F64" s="287" t="str">
        <f aca="false">IF(A64="N/A"," ",VOM*(1+VOMesc)^(YEAR(A64)-YEAR(Today)))</f>
        <v> </v>
      </c>
      <c r="G64" s="287" t="str">
        <f aca="false">IF(A64="N/A"," ",Perstart/VLOOKUP(Dayrun,'Pricing Inputs'!$AQ$4:$AS$14,3)/(CY64/CX64))</f>
        <v> </v>
      </c>
      <c r="H64" s="288" t="str">
        <f aca="false">IF(A64="N/A"," ",SUM(E64:G64))</f>
        <v> </v>
      </c>
      <c r="I64" s="289" t="str">
        <f aca="false">VLOOKUP($A64,ScaledPrice,6)</f>
        <v> </v>
      </c>
      <c r="J64" s="290" t="str">
        <f aca="false">VLOOKUP($A64,ScaledPrice,10)</f>
        <v> </v>
      </c>
      <c r="K64" s="290" t="str">
        <f aca="false">VLOOKUP($A64,ScaledPrice,13)</f>
        <v> </v>
      </c>
      <c r="L64" s="290" t="str">
        <f aca="false">VLOOKUP($A64,ScaledPrice,7)</f>
        <v> </v>
      </c>
      <c r="M64" s="290" t="str">
        <f aca="false">VLOOKUP($A64,ScaledPrice,11)</f>
        <v> </v>
      </c>
      <c r="N64" s="290" t="str">
        <f aca="false">VLOOKUP($A64,ScaledPrice,13)</f>
        <v> </v>
      </c>
      <c r="O64" s="290" t="str">
        <f aca="false">VLOOKUP($A64,ScaledPrice,8)</f>
        <v> </v>
      </c>
      <c r="P64" s="290" t="str">
        <f aca="false">VLOOKUP($A64,ScaledPrice,12)</f>
        <v> </v>
      </c>
      <c r="Q64" s="291" t="str">
        <f aca="false">VLOOKUP($A64,ScaledPrice,13)</f>
        <v> </v>
      </c>
      <c r="R64" s="292" t="str">
        <f aca="false">IF($A64="N/A"," ",IF(Dayrun&gt;=3,IF(Option=1,MAX($I64-$H64,0),IF(Option=2,MAX($H64-$I64,0),0)),0))</f>
        <v> </v>
      </c>
      <c r="S64" s="286" t="str">
        <f aca="false">IF($A64="N/A"," ",IF(Dayrun&gt;=6,IF(Option=1,MAX($J64-H64,0),IF(Option=2,MAX(H64-$J64,0),0)),0))</f>
        <v> </v>
      </c>
      <c r="T64" s="286" t="str">
        <f aca="false">IF($A64="N/A"," ",IF(OR(Dayrun&lt;=2,Dayrun&gt;=9),IF(Option=1,MAX($K64-$H64,0),IF(Option=2,MAX($H64-$K64,0),0)),0))</f>
        <v> </v>
      </c>
      <c r="U64" s="286" t="str">
        <f aca="false">IF($A64="N/A"," ",IF(OR(Dayrun=1,Dayrun=4,Dayrun=5,Dayrun=7,Dayrun=8,Dayrun=10,Dayrun=11),IF(Option=1,MAX($L64-H64,0),IF(Option=2,MAX(H64-$L64,0),0)),0))</f>
        <v> </v>
      </c>
      <c r="V64" s="286" t="str">
        <f aca="false">IF($A64="N/A"," ",IF(OR(Dayrun=1,Dayrun=7,Dayrun=8,Dayrun=10,Dayrun=11),IF(Option=1,MAX($M64-H64,0),IF(Option=2,MAX(H64-$M64,0),0)),0))</f>
        <v> </v>
      </c>
      <c r="W64" s="286" t="str">
        <f aca="false">IF($A64="N/A"," ",IF(OR(Dayrun&lt;=2,Dayrun&gt;=10),IF(Option=1,MAX($N64-$H64,0),IF(Option=2,MAX($H64-$N64,0),0)),0))</f>
        <v> </v>
      </c>
      <c r="X64" s="286" t="str">
        <f aca="false">IF($A64="N/A"," ",IF(OR(Dayrun=1,Dayrun=5,Dayrun=8,Dayrun=11),IF(Option=1,MAX($O64-H64,0),IF(Option=2,MAX(H64-$O64,0),0)),0))</f>
        <v> </v>
      </c>
      <c r="Y64" s="286" t="str">
        <f aca="false">IF($A64="N/A"," ",IF(OR(Dayrun=1,Dayrun=8,Dayrun=11),IF(Option=1,MAX($P64-H64,0),IF(Option=2,MAX(H64-$P64,0),0)),0))</f>
        <v> </v>
      </c>
      <c r="Z64" s="293" t="str">
        <f aca="false">IF($A64="N/A"," ",IF(OR(Dayrun&lt;=2,Dayrun&gt;=11),IF(Option=1,MAX($Q64-$H64,0),IF(Option=2,MAX($H64-$Q64,0),0)),0))</f>
        <v> </v>
      </c>
      <c r="AA64" s="289" t="str">
        <f aca="false">IF($A64="N/A"," ",IF(Dayrun&gt;=3,(MAX(0,(xSPRDOPT(I64,($E64-'Pricing Inputs'!$X99*$D64),$CV64,0,($CN64+IF(Smile=TRUE(),VLOOKUP(MAX(-5,$H64-I64),Volsmile,2),0)),$CT64,$CU64,($A64-DateToday)+15,ABS(Option-2),0)-R64))),0))</f>
        <v> </v>
      </c>
      <c r="AB64" s="290" t="str">
        <f aca="false">IF($A64="N/A"," ",IF(Dayrun&gt;=6,MAX(0,(xSPRDOPT(J64,($E64-'Pricing Inputs'!$X99*$D64),$CV64,0,($CN64+IF(Smile=TRUE(),VLOOKUP(MAX(-5,$H64-J64),Volsmile,2),0)),$CT64,$CU64,($A64-DateToday)+15,ABS(Option-2),0)-S64)),0))</f>
        <v> </v>
      </c>
      <c r="AC64" s="290" t="str">
        <f aca="false">IF($A64="N/A"," ",IF(OR(Dayrun&lt;=2,Dayrun&gt;=9),IF(OffPeakEx=TRUE(),MAX(0,(xSPRDOPT(K64,($E64-'Pricing Inputs'!$X99*$D64),$CV64,0,($CQ64+IF(Smile=TRUE(),VLOOKUP(MAX(-5,$H64-K64),Volsmile,2),0)),$CT64,$CU64,($A64-DateToday)+15,ABS(Option-2),0)-T64)),0),0))</f>
        <v> </v>
      </c>
      <c r="AD64" s="290" t="str">
        <f aca="false">IF($A64="N/A"," ",IF(OR(Dayrun=1,Dayrun=4,Dayrun=5,Dayrun=7,Dayrun=8,Dayrun=10,Dayrun=11),MAX(0,(xSPRDOPT(L64,($E64-'Pricing Inputs'!$X99*$D64),$CV64,0,($CQ64+IF(Smile=TRUE(),VLOOKUP(MAX(-5,$H64-L64),Volsmile,2),0)),$CT64,$CU64,($A64-DateToday)+15,ABS(Option-2),0)-U64)),0))</f>
        <v> </v>
      </c>
      <c r="AE64" s="290" t="str">
        <f aca="false">IF($A64="N/A"," ",IF(OR(Dayrun=1,Dayrun=7,Dayrun=8,Dayrun=10,Dayrun=11),MAX(0,(xSPRDOPT(M64,($E64-'Pricing Inputs'!$X99*$D64),$CV64,0,($CQ64+IF(Smile=TRUE(),VLOOKUP(MAX(-5,$H64-M64),Volsmile,2),0)),$CT64,$CU64,($A64-DateToday)+15,ABS(Option-2),0)-V64)),0))</f>
        <v> </v>
      </c>
      <c r="AF64" s="290" t="str">
        <f aca="false">IF($A64="N/A"," ",IF(OR(Dayrun&lt;=2,Dayrun&gt;=10),IF(OffPeakEx=TRUE(),MAX(0,(xSPRDOPT(N64,($E64-'Pricing Inputs'!$X99*$D64),$CV64,0,($CQ64+IF(Smile=TRUE(),VLOOKUP(MAX(-5,$H64-N64),Volsmile,2),0)),$CT64,$CU64,($A64-DateToday)+15,ABS(Option-2),0)-W64)),0),0))</f>
        <v> </v>
      </c>
      <c r="AG64" s="290" t="str">
        <f aca="false">IF($A64="N/A"," ",IF(OR(Dayrun=1,Dayrun=5,Dayrun=8,Dayrun=11),MAX(0,(xSPRDOPT(O64,($E64-'Pricing Inputs'!$X99*$D64),$CV64,0,($CQ64+IF(Smile=TRUE(),VLOOKUP(MAX(-5,$H64-O64),Volsmile,2),0)),$CT64,$CU64,($A64-DateToday)+15,ABS(Option-2),0)-X64)),0))</f>
        <v> </v>
      </c>
      <c r="AH64" s="290" t="str">
        <f aca="false">IF($A64="N/A"," ",IF(OR(Dayrun=1,Dayrun=8,Dayrun=11),MAX(0,(xSPRDOPT(P64,($E64-'Pricing Inputs'!$X99*$D64),$CV64,0,($CQ64+IF(Smile=TRUE(),VLOOKUP(MAX(-5,$H64-P64),Volsmile,2),0)),$CT64,$CU64,($A64-DateToday)+15,ABS(Option-2),0)-Y64)),0))</f>
        <v> </v>
      </c>
      <c r="AI64" s="290" t="str">
        <f aca="false">IF($A64="N/A"," ",IF(OR(Dayrun&lt;=2,Dayrun&gt;=11),IF(OffPeakEx=TRUE(),MAX(0,(xSPRDOPT(Q64,($E64-'Pricing Inputs'!$X99*$D64),$CV64,0,($CQ64+IF(Smile=TRUE(),VLOOKUP(MAX(-5,$H64-Q64),Volsmile,2),0)),$CT64,$CU64,($A64-DateToday)+15,ABS(Option-2),0)-Z64)),0),0))</f>
        <v> </v>
      </c>
      <c r="AJ64" s="294" t="str">
        <f aca="false">IF($A64="N/A"," ",IF(Dayrun&gt;=3,IF(Option=1,$I64-$H64,IF(Option=2,$H64-$I64)),0))</f>
        <v> </v>
      </c>
      <c r="AK64" s="295" t="str">
        <f aca="false">IF($A64="N/A"," ",IF(Dayrun&gt;=6,IF(Option=1,$J64-H64,IF(Option=2,H64-$J64)),0))</f>
        <v> </v>
      </c>
      <c r="AL64" s="295" t="str">
        <f aca="false">IF($A64="N/A"," ",IF(OR(Dayrun&lt;=2,Dayrun&gt;=9),IF(Option=1,$K64-$H64,IF(Option=2,$H64-$K64)),0))</f>
        <v> </v>
      </c>
      <c r="AM64" s="295" t="str">
        <f aca="false">IF($A64="N/A"," ",IF(OR(Dayrun=1,Dayrun=4,Dayrun=5,Dayrun=7,Dayrun=8,Dayrun=10,Dayrun=11),IF(Option=1,$L64-H64,IF(Option=2,H64-$L64)),0))</f>
        <v> </v>
      </c>
      <c r="AN64" s="295" t="str">
        <f aca="false">IF($A64="N/A"," ",IF(OR(Dayrun=1,Dayrun=7,Dayrun=8,Dayrun=10,Dayrun=11),IF(Option=1,$M64-H64,IF(Option=2,H64-$M64)),0))</f>
        <v> </v>
      </c>
      <c r="AO64" s="295" t="str">
        <f aca="false">IF($A64="N/A"," ",IF(OR(Dayrun&lt;=2,Dayrun&gt;=9),IF(Option=1,$N64-$H64,IF(Option=2,$H64-$N64)),0))</f>
        <v> </v>
      </c>
      <c r="AP64" s="295" t="str">
        <f aca="false">IF($A64="N/A"," ",IF(OR(Dayrun=1,Dayrun=5,Dayrun=8,Dayrun=11),IF(Option=1,$O64-H64,IF(Option=2,H64-$O64)),0))</f>
        <v> </v>
      </c>
      <c r="AQ64" s="295" t="str">
        <f aca="false">IF($A64="N/A"," ",IF(OR(Dayrun=1,Dayrun=8,Dayrun=11),IF(Option=1,$P64-H64,IF(Option=2,H64-$P64)),0))</f>
        <v> </v>
      </c>
      <c r="AR64" s="296" t="str">
        <f aca="false">IF($A64="N/A"," ",IF(OR(Dayrun&lt;=2,Dayrun&gt;=9),IF(Option=1,$Q64-H64,IF(Option=2,H64-$Q64)),0))</f>
        <v> </v>
      </c>
      <c r="AS64" s="297" t="str">
        <f aca="false">IF($A64="N/A"," ",IF(VLOOKUP(MONTH($A64),ManualTable,2)=1,IF(Dayrun&gt;=3,$DE64*8*$CY64,0),0))</f>
        <v> </v>
      </c>
      <c r="AT64" s="297" t="str">
        <f aca="false">IF($A64="N/A"," ",IF(VLOOKUP(MONTH($A64),ManualTable,3)=1,IF(Dayrun&gt;=6,$DE64*8*$CY64,0),0))</f>
        <v> </v>
      </c>
      <c r="AU64" s="297" t="str">
        <f aca="false">IF($A64="N/A"," ",IF(VLOOKUP(MONTH($A64),ManualTable,4)=1,IF(OR(Dayrun&lt;=2,Dayrun&gt;=9),$DE64*8*$CY64,0),0))</f>
        <v> </v>
      </c>
      <c r="AV64" s="297" t="str">
        <f aca="false">IF($A64="N/A"," ",IF(VLOOKUP(MONTH($A64),ManualTable,5)=1,IF(OR(Dayrun=1,Dayrun=4,Dayrun=5,Dayrun=7,Dayrun=8,Dayrun=10,Dayrun=11),$DF64*8*$CY64,0),0))</f>
        <v> </v>
      </c>
      <c r="AW64" s="297" t="str">
        <f aca="false">IF($A64="N/A"," ",IF(VLOOKUP(MONTH($A64),ManualTable,6)=1,IF(OR(Dayrun=1,Dayrun=7,Dayrun=8,Dayrun=10,Dayrun=11),$DF64*8*$CY64,0),0))</f>
        <v> </v>
      </c>
      <c r="AX64" s="297" t="str">
        <f aca="false">IF($A64="N/A"," ",IF(VLOOKUP(MONTH($A64),ManualTable,7)=1,IF(OR(Dayrun&lt;=2,Dayrun&gt;=9),$DF64*8*$CY64,0),0))</f>
        <v> </v>
      </c>
      <c r="AY64" s="297" t="str">
        <f aca="false">IF($A64="N/A"," ",IF(VLOOKUP(MONTH($A64),ManualTable,8)=1,IF(OR(Dayrun=1,Dayrun=5,Dayrun=8,Dayrun=11),$DG64*8*$CY64,0),0))</f>
        <v> </v>
      </c>
      <c r="AZ64" s="297" t="str">
        <f aca="false">IF($A64="N/A"," ",IF(VLOOKUP(MONTH($A64),ManualTable,9)=1,IF(OR(Dayrun=1,Dayrun=8,Dayrun=11),$DG64*8*$CY64,0),0))</f>
        <v> </v>
      </c>
      <c r="BA64" s="298" t="str">
        <f aca="false">IF($A64="N/A"," ",IF(VLOOKUP(MONTH($A64),ManualTable,10)=1,IF(OR(Dayrun&lt;=2,Dayrun&gt;=9),$DG64*8*$CY64,0),0))</f>
        <v> </v>
      </c>
      <c r="BB64" s="299" t="str">
        <f aca="false">IF($A64="N/A"," ",IF(Dayrun&gt;=3,(MAX(0,(xSPRDOPT(I64,($E64-'Pricing Inputs'!$X99*$D64),$CV64,0,($CN64+IF(Smile=TRUE(),VLOOKUP(MAX(-5,$H64-I64),Volsmile,2),0)),$CT64,$CU64,($A64-DateToday)+15,ABS(Option-2),1)*DE64*8))),0))</f>
        <v> </v>
      </c>
      <c r="BC64" s="300" t="str">
        <f aca="false">IF($A64="N/A"," ",IF(Dayrun&gt;=6,MAX(0,(xSPRDOPT(J64,($E64-'Pricing Inputs'!$X99*$D64),$CV64,0,($CN64+IF(Smile=TRUE(),VLOOKUP(MAX(-5,$H64-J64),Volsmile,2),0)),$CT64,$CU64,($A64-DateToday)+15,ABS(Option-2),1)*DE64*8)),0))</f>
        <v> </v>
      </c>
      <c r="BD64" s="300" t="str">
        <f aca="false">IF($A64="N/A"," ",IF(OR(Dayrun&lt;=2,Dayrun&gt;=9),IF(OffPeakEx=TRUE(),MAX(0,(xSPRDOPT(K64,($E64-'Pricing Inputs'!$X99*$D64),$CV64,0,($CQ64+IF(Smile=TRUE(),VLOOKUP(MAX(-5,$H64-K64),Volsmile,2),0)),$CT64,$CU64,($A64-DateToday)+15,ABS(Option-2),1)*DE64*8)),0),0))</f>
        <v> </v>
      </c>
      <c r="BE64" s="300" t="str">
        <f aca="false">IF($A64="N/A"," ",IF(OR(Dayrun=1,Dayrun=4,Dayrun=5,Dayrun=7,Dayrun=8,Dayrun=10,Dayrun=11),MAX(0,(xSPRDOPT(L64,($E64-'Pricing Inputs'!$X99*$D64),$CV64,0,($CQ64+IF(Smile=TRUE(),VLOOKUP(MAX(-5,$H64-L64),Volsmile,2),0)),$CT64,$CU64,($A64-DateToday)+15,ABS(Option-2),1)*DF64*8)),0))</f>
        <v> </v>
      </c>
      <c r="BF64" s="300" t="str">
        <f aca="false">IF($A64="N/A"," ",IF(OR(Dayrun=1,Dayrun=7,Dayrun=8,Dayrun=10,Dayrun=11),MAX(0,(xSPRDOPT(M64,($E64-'Pricing Inputs'!$X99*$D64),$CV64,0,($CQ64+IF(Smile=TRUE(),VLOOKUP(MAX(-5,$H64-M64),Volsmile,2),0)),$CT64,$CU64,($A64-DateToday)+15,ABS(Option-2),1)*DF64*8)),0))</f>
        <v> </v>
      </c>
      <c r="BG64" s="300" t="str">
        <f aca="false">IF($A64="N/A"," ",IF(OR(Dayrun&lt;=2,Dayrun&gt;=10),IF(OffPeakEx=TRUE(),MAX(0,(xSPRDOPT(N64,($E64-'Pricing Inputs'!$X99*$D64),$CV64,0,($CQ64+IF(Smile=TRUE(),VLOOKUP(MAX(-5,$H64-N64),Volsmile,2),0)),$CT64,$CU64,($A64-DateToday)+15,ABS(Option-2),1)*DF64*8)),0),0))</f>
        <v> </v>
      </c>
      <c r="BH64" s="300" t="str">
        <f aca="false">IF($A64="N/A"," ",IF(OR(Dayrun=1,Dayrun=5,Dayrun=8,Dayrun=11),MAX(0,(xSPRDOPT(O64,($E64-'Pricing Inputs'!$X99*$D64),$CV64,0,($CQ64+IF(Smile=TRUE(),VLOOKUP(MAX(-5,$H64-O64),Volsmile,2),0)),$CT64,$CU64,($A64-DateToday)+15,ABS(Option-2),1)*DG64*8)),0))</f>
        <v> </v>
      </c>
      <c r="BI64" s="300" t="str">
        <f aca="false">IF($A64="N/A"," ",IF(OR(Dayrun=1,Dayrun=8,Dayrun=11),MAX(0,(xSPRDOPT(P64,($E64-'Pricing Inputs'!$X99*$D64),$CV64,0,($CQ64+IF(Smile=TRUE(),VLOOKUP(MAX(-5,$H64-P64),Volsmile,2),0)),$CT64,$CU64,($A64-DateToday)+15,ABS(Option-2),1)*DG64*8)),0))</f>
        <v> </v>
      </c>
      <c r="BJ64" s="301" t="str">
        <f aca="false">IF($A64="N/A"," ",IF(OR(Dayrun&lt;=2,Dayrun&gt;=11),IF(OffPeakEx=TRUE(),MAX(0,(xSPRDOPT(Q64,($E64-'Pricing Inputs'!$X99*$D64),$CV64,0,($CQ64+IF(Smile=TRUE(),VLOOKUP(MAX(-5,$H64-Q64),Volsmile,2),0)),$CT64,$CU64,($A64-DateToday)+15,ABS(Option-2),1)*DG64*8)),0),0))</f>
        <v> </v>
      </c>
      <c r="BK64" s="302" t="str">
        <f aca="false">IF($A64="N/A"," ",R64*$AS64)</f>
        <v> </v>
      </c>
      <c r="BL64" s="303" t="str">
        <f aca="false">IF($A64="N/A"," ",S64*$AT64)</f>
        <v> </v>
      </c>
      <c r="BM64" s="303" t="str">
        <f aca="false">IF($A64="N/A"," ",T64*$AU64)</f>
        <v> </v>
      </c>
      <c r="BN64" s="303" t="str">
        <f aca="false">IF($A64="N/A"," ",U64*$AV64)</f>
        <v> </v>
      </c>
      <c r="BO64" s="303" t="str">
        <f aca="false">IF($A64="N/A"," ",V64*$AW64)</f>
        <v> </v>
      </c>
      <c r="BP64" s="303" t="str">
        <f aca="false">IF($A64="N/A"," ",W64*$AX64)</f>
        <v> </v>
      </c>
      <c r="BQ64" s="303" t="str">
        <f aca="false">IF($A64="N/A"," ",X64*$AY64)</f>
        <v> </v>
      </c>
      <c r="BR64" s="303" t="str">
        <f aca="false">IF($A64="N/A"," ",Y64*$AZ64)</f>
        <v> </v>
      </c>
      <c r="BS64" s="304" t="str">
        <f aca="false">IF($A64="N/A"," ",Z64*$BA64)</f>
        <v> </v>
      </c>
      <c r="BT64" s="305" t="str">
        <f aca="false">IF($A64="N/A"," ",AA64*$AS64)</f>
        <v> </v>
      </c>
      <c r="BU64" s="306" t="str">
        <f aca="false">IF($A64="N/A"," ",AB64*$AT64)</f>
        <v> </v>
      </c>
      <c r="BV64" s="306" t="str">
        <f aca="false">IF($A64="N/A"," ",AC64*$AU64)</f>
        <v> </v>
      </c>
      <c r="BW64" s="306" t="str">
        <f aca="false">IF($A64="N/A"," ",AD64*$AV64)</f>
        <v> </v>
      </c>
      <c r="BX64" s="306" t="str">
        <f aca="false">IF($A64="N/A"," ",AE64*$AW64)</f>
        <v> </v>
      </c>
      <c r="BY64" s="306" t="str">
        <f aca="false">IF($A64="N/A"," ",AF64*$AX64)</f>
        <v> </v>
      </c>
      <c r="BZ64" s="306" t="str">
        <f aca="false">IF($A64="N/A"," ",AG64*$AY64)</f>
        <v> </v>
      </c>
      <c r="CA64" s="306" t="str">
        <f aca="false">IF($A64="N/A"," ",AH64*$AZ64)</f>
        <v> </v>
      </c>
      <c r="CB64" s="307" t="str">
        <f aca="false">IF($A64="N/A"," ",AI64*$BA64)</f>
        <v> </v>
      </c>
      <c r="CC64" s="308" t="str">
        <f aca="false">IF($A64="N/A"," ",AJ64*$AS64)</f>
        <v> </v>
      </c>
      <c r="CD64" s="309" t="str">
        <f aca="false">IF($A64="N/A"," ",AK64*$AT64)</f>
        <v> </v>
      </c>
      <c r="CE64" s="309" t="str">
        <f aca="false">IF($A64="N/A"," ",AL64*$AU64)</f>
        <v> </v>
      </c>
      <c r="CF64" s="309" t="str">
        <f aca="false">IF($A64="N/A"," ",AM64*$AV64)</f>
        <v> </v>
      </c>
      <c r="CG64" s="309" t="str">
        <f aca="false">IF($A64="N/A"," ",AN64*$AW64)</f>
        <v> </v>
      </c>
      <c r="CH64" s="309" t="str">
        <f aca="false">IF($A64="N/A"," ",AO64*$AX64)</f>
        <v> </v>
      </c>
      <c r="CI64" s="309" t="str">
        <f aca="false">IF($A64="N/A"," ",AP64*$AY64)</f>
        <v> </v>
      </c>
      <c r="CJ64" s="309" t="str">
        <f aca="false">IF($A64="N/A"," ",AQ64*$AZ64)</f>
        <v> </v>
      </c>
      <c r="CK64" s="310" t="str">
        <f aca="false">IF($A64="N/A"," ",AR64*$BA64)</f>
        <v> </v>
      </c>
      <c r="CL64" s="311" t="str">
        <f aca="false">IF(A64="N/A"," ",(VLOOKUP(A64,PowerVolTable,(IF(VolBMO=2,7,IF(VolBMO=1,6,8))),FALSE())))</f>
        <v> </v>
      </c>
      <c r="CM64" s="312" t="str">
        <f aca="false">IF(A64="N/A"," ",(VLOOKUP(A64,IntraPowerVol,(IF(VolBMO=2,3,IF(VolBMO=1,2,4))),FALSE())*VLOOKUP(MONTH($A64),Volscale,2)))</f>
        <v> </v>
      </c>
      <c r="CN64" s="312" t="str">
        <f aca="false">IF($A64="N/A"," ",IF(VolType=1,CM64,CL64))</f>
        <v> </v>
      </c>
      <c r="CO64" s="312" t="str">
        <f aca="false">IF($A64="N/A"," ",(VLOOKUP($A64,OffPeakVol,(IF(VolBMO=2,7,IF(VolBMO=1,6,8))),FALSE())))</f>
        <v> </v>
      </c>
      <c r="CP64" s="312" t="str">
        <f aca="false">IF($A64="N/A"," ",(VLOOKUP($A64,OffPeakVol,(IF(VolBMO=2,3,IF(VolBMO=1,2,4))),FALSE())*VLOOKUP(MONTH($A64),Volscale,2)))</f>
        <v> </v>
      </c>
      <c r="CQ64" s="312" t="str">
        <f aca="false">IF($A64="N/A"," ",IF(VolType=1,CP64,CO64))</f>
        <v> </v>
      </c>
      <c r="CR64" s="312" t="str">
        <f aca="false">IF($A64="N/A"," ",(VLOOKUP($A64,GasVolTable,(IF(VolBMO=2,6,IF(VolBMO=1,7,5))),FALSE())))</f>
        <v> </v>
      </c>
      <c r="CS64" s="312" t="str">
        <f aca="false">IF($A64="N/A"," ",(VLOOKUP($A64,OmicronVol,(IF(VolBMO=2,3,IF(VolBMO=1,4,2))),FALSE())))</f>
        <v> </v>
      </c>
      <c r="CT64" s="312" t="str">
        <f aca="false">IF($A64="N/A"," ",(IF(DateToday&gt;$A64,$CS64,IF(VolType=1,((($CR64^2)*((($A64-1)-DateToday)/((EOMONTH($A64,0)+1)-DateToday-15)))+((($CS64)^2)*((15)/((EOMONTH($A64,0)+1)-DateToday-15))))^0.5,CR64))))</f>
        <v> </v>
      </c>
      <c r="CU64" s="312" t="str">
        <f aca="false">IF($A64="N/A"," ",IF('Pricing Inputs'!$AR$23=TRUE(),Inputs!$S$22,VLOOKUP($A64,CorrelationTable,2,FALSE())))</f>
        <v> </v>
      </c>
      <c r="CV64" s="313" t="str">
        <f aca="false">IF($A64="N/A"," ",F64+G64+(D64*('Pricing Inputs'!X99)))</f>
        <v> </v>
      </c>
      <c r="CW64" s="314" t="str">
        <f aca="false">IF($A64="N/A"," ",IF(PV=1,0,'Pricing Inputs'!Y99))</f>
        <v> </v>
      </c>
      <c r="CX64" s="315" t="str">
        <f aca="false">IF($A64="N/A"," ",(1+CW64/2)^(-2*((EOMONTH(A64,0)+20)-DateToday)/365.25))</f>
        <v> </v>
      </c>
      <c r="CY64" s="316" t="str">
        <f aca="false">IF($A64="N/A"," ",(IF(MONTH(A64)&gt;=4,IF(MONTH(A64)&lt;=10,Inputs!$S$26,Inputs!$S$27),Inputs!$S$27))*$CX64)</f>
        <v> </v>
      </c>
      <c r="CZ64" s="317" t="str">
        <f aca="false">IF($A64="N/A"," ",BK64+BL64+BN64+BO64+BQ64+BR64)</f>
        <v> </v>
      </c>
      <c r="DA64" s="318" t="str">
        <f aca="false">IF($A64="N/A"," ",BM64+BP64+BS64)</f>
        <v> </v>
      </c>
      <c r="DB64" s="319" t="str">
        <f aca="false">IF($A64="N/A"," ",BT64+BU64+BW64+BX64+BZ64+CA64)</f>
        <v> </v>
      </c>
      <c r="DC64" s="319" t="str">
        <f aca="false">IF($A64="N/A"," ",BV64+BY64+CB64)</f>
        <v> </v>
      </c>
      <c r="DD64" s="320" t="str">
        <f aca="false">IF($A64="N/A"," ",SUM(CC64:CK64))</f>
        <v> </v>
      </c>
      <c r="DE64" s="321" t="str">
        <f aca="false">IF($A64="N/A"," ",VLOOKUP($A64,NumberofDaysTable,2)*Availability)</f>
        <v> </v>
      </c>
      <c r="DF64" s="94" t="str">
        <f aca="false">IF($A64="N/A"," ",VLOOKUP($A64,NumberofDaysTable,3)*Availability)</f>
        <v> </v>
      </c>
      <c r="DG64" s="322" t="str">
        <f aca="false">IF($A64="N/A"," ",VLOOKUP($A64,NumberofDaysTable,4)*Availability)</f>
        <v> </v>
      </c>
      <c r="DH64" s="323" t="str">
        <f aca="false">IF($A64="N/A"," ",IF(Option=1,$D64*Inputs!$S$15*SUM(AS64:BA64),0))</f>
        <v> </v>
      </c>
      <c r="DI64" s="324" t="str">
        <f aca="false">IF($A64="N/A"," ",IF(Option=1,$D64*Inputs!$S$16*SUM(AS64:BA64),0))</f>
        <v> </v>
      </c>
      <c r="DJ64" s="325" t="str">
        <f aca="false">IF($A64="N/A"," ",SUM(AS64:AT64))</f>
        <v> </v>
      </c>
      <c r="DK64" s="325" t="str">
        <f aca="false">IF($A64="N/A"," ",SUM(AU64:BA64))</f>
        <v> </v>
      </c>
      <c r="DL64" s="325" t="str">
        <f aca="false">IF($A64="N/A"," ",SUM(BB64:BC64))</f>
        <v> </v>
      </c>
      <c r="DM64" s="325" t="str">
        <f aca="false">IF($A64="N/A"," ",SUM(BD64:BJ64))</f>
        <v> </v>
      </c>
    </row>
    <row r="65" customFormat="false" ht="12.75" hidden="false" customHeight="false" outlineLevel="0" collapsed="false">
      <c r="A65" s="282" t="str">
        <f aca="false">IF(A64="N/A","N/A",IF(EDATE(A64,1)&gt;Inputs!$S$5,"N/A",EDATE(A64,1)))</f>
        <v>N/A</v>
      </c>
      <c r="B65" s="283" t="str">
        <f aca="false">IF(A65="N/A"," ",YEAR(A65))</f>
        <v> </v>
      </c>
      <c r="C65" s="284" t="str">
        <f aca="false">IF(A65="N/A"," ",VLOOKUP(A65,ScaledPrice,14))</f>
        <v> </v>
      </c>
      <c r="D65" s="285" t="str">
        <f aca="false">IF(A65="N/A"," ",(VLOOKUP(MONTH($A65),Hrtable,2))/1000)</f>
        <v> </v>
      </c>
      <c r="E65" s="286" t="str">
        <f aca="false">IF($A65="N/A"," ",(C65)*D65)</f>
        <v> </v>
      </c>
      <c r="F65" s="287" t="str">
        <f aca="false">IF(A65="N/A"," ",VOM*(1+VOMesc)^(YEAR(A65)-YEAR(Today)))</f>
        <v> </v>
      </c>
      <c r="G65" s="287" t="str">
        <f aca="false">IF(A65="N/A"," ",Perstart/VLOOKUP(Dayrun,'Pricing Inputs'!$AQ$4:$AS$14,3)/(CY65/CX65))</f>
        <v> </v>
      </c>
      <c r="H65" s="288" t="str">
        <f aca="false">IF(A65="N/A"," ",SUM(E65:G65))</f>
        <v> </v>
      </c>
      <c r="I65" s="289" t="str">
        <f aca="false">VLOOKUP($A65,ScaledPrice,6)</f>
        <v> </v>
      </c>
      <c r="J65" s="290" t="str">
        <f aca="false">VLOOKUP($A65,ScaledPrice,10)</f>
        <v> </v>
      </c>
      <c r="K65" s="290" t="str">
        <f aca="false">VLOOKUP($A65,ScaledPrice,13)</f>
        <v> </v>
      </c>
      <c r="L65" s="290" t="str">
        <f aca="false">VLOOKUP($A65,ScaledPrice,7)</f>
        <v> </v>
      </c>
      <c r="M65" s="290" t="str">
        <f aca="false">VLOOKUP($A65,ScaledPrice,11)</f>
        <v> </v>
      </c>
      <c r="N65" s="290" t="str">
        <f aca="false">VLOOKUP($A65,ScaledPrice,13)</f>
        <v> </v>
      </c>
      <c r="O65" s="290" t="str">
        <f aca="false">VLOOKUP($A65,ScaledPrice,8)</f>
        <v> </v>
      </c>
      <c r="P65" s="290" t="str">
        <f aca="false">VLOOKUP($A65,ScaledPrice,12)</f>
        <v> </v>
      </c>
      <c r="Q65" s="291" t="str">
        <f aca="false">VLOOKUP($A65,ScaledPrice,13)</f>
        <v> </v>
      </c>
      <c r="R65" s="292" t="str">
        <f aca="false">IF($A65="N/A"," ",IF(Dayrun&gt;=3,IF(Option=1,MAX($I65-$H65,0),IF(Option=2,MAX($H65-$I65,0),0)),0))</f>
        <v> </v>
      </c>
      <c r="S65" s="286" t="str">
        <f aca="false">IF($A65="N/A"," ",IF(Dayrun&gt;=6,IF(Option=1,MAX($J65-H65,0),IF(Option=2,MAX(H65-$J65,0),0)),0))</f>
        <v> </v>
      </c>
      <c r="T65" s="286" t="str">
        <f aca="false">IF($A65="N/A"," ",IF(OR(Dayrun&lt;=2,Dayrun&gt;=9),IF(Option=1,MAX($K65-$H65,0),IF(Option=2,MAX($H65-$K65,0),0)),0))</f>
        <v> </v>
      </c>
      <c r="U65" s="286" t="str">
        <f aca="false">IF($A65="N/A"," ",IF(OR(Dayrun=1,Dayrun=4,Dayrun=5,Dayrun=7,Dayrun=8,Dayrun=10,Dayrun=11),IF(Option=1,MAX($L65-H65,0),IF(Option=2,MAX(H65-$L65,0),0)),0))</f>
        <v> </v>
      </c>
      <c r="V65" s="286" t="str">
        <f aca="false">IF($A65="N/A"," ",IF(OR(Dayrun=1,Dayrun=7,Dayrun=8,Dayrun=10,Dayrun=11),IF(Option=1,MAX($M65-H65,0),IF(Option=2,MAX(H65-$M65,0),0)),0))</f>
        <v> </v>
      </c>
      <c r="W65" s="286" t="str">
        <f aca="false">IF($A65="N/A"," ",IF(OR(Dayrun&lt;=2,Dayrun&gt;=10),IF(Option=1,MAX($N65-$H65,0),IF(Option=2,MAX($H65-$N65,0),0)),0))</f>
        <v> </v>
      </c>
      <c r="X65" s="286" t="str">
        <f aca="false">IF($A65="N/A"," ",IF(OR(Dayrun=1,Dayrun=5,Dayrun=8,Dayrun=11),IF(Option=1,MAX($O65-H65,0),IF(Option=2,MAX(H65-$O65,0),0)),0))</f>
        <v> </v>
      </c>
      <c r="Y65" s="286" t="str">
        <f aca="false">IF($A65="N/A"," ",IF(OR(Dayrun=1,Dayrun=8,Dayrun=11),IF(Option=1,MAX($P65-H65,0),IF(Option=2,MAX(H65-$P65,0),0)),0))</f>
        <v> </v>
      </c>
      <c r="Z65" s="293" t="str">
        <f aca="false">IF($A65="N/A"," ",IF(OR(Dayrun&lt;=2,Dayrun&gt;=11),IF(Option=1,MAX($Q65-$H65,0),IF(Option=2,MAX($H65-$Q65,0),0)),0))</f>
        <v> </v>
      </c>
      <c r="AA65" s="289" t="str">
        <f aca="false">IF($A65="N/A"," ",IF(Dayrun&gt;=3,(MAX(0,(xSPRDOPT(I65,($E65-'Pricing Inputs'!$X100*$D65),$CV65,0,($CN65+IF(Smile=TRUE(),VLOOKUP(MAX(-5,$H65-I65),Volsmile,2),0)),$CT65,$CU65,($A65-DateToday)+15,ABS(Option-2),0)-R65))),0))</f>
        <v> </v>
      </c>
      <c r="AB65" s="290" t="str">
        <f aca="false">IF($A65="N/A"," ",IF(Dayrun&gt;=6,MAX(0,(xSPRDOPT(J65,($E65-'Pricing Inputs'!$X100*$D65),$CV65,0,($CN65+IF(Smile=TRUE(),VLOOKUP(MAX(-5,$H65-J65),Volsmile,2),0)),$CT65,$CU65,($A65-DateToday)+15,ABS(Option-2),0)-S65)),0))</f>
        <v> </v>
      </c>
      <c r="AC65" s="290" t="str">
        <f aca="false">IF($A65="N/A"," ",IF(OR(Dayrun&lt;=2,Dayrun&gt;=9),IF(OffPeakEx=TRUE(),MAX(0,(xSPRDOPT(K65,($E65-'Pricing Inputs'!$X100*$D65),$CV65,0,($CQ65+IF(Smile=TRUE(),VLOOKUP(MAX(-5,$H65-K65),Volsmile,2),0)),$CT65,$CU65,($A65-DateToday)+15,ABS(Option-2),0)-T65)),0),0))</f>
        <v> </v>
      </c>
      <c r="AD65" s="290" t="str">
        <f aca="false">IF($A65="N/A"," ",IF(OR(Dayrun=1,Dayrun=4,Dayrun=5,Dayrun=7,Dayrun=8,Dayrun=10,Dayrun=11),MAX(0,(xSPRDOPT(L65,($E65-'Pricing Inputs'!$X100*$D65),$CV65,0,($CQ65+IF(Smile=TRUE(),VLOOKUP(MAX(-5,$H65-L65),Volsmile,2),0)),$CT65,$CU65,($A65-DateToday)+15,ABS(Option-2),0)-U65)),0))</f>
        <v> </v>
      </c>
      <c r="AE65" s="290" t="str">
        <f aca="false">IF($A65="N/A"," ",IF(OR(Dayrun=1,Dayrun=7,Dayrun=8,Dayrun=10,Dayrun=11),MAX(0,(xSPRDOPT(M65,($E65-'Pricing Inputs'!$X100*$D65),$CV65,0,($CQ65+IF(Smile=TRUE(),VLOOKUP(MAX(-5,$H65-M65),Volsmile,2),0)),$CT65,$CU65,($A65-DateToday)+15,ABS(Option-2),0)-V65)),0))</f>
        <v> </v>
      </c>
      <c r="AF65" s="290" t="str">
        <f aca="false">IF($A65="N/A"," ",IF(OR(Dayrun&lt;=2,Dayrun&gt;=10),IF(OffPeakEx=TRUE(),MAX(0,(xSPRDOPT(N65,($E65-'Pricing Inputs'!$X100*$D65),$CV65,0,($CQ65+IF(Smile=TRUE(),VLOOKUP(MAX(-5,$H65-N65),Volsmile,2),0)),$CT65,$CU65,($A65-DateToday)+15,ABS(Option-2),0)-W65)),0),0))</f>
        <v> </v>
      </c>
      <c r="AG65" s="290" t="str">
        <f aca="false">IF($A65="N/A"," ",IF(OR(Dayrun=1,Dayrun=5,Dayrun=8,Dayrun=11),MAX(0,(xSPRDOPT(O65,($E65-'Pricing Inputs'!$X100*$D65),$CV65,0,($CQ65+IF(Smile=TRUE(),VLOOKUP(MAX(-5,$H65-O65),Volsmile,2),0)),$CT65,$CU65,($A65-DateToday)+15,ABS(Option-2),0)-X65)),0))</f>
        <v> </v>
      </c>
      <c r="AH65" s="290" t="str">
        <f aca="false">IF($A65="N/A"," ",IF(OR(Dayrun=1,Dayrun=8,Dayrun=11),MAX(0,(xSPRDOPT(P65,($E65-'Pricing Inputs'!$X100*$D65),$CV65,0,($CQ65+IF(Smile=TRUE(),VLOOKUP(MAX(-5,$H65-P65),Volsmile,2),0)),$CT65,$CU65,($A65-DateToday)+15,ABS(Option-2),0)-Y65)),0))</f>
        <v> </v>
      </c>
      <c r="AI65" s="290" t="str">
        <f aca="false">IF($A65="N/A"," ",IF(OR(Dayrun&lt;=2,Dayrun&gt;=11),IF(OffPeakEx=TRUE(),MAX(0,(xSPRDOPT(Q65,($E65-'Pricing Inputs'!$X100*$D65),$CV65,0,($CQ65+IF(Smile=TRUE(),VLOOKUP(MAX(-5,$H65-Q65),Volsmile,2),0)),$CT65,$CU65,($A65-DateToday)+15,ABS(Option-2),0)-Z65)),0),0))</f>
        <v> </v>
      </c>
      <c r="AJ65" s="294" t="str">
        <f aca="false">IF($A65="N/A"," ",IF(Dayrun&gt;=3,IF(Option=1,$I65-$H65,IF(Option=2,$H65-$I65)),0))</f>
        <v> </v>
      </c>
      <c r="AK65" s="295" t="str">
        <f aca="false">IF($A65="N/A"," ",IF(Dayrun&gt;=6,IF(Option=1,$J65-H65,IF(Option=2,H65-$J65)),0))</f>
        <v> </v>
      </c>
      <c r="AL65" s="295" t="str">
        <f aca="false">IF($A65="N/A"," ",IF(OR(Dayrun&lt;=2,Dayrun&gt;=9),IF(Option=1,$K65-$H65,IF(Option=2,$H65-$K65)),0))</f>
        <v> </v>
      </c>
      <c r="AM65" s="295" t="str">
        <f aca="false">IF($A65="N/A"," ",IF(OR(Dayrun=1,Dayrun=4,Dayrun=5,Dayrun=7,Dayrun=8,Dayrun=10,Dayrun=11),IF(Option=1,$L65-H65,IF(Option=2,H65-$L65)),0))</f>
        <v> </v>
      </c>
      <c r="AN65" s="295" t="str">
        <f aca="false">IF($A65="N/A"," ",IF(OR(Dayrun=1,Dayrun=7,Dayrun=8,Dayrun=10,Dayrun=11),IF(Option=1,$M65-H65,IF(Option=2,H65-$M65)),0))</f>
        <v> </v>
      </c>
      <c r="AO65" s="295" t="str">
        <f aca="false">IF($A65="N/A"," ",IF(OR(Dayrun&lt;=2,Dayrun&gt;=9),IF(Option=1,$N65-$H65,IF(Option=2,$H65-$N65)),0))</f>
        <v> </v>
      </c>
      <c r="AP65" s="295" t="str">
        <f aca="false">IF($A65="N/A"," ",IF(OR(Dayrun=1,Dayrun=5,Dayrun=8,Dayrun=11),IF(Option=1,$O65-H65,IF(Option=2,H65-$O65)),0))</f>
        <v> </v>
      </c>
      <c r="AQ65" s="295" t="str">
        <f aca="false">IF($A65="N/A"," ",IF(OR(Dayrun=1,Dayrun=8,Dayrun=11),IF(Option=1,$P65-H65,IF(Option=2,H65-$P65)),0))</f>
        <v> </v>
      </c>
      <c r="AR65" s="296" t="str">
        <f aca="false">IF($A65="N/A"," ",IF(OR(Dayrun&lt;=2,Dayrun&gt;=9),IF(Option=1,$Q65-H65,IF(Option=2,H65-$Q65)),0))</f>
        <v> </v>
      </c>
      <c r="AS65" s="297" t="str">
        <f aca="false">IF($A65="N/A"," ",IF(VLOOKUP(MONTH($A65),ManualTable,2)=1,IF(Dayrun&gt;=3,$DE65*8*$CY65,0),0))</f>
        <v> </v>
      </c>
      <c r="AT65" s="297" t="str">
        <f aca="false">IF($A65="N/A"," ",IF(VLOOKUP(MONTH($A65),ManualTable,3)=1,IF(Dayrun&gt;=6,$DE65*8*$CY65,0),0))</f>
        <v> </v>
      </c>
      <c r="AU65" s="297" t="str">
        <f aca="false">IF($A65="N/A"," ",IF(VLOOKUP(MONTH($A65),ManualTable,4)=1,IF(OR(Dayrun&lt;=2,Dayrun&gt;=9),$DE65*8*$CY65,0),0))</f>
        <v> </v>
      </c>
      <c r="AV65" s="297" t="str">
        <f aca="false">IF($A65="N/A"," ",IF(VLOOKUP(MONTH($A65),ManualTable,5)=1,IF(OR(Dayrun=1,Dayrun=4,Dayrun=5,Dayrun=7,Dayrun=8,Dayrun=10,Dayrun=11),$DF65*8*$CY65,0),0))</f>
        <v> </v>
      </c>
      <c r="AW65" s="297" t="str">
        <f aca="false">IF($A65="N/A"," ",IF(VLOOKUP(MONTH($A65),ManualTable,6)=1,IF(OR(Dayrun=1,Dayrun=7,Dayrun=8,Dayrun=10,Dayrun=11),$DF65*8*$CY65,0),0))</f>
        <v> </v>
      </c>
      <c r="AX65" s="297" t="str">
        <f aca="false">IF($A65="N/A"," ",IF(VLOOKUP(MONTH($A65),ManualTable,7)=1,IF(OR(Dayrun&lt;=2,Dayrun&gt;=9),$DF65*8*$CY65,0),0))</f>
        <v> </v>
      </c>
      <c r="AY65" s="297" t="str">
        <f aca="false">IF($A65="N/A"," ",IF(VLOOKUP(MONTH($A65),ManualTable,8)=1,IF(OR(Dayrun=1,Dayrun=5,Dayrun=8,Dayrun=11),$DG65*8*$CY65,0),0))</f>
        <v> </v>
      </c>
      <c r="AZ65" s="297" t="str">
        <f aca="false">IF($A65="N/A"," ",IF(VLOOKUP(MONTH($A65),ManualTable,9)=1,IF(OR(Dayrun=1,Dayrun=8,Dayrun=11),$DG65*8*$CY65,0),0))</f>
        <v> </v>
      </c>
      <c r="BA65" s="298" t="str">
        <f aca="false">IF($A65="N/A"," ",IF(VLOOKUP(MONTH($A65),ManualTable,10)=1,IF(OR(Dayrun&lt;=2,Dayrun&gt;=9),$DG65*8*$CY65,0),0))</f>
        <v> </v>
      </c>
      <c r="BB65" s="299" t="str">
        <f aca="false">IF($A65="N/A"," ",IF(Dayrun&gt;=3,(MAX(0,(xSPRDOPT(I65,($E65-'Pricing Inputs'!$X100*$D65),$CV65,0,($CN65+IF(Smile=TRUE(),VLOOKUP(MAX(-5,$H65-I65),Volsmile,2),0)),$CT65,$CU65,($A65-DateToday)+15,ABS(Option-2),1)*DE65*8))),0))</f>
        <v> </v>
      </c>
      <c r="BC65" s="300" t="str">
        <f aca="false">IF($A65="N/A"," ",IF(Dayrun&gt;=6,MAX(0,(xSPRDOPT(J65,($E65-'Pricing Inputs'!$X100*$D65),$CV65,0,($CN65+IF(Smile=TRUE(),VLOOKUP(MAX(-5,$H65-J65),Volsmile,2),0)),$CT65,$CU65,($A65-DateToday)+15,ABS(Option-2),1)*DE65*8)),0))</f>
        <v> </v>
      </c>
      <c r="BD65" s="300" t="str">
        <f aca="false">IF($A65="N/A"," ",IF(OR(Dayrun&lt;=2,Dayrun&gt;=9),IF(OffPeakEx=TRUE(),MAX(0,(xSPRDOPT(K65,($E65-'Pricing Inputs'!$X100*$D65),$CV65,0,($CQ65+IF(Smile=TRUE(),VLOOKUP(MAX(-5,$H65-K65),Volsmile,2),0)),$CT65,$CU65,($A65-DateToday)+15,ABS(Option-2),1)*DE65*8)),0),0))</f>
        <v> </v>
      </c>
      <c r="BE65" s="300" t="str">
        <f aca="false">IF($A65="N/A"," ",IF(OR(Dayrun=1,Dayrun=4,Dayrun=5,Dayrun=7,Dayrun=8,Dayrun=10,Dayrun=11),MAX(0,(xSPRDOPT(L65,($E65-'Pricing Inputs'!$X100*$D65),$CV65,0,($CQ65+IF(Smile=TRUE(),VLOOKUP(MAX(-5,$H65-L65),Volsmile,2),0)),$CT65,$CU65,($A65-DateToday)+15,ABS(Option-2),1)*DF65*8)),0))</f>
        <v> </v>
      </c>
      <c r="BF65" s="300" t="str">
        <f aca="false">IF($A65="N/A"," ",IF(OR(Dayrun=1,Dayrun=7,Dayrun=8,Dayrun=10,Dayrun=11),MAX(0,(xSPRDOPT(M65,($E65-'Pricing Inputs'!$X100*$D65),$CV65,0,($CQ65+IF(Smile=TRUE(),VLOOKUP(MAX(-5,$H65-M65),Volsmile,2),0)),$CT65,$CU65,($A65-DateToday)+15,ABS(Option-2),1)*DF65*8)),0))</f>
        <v> </v>
      </c>
      <c r="BG65" s="300" t="str">
        <f aca="false">IF($A65="N/A"," ",IF(OR(Dayrun&lt;=2,Dayrun&gt;=10),IF(OffPeakEx=TRUE(),MAX(0,(xSPRDOPT(N65,($E65-'Pricing Inputs'!$X100*$D65),$CV65,0,($CQ65+IF(Smile=TRUE(),VLOOKUP(MAX(-5,$H65-N65),Volsmile,2),0)),$CT65,$CU65,($A65-DateToday)+15,ABS(Option-2),1)*DF65*8)),0),0))</f>
        <v> </v>
      </c>
      <c r="BH65" s="300" t="str">
        <f aca="false">IF($A65="N/A"," ",IF(OR(Dayrun=1,Dayrun=5,Dayrun=8,Dayrun=11),MAX(0,(xSPRDOPT(O65,($E65-'Pricing Inputs'!$X100*$D65),$CV65,0,($CQ65+IF(Smile=TRUE(),VLOOKUP(MAX(-5,$H65-O65),Volsmile,2),0)),$CT65,$CU65,($A65-DateToday)+15,ABS(Option-2),1)*DG65*8)),0))</f>
        <v> </v>
      </c>
      <c r="BI65" s="300" t="str">
        <f aca="false">IF($A65="N/A"," ",IF(OR(Dayrun=1,Dayrun=8,Dayrun=11),MAX(0,(xSPRDOPT(P65,($E65-'Pricing Inputs'!$X100*$D65),$CV65,0,($CQ65+IF(Smile=TRUE(),VLOOKUP(MAX(-5,$H65-P65),Volsmile,2),0)),$CT65,$CU65,($A65-DateToday)+15,ABS(Option-2),1)*DG65*8)),0))</f>
        <v> </v>
      </c>
      <c r="BJ65" s="301" t="str">
        <f aca="false">IF($A65="N/A"," ",IF(OR(Dayrun&lt;=2,Dayrun&gt;=11),IF(OffPeakEx=TRUE(),MAX(0,(xSPRDOPT(Q65,($E65-'Pricing Inputs'!$X100*$D65),$CV65,0,($CQ65+IF(Smile=TRUE(),VLOOKUP(MAX(-5,$H65-Q65),Volsmile,2),0)),$CT65,$CU65,($A65-DateToday)+15,ABS(Option-2),1)*DG65*8)),0),0))</f>
        <v> </v>
      </c>
      <c r="BK65" s="302" t="str">
        <f aca="false">IF($A65="N/A"," ",R65*$AS65)</f>
        <v> </v>
      </c>
      <c r="BL65" s="303" t="str">
        <f aca="false">IF($A65="N/A"," ",S65*$AT65)</f>
        <v> </v>
      </c>
      <c r="BM65" s="303" t="str">
        <f aca="false">IF($A65="N/A"," ",T65*$AU65)</f>
        <v> </v>
      </c>
      <c r="BN65" s="303" t="str">
        <f aca="false">IF($A65="N/A"," ",U65*$AV65)</f>
        <v> </v>
      </c>
      <c r="BO65" s="303" t="str">
        <f aca="false">IF($A65="N/A"," ",V65*$AW65)</f>
        <v> </v>
      </c>
      <c r="BP65" s="303" t="str">
        <f aca="false">IF($A65="N/A"," ",W65*$AX65)</f>
        <v> </v>
      </c>
      <c r="BQ65" s="303" t="str">
        <f aca="false">IF($A65="N/A"," ",X65*$AY65)</f>
        <v> </v>
      </c>
      <c r="BR65" s="303" t="str">
        <f aca="false">IF($A65="N/A"," ",Y65*$AZ65)</f>
        <v> </v>
      </c>
      <c r="BS65" s="304" t="str">
        <f aca="false">IF($A65="N/A"," ",Z65*$BA65)</f>
        <v> </v>
      </c>
      <c r="BT65" s="305" t="str">
        <f aca="false">IF($A65="N/A"," ",AA65*$AS65)</f>
        <v> </v>
      </c>
      <c r="BU65" s="306" t="str">
        <f aca="false">IF($A65="N/A"," ",AB65*$AT65)</f>
        <v> </v>
      </c>
      <c r="BV65" s="306" t="str">
        <f aca="false">IF($A65="N/A"," ",AC65*$AU65)</f>
        <v> </v>
      </c>
      <c r="BW65" s="306" t="str">
        <f aca="false">IF($A65="N/A"," ",AD65*$AV65)</f>
        <v> </v>
      </c>
      <c r="BX65" s="306" t="str">
        <f aca="false">IF($A65="N/A"," ",AE65*$AW65)</f>
        <v> </v>
      </c>
      <c r="BY65" s="306" t="str">
        <f aca="false">IF($A65="N/A"," ",AF65*$AX65)</f>
        <v> </v>
      </c>
      <c r="BZ65" s="306" t="str">
        <f aca="false">IF($A65="N/A"," ",AG65*$AY65)</f>
        <v> </v>
      </c>
      <c r="CA65" s="306" t="str">
        <f aca="false">IF($A65="N/A"," ",AH65*$AZ65)</f>
        <v> </v>
      </c>
      <c r="CB65" s="307" t="str">
        <f aca="false">IF($A65="N/A"," ",AI65*$BA65)</f>
        <v> </v>
      </c>
      <c r="CC65" s="308" t="str">
        <f aca="false">IF($A65="N/A"," ",AJ65*$AS65)</f>
        <v> </v>
      </c>
      <c r="CD65" s="309" t="str">
        <f aca="false">IF($A65="N/A"," ",AK65*$AT65)</f>
        <v> </v>
      </c>
      <c r="CE65" s="309" t="str">
        <f aca="false">IF($A65="N/A"," ",AL65*$AU65)</f>
        <v> </v>
      </c>
      <c r="CF65" s="309" t="str">
        <f aca="false">IF($A65="N/A"," ",AM65*$AV65)</f>
        <v> </v>
      </c>
      <c r="CG65" s="309" t="str">
        <f aca="false">IF($A65="N/A"," ",AN65*$AW65)</f>
        <v> </v>
      </c>
      <c r="CH65" s="309" t="str">
        <f aca="false">IF($A65="N/A"," ",AO65*$AX65)</f>
        <v> </v>
      </c>
      <c r="CI65" s="309" t="str">
        <f aca="false">IF($A65="N/A"," ",AP65*$AY65)</f>
        <v> </v>
      </c>
      <c r="CJ65" s="309" t="str">
        <f aca="false">IF($A65="N/A"," ",AQ65*$AZ65)</f>
        <v> </v>
      </c>
      <c r="CK65" s="310" t="str">
        <f aca="false">IF($A65="N/A"," ",AR65*$BA65)</f>
        <v> </v>
      </c>
      <c r="CL65" s="311" t="str">
        <f aca="false">IF(A65="N/A"," ",(VLOOKUP(A65,PowerVolTable,(IF(VolBMO=2,7,IF(VolBMO=1,6,8))),FALSE())))</f>
        <v> </v>
      </c>
      <c r="CM65" s="312" t="str">
        <f aca="false">IF(A65="N/A"," ",(VLOOKUP(A65,IntraPowerVol,(IF(VolBMO=2,3,IF(VolBMO=1,2,4))),FALSE())*VLOOKUP(MONTH($A65),Volscale,2)))</f>
        <v> </v>
      </c>
      <c r="CN65" s="312" t="str">
        <f aca="false">IF($A65="N/A"," ",IF(VolType=1,CM65,CL65))</f>
        <v> </v>
      </c>
      <c r="CO65" s="312" t="str">
        <f aca="false">IF($A65="N/A"," ",(VLOOKUP($A65,OffPeakVol,(IF(VolBMO=2,7,IF(VolBMO=1,6,8))),FALSE())))</f>
        <v> </v>
      </c>
      <c r="CP65" s="312" t="str">
        <f aca="false">IF($A65="N/A"," ",(VLOOKUP($A65,OffPeakVol,(IF(VolBMO=2,3,IF(VolBMO=1,2,4))),FALSE())*VLOOKUP(MONTH($A65),Volscale,2)))</f>
        <v> </v>
      </c>
      <c r="CQ65" s="312" t="str">
        <f aca="false">IF($A65="N/A"," ",IF(VolType=1,CP65,CO65))</f>
        <v> </v>
      </c>
      <c r="CR65" s="312" t="str">
        <f aca="false">IF($A65="N/A"," ",(VLOOKUP($A65,GasVolTable,(IF(VolBMO=2,6,IF(VolBMO=1,7,5))),FALSE())))</f>
        <v> </v>
      </c>
      <c r="CS65" s="312" t="str">
        <f aca="false">IF($A65="N/A"," ",(VLOOKUP($A65,OmicronVol,(IF(VolBMO=2,3,IF(VolBMO=1,4,2))),FALSE())))</f>
        <v> </v>
      </c>
      <c r="CT65" s="312" t="str">
        <f aca="false">IF($A65="N/A"," ",(IF(DateToday&gt;$A65,$CS65,IF(VolType=1,((($CR65^2)*((($A65-1)-DateToday)/((EOMONTH($A65,0)+1)-DateToday-15)))+((($CS65)^2)*((15)/((EOMONTH($A65,0)+1)-DateToday-15))))^0.5,CR65))))</f>
        <v> </v>
      </c>
      <c r="CU65" s="312" t="str">
        <f aca="false">IF($A65="N/A"," ",IF('Pricing Inputs'!$AR$23=TRUE(),Inputs!$S$22,VLOOKUP($A65,CorrelationTable,2,FALSE())))</f>
        <v> </v>
      </c>
      <c r="CV65" s="313" t="str">
        <f aca="false">IF($A65="N/A"," ",F65+G65+(D65*('Pricing Inputs'!X100)))</f>
        <v> </v>
      </c>
      <c r="CW65" s="314" t="str">
        <f aca="false">IF($A65="N/A"," ",IF(PV=1,0,'Pricing Inputs'!Y100))</f>
        <v> </v>
      </c>
      <c r="CX65" s="315" t="str">
        <f aca="false">IF($A65="N/A"," ",(1+CW65/2)^(-2*((EOMONTH(A65,0)+20)-DateToday)/365.25))</f>
        <v> </v>
      </c>
      <c r="CY65" s="316" t="str">
        <f aca="false">IF($A65="N/A"," ",(IF(MONTH(A65)&gt;=4,IF(MONTH(A65)&lt;=10,Inputs!$S$26,Inputs!$S$27),Inputs!$S$27))*$CX65)</f>
        <v> </v>
      </c>
      <c r="CZ65" s="317" t="str">
        <f aca="false">IF($A65="N/A"," ",BK65+BL65+BN65+BO65+BQ65+BR65)</f>
        <v> </v>
      </c>
      <c r="DA65" s="318" t="str">
        <f aca="false">IF($A65="N/A"," ",BM65+BP65+BS65)</f>
        <v> </v>
      </c>
      <c r="DB65" s="319" t="str">
        <f aca="false">IF($A65="N/A"," ",BT65+BU65+BW65+BX65+BZ65+CA65)</f>
        <v> </v>
      </c>
      <c r="DC65" s="319" t="str">
        <f aca="false">IF($A65="N/A"," ",BV65+BY65+CB65)</f>
        <v> </v>
      </c>
      <c r="DD65" s="320" t="str">
        <f aca="false">IF($A65="N/A"," ",SUM(CC65:CK65))</f>
        <v> </v>
      </c>
      <c r="DE65" s="321" t="str">
        <f aca="false">IF($A65="N/A"," ",VLOOKUP($A65,NumberofDaysTable,2)*Availability)</f>
        <v> </v>
      </c>
      <c r="DF65" s="94" t="str">
        <f aca="false">IF($A65="N/A"," ",VLOOKUP($A65,NumberofDaysTable,3)*Availability)</f>
        <v> </v>
      </c>
      <c r="DG65" s="322" t="str">
        <f aca="false">IF($A65="N/A"," ",VLOOKUP($A65,NumberofDaysTable,4)*Availability)</f>
        <v> </v>
      </c>
      <c r="DH65" s="323" t="str">
        <f aca="false">IF($A65="N/A"," ",IF(Option=1,$D65*Inputs!$S$15*SUM(AS65:BA65),0))</f>
        <v> </v>
      </c>
      <c r="DI65" s="324" t="str">
        <f aca="false">IF($A65="N/A"," ",IF(Option=1,$D65*Inputs!$S$16*SUM(AS65:BA65),0))</f>
        <v> </v>
      </c>
      <c r="DJ65" s="325" t="str">
        <f aca="false">IF($A65="N/A"," ",SUM(AS65:AT65))</f>
        <v> </v>
      </c>
      <c r="DK65" s="325" t="str">
        <f aca="false">IF($A65="N/A"," ",SUM(AU65:BA65))</f>
        <v> </v>
      </c>
      <c r="DL65" s="325" t="str">
        <f aca="false">IF($A65="N/A"," ",SUM(BB65:BC65))</f>
        <v> </v>
      </c>
      <c r="DM65" s="325" t="str">
        <f aca="false">IF($A65="N/A"," ",SUM(BD65:BJ65))</f>
        <v> </v>
      </c>
    </row>
    <row r="66" customFormat="false" ht="12.75" hidden="false" customHeight="false" outlineLevel="0" collapsed="false">
      <c r="A66" s="282" t="str">
        <f aca="false">IF(A65="N/A","N/A",IF(EDATE(A65,1)&gt;Inputs!$S$5,"N/A",EDATE(A65,1)))</f>
        <v>N/A</v>
      </c>
      <c r="B66" s="283" t="str">
        <f aca="false">IF(A66="N/A"," ",YEAR(A66))</f>
        <v> </v>
      </c>
      <c r="C66" s="284" t="str">
        <f aca="false">IF(A66="N/A"," ",VLOOKUP(A66,ScaledPrice,14))</f>
        <v> </v>
      </c>
      <c r="D66" s="285" t="str">
        <f aca="false">IF(A66="N/A"," ",(VLOOKUP(MONTH($A66),Hrtable,2))/1000)</f>
        <v> </v>
      </c>
      <c r="E66" s="286" t="str">
        <f aca="false">IF($A66="N/A"," ",(C66)*D66)</f>
        <v> </v>
      </c>
      <c r="F66" s="287" t="str">
        <f aca="false">IF(A66="N/A"," ",VOM*(1+VOMesc)^(YEAR(A66)-YEAR(Today)))</f>
        <v> </v>
      </c>
      <c r="G66" s="287" t="str">
        <f aca="false">IF(A66="N/A"," ",Perstart/VLOOKUP(Dayrun,'Pricing Inputs'!$AQ$4:$AS$14,3)/(CY66/CX66))</f>
        <v> </v>
      </c>
      <c r="H66" s="288" t="str">
        <f aca="false">IF(A66="N/A"," ",SUM(E66:G66))</f>
        <v> </v>
      </c>
      <c r="I66" s="289" t="str">
        <f aca="false">VLOOKUP($A66,ScaledPrice,6)</f>
        <v> </v>
      </c>
      <c r="J66" s="290" t="str">
        <f aca="false">VLOOKUP($A66,ScaledPrice,10)</f>
        <v> </v>
      </c>
      <c r="K66" s="290" t="str">
        <f aca="false">VLOOKUP($A66,ScaledPrice,13)</f>
        <v> </v>
      </c>
      <c r="L66" s="290" t="str">
        <f aca="false">VLOOKUP($A66,ScaledPrice,7)</f>
        <v> </v>
      </c>
      <c r="M66" s="290" t="str">
        <f aca="false">VLOOKUP($A66,ScaledPrice,11)</f>
        <v> </v>
      </c>
      <c r="N66" s="290" t="str">
        <f aca="false">VLOOKUP($A66,ScaledPrice,13)</f>
        <v> </v>
      </c>
      <c r="O66" s="290" t="str">
        <f aca="false">VLOOKUP($A66,ScaledPrice,8)</f>
        <v> </v>
      </c>
      <c r="P66" s="290" t="str">
        <f aca="false">VLOOKUP($A66,ScaledPrice,12)</f>
        <v> </v>
      </c>
      <c r="Q66" s="291" t="str">
        <f aca="false">VLOOKUP($A66,ScaledPrice,13)</f>
        <v> </v>
      </c>
      <c r="R66" s="292" t="str">
        <f aca="false">IF($A66="N/A"," ",IF(Dayrun&gt;=3,IF(Option=1,MAX($I66-$H66,0),IF(Option=2,MAX($H66-$I66,0),0)),0))</f>
        <v> </v>
      </c>
      <c r="S66" s="286" t="str">
        <f aca="false">IF($A66="N/A"," ",IF(Dayrun&gt;=6,IF(Option=1,MAX($J66-H66,0),IF(Option=2,MAX(H66-$J66,0),0)),0))</f>
        <v> </v>
      </c>
      <c r="T66" s="286" t="str">
        <f aca="false">IF($A66="N/A"," ",IF(OR(Dayrun&lt;=2,Dayrun&gt;=9),IF(Option=1,MAX($K66-$H66,0),IF(Option=2,MAX($H66-$K66,0),0)),0))</f>
        <v> </v>
      </c>
      <c r="U66" s="286" t="str">
        <f aca="false">IF($A66="N/A"," ",IF(OR(Dayrun=1,Dayrun=4,Dayrun=5,Dayrun=7,Dayrun=8,Dayrun=10,Dayrun=11),IF(Option=1,MAX($L66-H66,0),IF(Option=2,MAX(H66-$L66,0),0)),0))</f>
        <v> </v>
      </c>
      <c r="V66" s="286" t="str">
        <f aca="false">IF($A66="N/A"," ",IF(OR(Dayrun=1,Dayrun=7,Dayrun=8,Dayrun=10,Dayrun=11),IF(Option=1,MAX($M66-H66,0),IF(Option=2,MAX(H66-$M66,0),0)),0))</f>
        <v> </v>
      </c>
      <c r="W66" s="286" t="str">
        <f aca="false">IF($A66="N/A"," ",IF(OR(Dayrun&lt;=2,Dayrun&gt;=10),IF(Option=1,MAX($N66-$H66,0),IF(Option=2,MAX($H66-$N66,0),0)),0))</f>
        <v> </v>
      </c>
      <c r="X66" s="286" t="str">
        <f aca="false">IF($A66="N/A"," ",IF(OR(Dayrun=1,Dayrun=5,Dayrun=8,Dayrun=11),IF(Option=1,MAX($O66-H66,0),IF(Option=2,MAX(H66-$O66,0),0)),0))</f>
        <v> </v>
      </c>
      <c r="Y66" s="286" t="str">
        <f aca="false">IF($A66="N/A"," ",IF(OR(Dayrun=1,Dayrun=8,Dayrun=11),IF(Option=1,MAX($P66-H66,0),IF(Option=2,MAX(H66-$P66,0),0)),0))</f>
        <v> </v>
      </c>
      <c r="Z66" s="293" t="str">
        <f aca="false">IF($A66="N/A"," ",IF(OR(Dayrun&lt;=2,Dayrun&gt;=11),IF(Option=1,MAX($Q66-$H66,0),IF(Option=2,MAX($H66-$Q66,0),0)),0))</f>
        <v> </v>
      </c>
      <c r="AA66" s="289" t="str">
        <f aca="false">IF($A66="N/A"," ",IF(Dayrun&gt;=3,(MAX(0,(xSPRDOPT(I66,($E66-'Pricing Inputs'!$X101*$D66),$CV66,0,($CN66+IF(Smile=TRUE(),VLOOKUP(MAX(-5,$H66-I66),Volsmile,2),0)),$CT66,$CU66,($A66-DateToday)+15,ABS(Option-2),0)-R66))),0))</f>
        <v> </v>
      </c>
      <c r="AB66" s="290" t="str">
        <f aca="false">IF($A66="N/A"," ",IF(Dayrun&gt;=6,MAX(0,(xSPRDOPT(J66,($E66-'Pricing Inputs'!$X101*$D66),$CV66,0,($CN66+IF(Smile=TRUE(),VLOOKUP(MAX(-5,$H66-J66),Volsmile,2),0)),$CT66,$CU66,($A66-DateToday)+15,ABS(Option-2),0)-S66)),0))</f>
        <v> </v>
      </c>
      <c r="AC66" s="290" t="str">
        <f aca="false">IF($A66="N/A"," ",IF(OR(Dayrun&lt;=2,Dayrun&gt;=9),IF(OffPeakEx=TRUE(),MAX(0,(xSPRDOPT(K66,($E66-'Pricing Inputs'!$X101*$D66),$CV66,0,($CQ66+IF(Smile=TRUE(),VLOOKUP(MAX(-5,$H66-K66),Volsmile,2),0)),$CT66,$CU66,($A66-DateToday)+15,ABS(Option-2),0)-T66)),0),0))</f>
        <v> </v>
      </c>
      <c r="AD66" s="290" t="str">
        <f aca="false">IF($A66="N/A"," ",IF(OR(Dayrun=1,Dayrun=4,Dayrun=5,Dayrun=7,Dayrun=8,Dayrun=10,Dayrun=11),MAX(0,(xSPRDOPT(L66,($E66-'Pricing Inputs'!$X101*$D66),$CV66,0,($CQ66+IF(Smile=TRUE(),VLOOKUP(MAX(-5,$H66-L66),Volsmile,2),0)),$CT66,$CU66,($A66-DateToday)+15,ABS(Option-2),0)-U66)),0))</f>
        <v> </v>
      </c>
      <c r="AE66" s="290" t="str">
        <f aca="false">IF($A66="N/A"," ",IF(OR(Dayrun=1,Dayrun=7,Dayrun=8,Dayrun=10,Dayrun=11),MAX(0,(xSPRDOPT(M66,($E66-'Pricing Inputs'!$X101*$D66),$CV66,0,($CQ66+IF(Smile=TRUE(),VLOOKUP(MAX(-5,$H66-M66),Volsmile,2),0)),$CT66,$CU66,($A66-DateToday)+15,ABS(Option-2),0)-V66)),0))</f>
        <v> </v>
      </c>
      <c r="AF66" s="290" t="str">
        <f aca="false">IF($A66="N/A"," ",IF(OR(Dayrun&lt;=2,Dayrun&gt;=10),IF(OffPeakEx=TRUE(),MAX(0,(xSPRDOPT(N66,($E66-'Pricing Inputs'!$X101*$D66),$CV66,0,($CQ66+IF(Smile=TRUE(),VLOOKUP(MAX(-5,$H66-N66),Volsmile,2),0)),$CT66,$CU66,($A66-DateToday)+15,ABS(Option-2),0)-W66)),0),0))</f>
        <v> </v>
      </c>
      <c r="AG66" s="290" t="str">
        <f aca="false">IF($A66="N/A"," ",IF(OR(Dayrun=1,Dayrun=5,Dayrun=8,Dayrun=11),MAX(0,(xSPRDOPT(O66,($E66-'Pricing Inputs'!$X101*$D66),$CV66,0,($CQ66+IF(Smile=TRUE(),VLOOKUP(MAX(-5,$H66-O66),Volsmile,2),0)),$CT66,$CU66,($A66-DateToday)+15,ABS(Option-2),0)-X66)),0))</f>
        <v> </v>
      </c>
      <c r="AH66" s="290" t="str">
        <f aca="false">IF($A66="N/A"," ",IF(OR(Dayrun=1,Dayrun=8,Dayrun=11),MAX(0,(xSPRDOPT(P66,($E66-'Pricing Inputs'!$X101*$D66),$CV66,0,($CQ66+IF(Smile=TRUE(),VLOOKUP(MAX(-5,$H66-P66),Volsmile,2),0)),$CT66,$CU66,($A66-DateToday)+15,ABS(Option-2),0)-Y66)),0))</f>
        <v> </v>
      </c>
      <c r="AI66" s="290" t="str">
        <f aca="false">IF($A66="N/A"," ",IF(OR(Dayrun&lt;=2,Dayrun&gt;=11),IF(OffPeakEx=TRUE(),MAX(0,(xSPRDOPT(Q66,($E66-'Pricing Inputs'!$X101*$D66),$CV66,0,($CQ66+IF(Smile=TRUE(),VLOOKUP(MAX(-5,$H66-Q66),Volsmile,2),0)),$CT66,$CU66,($A66-DateToday)+15,ABS(Option-2),0)-Z66)),0),0))</f>
        <v> </v>
      </c>
      <c r="AJ66" s="294" t="str">
        <f aca="false">IF($A66="N/A"," ",IF(Dayrun&gt;=3,IF(Option=1,$I66-$H66,IF(Option=2,$H66-$I66)),0))</f>
        <v> </v>
      </c>
      <c r="AK66" s="295" t="str">
        <f aca="false">IF($A66="N/A"," ",IF(Dayrun&gt;=6,IF(Option=1,$J66-H66,IF(Option=2,H66-$J66)),0))</f>
        <v> </v>
      </c>
      <c r="AL66" s="295" t="str">
        <f aca="false">IF($A66="N/A"," ",IF(OR(Dayrun&lt;=2,Dayrun&gt;=9),IF(Option=1,$K66-$H66,IF(Option=2,$H66-$K66)),0))</f>
        <v> </v>
      </c>
      <c r="AM66" s="295" t="str">
        <f aca="false">IF($A66="N/A"," ",IF(OR(Dayrun=1,Dayrun=4,Dayrun=5,Dayrun=7,Dayrun=8,Dayrun=10,Dayrun=11),IF(Option=1,$L66-H66,IF(Option=2,H66-$L66)),0))</f>
        <v> </v>
      </c>
      <c r="AN66" s="295" t="str">
        <f aca="false">IF($A66="N/A"," ",IF(OR(Dayrun=1,Dayrun=7,Dayrun=8,Dayrun=10,Dayrun=11),IF(Option=1,$M66-H66,IF(Option=2,H66-$M66)),0))</f>
        <v> </v>
      </c>
      <c r="AO66" s="295" t="str">
        <f aca="false">IF($A66="N/A"," ",IF(OR(Dayrun&lt;=2,Dayrun&gt;=9),IF(Option=1,$N66-$H66,IF(Option=2,$H66-$N66)),0))</f>
        <v> </v>
      </c>
      <c r="AP66" s="295" t="str">
        <f aca="false">IF($A66="N/A"," ",IF(OR(Dayrun=1,Dayrun=5,Dayrun=8,Dayrun=11),IF(Option=1,$O66-H66,IF(Option=2,H66-$O66)),0))</f>
        <v> </v>
      </c>
      <c r="AQ66" s="295" t="str">
        <f aca="false">IF($A66="N/A"," ",IF(OR(Dayrun=1,Dayrun=8,Dayrun=11),IF(Option=1,$P66-H66,IF(Option=2,H66-$P66)),0))</f>
        <v> </v>
      </c>
      <c r="AR66" s="296" t="str">
        <f aca="false">IF($A66="N/A"," ",IF(OR(Dayrun&lt;=2,Dayrun&gt;=9),IF(Option=1,$Q66-H66,IF(Option=2,H66-$Q66)),0))</f>
        <v> </v>
      </c>
      <c r="AS66" s="297" t="str">
        <f aca="false">IF($A66="N/A"," ",IF(VLOOKUP(MONTH($A66),ManualTable,2)=1,IF(Dayrun&gt;=3,$DE66*8*$CY66,0),0))</f>
        <v> </v>
      </c>
      <c r="AT66" s="297" t="str">
        <f aca="false">IF($A66="N/A"," ",IF(VLOOKUP(MONTH($A66),ManualTable,3)=1,IF(Dayrun&gt;=6,$DE66*8*$CY66,0),0))</f>
        <v> </v>
      </c>
      <c r="AU66" s="297" t="str">
        <f aca="false">IF($A66="N/A"," ",IF(VLOOKUP(MONTH($A66),ManualTable,4)=1,IF(OR(Dayrun&lt;=2,Dayrun&gt;=9),$DE66*8*$CY66,0),0))</f>
        <v> </v>
      </c>
      <c r="AV66" s="297" t="str">
        <f aca="false">IF($A66="N/A"," ",IF(VLOOKUP(MONTH($A66),ManualTable,5)=1,IF(OR(Dayrun=1,Dayrun=4,Dayrun=5,Dayrun=7,Dayrun=8,Dayrun=10,Dayrun=11),$DF66*8*$CY66,0),0))</f>
        <v> </v>
      </c>
      <c r="AW66" s="297" t="str">
        <f aca="false">IF($A66="N/A"," ",IF(VLOOKUP(MONTH($A66),ManualTable,6)=1,IF(OR(Dayrun=1,Dayrun=7,Dayrun=8,Dayrun=10,Dayrun=11),$DF66*8*$CY66,0),0))</f>
        <v> </v>
      </c>
      <c r="AX66" s="297" t="str">
        <f aca="false">IF($A66="N/A"," ",IF(VLOOKUP(MONTH($A66),ManualTable,7)=1,IF(OR(Dayrun&lt;=2,Dayrun&gt;=9),$DF66*8*$CY66,0),0))</f>
        <v> </v>
      </c>
      <c r="AY66" s="297" t="str">
        <f aca="false">IF($A66="N/A"," ",IF(VLOOKUP(MONTH($A66),ManualTable,8)=1,IF(OR(Dayrun=1,Dayrun=5,Dayrun=8,Dayrun=11),$DG66*8*$CY66,0),0))</f>
        <v> </v>
      </c>
      <c r="AZ66" s="297" t="str">
        <f aca="false">IF($A66="N/A"," ",IF(VLOOKUP(MONTH($A66),ManualTable,9)=1,IF(OR(Dayrun=1,Dayrun=8,Dayrun=11),$DG66*8*$CY66,0),0))</f>
        <v> </v>
      </c>
      <c r="BA66" s="298" t="str">
        <f aca="false">IF($A66="N/A"," ",IF(VLOOKUP(MONTH($A66),ManualTable,10)=1,IF(OR(Dayrun&lt;=2,Dayrun&gt;=9),$DG66*8*$CY66,0),0))</f>
        <v> </v>
      </c>
      <c r="BB66" s="299" t="str">
        <f aca="false">IF($A66="N/A"," ",IF(Dayrun&gt;=3,(MAX(0,(xSPRDOPT(I66,($E66-'Pricing Inputs'!$X101*$D66),$CV66,0,($CN66+IF(Smile=TRUE(),VLOOKUP(MAX(-5,$H66-I66),Volsmile,2),0)),$CT66,$CU66,($A66-DateToday)+15,ABS(Option-2),1)*DE66*8))),0))</f>
        <v> </v>
      </c>
      <c r="BC66" s="300" t="str">
        <f aca="false">IF($A66="N/A"," ",IF(Dayrun&gt;=6,MAX(0,(xSPRDOPT(J66,($E66-'Pricing Inputs'!$X101*$D66),$CV66,0,($CN66+IF(Smile=TRUE(),VLOOKUP(MAX(-5,$H66-J66),Volsmile,2),0)),$CT66,$CU66,($A66-DateToday)+15,ABS(Option-2),1)*DE66*8)),0))</f>
        <v> </v>
      </c>
      <c r="BD66" s="300" t="str">
        <f aca="false">IF($A66="N/A"," ",IF(OR(Dayrun&lt;=2,Dayrun&gt;=9),IF(OffPeakEx=TRUE(),MAX(0,(xSPRDOPT(K66,($E66-'Pricing Inputs'!$X101*$D66),$CV66,0,($CQ66+IF(Smile=TRUE(),VLOOKUP(MAX(-5,$H66-K66),Volsmile,2),0)),$CT66,$CU66,($A66-DateToday)+15,ABS(Option-2),1)*DE66*8)),0),0))</f>
        <v> </v>
      </c>
      <c r="BE66" s="300" t="str">
        <f aca="false">IF($A66="N/A"," ",IF(OR(Dayrun=1,Dayrun=4,Dayrun=5,Dayrun=7,Dayrun=8,Dayrun=10,Dayrun=11),MAX(0,(xSPRDOPT(L66,($E66-'Pricing Inputs'!$X101*$D66),$CV66,0,($CQ66+IF(Smile=TRUE(),VLOOKUP(MAX(-5,$H66-L66),Volsmile,2),0)),$CT66,$CU66,($A66-DateToday)+15,ABS(Option-2),1)*DF66*8)),0))</f>
        <v> </v>
      </c>
      <c r="BF66" s="300" t="str">
        <f aca="false">IF($A66="N/A"," ",IF(OR(Dayrun=1,Dayrun=7,Dayrun=8,Dayrun=10,Dayrun=11),MAX(0,(xSPRDOPT(M66,($E66-'Pricing Inputs'!$X101*$D66),$CV66,0,($CQ66+IF(Smile=TRUE(),VLOOKUP(MAX(-5,$H66-M66),Volsmile,2),0)),$CT66,$CU66,($A66-DateToday)+15,ABS(Option-2),1)*DF66*8)),0))</f>
        <v> </v>
      </c>
      <c r="BG66" s="300" t="str">
        <f aca="false">IF($A66="N/A"," ",IF(OR(Dayrun&lt;=2,Dayrun&gt;=10),IF(OffPeakEx=TRUE(),MAX(0,(xSPRDOPT(N66,($E66-'Pricing Inputs'!$X101*$D66),$CV66,0,($CQ66+IF(Smile=TRUE(),VLOOKUP(MAX(-5,$H66-N66),Volsmile,2),0)),$CT66,$CU66,($A66-DateToday)+15,ABS(Option-2),1)*DF66*8)),0),0))</f>
        <v> </v>
      </c>
      <c r="BH66" s="300" t="str">
        <f aca="false">IF($A66="N/A"," ",IF(OR(Dayrun=1,Dayrun=5,Dayrun=8,Dayrun=11),MAX(0,(xSPRDOPT(O66,($E66-'Pricing Inputs'!$X101*$D66),$CV66,0,($CQ66+IF(Smile=TRUE(),VLOOKUP(MAX(-5,$H66-O66),Volsmile,2),0)),$CT66,$CU66,($A66-DateToday)+15,ABS(Option-2),1)*DG66*8)),0))</f>
        <v> </v>
      </c>
      <c r="BI66" s="300" t="str">
        <f aca="false">IF($A66="N/A"," ",IF(OR(Dayrun=1,Dayrun=8,Dayrun=11),MAX(0,(xSPRDOPT(P66,($E66-'Pricing Inputs'!$X101*$D66),$CV66,0,($CQ66+IF(Smile=TRUE(),VLOOKUP(MAX(-5,$H66-P66),Volsmile,2),0)),$CT66,$CU66,($A66-DateToday)+15,ABS(Option-2),1)*DG66*8)),0))</f>
        <v> </v>
      </c>
      <c r="BJ66" s="301" t="str">
        <f aca="false">IF($A66="N/A"," ",IF(OR(Dayrun&lt;=2,Dayrun&gt;=11),IF(OffPeakEx=TRUE(),MAX(0,(xSPRDOPT(Q66,($E66-'Pricing Inputs'!$X101*$D66),$CV66,0,($CQ66+IF(Smile=TRUE(),VLOOKUP(MAX(-5,$H66-Q66),Volsmile,2),0)),$CT66,$CU66,($A66-DateToday)+15,ABS(Option-2),1)*DG66*8)),0),0))</f>
        <v> </v>
      </c>
      <c r="BK66" s="302" t="str">
        <f aca="false">IF($A66="N/A"," ",R66*$AS66)</f>
        <v> </v>
      </c>
      <c r="BL66" s="303" t="str">
        <f aca="false">IF($A66="N/A"," ",S66*$AT66)</f>
        <v> </v>
      </c>
      <c r="BM66" s="303" t="str">
        <f aca="false">IF($A66="N/A"," ",T66*$AU66)</f>
        <v> </v>
      </c>
      <c r="BN66" s="303" t="str">
        <f aca="false">IF($A66="N/A"," ",U66*$AV66)</f>
        <v> </v>
      </c>
      <c r="BO66" s="303" t="str">
        <f aca="false">IF($A66="N/A"," ",V66*$AW66)</f>
        <v> </v>
      </c>
      <c r="BP66" s="303" t="str">
        <f aca="false">IF($A66="N/A"," ",W66*$AX66)</f>
        <v> </v>
      </c>
      <c r="BQ66" s="303" t="str">
        <f aca="false">IF($A66="N/A"," ",X66*$AY66)</f>
        <v> </v>
      </c>
      <c r="BR66" s="303" t="str">
        <f aca="false">IF($A66="N/A"," ",Y66*$AZ66)</f>
        <v> </v>
      </c>
      <c r="BS66" s="304" t="str">
        <f aca="false">IF($A66="N/A"," ",Z66*$BA66)</f>
        <v> </v>
      </c>
      <c r="BT66" s="305" t="str">
        <f aca="false">IF($A66="N/A"," ",AA66*$AS66)</f>
        <v> </v>
      </c>
      <c r="BU66" s="306" t="str">
        <f aca="false">IF($A66="N/A"," ",AB66*$AT66)</f>
        <v> </v>
      </c>
      <c r="BV66" s="306" t="str">
        <f aca="false">IF($A66="N/A"," ",AC66*$AU66)</f>
        <v> </v>
      </c>
      <c r="BW66" s="306" t="str">
        <f aca="false">IF($A66="N/A"," ",AD66*$AV66)</f>
        <v> </v>
      </c>
      <c r="BX66" s="306" t="str">
        <f aca="false">IF($A66="N/A"," ",AE66*$AW66)</f>
        <v> </v>
      </c>
      <c r="BY66" s="306" t="str">
        <f aca="false">IF($A66="N/A"," ",AF66*$AX66)</f>
        <v> </v>
      </c>
      <c r="BZ66" s="306" t="str">
        <f aca="false">IF($A66="N/A"," ",AG66*$AY66)</f>
        <v> </v>
      </c>
      <c r="CA66" s="306" t="str">
        <f aca="false">IF($A66="N/A"," ",AH66*$AZ66)</f>
        <v> </v>
      </c>
      <c r="CB66" s="307" t="str">
        <f aca="false">IF($A66="N/A"," ",AI66*$BA66)</f>
        <v> </v>
      </c>
      <c r="CC66" s="308" t="str">
        <f aca="false">IF($A66="N/A"," ",AJ66*$AS66)</f>
        <v> </v>
      </c>
      <c r="CD66" s="309" t="str">
        <f aca="false">IF($A66="N/A"," ",AK66*$AT66)</f>
        <v> </v>
      </c>
      <c r="CE66" s="309" t="str">
        <f aca="false">IF($A66="N/A"," ",AL66*$AU66)</f>
        <v> </v>
      </c>
      <c r="CF66" s="309" t="str">
        <f aca="false">IF($A66="N/A"," ",AM66*$AV66)</f>
        <v> </v>
      </c>
      <c r="CG66" s="309" t="str">
        <f aca="false">IF($A66="N/A"," ",AN66*$AW66)</f>
        <v> </v>
      </c>
      <c r="CH66" s="309" t="str">
        <f aca="false">IF($A66="N/A"," ",AO66*$AX66)</f>
        <v> </v>
      </c>
      <c r="CI66" s="309" t="str">
        <f aca="false">IF($A66="N/A"," ",AP66*$AY66)</f>
        <v> </v>
      </c>
      <c r="CJ66" s="309" t="str">
        <f aca="false">IF($A66="N/A"," ",AQ66*$AZ66)</f>
        <v> </v>
      </c>
      <c r="CK66" s="310" t="str">
        <f aca="false">IF($A66="N/A"," ",AR66*$BA66)</f>
        <v> </v>
      </c>
      <c r="CL66" s="311" t="str">
        <f aca="false">IF(A66="N/A"," ",(VLOOKUP(A66,PowerVolTable,(IF(VolBMO=2,7,IF(VolBMO=1,6,8))),FALSE())))</f>
        <v> </v>
      </c>
      <c r="CM66" s="312" t="str">
        <f aca="false">IF(A66="N/A"," ",(VLOOKUP(A66,IntraPowerVol,(IF(VolBMO=2,3,IF(VolBMO=1,2,4))),FALSE())*VLOOKUP(MONTH($A66),Volscale,2)))</f>
        <v> </v>
      </c>
      <c r="CN66" s="312" t="str">
        <f aca="false">IF($A66="N/A"," ",IF(VolType=1,CM66,CL66))</f>
        <v> </v>
      </c>
      <c r="CO66" s="312" t="str">
        <f aca="false">IF($A66="N/A"," ",(VLOOKUP($A66,OffPeakVol,(IF(VolBMO=2,7,IF(VolBMO=1,6,8))),FALSE())))</f>
        <v> </v>
      </c>
      <c r="CP66" s="312" t="str">
        <f aca="false">IF($A66="N/A"," ",(VLOOKUP($A66,OffPeakVol,(IF(VolBMO=2,3,IF(VolBMO=1,2,4))),FALSE())*VLOOKUP(MONTH($A66),Volscale,2)))</f>
        <v> </v>
      </c>
      <c r="CQ66" s="312" t="str">
        <f aca="false">IF($A66="N/A"," ",IF(VolType=1,CP66,CO66))</f>
        <v> </v>
      </c>
      <c r="CR66" s="312" t="str">
        <f aca="false">IF($A66="N/A"," ",(VLOOKUP($A66,GasVolTable,(IF(VolBMO=2,6,IF(VolBMO=1,7,5))),FALSE())))</f>
        <v> </v>
      </c>
      <c r="CS66" s="312" t="str">
        <f aca="false">IF($A66="N/A"," ",(VLOOKUP($A66,OmicronVol,(IF(VolBMO=2,3,IF(VolBMO=1,4,2))),FALSE())))</f>
        <v> </v>
      </c>
      <c r="CT66" s="312" t="str">
        <f aca="false">IF($A66="N/A"," ",(IF(DateToday&gt;$A66,$CS66,IF(VolType=1,((($CR66^2)*((($A66-1)-DateToday)/((EOMONTH($A66,0)+1)-DateToday-15)))+((($CS66)^2)*((15)/((EOMONTH($A66,0)+1)-DateToday-15))))^0.5,CR66))))</f>
        <v> </v>
      </c>
      <c r="CU66" s="312" t="str">
        <f aca="false">IF($A66="N/A"," ",IF('Pricing Inputs'!$AR$23=TRUE(),Inputs!$S$22,VLOOKUP($A66,CorrelationTable,2,FALSE())))</f>
        <v> </v>
      </c>
      <c r="CV66" s="313" t="str">
        <f aca="false">IF($A66="N/A"," ",F66+G66+(D66*('Pricing Inputs'!X101)))</f>
        <v> </v>
      </c>
      <c r="CW66" s="314" t="str">
        <f aca="false">IF($A66="N/A"," ",IF(PV=1,0,'Pricing Inputs'!Y101))</f>
        <v> </v>
      </c>
      <c r="CX66" s="315" t="str">
        <f aca="false">IF($A66="N/A"," ",(1+CW66/2)^(-2*((EOMONTH(A66,0)+20)-DateToday)/365.25))</f>
        <v> </v>
      </c>
      <c r="CY66" s="316" t="str">
        <f aca="false">IF($A66="N/A"," ",(IF(MONTH(A66)&gt;=4,IF(MONTH(A66)&lt;=10,Inputs!$S$26,Inputs!$S$27),Inputs!$S$27))*$CX66)</f>
        <v> </v>
      </c>
      <c r="CZ66" s="317" t="str">
        <f aca="false">IF($A66="N/A"," ",BK66+BL66+BN66+BO66+BQ66+BR66)</f>
        <v> </v>
      </c>
      <c r="DA66" s="318" t="str">
        <f aca="false">IF($A66="N/A"," ",BM66+BP66+BS66)</f>
        <v> </v>
      </c>
      <c r="DB66" s="319" t="str">
        <f aca="false">IF($A66="N/A"," ",BT66+BU66+BW66+BX66+BZ66+CA66)</f>
        <v> </v>
      </c>
      <c r="DC66" s="319" t="str">
        <f aca="false">IF($A66="N/A"," ",BV66+BY66+CB66)</f>
        <v> </v>
      </c>
      <c r="DD66" s="320" t="str">
        <f aca="false">IF($A66="N/A"," ",SUM(CC66:CK66))</f>
        <v> </v>
      </c>
      <c r="DE66" s="321" t="str">
        <f aca="false">IF($A66="N/A"," ",VLOOKUP($A66,NumberofDaysTable,2)*Availability)</f>
        <v> </v>
      </c>
      <c r="DF66" s="94" t="str">
        <f aca="false">IF($A66="N/A"," ",VLOOKUP($A66,NumberofDaysTable,3)*Availability)</f>
        <v> </v>
      </c>
      <c r="DG66" s="322" t="str">
        <f aca="false">IF($A66="N/A"," ",VLOOKUP($A66,NumberofDaysTable,4)*Availability)</f>
        <v> </v>
      </c>
      <c r="DH66" s="323" t="str">
        <f aca="false">IF($A66="N/A"," ",IF(Option=1,$D66*Inputs!$S$15*SUM(AS66:BA66),0))</f>
        <v> </v>
      </c>
      <c r="DI66" s="324" t="str">
        <f aca="false">IF($A66="N/A"," ",IF(Option=1,$D66*Inputs!$S$16*SUM(AS66:BA66),0))</f>
        <v> </v>
      </c>
      <c r="DJ66" s="325" t="str">
        <f aca="false">IF($A66="N/A"," ",SUM(AS66:AT66))</f>
        <v> </v>
      </c>
      <c r="DK66" s="325" t="str">
        <f aca="false">IF($A66="N/A"," ",SUM(AU66:BA66))</f>
        <v> </v>
      </c>
      <c r="DL66" s="325" t="str">
        <f aca="false">IF($A66="N/A"," ",SUM(BB66:BC66))</f>
        <v> </v>
      </c>
      <c r="DM66" s="325" t="str">
        <f aca="false">IF($A66="N/A"," ",SUM(BD66:BJ66))</f>
        <v> </v>
      </c>
    </row>
    <row r="67" customFormat="false" ht="12.75" hidden="false" customHeight="false" outlineLevel="0" collapsed="false">
      <c r="A67" s="282" t="str">
        <f aca="false">IF(A66="N/A","N/A",IF(EDATE(A66,1)&gt;Inputs!$S$5,"N/A",EDATE(A66,1)))</f>
        <v>N/A</v>
      </c>
      <c r="B67" s="283" t="str">
        <f aca="false">IF(A67="N/A"," ",YEAR(A67))</f>
        <v> </v>
      </c>
      <c r="C67" s="284" t="str">
        <f aca="false">IF(A67="N/A"," ",VLOOKUP(A67,ScaledPrice,14))</f>
        <v> </v>
      </c>
      <c r="D67" s="285" t="str">
        <f aca="false">IF(A67="N/A"," ",(VLOOKUP(MONTH($A67),Hrtable,2))/1000)</f>
        <v> </v>
      </c>
      <c r="E67" s="286" t="str">
        <f aca="false">IF($A67="N/A"," ",(C67)*D67)</f>
        <v> </v>
      </c>
      <c r="F67" s="287" t="str">
        <f aca="false">IF(A67="N/A"," ",VOM*(1+VOMesc)^(YEAR(A67)-YEAR(Today)))</f>
        <v> </v>
      </c>
      <c r="G67" s="287" t="str">
        <f aca="false">IF(A67="N/A"," ",Perstart/VLOOKUP(Dayrun,'Pricing Inputs'!$AQ$4:$AS$14,3)/(CY67/CX67))</f>
        <v> </v>
      </c>
      <c r="H67" s="288" t="str">
        <f aca="false">IF(A67="N/A"," ",SUM(E67:G67))</f>
        <v> </v>
      </c>
      <c r="I67" s="289" t="str">
        <f aca="false">VLOOKUP($A67,ScaledPrice,6)</f>
        <v> </v>
      </c>
      <c r="J67" s="290" t="str">
        <f aca="false">VLOOKUP($A67,ScaledPrice,10)</f>
        <v> </v>
      </c>
      <c r="K67" s="290" t="str">
        <f aca="false">VLOOKUP($A67,ScaledPrice,13)</f>
        <v> </v>
      </c>
      <c r="L67" s="290" t="str">
        <f aca="false">VLOOKUP($A67,ScaledPrice,7)</f>
        <v> </v>
      </c>
      <c r="M67" s="290" t="str">
        <f aca="false">VLOOKUP($A67,ScaledPrice,11)</f>
        <v> </v>
      </c>
      <c r="N67" s="290" t="str">
        <f aca="false">VLOOKUP($A67,ScaledPrice,13)</f>
        <v> </v>
      </c>
      <c r="O67" s="290" t="str">
        <f aca="false">VLOOKUP($A67,ScaledPrice,8)</f>
        <v> </v>
      </c>
      <c r="P67" s="290" t="str">
        <f aca="false">VLOOKUP($A67,ScaledPrice,12)</f>
        <v> </v>
      </c>
      <c r="Q67" s="291" t="str">
        <f aca="false">VLOOKUP($A67,ScaledPrice,13)</f>
        <v> </v>
      </c>
      <c r="R67" s="292" t="str">
        <f aca="false">IF($A67="N/A"," ",IF(Dayrun&gt;=3,IF(Option=1,MAX($I67-$H67,0),IF(Option=2,MAX($H67-$I67,0),0)),0))</f>
        <v> </v>
      </c>
      <c r="S67" s="286" t="str">
        <f aca="false">IF($A67="N/A"," ",IF(Dayrun&gt;=6,IF(Option=1,MAX($J67-H67,0),IF(Option=2,MAX(H67-$J67,0),0)),0))</f>
        <v> </v>
      </c>
      <c r="T67" s="286" t="str">
        <f aca="false">IF($A67="N/A"," ",IF(OR(Dayrun&lt;=2,Dayrun&gt;=9),IF(Option=1,MAX($K67-$H67,0),IF(Option=2,MAX($H67-$K67,0),0)),0))</f>
        <v> </v>
      </c>
      <c r="U67" s="286" t="str">
        <f aca="false">IF($A67="N/A"," ",IF(OR(Dayrun=1,Dayrun=4,Dayrun=5,Dayrun=7,Dayrun=8,Dayrun=10,Dayrun=11),IF(Option=1,MAX($L67-H67,0),IF(Option=2,MAX(H67-$L67,0),0)),0))</f>
        <v> </v>
      </c>
      <c r="V67" s="286" t="str">
        <f aca="false">IF($A67="N/A"," ",IF(OR(Dayrun=1,Dayrun=7,Dayrun=8,Dayrun=10,Dayrun=11),IF(Option=1,MAX($M67-H67,0),IF(Option=2,MAX(H67-$M67,0),0)),0))</f>
        <v> </v>
      </c>
      <c r="W67" s="286" t="str">
        <f aca="false">IF($A67="N/A"," ",IF(OR(Dayrun&lt;=2,Dayrun&gt;=10),IF(Option=1,MAX($N67-$H67,0),IF(Option=2,MAX($H67-$N67,0),0)),0))</f>
        <v> </v>
      </c>
      <c r="X67" s="286" t="str">
        <f aca="false">IF($A67="N/A"," ",IF(OR(Dayrun=1,Dayrun=5,Dayrun=8,Dayrun=11),IF(Option=1,MAX($O67-H67,0),IF(Option=2,MAX(H67-$O67,0),0)),0))</f>
        <v> </v>
      </c>
      <c r="Y67" s="286" t="str">
        <f aca="false">IF($A67="N/A"," ",IF(OR(Dayrun=1,Dayrun=8,Dayrun=11),IF(Option=1,MAX($P67-H67,0),IF(Option=2,MAX(H67-$P67,0),0)),0))</f>
        <v> </v>
      </c>
      <c r="Z67" s="293" t="str">
        <f aca="false">IF($A67="N/A"," ",IF(OR(Dayrun&lt;=2,Dayrun&gt;=11),IF(Option=1,MAX($Q67-$H67,0),IF(Option=2,MAX($H67-$Q67,0),0)),0))</f>
        <v> </v>
      </c>
      <c r="AA67" s="289" t="str">
        <f aca="false">IF($A67="N/A"," ",IF(Dayrun&gt;=3,(MAX(0,(xSPRDOPT(I67,($E67-'Pricing Inputs'!$X102*$D67),$CV67,0,($CN67+IF(Smile=TRUE(),VLOOKUP(MAX(-5,$H67-I67),Volsmile,2),0)),$CT67,$CU67,($A67-DateToday)+15,ABS(Option-2),0)-R67))),0))</f>
        <v> </v>
      </c>
      <c r="AB67" s="290" t="str">
        <f aca="false">IF($A67="N/A"," ",IF(Dayrun&gt;=6,MAX(0,(xSPRDOPT(J67,($E67-'Pricing Inputs'!$X102*$D67),$CV67,0,($CN67+IF(Smile=TRUE(),VLOOKUP(MAX(-5,$H67-J67),Volsmile,2),0)),$CT67,$CU67,($A67-DateToday)+15,ABS(Option-2),0)-S67)),0))</f>
        <v> </v>
      </c>
      <c r="AC67" s="290" t="str">
        <f aca="false">IF($A67="N/A"," ",IF(OR(Dayrun&lt;=2,Dayrun&gt;=9),IF(OffPeakEx=TRUE(),MAX(0,(xSPRDOPT(K67,($E67-'Pricing Inputs'!$X102*$D67),$CV67,0,($CQ67+IF(Smile=TRUE(),VLOOKUP(MAX(-5,$H67-K67),Volsmile,2),0)),$CT67,$CU67,($A67-DateToday)+15,ABS(Option-2),0)-T67)),0),0))</f>
        <v> </v>
      </c>
      <c r="AD67" s="290" t="str">
        <f aca="false">IF($A67="N/A"," ",IF(OR(Dayrun=1,Dayrun=4,Dayrun=5,Dayrun=7,Dayrun=8,Dayrun=10,Dayrun=11),MAX(0,(xSPRDOPT(L67,($E67-'Pricing Inputs'!$X102*$D67),$CV67,0,($CQ67+IF(Smile=TRUE(),VLOOKUP(MAX(-5,$H67-L67),Volsmile,2),0)),$CT67,$CU67,($A67-DateToday)+15,ABS(Option-2),0)-U67)),0))</f>
        <v> </v>
      </c>
      <c r="AE67" s="290" t="str">
        <f aca="false">IF($A67="N/A"," ",IF(OR(Dayrun=1,Dayrun=7,Dayrun=8,Dayrun=10,Dayrun=11),MAX(0,(xSPRDOPT(M67,($E67-'Pricing Inputs'!$X102*$D67),$CV67,0,($CQ67+IF(Smile=TRUE(),VLOOKUP(MAX(-5,$H67-M67),Volsmile,2),0)),$CT67,$CU67,($A67-DateToday)+15,ABS(Option-2),0)-V67)),0))</f>
        <v> </v>
      </c>
      <c r="AF67" s="290" t="str">
        <f aca="false">IF($A67="N/A"," ",IF(OR(Dayrun&lt;=2,Dayrun&gt;=10),IF(OffPeakEx=TRUE(),MAX(0,(xSPRDOPT(N67,($E67-'Pricing Inputs'!$X102*$D67),$CV67,0,($CQ67+IF(Smile=TRUE(),VLOOKUP(MAX(-5,$H67-N67),Volsmile,2),0)),$CT67,$CU67,($A67-DateToday)+15,ABS(Option-2),0)-W67)),0),0))</f>
        <v> </v>
      </c>
      <c r="AG67" s="290" t="str">
        <f aca="false">IF($A67="N/A"," ",IF(OR(Dayrun=1,Dayrun=5,Dayrun=8,Dayrun=11),MAX(0,(xSPRDOPT(O67,($E67-'Pricing Inputs'!$X102*$D67),$CV67,0,($CQ67+IF(Smile=TRUE(),VLOOKUP(MAX(-5,$H67-O67),Volsmile,2),0)),$CT67,$CU67,($A67-DateToday)+15,ABS(Option-2),0)-X67)),0))</f>
        <v> </v>
      </c>
      <c r="AH67" s="290" t="str">
        <f aca="false">IF($A67="N/A"," ",IF(OR(Dayrun=1,Dayrun=8,Dayrun=11),MAX(0,(xSPRDOPT(P67,($E67-'Pricing Inputs'!$X102*$D67),$CV67,0,($CQ67+IF(Smile=TRUE(),VLOOKUP(MAX(-5,$H67-P67),Volsmile,2),0)),$CT67,$CU67,($A67-DateToday)+15,ABS(Option-2),0)-Y67)),0))</f>
        <v> </v>
      </c>
      <c r="AI67" s="290" t="str">
        <f aca="false">IF($A67="N/A"," ",IF(OR(Dayrun&lt;=2,Dayrun&gt;=11),IF(OffPeakEx=TRUE(),MAX(0,(xSPRDOPT(Q67,($E67-'Pricing Inputs'!$X102*$D67),$CV67,0,($CQ67+IF(Smile=TRUE(),VLOOKUP(MAX(-5,$H67-Q67),Volsmile,2),0)),$CT67,$CU67,($A67-DateToday)+15,ABS(Option-2),0)-Z67)),0),0))</f>
        <v> </v>
      </c>
      <c r="AJ67" s="294" t="str">
        <f aca="false">IF($A67="N/A"," ",IF(Dayrun&gt;=3,IF(Option=1,$I67-$H67,IF(Option=2,$H67-$I67)),0))</f>
        <v> </v>
      </c>
      <c r="AK67" s="295" t="str">
        <f aca="false">IF($A67="N/A"," ",IF(Dayrun&gt;=6,IF(Option=1,$J67-H67,IF(Option=2,H67-$J67)),0))</f>
        <v> </v>
      </c>
      <c r="AL67" s="295" t="str">
        <f aca="false">IF($A67="N/A"," ",IF(OR(Dayrun&lt;=2,Dayrun&gt;=9),IF(Option=1,$K67-$H67,IF(Option=2,$H67-$K67)),0))</f>
        <v> </v>
      </c>
      <c r="AM67" s="295" t="str">
        <f aca="false">IF($A67="N/A"," ",IF(OR(Dayrun=1,Dayrun=4,Dayrun=5,Dayrun=7,Dayrun=8,Dayrun=10,Dayrun=11),IF(Option=1,$L67-H67,IF(Option=2,H67-$L67)),0))</f>
        <v> </v>
      </c>
      <c r="AN67" s="295" t="str">
        <f aca="false">IF($A67="N/A"," ",IF(OR(Dayrun=1,Dayrun=7,Dayrun=8,Dayrun=10,Dayrun=11),IF(Option=1,$M67-H67,IF(Option=2,H67-$M67)),0))</f>
        <v> </v>
      </c>
      <c r="AO67" s="295" t="str">
        <f aca="false">IF($A67="N/A"," ",IF(OR(Dayrun&lt;=2,Dayrun&gt;=9),IF(Option=1,$N67-$H67,IF(Option=2,$H67-$N67)),0))</f>
        <v> </v>
      </c>
      <c r="AP67" s="295" t="str">
        <f aca="false">IF($A67="N/A"," ",IF(OR(Dayrun=1,Dayrun=5,Dayrun=8,Dayrun=11),IF(Option=1,$O67-H67,IF(Option=2,H67-$O67)),0))</f>
        <v> </v>
      </c>
      <c r="AQ67" s="295" t="str">
        <f aca="false">IF($A67="N/A"," ",IF(OR(Dayrun=1,Dayrun=8,Dayrun=11),IF(Option=1,$P67-H67,IF(Option=2,H67-$P67)),0))</f>
        <v> </v>
      </c>
      <c r="AR67" s="296" t="str">
        <f aca="false">IF($A67="N/A"," ",IF(OR(Dayrun&lt;=2,Dayrun&gt;=9),IF(Option=1,$Q67-H67,IF(Option=2,H67-$Q67)),0))</f>
        <v> </v>
      </c>
      <c r="AS67" s="297" t="str">
        <f aca="false">IF($A67="N/A"," ",IF(VLOOKUP(MONTH($A67),ManualTable,2)=1,IF(Dayrun&gt;=3,$DE67*8*$CY67,0),0))</f>
        <v> </v>
      </c>
      <c r="AT67" s="297" t="str">
        <f aca="false">IF($A67="N/A"," ",IF(VLOOKUP(MONTH($A67),ManualTable,3)=1,IF(Dayrun&gt;=6,$DE67*8*$CY67,0),0))</f>
        <v> </v>
      </c>
      <c r="AU67" s="297" t="str">
        <f aca="false">IF($A67="N/A"," ",IF(VLOOKUP(MONTH($A67),ManualTable,4)=1,IF(OR(Dayrun&lt;=2,Dayrun&gt;=9),$DE67*8*$CY67,0),0))</f>
        <v> </v>
      </c>
      <c r="AV67" s="297" t="str">
        <f aca="false">IF($A67="N/A"," ",IF(VLOOKUP(MONTH($A67),ManualTable,5)=1,IF(OR(Dayrun=1,Dayrun=4,Dayrun=5,Dayrun=7,Dayrun=8,Dayrun=10,Dayrun=11),$DF67*8*$CY67,0),0))</f>
        <v> </v>
      </c>
      <c r="AW67" s="297" t="str">
        <f aca="false">IF($A67="N/A"," ",IF(VLOOKUP(MONTH($A67),ManualTable,6)=1,IF(OR(Dayrun=1,Dayrun=7,Dayrun=8,Dayrun=10,Dayrun=11),$DF67*8*$CY67,0),0))</f>
        <v> </v>
      </c>
      <c r="AX67" s="297" t="str">
        <f aca="false">IF($A67="N/A"," ",IF(VLOOKUP(MONTH($A67),ManualTable,7)=1,IF(OR(Dayrun&lt;=2,Dayrun&gt;=9),$DF67*8*$CY67,0),0))</f>
        <v> </v>
      </c>
      <c r="AY67" s="297" t="str">
        <f aca="false">IF($A67="N/A"," ",IF(VLOOKUP(MONTH($A67),ManualTable,8)=1,IF(OR(Dayrun=1,Dayrun=5,Dayrun=8,Dayrun=11),$DG67*8*$CY67,0),0))</f>
        <v> </v>
      </c>
      <c r="AZ67" s="297" t="str">
        <f aca="false">IF($A67="N/A"," ",IF(VLOOKUP(MONTH($A67),ManualTable,9)=1,IF(OR(Dayrun=1,Dayrun=8,Dayrun=11),$DG67*8*$CY67,0),0))</f>
        <v> </v>
      </c>
      <c r="BA67" s="298" t="str">
        <f aca="false">IF($A67="N/A"," ",IF(VLOOKUP(MONTH($A67),ManualTable,10)=1,IF(OR(Dayrun&lt;=2,Dayrun&gt;=9),$DG67*8*$CY67,0),0))</f>
        <v> </v>
      </c>
      <c r="BB67" s="299" t="str">
        <f aca="false">IF($A67="N/A"," ",IF(Dayrun&gt;=3,(MAX(0,(xSPRDOPT(I67,($E67-'Pricing Inputs'!$X102*$D67),$CV67,0,($CN67+IF(Smile=TRUE(),VLOOKUP(MAX(-5,$H67-I67),Volsmile,2),0)),$CT67,$CU67,($A67-DateToday)+15,ABS(Option-2),1)*DE67*8))),0))</f>
        <v> </v>
      </c>
      <c r="BC67" s="300" t="str">
        <f aca="false">IF($A67="N/A"," ",IF(Dayrun&gt;=6,MAX(0,(xSPRDOPT(J67,($E67-'Pricing Inputs'!$X102*$D67),$CV67,0,($CN67+IF(Smile=TRUE(),VLOOKUP(MAX(-5,$H67-J67),Volsmile,2),0)),$CT67,$CU67,($A67-DateToday)+15,ABS(Option-2),1)*DE67*8)),0))</f>
        <v> </v>
      </c>
      <c r="BD67" s="300" t="str">
        <f aca="false">IF($A67="N/A"," ",IF(OR(Dayrun&lt;=2,Dayrun&gt;=9),IF(OffPeakEx=TRUE(),MAX(0,(xSPRDOPT(K67,($E67-'Pricing Inputs'!$X102*$D67),$CV67,0,($CQ67+IF(Smile=TRUE(),VLOOKUP(MAX(-5,$H67-K67),Volsmile,2),0)),$CT67,$CU67,($A67-DateToday)+15,ABS(Option-2),1)*DE67*8)),0),0))</f>
        <v> </v>
      </c>
      <c r="BE67" s="300" t="str">
        <f aca="false">IF($A67="N/A"," ",IF(OR(Dayrun=1,Dayrun=4,Dayrun=5,Dayrun=7,Dayrun=8,Dayrun=10,Dayrun=11),MAX(0,(xSPRDOPT(L67,($E67-'Pricing Inputs'!$X102*$D67),$CV67,0,($CQ67+IF(Smile=TRUE(),VLOOKUP(MAX(-5,$H67-L67),Volsmile,2),0)),$CT67,$CU67,($A67-DateToday)+15,ABS(Option-2),1)*DF67*8)),0))</f>
        <v> </v>
      </c>
      <c r="BF67" s="300" t="str">
        <f aca="false">IF($A67="N/A"," ",IF(OR(Dayrun=1,Dayrun=7,Dayrun=8,Dayrun=10,Dayrun=11),MAX(0,(xSPRDOPT(M67,($E67-'Pricing Inputs'!$X102*$D67),$CV67,0,($CQ67+IF(Smile=TRUE(),VLOOKUP(MAX(-5,$H67-M67),Volsmile,2),0)),$CT67,$CU67,($A67-DateToday)+15,ABS(Option-2),1)*DF67*8)),0))</f>
        <v> </v>
      </c>
      <c r="BG67" s="300" t="str">
        <f aca="false">IF($A67="N/A"," ",IF(OR(Dayrun&lt;=2,Dayrun&gt;=10),IF(OffPeakEx=TRUE(),MAX(0,(xSPRDOPT(N67,($E67-'Pricing Inputs'!$X102*$D67),$CV67,0,($CQ67+IF(Smile=TRUE(),VLOOKUP(MAX(-5,$H67-N67),Volsmile,2),0)),$CT67,$CU67,($A67-DateToday)+15,ABS(Option-2),1)*DF67*8)),0),0))</f>
        <v> </v>
      </c>
      <c r="BH67" s="300" t="str">
        <f aca="false">IF($A67="N/A"," ",IF(OR(Dayrun=1,Dayrun=5,Dayrun=8,Dayrun=11),MAX(0,(xSPRDOPT(O67,($E67-'Pricing Inputs'!$X102*$D67),$CV67,0,($CQ67+IF(Smile=TRUE(),VLOOKUP(MAX(-5,$H67-O67),Volsmile,2),0)),$CT67,$CU67,($A67-DateToday)+15,ABS(Option-2),1)*DG67*8)),0))</f>
        <v> </v>
      </c>
      <c r="BI67" s="300" t="str">
        <f aca="false">IF($A67="N/A"," ",IF(OR(Dayrun=1,Dayrun=8,Dayrun=11),MAX(0,(xSPRDOPT(P67,($E67-'Pricing Inputs'!$X102*$D67),$CV67,0,($CQ67+IF(Smile=TRUE(),VLOOKUP(MAX(-5,$H67-P67),Volsmile,2),0)),$CT67,$CU67,($A67-DateToday)+15,ABS(Option-2),1)*DG67*8)),0))</f>
        <v> </v>
      </c>
      <c r="BJ67" s="301" t="str">
        <f aca="false">IF($A67="N/A"," ",IF(OR(Dayrun&lt;=2,Dayrun&gt;=11),IF(OffPeakEx=TRUE(),MAX(0,(xSPRDOPT(Q67,($E67-'Pricing Inputs'!$X102*$D67),$CV67,0,($CQ67+IF(Smile=TRUE(),VLOOKUP(MAX(-5,$H67-Q67),Volsmile,2),0)),$CT67,$CU67,($A67-DateToday)+15,ABS(Option-2),1)*DG67*8)),0),0))</f>
        <v> </v>
      </c>
      <c r="BK67" s="302" t="str">
        <f aca="false">IF($A67="N/A"," ",R67*$AS67)</f>
        <v> </v>
      </c>
      <c r="BL67" s="303" t="str">
        <f aca="false">IF($A67="N/A"," ",S67*$AT67)</f>
        <v> </v>
      </c>
      <c r="BM67" s="303" t="str">
        <f aca="false">IF($A67="N/A"," ",T67*$AU67)</f>
        <v> </v>
      </c>
      <c r="BN67" s="303" t="str">
        <f aca="false">IF($A67="N/A"," ",U67*$AV67)</f>
        <v> </v>
      </c>
      <c r="BO67" s="303" t="str">
        <f aca="false">IF($A67="N/A"," ",V67*$AW67)</f>
        <v> </v>
      </c>
      <c r="BP67" s="303" t="str">
        <f aca="false">IF($A67="N/A"," ",W67*$AX67)</f>
        <v> </v>
      </c>
      <c r="BQ67" s="303" t="str">
        <f aca="false">IF($A67="N/A"," ",X67*$AY67)</f>
        <v> </v>
      </c>
      <c r="BR67" s="303" t="str">
        <f aca="false">IF($A67="N/A"," ",Y67*$AZ67)</f>
        <v> </v>
      </c>
      <c r="BS67" s="304" t="str">
        <f aca="false">IF($A67="N/A"," ",Z67*$BA67)</f>
        <v> </v>
      </c>
      <c r="BT67" s="305" t="str">
        <f aca="false">IF($A67="N/A"," ",AA67*$AS67)</f>
        <v> </v>
      </c>
      <c r="BU67" s="306" t="str">
        <f aca="false">IF($A67="N/A"," ",AB67*$AT67)</f>
        <v> </v>
      </c>
      <c r="BV67" s="306" t="str">
        <f aca="false">IF($A67="N/A"," ",AC67*$AU67)</f>
        <v> </v>
      </c>
      <c r="BW67" s="306" t="str">
        <f aca="false">IF($A67="N/A"," ",AD67*$AV67)</f>
        <v> </v>
      </c>
      <c r="BX67" s="306" t="str">
        <f aca="false">IF($A67="N/A"," ",AE67*$AW67)</f>
        <v> </v>
      </c>
      <c r="BY67" s="306" t="str">
        <f aca="false">IF($A67="N/A"," ",AF67*$AX67)</f>
        <v> </v>
      </c>
      <c r="BZ67" s="306" t="str">
        <f aca="false">IF($A67="N/A"," ",AG67*$AY67)</f>
        <v> </v>
      </c>
      <c r="CA67" s="306" t="str">
        <f aca="false">IF($A67="N/A"," ",AH67*$AZ67)</f>
        <v> </v>
      </c>
      <c r="CB67" s="307" t="str">
        <f aca="false">IF($A67="N/A"," ",AI67*$BA67)</f>
        <v> </v>
      </c>
      <c r="CC67" s="308" t="str">
        <f aca="false">IF($A67="N/A"," ",AJ67*$AS67)</f>
        <v> </v>
      </c>
      <c r="CD67" s="309" t="str">
        <f aca="false">IF($A67="N/A"," ",AK67*$AT67)</f>
        <v> </v>
      </c>
      <c r="CE67" s="309" t="str">
        <f aca="false">IF($A67="N/A"," ",AL67*$AU67)</f>
        <v> </v>
      </c>
      <c r="CF67" s="309" t="str">
        <f aca="false">IF($A67="N/A"," ",AM67*$AV67)</f>
        <v> </v>
      </c>
      <c r="CG67" s="309" t="str">
        <f aca="false">IF($A67="N/A"," ",AN67*$AW67)</f>
        <v> </v>
      </c>
      <c r="CH67" s="309" t="str">
        <f aca="false">IF($A67="N/A"," ",AO67*$AX67)</f>
        <v> </v>
      </c>
      <c r="CI67" s="309" t="str">
        <f aca="false">IF($A67="N/A"," ",AP67*$AY67)</f>
        <v> </v>
      </c>
      <c r="CJ67" s="309" t="str">
        <f aca="false">IF($A67="N/A"," ",AQ67*$AZ67)</f>
        <v> </v>
      </c>
      <c r="CK67" s="310" t="str">
        <f aca="false">IF($A67="N/A"," ",AR67*$BA67)</f>
        <v> </v>
      </c>
      <c r="CL67" s="311" t="str">
        <f aca="false">IF(A67="N/A"," ",(VLOOKUP(A67,PowerVolTable,(IF(VolBMO=2,7,IF(VolBMO=1,6,8))),FALSE())))</f>
        <v> </v>
      </c>
      <c r="CM67" s="312" t="str">
        <f aca="false">IF(A67="N/A"," ",(VLOOKUP(A67,IntraPowerVol,(IF(VolBMO=2,3,IF(VolBMO=1,2,4))),FALSE())*VLOOKUP(MONTH($A67),Volscale,2)))</f>
        <v> </v>
      </c>
      <c r="CN67" s="312" t="str">
        <f aca="false">IF($A67="N/A"," ",IF(VolType=1,CM67,CL67))</f>
        <v> </v>
      </c>
      <c r="CO67" s="312" t="str">
        <f aca="false">IF($A67="N/A"," ",(VLOOKUP($A67,OffPeakVol,(IF(VolBMO=2,7,IF(VolBMO=1,6,8))),FALSE())))</f>
        <v> </v>
      </c>
      <c r="CP67" s="312" t="str">
        <f aca="false">IF($A67="N/A"," ",(VLOOKUP($A67,OffPeakVol,(IF(VolBMO=2,3,IF(VolBMO=1,2,4))),FALSE())*VLOOKUP(MONTH($A67),Volscale,2)))</f>
        <v> </v>
      </c>
      <c r="CQ67" s="312" t="str">
        <f aca="false">IF($A67="N/A"," ",IF(VolType=1,CP67,CO67))</f>
        <v> </v>
      </c>
      <c r="CR67" s="312" t="str">
        <f aca="false">IF($A67="N/A"," ",(VLOOKUP($A67,GasVolTable,(IF(VolBMO=2,6,IF(VolBMO=1,7,5))),FALSE())))</f>
        <v> </v>
      </c>
      <c r="CS67" s="312" t="str">
        <f aca="false">IF($A67="N/A"," ",(VLOOKUP($A67,OmicronVol,(IF(VolBMO=2,3,IF(VolBMO=1,4,2))),FALSE())))</f>
        <v> </v>
      </c>
      <c r="CT67" s="312" t="str">
        <f aca="false">IF($A67="N/A"," ",(IF(DateToday&gt;$A67,$CS67,IF(VolType=1,((($CR67^2)*((($A67-1)-DateToday)/((EOMONTH($A67,0)+1)-DateToday-15)))+((($CS67)^2)*((15)/((EOMONTH($A67,0)+1)-DateToday-15))))^0.5,CR67))))</f>
        <v> </v>
      </c>
      <c r="CU67" s="312" t="str">
        <f aca="false">IF($A67="N/A"," ",IF('Pricing Inputs'!$AR$23=TRUE(),Inputs!$S$22,VLOOKUP($A67,CorrelationTable,2,FALSE())))</f>
        <v> </v>
      </c>
      <c r="CV67" s="313" t="str">
        <f aca="false">IF($A67="N/A"," ",F67+G67+(D67*('Pricing Inputs'!X102)))</f>
        <v> </v>
      </c>
      <c r="CW67" s="314" t="str">
        <f aca="false">IF($A67="N/A"," ",IF(PV=1,0,'Pricing Inputs'!Y102))</f>
        <v> </v>
      </c>
      <c r="CX67" s="315" t="str">
        <f aca="false">IF($A67="N/A"," ",(1+CW67/2)^(-2*((EOMONTH(A67,0)+20)-DateToday)/365.25))</f>
        <v> </v>
      </c>
      <c r="CY67" s="316" t="str">
        <f aca="false">IF($A67="N/A"," ",(IF(MONTH(A67)&gt;=4,IF(MONTH(A67)&lt;=10,Inputs!$S$26,Inputs!$S$27),Inputs!$S$27))*$CX67)</f>
        <v> </v>
      </c>
      <c r="CZ67" s="317" t="str">
        <f aca="false">IF($A67="N/A"," ",BK67+BL67+BN67+BO67+BQ67+BR67)</f>
        <v> </v>
      </c>
      <c r="DA67" s="318" t="str">
        <f aca="false">IF($A67="N/A"," ",BM67+BP67+BS67)</f>
        <v> </v>
      </c>
      <c r="DB67" s="319" t="str">
        <f aca="false">IF($A67="N/A"," ",BT67+BU67+BW67+BX67+BZ67+CA67)</f>
        <v> </v>
      </c>
      <c r="DC67" s="319" t="str">
        <f aca="false">IF($A67="N/A"," ",BV67+BY67+CB67)</f>
        <v> </v>
      </c>
      <c r="DD67" s="320" t="str">
        <f aca="false">IF($A67="N/A"," ",SUM(CC67:CK67))</f>
        <v> </v>
      </c>
      <c r="DE67" s="321" t="str">
        <f aca="false">IF($A67="N/A"," ",VLOOKUP($A67,NumberofDaysTable,2)*Availability)</f>
        <v> </v>
      </c>
      <c r="DF67" s="94" t="str">
        <f aca="false">IF($A67="N/A"," ",VLOOKUP($A67,NumberofDaysTable,3)*Availability)</f>
        <v> </v>
      </c>
      <c r="DG67" s="322" t="str">
        <f aca="false">IF($A67="N/A"," ",VLOOKUP($A67,NumberofDaysTable,4)*Availability)</f>
        <v> </v>
      </c>
      <c r="DH67" s="323" t="str">
        <f aca="false">IF($A67="N/A"," ",IF(Option=1,$D67*Inputs!$S$15*SUM(AS67:BA67),0))</f>
        <v> </v>
      </c>
      <c r="DI67" s="324" t="str">
        <f aca="false">IF($A67="N/A"," ",IF(Option=1,$D67*Inputs!$S$16*SUM(AS67:BA67),0))</f>
        <v> </v>
      </c>
      <c r="DJ67" s="325" t="str">
        <f aca="false">IF($A67="N/A"," ",SUM(AS67:AT67))</f>
        <v> </v>
      </c>
      <c r="DK67" s="325" t="str">
        <f aca="false">IF($A67="N/A"," ",SUM(AU67:BA67))</f>
        <v> </v>
      </c>
      <c r="DL67" s="325" t="str">
        <f aca="false">IF($A67="N/A"," ",SUM(BB67:BC67))</f>
        <v> </v>
      </c>
      <c r="DM67" s="325" t="str">
        <f aca="false">IF($A67="N/A"," ",SUM(BD67:BJ67))</f>
        <v> </v>
      </c>
    </row>
    <row r="68" customFormat="false" ht="12.75" hidden="false" customHeight="false" outlineLevel="0" collapsed="false">
      <c r="A68" s="282" t="str">
        <f aca="false">IF(A67="N/A","N/A",IF(EDATE(A67,1)&gt;Inputs!$S$5,"N/A",EDATE(A67,1)))</f>
        <v>N/A</v>
      </c>
      <c r="B68" s="283" t="str">
        <f aca="false">IF(A68="N/A"," ",YEAR(A68))</f>
        <v> </v>
      </c>
      <c r="C68" s="284" t="str">
        <f aca="false">IF(A68="N/A"," ",VLOOKUP(A68,ScaledPrice,14))</f>
        <v> </v>
      </c>
      <c r="D68" s="285" t="str">
        <f aca="false">IF(A68="N/A"," ",(VLOOKUP(MONTH($A68),Hrtable,2))/1000)</f>
        <v> </v>
      </c>
      <c r="E68" s="286" t="str">
        <f aca="false">IF($A68="N/A"," ",(C68)*D68)</f>
        <v> </v>
      </c>
      <c r="F68" s="287" t="str">
        <f aca="false">IF(A68="N/A"," ",VOM*(1+VOMesc)^(YEAR(A68)-YEAR(Today)))</f>
        <v> </v>
      </c>
      <c r="G68" s="287" t="str">
        <f aca="false">IF(A68="N/A"," ",Perstart/VLOOKUP(Dayrun,'Pricing Inputs'!$AQ$4:$AS$14,3)/(CY68/CX68))</f>
        <v> </v>
      </c>
      <c r="H68" s="288" t="str">
        <f aca="false">IF(A68="N/A"," ",SUM(E68:G68))</f>
        <v> </v>
      </c>
      <c r="I68" s="289" t="str">
        <f aca="false">VLOOKUP($A68,ScaledPrice,6)</f>
        <v> </v>
      </c>
      <c r="J68" s="290" t="str">
        <f aca="false">VLOOKUP($A68,ScaledPrice,10)</f>
        <v> </v>
      </c>
      <c r="K68" s="290" t="str">
        <f aca="false">VLOOKUP($A68,ScaledPrice,13)</f>
        <v> </v>
      </c>
      <c r="L68" s="290" t="str">
        <f aca="false">VLOOKUP($A68,ScaledPrice,7)</f>
        <v> </v>
      </c>
      <c r="M68" s="290" t="str">
        <f aca="false">VLOOKUP($A68,ScaledPrice,11)</f>
        <v> </v>
      </c>
      <c r="N68" s="290" t="str">
        <f aca="false">VLOOKUP($A68,ScaledPrice,13)</f>
        <v> </v>
      </c>
      <c r="O68" s="290" t="str">
        <f aca="false">VLOOKUP($A68,ScaledPrice,8)</f>
        <v> </v>
      </c>
      <c r="P68" s="290" t="str">
        <f aca="false">VLOOKUP($A68,ScaledPrice,12)</f>
        <v> </v>
      </c>
      <c r="Q68" s="291" t="str">
        <f aca="false">VLOOKUP($A68,ScaledPrice,13)</f>
        <v> </v>
      </c>
      <c r="R68" s="292" t="str">
        <f aca="false">IF($A68="N/A"," ",IF(Dayrun&gt;=3,IF(Option=1,MAX($I68-$H68,0),IF(Option=2,MAX($H68-$I68,0),0)),0))</f>
        <v> </v>
      </c>
      <c r="S68" s="286" t="str">
        <f aca="false">IF($A68="N/A"," ",IF(Dayrun&gt;=6,IF(Option=1,MAX($J68-H68,0),IF(Option=2,MAX(H68-$J68,0),0)),0))</f>
        <v> </v>
      </c>
      <c r="T68" s="286" t="str">
        <f aca="false">IF($A68="N/A"," ",IF(OR(Dayrun&lt;=2,Dayrun&gt;=9),IF(Option=1,MAX($K68-$H68,0),IF(Option=2,MAX($H68-$K68,0),0)),0))</f>
        <v> </v>
      </c>
      <c r="U68" s="286" t="str">
        <f aca="false">IF($A68="N/A"," ",IF(OR(Dayrun=1,Dayrun=4,Dayrun=5,Dayrun=7,Dayrun=8,Dayrun=10,Dayrun=11),IF(Option=1,MAX($L68-H68,0),IF(Option=2,MAX(H68-$L68,0),0)),0))</f>
        <v> </v>
      </c>
      <c r="V68" s="286" t="str">
        <f aca="false">IF($A68="N/A"," ",IF(OR(Dayrun=1,Dayrun=7,Dayrun=8,Dayrun=10,Dayrun=11),IF(Option=1,MAX($M68-H68,0),IF(Option=2,MAX(H68-$M68,0),0)),0))</f>
        <v> </v>
      </c>
      <c r="W68" s="286" t="str">
        <f aca="false">IF($A68="N/A"," ",IF(OR(Dayrun&lt;=2,Dayrun&gt;=10),IF(Option=1,MAX($N68-$H68,0),IF(Option=2,MAX($H68-$N68,0),0)),0))</f>
        <v> </v>
      </c>
      <c r="X68" s="286" t="str">
        <f aca="false">IF($A68="N/A"," ",IF(OR(Dayrun=1,Dayrun=5,Dayrun=8,Dayrun=11),IF(Option=1,MAX($O68-H68,0),IF(Option=2,MAX(H68-$O68,0),0)),0))</f>
        <v> </v>
      </c>
      <c r="Y68" s="286" t="str">
        <f aca="false">IF($A68="N/A"," ",IF(OR(Dayrun=1,Dayrun=8,Dayrun=11),IF(Option=1,MAX($P68-H68,0),IF(Option=2,MAX(H68-$P68,0),0)),0))</f>
        <v> </v>
      </c>
      <c r="Z68" s="293" t="str">
        <f aca="false">IF($A68="N/A"," ",IF(OR(Dayrun&lt;=2,Dayrun&gt;=11),IF(Option=1,MAX($Q68-$H68,0),IF(Option=2,MAX($H68-$Q68,0),0)),0))</f>
        <v> </v>
      </c>
      <c r="AA68" s="289" t="str">
        <f aca="false">IF($A68="N/A"," ",IF(Dayrun&gt;=3,(MAX(0,(xSPRDOPT(I68,($E68-'Pricing Inputs'!$X103*$D68),$CV68,0,($CN68+IF(Smile=TRUE(),VLOOKUP(MAX(-5,$H68-I68),Volsmile,2),0)),$CT68,$CU68,($A68-DateToday)+15,ABS(Option-2),0)-R68))),0))</f>
        <v> </v>
      </c>
      <c r="AB68" s="290" t="str">
        <f aca="false">IF($A68="N/A"," ",IF(Dayrun&gt;=6,MAX(0,(xSPRDOPT(J68,($E68-'Pricing Inputs'!$X103*$D68),$CV68,0,($CN68+IF(Smile=TRUE(),VLOOKUP(MAX(-5,$H68-J68),Volsmile,2),0)),$CT68,$CU68,($A68-DateToday)+15,ABS(Option-2),0)-S68)),0))</f>
        <v> </v>
      </c>
      <c r="AC68" s="290" t="str">
        <f aca="false">IF($A68="N/A"," ",IF(OR(Dayrun&lt;=2,Dayrun&gt;=9),IF(OffPeakEx=TRUE(),MAX(0,(xSPRDOPT(K68,($E68-'Pricing Inputs'!$X103*$D68),$CV68,0,($CQ68+IF(Smile=TRUE(),VLOOKUP(MAX(-5,$H68-K68),Volsmile,2),0)),$CT68,$CU68,($A68-DateToday)+15,ABS(Option-2),0)-T68)),0),0))</f>
        <v> </v>
      </c>
      <c r="AD68" s="290" t="str">
        <f aca="false">IF($A68="N/A"," ",IF(OR(Dayrun=1,Dayrun=4,Dayrun=5,Dayrun=7,Dayrun=8,Dayrun=10,Dayrun=11),MAX(0,(xSPRDOPT(L68,($E68-'Pricing Inputs'!$X103*$D68),$CV68,0,($CQ68+IF(Smile=TRUE(),VLOOKUP(MAX(-5,$H68-L68),Volsmile,2),0)),$CT68,$CU68,($A68-DateToday)+15,ABS(Option-2),0)-U68)),0))</f>
        <v> </v>
      </c>
      <c r="AE68" s="290" t="str">
        <f aca="false">IF($A68="N/A"," ",IF(OR(Dayrun=1,Dayrun=7,Dayrun=8,Dayrun=10,Dayrun=11),MAX(0,(xSPRDOPT(M68,($E68-'Pricing Inputs'!$X103*$D68),$CV68,0,($CQ68+IF(Smile=TRUE(),VLOOKUP(MAX(-5,$H68-M68),Volsmile,2),0)),$CT68,$CU68,($A68-DateToday)+15,ABS(Option-2),0)-V68)),0))</f>
        <v> </v>
      </c>
      <c r="AF68" s="290" t="str">
        <f aca="false">IF($A68="N/A"," ",IF(OR(Dayrun&lt;=2,Dayrun&gt;=10),IF(OffPeakEx=TRUE(),MAX(0,(xSPRDOPT(N68,($E68-'Pricing Inputs'!$X103*$D68),$CV68,0,($CQ68+IF(Smile=TRUE(),VLOOKUP(MAX(-5,$H68-N68),Volsmile,2),0)),$CT68,$CU68,($A68-DateToday)+15,ABS(Option-2),0)-W68)),0),0))</f>
        <v> </v>
      </c>
      <c r="AG68" s="290" t="str">
        <f aca="false">IF($A68="N/A"," ",IF(OR(Dayrun=1,Dayrun=5,Dayrun=8,Dayrun=11),MAX(0,(xSPRDOPT(O68,($E68-'Pricing Inputs'!$X103*$D68),$CV68,0,($CQ68+IF(Smile=TRUE(),VLOOKUP(MAX(-5,$H68-O68),Volsmile,2),0)),$CT68,$CU68,($A68-DateToday)+15,ABS(Option-2),0)-X68)),0))</f>
        <v> </v>
      </c>
      <c r="AH68" s="290" t="str">
        <f aca="false">IF($A68="N/A"," ",IF(OR(Dayrun=1,Dayrun=8,Dayrun=11),MAX(0,(xSPRDOPT(P68,($E68-'Pricing Inputs'!$X103*$D68),$CV68,0,($CQ68+IF(Smile=TRUE(),VLOOKUP(MAX(-5,$H68-P68),Volsmile,2),0)),$CT68,$CU68,($A68-DateToday)+15,ABS(Option-2),0)-Y68)),0))</f>
        <v> </v>
      </c>
      <c r="AI68" s="290" t="str">
        <f aca="false">IF($A68="N/A"," ",IF(OR(Dayrun&lt;=2,Dayrun&gt;=11),IF(OffPeakEx=TRUE(),MAX(0,(xSPRDOPT(Q68,($E68-'Pricing Inputs'!$X103*$D68),$CV68,0,($CQ68+IF(Smile=TRUE(),VLOOKUP(MAX(-5,$H68-Q68),Volsmile,2),0)),$CT68,$CU68,($A68-DateToday)+15,ABS(Option-2),0)-Z68)),0),0))</f>
        <v> </v>
      </c>
      <c r="AJ68" s="294" t="str">
        <f aca="false">IF($A68="N/A"," ",IF(Dayrun&gt;=3,IF(Option=1,$I68-$H68,IF(Option=2,$H68-$I68)),0))</f>
        <v> </v>
      </c>
      <c r="AK68" s="295" t="str">
        <f aca="false">IF($A68="N/A"," ",IF(Dayrun&gt;=6,IF(Option=1,$J68-H68,IF(Option=2,H68-$J68)),0))</f>
        <v> </v>
      </c>
      <c r="AL68" s="295" t="str">
        <f aca="false">IF($A68="N/A"," ",IF(OR(Dayrun&lt;=2,Dayrun&gt;=9),IF(Option=1,$K68-$H68,IF(Option=2,$H68-$K68)),0))</f>
        <v> </v>
      </c>
      <c r="AM68" s="295" t="str">
        <f aca="false">IF($A68="N/A"," ",IF(OR(Dayrun=1,Dayrun=4,Dayrun=5,Dayrun=7,Dayrun=8,Dayrun=10,Dayrun=11),IF(Option=1,$L68-H68,IF(Option=2,H68-$L68)),0))</f>
        <v> </v>
      </c>
      <c r="AN68" s="295" t="str">
        <f aca="false">IF($A68="N/A"," ",IF(OR(Dayrun=1,Dayrun=7,Dayrun=8,Dayrun=10,Dayrun=11),IF(Option=1,$M68-H68,IF(Option=2,H68-$M68)),0))</f>
        <v> </v>
      </c>
      <c r="AO68" s="295" t="str">
        <f aca="false">IF($A68="N/A"," ",IF(OR(Dayrun&lt;=2,Dayrun&gt;=9),IF(Option=1,$N68-$H68,IF(Option=2,$H68-$N68)),0))</f>
        <v> </v>
      </c>
      <c r="AP68" s="295" t="str">
        <f aca="false">IF($A68="N/A"," ",IF(OR(Dayrun=1,Dayrun=5,Dayrun=8,Dayrun=11),IF(Option=1,$O68-H68,IF(Option=2,H68-$O68)),0))</f>
        <v> </v>
      </c>
      <c r="AQ68" s="295" t="str">
        <f aca="false">IF($A68="N/A"," ",IF(OR(Dayrun=1,Dayrun=8,Dayrun=11),IF(Option=1,$P68-H68,IF(Option=2,H68-$P68)),0))</f>
        <v> </v>
      </c>
      <c r="AR68" s="296" t="str">
        <f aca="false">IF($A68="N/A"," ",IF(OR(Dayrun&lt;=2,Dayrun&gt;=9),IF(Option=1,$Q68-H68,IF(Option=2,H68-$Q68)),0))</f>
        <v> </v>
      </c>
      <c r="AS68" s="297" t="str">
        <f aca="false">IF($A68="N/A"," ",IF(VLOOKUP(MONTH($A68),ManualTable,2)=1,IF(Dayrun&gt;=3,$DE68*8*$CY68,0),0))</f>
        <v> </v>
      </c>
      <c r="AT68" s="297" t="str">
        <f aca="false">IF($A68="N/A"," ",IF(VLOOKUP(MONTH($A68),ManualTable,3)=1,IF(Dayrun&gt;=6,$DE68*8*$CY68,0),0))</f>
        <v> </v>
      </c>
      <c r="AU68" s="297" t="str">
        <f aca="false">IF($A68="N/A"," ",IF(VLOOKUP(MONTH($A68),ManualTable,4)=1,IF(OR(Dayrun&lt;=2,Dayrun&gt;=9),$DE68*8*$CY68,0),0))</f>
        <v> </v>
      </c>
      <c r="AV68" s="297" t="str">
        <f aca="false">IF($A68="N/A"," ",IF(VLOOKUP(MONTH($A68),ManualTable,5)=1,IF(OR(Dayrun=1,Dayrun=4,Dayrun=5,Dayrun=7,Dayrun=8,Dayrun=10,Dayrun=11),$DF68*8*$CY68,0),0))</f>
        <v> </v>
      </c>
      <c r="AW68" s="297" t="str">
        <f aca="false">IF($A68="N/A"," ",IF(VLOOKUP(MONTH($A68),ManualTable,6)=1,IF(OR(Dayrun=1,Dayrun=7,Dayrun=8,Dayrun=10,Dayrun=11),$DF68*8*$CY68,0),0))</f>
        <v> </v>
      </c>
      <c r="AX68" s="297" t="str">
        <f aca="false">IF($A68="N/A"," ",IF(VLOOKUP(MONTH($A68),ManualTable,7)=1,IF(OR(Dayrun&lt;=2,Dayrun&gt;=9),$DF68*8*$CY68,0),0))</f>
        <v> </v>
      </c>
      <c r="AY68" s="297" t="str">
        <f aca="false">IF($A68="N/A"," ",IF(VLOOKUP(MONTH($A68),ManualTable,8)=1,IF(OR(Dayrun=1,Dayrun=5,Dayrun=8,Dayrun=11),$DG68*8*$CY68,0),0))</f>
        <v> </v>
      </c>
      <c r="AZ68" s="297" t="str">
        <f aca="false">IF($A68="N/A"," ",IF(VLOOKUP(MONTH($A68),ManualTable,9)=1,IF(OR(Dayrun=1,Dayrun=8,Dayrun=11),$DG68*8*$CY68,0),0))</f>
        <v> </v>
      </c>
      <c r="BA68" s="298" t="str">
        <f aca="false">IF($A68="N/A"," ",IF(VLOOKUP(MONTH($A68),ManualTable,10)=1,IF(OR(Dayrun&lt;=2,Dayrun&gt;=9),$DG68*8*$CY68,0),0))</f>
        <v> </v>
      </c>
      <c r="BB68" s="299" t="str">
        <f aca="false">IF($A68="N/A"," ",IF(Dayrun&gt;=3,(MAX(0,(xSPRDOPT(I68,($E68-'Pricing Inputs'!$X103*$D68),$CV68,0,($CN68+IF(Smile=TRUE(),VLOOKUP(MAX(-5,$H68-I68),Volsmile,2),0)),$CT68,$CU68,($A68-DateToday)+15,ABS(Option-2),1)*DE68*8))),0))</f>
        <v> </v>
      </c>
      <c r="BC68" s="300" t="str">
        <f aca="false">IF($A68="N/A"," ",IF(Dayrun&gt;=6,MAX(0,(xSPRDOPT(J68,($E68-'Pricing Inputs'!$X103*$D68),$CV68,0,($CN68+IF(Smile=TRUE(),VLOOKUP(MAX(-5,$H68-J68),Volsmile,2),0)),$CT68,$CU68,($A68-DateToday)+15,ABS(Option-2),1)*DE68*8)),0))</f>
        <v> </v>
      </c>
      <c r="BD68" s="300" t="str">
        <f aca="false">IF($A68="N/A"," ",IF(OR(Dayrun&lt;=2,Dayrun&gt;=9),IF(OffPeakEx=TRUE(),MAX(0,(xSPRDOPT(K68,($E68-'Pricing Inputs'!$X103*$D68),$CV68,0,($CQ68+IF(Smile=TRUE(),VLOOKUP(MAX(-5,$H68-K68),Volsmile,2),0)),$CT68,$CU68,($A68-DateToday)+15,ABS(Option-2),1)*DE68*8)),0),0))</f>
        <v> </v>
      </c>
      <c r="BE68" s="300" t="str">
        <f aca="false">IF($A68="N/A"," ",IF(OR(Dayrun=1,Dayrun=4,Dayrun=5,Dayrun=7,Dayrun=8,Dayrun=10,Dayrun=11),MAX(0,(xSPRDOPT(L68,($E68-'Pricing Inputs'!$X103*$D68),$CV68,0,($CQ68+IF(Smile=TRUE(),VLOOKUP(MAX(-5,$H68-L68),Volsmile,2),0)),$CT68,$CU68,($A68-DateToday)+15,ABS(Option-2),1)*DF68*8)),0))</f>
        <v> </v>
      </c>
      <c r="BF68" s="300" t="str">
        <f aca="false">IF($A68="N/A"," ",IF(OR(Dayrun=1,Dayrun=7,Dayrun=8,Dayrun=10,Dayrun=11),MAX(0,(xSPRDOPT(M68,($E68-'Pricing Inputs'!$X103*$D68),$CV68,0,($CQ68+IF(Smile=TRUE(),VLOOKUP(MAX(-5,$H68-M68),Volsmile,2),0)),$CT68,$CU68,($A68-DateToday)+15,ABS(Option-2),1)*DF68*8)),0))</f>
        <v> </v>
      </c>
      <c r="BG68" s="300" t="str">
        <f aca="false">IF($A68="N/A"," ",IF(OR(Dayrun&lt;=2,Dayrun&gt;=10),IF(OffPeakEx=TRUE(),MAX(0,(xSPRDOPT(N68,($E68-'Pricing Inputs'!$X103*$D68),$CV68,0,($CQ68+IF(Smile=TRUE(),VLOOKUP(MAX(-5,$H68-N68),Volsmile,2),0)),$CT68,$CU68,($A68-DateToday)+15,ABS(Option-2),1)*DF68*8)),0),0))</f>
        <v> </v>
      </c>
      <c r="BH68" s="300" t="str">
        <f aca="false">IF($A68="N/A"," ",IF(OR(Dayrun=1,Dayrun=5,Dayrun=8,Dayrun=11),MAX(0,(xSPRDOPT(O68,($E68-'Pricing Inputs'!$X103*$D68),$CV68,0,($CQ68+IF(Smile=TRUE(),VLOOKUP(MAX(-5,$H68-O68),Volsmile,2),0)),$CT68,$CU68,($A68-DateToday)+15,ABS(Option-2),1)*DG68*8)),0))</f>
        <v> </v>
      </c>
      <c r="BI68" s="300" t="str">
        <f aca="false">IF($A68="N/A"," ",IF(OR(Dayrun=1,Dayrun=8,Dayrun=11),MAX(0,(xSPRDOPT(P68,($E68-'Pricing Inputs'!$X103*$D68),$CV68,0,($CQ68+IF(Smile=TRUE(),VLOOKUP(MAX(-5,$H68-P68),Volsmile,2),0)),$CT68,$CU68,($A68-DateToday)+15,ABS(Option-2),1)*DG68*8)),0))</f>
        <v> </v>
      </c>
      <c r="BJ68" s="301" t="str">
        <f aca="false">IF($A68="N/A"," ",IF(OR(Dayrun&lt;=2,Dayrun&gt;=11),IF(OffPeakEx=TRUE(),MAX(0,(xSPRDOPT(Q68,($E68-'Pricing Inputs'!$X103*$D68),$CV68,0,($CQ68+IF(Smile=TRUE(),VLOOKUP(MAX(-5,$H68-Q68),Volsmile,2),0)),$CT68,$CU68,($A68-DateToday)+15,ABS(Option-2),1)*DG68*8)),0),0))</f>
        <v> </v>
      </c>
      <c r="BK68" s="302" t="str">
        <f aca="false">IF($A68="N/A"," ",R68*$AS68)</f>
        <v> </v>
      </c>
      <c r="BL68" s="303" t="str">
        <f aca="false">IF($A68="N/A"," ",S68*$AT68)</f>
        <v> </v>
      </c>
      <c r="BM68" s="303" t="str">
        <f aca="false">IF($A68="N/A"," ",T68*$AU68)</f>
        <v> </v>
      </c>
      <c r="BN68" s="303" t="str">
        <f aca="false">IF($A68="N/A"," ",U68*$AV68)</f>
        <v> </v>
      </c>
      <c r="BO68" s="303" t="str">
        <f aca="false">IF($A68="N/A"," ",V68*$AW68)</f>
        <v> </v>
      </c>
      <c r="BP68" s="303" t="str">
        <f aca="false">IF($A68="N/A"," ",W68*$AX68)</f>
        <v> </v>
      </c>
      <c r="BQ68" s="303" t="str">
        <f aca="false">IF($A68="N/A"," ",X68*$AY68)</f>
        <v> </v>
      </c>
      <c r="BR68" s="303" t="str">
        <f aca="false">IF($A68="N/A"," ",Y68*$AZ68)</f>
        <v> </v>
      </c>
      <c r="BS68" s="304" t="str">
        <f aca="false">IF($A68="N/A"," ",Z68*$BA68)</f>
        <v> </v>
      </c>
      <c r="BT68" s="305" t="str">
        <f aca="false">IF($A68="N/A"," ",AA68*$AS68)</f>
        <v> </v>
      </c>
      <c r="BU68" s="306" t="str">
        <f aca="false">IF($A68="N/A"," ",AB68*$AT68)</f>
        <v> </v>
      </c>
      <c r="BV68" s="306" t="str">
        <f aca="false">IF($A68="N/A"," ",AC68*$AU68)</f>
        <v> </v>
      </c>
      <c r="BW68" s="306" t="str">
        <f aca="false">IF($A68="N/A"," ",AD68*$AV68)</f>
        <v> </v>
      </c>
      <c r="BX68" s="306" t="str">
        <f aca="false">IF($A68="N/A"," ",AE68*$AW68)</f>
        <v> </v>
      </c>
      <c r="BY68" s="306" t="str">
        <f aca="false">IF($A68="N/A"," ",AF68*$AX68)</f>
        <v> </v>
      </c>
      <c r="BZ68" s="306" t="str">
        <f aca="false">IF($A68="N/A"," ",AG68*$AY68)</f>
        <v> </v>
      </c>
      <c r="CA68" s="306" t="str">
        <f aca="false">IF($A68="N/A"," ",AH68*$AZ68)</f>
        <v> </v>
      </c>
      <c r="CB68" s="307" t="str">
        <f aca="false">IF($A68="N/A"," ",AI68*$BA68)</f>
        <v> </v>
      </c>
      <c r="CC68" s="308" t="str">
        <f aca="false">IF($A68="N/A"," ",AJ68*$AS68)</f>
        <v> </v>
      </c>
      <c r="CD68" s="309" t="str">
        <f aca="false">IF($A68="N/A"," ",AK68*$AT68)</f>
        <v> </v>
      </c>
      <c r="CE68" s="309" t="str">
        <f aca="false">IF($A68="N/A"," ",AL68*$AU68)</f>
        <v> </v>
      </c>
      <c r="CF68" s="309" t="str">
        <f aca="false">IF($A68="N/A"," ",AM68*$AV68)</f>
        <v> </v>
      </c>
      <c r="CG68" s="309" t="str">
        <f aca="false">IF($A68="N/A"," ",AN68*$AW68)</f>
        <v> </v>
      </c>
      <c r="CH68" s="309" t="str">
        <f aca="false">IF($A68="N/A"," ",AO68*$AX68)</f>
        <v> </v>
      </c>
      <c r="CI68" s="309" t="str">
        <f aca="false">IF($A68="N/A"," ",AP68*$AY68)</f>
        <v> </v>
      </c>
      <c r="CJ68" s="309" t="str">
        <f aca="false">IF($A68="N/A"," ",AQ68*$AZ68)</f>
        <v> </v>
      </c>
      <c r="CK68" s="310" t="str">
        <f aca="false">IF($A68="N/A"," ",AR68*$BA68)</f>
        <v> </v>
      </c>
      <c r="CL68" s="311" t="str">
        <f aca="false">IF(A68="N/A"," ",(VLOOKUP(A68,PowerVolTable,(IF(VolBMO=2,7,IF(VolBMO=1,6,8))),FALSE())))</f>
        <v> </v>
      </c>
      <c r="CM68" s="312" t="str">
        <f aca="false">IF(A68="N/A"," ",(VLOOKUP(A68,IntraPowerVol,(IF(VolBMO=2,3,IF(VolBMO=1,2,4))),FALSE())*VLOOKUP(MONTH($A68),Volscale,2)))</f>
        <v> </v>
      </c>
      <c r="CN68" s="312" t="str">
        <f aca="false">IF($A68="N/A"," ",IF(VolType=1,CM68,CL68))</f>
        <v> </v>
      </c>
      <c r="CO68" s="312" t="str">
        <f aca="false">IF($A68="N/A"," ",(VLOOKUP($A68,OffPeakVol,(IF(VolBMO=2,7,IF(VolBMO=1,6,8))),FALSE())))</f>
        <v> </v>
      </c>
      <c r="CP68" s="312" t="str">
        <f aca="false">IF($A68="N/A"," ",(VLOOKUP($A68,OffPeakVol,(IF(VolBMO=2,3,IF(VolBMO=1,2,4))),FALSE())*VLOOKUP(MONTH($A68),Volscale,2)))</f>
        <v> </v>
      </c>
      <c r="CQ68" s="312" t="str">
        <f aca="false">IF($A68="N/A"," ",IF(VolType=1,CP68,CO68))</f>
        <v> </v>
      </c>
      <c r="CR68" s="312" t="str">
        <f aca="false">IF($A68="N/A"," ",(VLOOKUP($A68,GasVolTable,(IF(VolBMO=2,6,IF(VolBMO=1,7,5))),FALSE())))</f>
        <v> </v>
      </c>
      <c r="CS68" s="312" t="str">
        <f aca="false">IF($A68="N/A"," ",(VLOOKUP($A68,OmicronVol,(IF(VolBMO=2,3,IF(VolBMO=1,4,2))),FALSE())))</f>
        <v> </v>
      </c>
      <c r="CT68" s="312" t="str">
        <f aca="false">IF($A68="N/A"," ",(IF(DateToday&gt;$A68,$CS68,IF(VolType=1,((($CR68^2)*((($A68-1)-DateToday)/((EOMONTH($A68,0)+1)-DateToday-15)))+((($CS68)^2)*((15)/((EOMONTH($A68,0)+1)-DateToday-15))))^0.5,CR68))))</f>
        <v> </v>
      </c>
      <c r="CU68" s="312" t="str">
        <f aca="false">IF($A68="N/A"," ",IF('Pricing Inputs'!$AR$23=TRUE(),Inputs!$S$22,VLOOKUP($A68,CorrelationTable,2,FALSE())))</f>
        <v> </v>
      </c>
      <c r="CV68" s="313" t="str">
        <f aca="false">IF($A68="N/A"," ",F68+G68+(D68*('Pricing Inputs'!X103)))</f>
        <v> </v>
      </c>
      <c r="CW68" s="314" t="str">
        <f aca="false">IF($A68="N/A"," ",IF(PV=1,0,'Pricing Inputs'!Y103))</f>
        <v> </v>
      </c>
      <c r="CX68" s="315" t="str">
        <f aca="false">IF($A68="N/A"," ",(1+CW68/2)^(-2*((EOMONTH(A68,0)+20)-DateToday)/365.25))</f>
        <v> </v>
      </c>
      <c r="CY68" s="316" t="str">
        <f aca="false">IF($A68="N/A"," ",(IF(MONTH(A68)&gt;=4,IF(MONTH(A68)&lt;=10,Inputs!$S$26,Inputs!$S$27),Inputs!$S$27))*$CX68)</f>
        <v> </v>
      </c>
      <c r="CZ68" s="317" t="str">
        <f aca="false">IF($A68="N/A"," ",BK68+BL68+BN68+BO68+BQ68+BR68)</f>
        <v> </v>
      </c>
      <c r="DA68" s="318" t="str">
        <f aca="false">IF($A68="N/A"," ",BM68+BP68+BS68)</f>
        <v> </v>
      </c>
      <c r="DB68" s="319" t="str">
        <f aca="false">IF($A68="N/A"," ",BT68+BU68+BW68+BX68+BZ68+CA68)</f>
        <v> </v>
      </c>
      <c r="DC68" s="319" t="str">
        <f aca="false">IF($A68="N/A"," ",BV68+BY68+CB68)</f>
        <v> </v>
      </c>
      <c r="DD68" s="320" t="str">
        <f aca="false">IF($A68="N/A"," ",SUM(CC68:CK68))</f>
        <v> </v>
      </c>
      <c r="DE68" s="321" t="str">
        <f aca="false">IF($A68="N/A"," ",VLOOKUP($A68,NumberofDaysTable,2)*Availability)</f>
        <v> </v>
      </c>
      <c r="DF68" s="94" t="str">
        <f aca="false">IF($A68="N/A"," ",VLOOKUP($A68,NumberofDaysTable,3)*Availability)</f>
        <v> </v>
      </c>
      <c r="DG68" s="322" t="str">
        <f aca="false">IF($A68="N/A"," ",VLOOKUP($A68,NumberofDaysTable,4)*Availability)</f>
        <v> </v>
      </c>
      <c r="DH68" s="323" t="str">
        <f aca="false">IF($A68="N/A"," ",IF(Option=1,$D68*Inputs!$S$15*SUM(AS68:BA68),0))</f>
        <v> </v>
      </c>
      <c r="DI68" s="324" t="str">
        <f aca="false">IF($A68="N/A"," ",IF(Option=1,$D68*Inputs!$S$16*SUM(AS68:BA68),0))</f>
        <v> </v>
      </c>
      <c r="DJ68" s="325" t="str">
        <f aca="false">IF($A68="N/A"," ",SUM(AS68:AT68))</f>
        <v> </v>
      </c>
      <c r="DK68" s="325" t="str">
        <f aca="false">IF($A68="N/A"," ",SUM(AU68:BA68))</f>
        <v> </v>
      </c>
      <c r="DL68" s="325" t="str">
        <f aca="false">IF($A68="N/A"," ",SUM(BB68:BC68))</f>
        <v> </v>
      </c>
      <c r="DM68" s="325" t="str">
        <f aca="false">IF($A68="N/A"," ",SUM(BD68:BJ68))</f>
        <v> </v>
      </c>
    </row>
    <row r="69" customFormat="false" ht="12.75" hidden="false" customHeight="false" outlineLevel="0" collapsed="false">
      <c r="A69" s="282" t="str">
        <f aca="false">IF(A68="N/A","N/A",IF(EDATE(A68,1)&gt;Inputs!$S$5,"N/A",EDATE(A68,1)))</f>
        <v>N/A</v>
      </c>
      <c r="B69" s="283" t="str">
        <f aca="false">IF(A69="N/A"," ",YEAR(A69))</f>
        <v> </v>
      </c>
      <c r="C69" s="284" t="str">
        <f aca="false">IF(A69="N/A"," ",VLOOKUP(A69,ScaledPrice,14))</f>
        <v> </v>
      </c>
      <c r="D69" s="285" t="str">
        <f aca="false">IF(A69="N/A"," ",(VLOOKUP(MONTH($A69),Hrtable,2))/1000)</f>
        <v> </v>
      </c>
      <c r="E69" s="286" t="str">
        <f aca="false">IF($A69="N/A"," ",(C69)*D69)</f>
        <v> </v>
      </c>
      <c r="F69" s="287" t="str">
        <f aca="false">IF(A69="N/A"," ",VOM*(1+VOMesc)^(YEAR(A69)-YEAR(Today)))</f>
        <v> </v>
      </c>
      <c r="G69" s="287" t="str">
        <f aca="false">IF(A69="N/A"," ",Perstart/VLOOKUP(Dayrun,'Pricing Inputs'!$AQ$4:$AS$14,3)/(CY69/CX69))</f>
        <v> </v>
      </c>
      <c r="H69" s="288" t="str">
        <f aca="false">IF(A69="N/A"," ",SUM(E69:G69))</f>
        <v> </v>
      </c>
      <c r="I69" s="289" t="str">
        <f aca="false">VLOOKUP($A69,ScaledPrice,6)</f>
        <v> </v>
      </c>
      <c r="J69" s="290" t="str">
        <f aca="false">VLOOKUP($A69,ScaledPrice,10)</f>
        <v> </v>
      </c>
      <c r="K69" s="290" t="str">
        <f aca="false">VLOOKUP($A69,ScaledPrice,13)</f>
        <v> </v>
      </c>
      <c r="L69" s="290" t="str">
        <f aca="false">VLOOKUP($A69,ScaledPrice,7)</f>
        <v> </v>
      </c>
      <c r="M69" s="290" t="str">
        <f aca="false">VLOOKUP($A69,ScaledPrice,11)</f>
        <v> </v>
      </c>
      <c r="N69" s="290" t="str">
        <f aca="false">VLOOKUP($A69,ScaledPrice,13)</f>
        <v> </v>
      </c>
      <c r="O69" s="290" t="str">
        <f aca="false">VLOOKUP($A69,ScaledPrice,8)</f>
        <v> </v>
      </c>
      <c r="P69" s="290" t="str">
        <f aca="false">VLOOKUP($A69,ScaledPrice,12)</f>
        <v> </v>
      </c>
      <c r="Q69" s="291" t="str">
        <f aca="false">VLOOKUP($A69,ScaledPrice,13)</f>
        <v> </v>
      </c>
      <c r="R69" s="292" t="str">
        <f aca="false">IF($A69="N/A"," ",IF(Dayrun&gt;=3,IF(Option=1,MAX($I69-$H69,0),IF(Option=2,MAX($H69-$I69,0),0)),0))</f>
        <v> </v>
      </c>
      <c r="S69" s="286" t="str">
        <f aca="false">IF($A69="N/A"," ",IF(Dayrun&gt;=6,IF(Option=1,MAX($J69-H69,0),IF(Option=2,MAX(H69-$J69,0),0)),0))</f>
        <v> </v>
      </c>
      <c r="T69" s="286" t="str">
        <f aca="false">IF($A69="N/A"," ",IF(OR(Dayrun&lt;=2,Dayrun&gt;=9),IF(Option=1,MAX($K69-$H69,0),IF(Option=2,MAX($H69-$K69,0),0)),0))</f>
        <v> </v>
      </c>
      <c r="U69" s="286" t="str">
        <f aca="false">IF($A69="N/A"," ",IF(OR(Dayrun=1,Dayrun=4,Dayrun=5,Dayrun=7,Dayrun=8,Dayrun=10,Dayrun=11),IF(Option=1,MAX($L69-H69,0),IF(Option=2,MAX(H69-$L69,0),0)),0))</f>
        <v> </v>
      </c>
      <c r="V69" s="286" t="str">
        <f aca="false">IF($A69="N/A"," ",IF(OR(Dayrun=1,Dayrun=7,Dayrun=8,Dayrun=10,Dayrun=11),IF(Option=1,MAX($M69-H69,0),IF(Option=2,MAX(H69-$M69,0),0)),0))</f>
        <v> </v>
      </c>
      <c r="W69" s="286" t="str">
        <f aca="false">IF($A69="N/A"," ",IF(OR(Dayrun&lt;=2,Dayrun&gt;=10),IF(Option=1,MAX($N69-$H69,0),IF(Option=2,MAX($H69-$N69,0),0)),0))</f>
        <v> </v>
      </c>
      <c r="X69" s="286" t="str">
        <f aca="false">IF($A69="N/A"," ",IF(OR(Dayrun=1,Dayrun=5,Dayrun=8,Dayrun=11),IF(Option=1,MAX($O69-H69,0),IF(Option=2,MAX(H69-$O69,0),0)),0))</f>
        <v> </v>
      </c>
      <c r="Y69" s="286" t="str">
        <f aca="false">IF($A69="N/A"," ",IF(OR(Dayrun=1,Dayrun=8,Dayrun=11),IF(Option=1,MAX($P69-H69,0),IF(Option=2,MAX(H69-$P69,0),0)),0))</f>
        <v> </v>
      </c>
      <c r="Z69" s="293" t="str">
        <f aca="false">IF($A69="N/A"," ",IF(OR(Dayrun&lt;=2,Dayrun&gt;=11),IF(Option=1,MAX($Q69-$H69,0),IF(Option=2,MAX($H69-$Q69,0),0)),0))</f>
        <v> </v>
      </c>
      <c r="AA69" s="289" t="str">
        <f aca="false">IF($A69="N/A"," ",IF(Dayrun&gt;=3,(MAX(0,(xSPRDOPT(I69,($E69-'Pricing Inputs'!$X104*$D69),$CV69,0,($CN69+IF(Smile=TRUE(),VLOOKUP(MAX(-5,$H69-I69),Volsmile,2),0)),$CT69,$CU69,($A69-DateToday)+15,ABS(Option-2),0)-R69))),0))</f>
        <v> </v>
      </c>
      <c r="AB69" s="290" t="str">
        <f aca="false">IF($A69="N/A"," ",IF(Dayrun&gt;=6,MAX(0,(xSPRDOPT(J69,($E69-'Pricing Inputs'!$X104*$D69),$CV69,0,($CN69+IF(Smile=TRUE(),VLOOKUP(MAX(-5,$H69-J69),Volsmile,2),0)),$CT69,$CU69,($A69-DateToday)+15,ABS(Option-2),0)-S69)),0))</f>
        <v> </v>
      </c>
      <c r="AC69" s="290" t="str">
        <f aca="false">IF($A69="N/A"," ",IF(OR(Dayrun&lt;=2,Dayrun&gt;=9),IF(OffPeakEx=TRUE(),MAX(0,(xSPRDOPT(K69,($E69-'Pricing Inputs'!$X104*$D69),$CV69,0,($CQ69+IF(Smile=TRUE(),VLOOKUP(MAX(-5,$H69-K69),Volsmile,2),0)),$CT69,$CU69,($A69-DateToday)+15,ABS(Option-2),0)-T69)),0),0))</f>
        <v> </v>
      </c>
      <c r="AD69" s="290" t="str">
        <f aca="false">IF($A69="N/A"," ",IF(OR(Dayrun=1,Dayrun=4,Dayrun=5,Dayrun=7,Dayrun=8,Dayrun=10,Dayrun=11),MAX(0,(xSPRDOPT(L69,($E69-'Pricing Inputs'!$X104*$D69),$CV69,0,($CQ69+IF(Smile=TRUE(),VLOOKUP(MAX(-5,$H69-L69),Volsmile,2),0)),$CT69,$CU69,($A69-DateToday)+15,ABS(Option-2),0)-U69)),0))</f>
        <v> </v>
      </c>
      <c r="AE69" s="290" t="str">
        <f aca="false">IF($A69="N/A"," ",IF(OR(Dayrun=1,Dayrun=7,Dayrun=8,Dayrun=10,Dayrun=11),MAX(0,(xSPRDOPT(M69,($E69-'Pricing Inputs'!$X104*$D69),$CV69,0,($CQ69+IF(Smile=TRUE(),VLOOKUP(MAX(-5,$H69-M69),Volsmile,2),0)),$CT69,$CU69,($A69-DateToday)+15,ABS(Option-2),0)-V69)),0))</f>
        <v> </v>
      </c>
      <c r="AF69" s="290" t="str">
        <f aca="false">IF($A69="N/A"," ",IF(OR(Dayrun&lt;=2,Dayrun&gt;=10),IF(OffPeakEx=TRUE(),MAX(0,(xSPRDOPT(N69,($E69-'Pricing Inputs'!$X104*$D69),$CV69,0,($CQ69+IF(Smile=TRUE(),VLOOKUP(MAX(-5,$H69-N69),Volsmile,2),0)),$CT69,$CU69,($A69-DateToday)+15,ABS(Option-2),0)-W69)),0),0))</f>
        <v> </v>
      </c>
      <c r="AG69" s="290" t="str">
        <f aca="false">IF($A69="N/A"," ",IF(OR(Dayrun=1,Dayrun=5,Dayrun=8,Dayrun=11),MAX(0,(xSPRDOPT(O69,($E69-'Pricing Inputs'!$X104*$D69),$CV69,0,($CQ69+IF(Smile=TRUE(),VLOOKUP(MAX(-5,$H69-O69),Volsmile,2),0)),$CT69,$CU69,($A69-DateToday)+15,ABS(Option-2),0)-X69)),0))</f>
        <v> </v>
      </c>
      <c r="AH69" s="290" t="str">
        <f aca="false">IF($A69="N/A"," ",IF(OR(Dayrun=1,Dayrun=8,Dayrun=11),MAX(0,(xSPRDOPT(P69,($E69-'Pricing Inputs'!$X104*$D69),$CV69,0,($CQ69+IF(Smile=TRUE(),VLOOKUP(MAX(-5,$H69-P69),Volsmile,2),0)),$CT69,$CU69,($A69-DateToday)+15,ABS(Option-2),0)-Y69)),0))</f>
        <v> </v>
      </c>
      <c r="AI69" s="290" t="str">
        <f aca="false">IF($A69="N/A"," ",IF(OR(Dayrun&lt;=2,Dayrun&gt;=11),IF(OffPeakEx=TRUE(),MAX(0,(xSPRDOPT(Q69,($E69-'Pricing Inputs'!$X104*$D69),$CV69,0,($CQ69+IF(Smile=TRUE(),VLOOKUP(MAX(-5,$H69-Q69),Volsmile,2),0)),$CT69,$CU69,($A69-DateToday)+15,ABS(Option-2),0)-Z69)),0),0))</f>
        <v> </v>
      </c>
      <c r="AJ69" s="294" t="str">
        <f aca="false">IF($A69="N/A"," ",IF(Dayrun&gt;=3,IF(Option=1,$I69-$H69,IF(Option=2,$H69-$I69)),0))</f>
        <v> </v>
      </c>
      <c r="AK69" s="295" t="str">
        <f aca="false">IF($A69="N/A"," ",IF(Dayrun&gt;=6,IF(Option=1,$J69-H69,IF(Option=2,H69-$J69)),0))</f>
        <v> </v>
      </c>
      <c r="AL69" s="295" t="str">
        <f aca="false">IF($A69="N/A"," ",IF(OR(Dayrun&lt;=2,Dayrun&gt;=9),IF(Option=1,$K69-$H69,IF(Option=2,$H69-$K69)),0))</f>
        <v> </v>
      </c>
      <c r="AM69" s="295" t="str">
        <f aca="false">IF($A69="N/A"," ",IF(OR(Dayrun=1,Dayrun=4,Dayrun=5,Dayrun=7,Dayrun=8,Dayrun=10,Dayrun=11),IF(Option=1,$L69-H69,IF(Option=2,H69-$L69)),0))</f>
        <v> </v>
      </c>
      <c r="AN69" s="295" t="str">
        <f aca="false">IF($A69="N/A"," ",IF(OR(Dayrun=1,Dayrun=7,Dayrun=8,Dayrun=10,Dayrun=11),IF(Option=1,$M69-H69,IF(Option=2,H69-$M69)),0))</f>
        <v> </v>
      </c>
      <c r="AO69" s="295" t="str">
        <f aca="false">IF($A69="N/A"," ",IF(OR(Dayrun&lt;=2,Dayrun&gt;=9),IF(Option=1,$N69-$H69,IF(Option=2,$H69-$N69)),0))</f>
        <v> </v>
      </c>
      <c r="AP69" s="295" t="str">
        <f aca="false">IF($A69="N/A"," ",IF(OR(Dayrun=1,Dayrun=5,Dayrun=8,Dayrun=11),IF(Option=1,$O69-H69,IF(Option=2,H69-$O69)),0))</f>
        <v> </v>
      </c>
      <c r="AQ69" s="295" t="str">
        <f aca="false">IF($A69="N/A"," ",IF(OR(Dayrun=1,Dayrun=8,Dayrun=11),IF(Option=1,$P69-H69,IF(Option=2,H69-$P69)),0))</f>
        <v> </v>
      </c>
      <c r="AR69" s="296" t="str">
        <f aca="false">IF($A69="N/A"," ",IF(OR(Dayrun&lt;=2,Dayrun&gt;=9),IF(Option=1,$Q69-H69,IF(Option=2,H69-$Q69)),0))</f>
        <v> </v>
      </c>
      <c r="AS69" s="297" t="str">
        <f aca="false">IF($A69="N/A"," ",IF(VLOOKUP(MONTH($A69),ManualTable,2)=1,IF(Dayrun&gt;=3,$DE69*8*$CY69,0),0))</f>
        <v> </v>
      </c>
      <c r="AT69" s="297" t="str">
        <f aca="false">IF($A69="N/A"," ",IF(VLOOKUP(MONTH($A69),ManualTable,3)=1,IF(Dayrun&gt;=6,$DE69*8*$CY69,0),0))</f>
        <v> </v>
      </c>
      <c r="AU69" s="297" t="str">
        <f aca="false">IF($A69="N/A"," ",IF(VLOOKUP(MONTH($A69),ManualTable,4)=1,IF(OR(Dayrun&lt;=2,Dayrun&gt;=9),$DE69*8*$CY69,0),0))</f>
        <v> </v>
      </c>
      <c r="AV69" s="297" t="str">
        <f aca="false">IF($A69="N/A"," ",IF(VLOOKUP(MONTH($A69),ManualTable,5)=1,IF(OR(Dayrun=1,Dayrun=4,Dayrun=5,Dayrun=7,Dayrun=8,Dayrun=10,Dayrun=11),$DF69*8*$CY69,0),0))</f>
        <v> </v>
      </c>
      <c r="AW69" s="297" t="str">
        <f aca="false">IF($A69="N/A"," ",IF(VLOOKUP(MONTH($A69),ManualTable,6)=1,IF(OR(Dayrun=1,Dayrun=7,Dayrun=8,Dayrun=10,Dayrun=11),$DF69*8*$CY69,0),0))</f>
        <v> </v>
      </c>
      <c r="AX69" s="297" t="str">
        <f aca="false">IF($A69="N/A"," ",IF(VLOOKUP(MONTH($A69),ManualTable,7)=1,IF(OR(Dayrun&lt;=2,Dayrun&gt;=9),$DF69*8*$CY69,0),0))</f>
        <v> </v>
      </c>
      <c r="AY69" s="297" t="str">
        <f aca="false">IF($A69="N/A"," ",IF(VLOOKUP(MONTH($A69),ManualTable,8)=1,IF(OR(Dayrun=1,Dayrun=5,Dayrun=8,Dayrun=11),$DG69*8*$CY69,0),0))</f>
        <v> </v>
      </c>
      <c r="AZ69" s="297" t="str">
        <f aca="false">IF($A69="N/A"," ",IF(VLOOKUP(MONTH($A69),ManualTable,9)=1,IF(OR(Dayrun=1,Dayrun=8,Dayrun=11),$DG69*8*$CY69,0),0))</f>
        <v> </v>
      </c>
      <c r="BA69" s="298" t="str">
        <f aca="false">IF($A69="N/A"," ",IF(VLOOKUP(MONTH($A69),ManualTable,10)=1,IF(OR(Dayrun&lt;=2,Dayrun&gt;=9),$DG69*8*$CY69,0),0))</f>
        <v> </v>
      </c>
      <c r="BB69" s="299" t="str">
        <f aca="false">IF($A69="N/A"," ",IF(Dayrun&gt;=3,(MAX(0,(xSPRDOPT(I69,($E69-'Pricing Inputs'!$X104*$D69),$CV69,0,($CN69+IF(Smile=TRUE(),VLOOKUP(MAX(-5,$H69-I69),Volsmile,2),0)),$CT69,$CU69,($A69-DateToday)+15,ABS(Option-2),1)*DE69*8))),0))</f>
        <v> </v>
      </c>
      <c r="BC69" s="300" t="str">
        <f aca="false">IF($A69="N/A"," ",IF(Dayrun&gt;=6,MAX(0,(xSPRDOPT(J69,($E69-'Pricing Inputs'!$X104*$D69),$CV69,0,($CN69+IF(Smile=TRUE(),VLOOKUP(MAX(-5,$H69-J69),Volsmile,2),0)),$CT69,$CU69,($A69-DateToday)+15,ABS(Option-2),1)*DE69*8)),0))</f>
        <v> </v>
      </c>
      <c r="BD69" s="300" t="str">
        <f aca="false">IF($A69="N/A"," ",IF(OR(Dayrun&lt;=2,Dayrun&gt;=9),IF(OffPeakEx=TRUE(),MAX(0,(xSPRDOPT(K69,($E69-'Pricing Inputs'!$X104*$D69),$CV69,0,($CQ69+IF(Smile=TRUE(),VLOOKUP(MAX(-5,$H69-K69),Volsmile,2),0)),$CT69,$CU69,($A69-DateToday)+15,ABS(Option-2),1)*DE69*8)),0),0))</f>
        <v> </v>
      </c>
      <c r="BE69" s="300" t="str">
        <f aca="false">IF($A69="N/A"," ",IF(OR(Dayrun=1,Dayrun=4,Dayrun=5,Dayrun=7,Dayrun=8,Dayrun=10,Dayrun=11),MAX(0,(xSPRDOPT(L69,($E69-'Pricing Inputs'!$X104*$D69),$CV69,0,($CQ69+IF(Smile=TRUE(),VLOOKUP(MAX(-5,$H69-L69),Volsmile,2),0)),$CT69,$CU69,($A69-DateToday)+15,ABS(Option-2),1)*DF69*8)),0))</f>
        <v> </v>
      </c>
      <c r="BF69" s="300" t="str">
        <f aca="false">IF($A69="N/A"," ",IF(OR(Dayrun=1,Dayrun=7,Dayrun=8,Dayrun=10,Dayrun=11),MAX(0,(xSPRDOPT(M69,($E69-'Pricing Inputs'!$X104*$D69),$CV69,0,($CQ69+IF(Smile=TRUE(),VLOOKUP(MAX(-5,$H69-M69),Volsmile,2),0)),$CT69,$CU69,($A69-DateToday)+15,ABS(Option-2),1)*DF69*8)),0))</f>
        <v> </v>
      </c>
      <c r="BG69" s="300" t="str">
        <f aca="false">IF($A69="N/A"," ",IF(OR(Dayrun&lt;=2,Dayrun&gt;=10),IF(OffPeakEx=TRUE(),MAX(0,(xSPRDOPT(N69,($E69-'Pricing Inputs'!$X104*$D69),$CV69,0,($CQ69+IF(Smile=TRUE(),VLOOKUP(MAX(-5,$H69-N69),Volsmile,2),0)),$CT69,$CU69,($A69-DateToday)+15,ABS(Option-2),1)*DF69*8)),0),0))</f>
        <v> </v>
      </c>
      <c r="BH69" s="300" t="str">
        <f aca="false">IF($A69="N/A"," ",IF(OR(Dayrun=1,Dayrun=5,Dayrun=8,Dayrun=11),MAX(0,(xSPRDOPT(O69,($E69-'Pricing Inputs'!$X104*$D69),$CV69,0,($CQ69+IF(Smile=TRUE(),VLOOKUP(MAX(-5,$H69-O69),Volsmile,2),0)),$CT69,$CU69,($A69-DateToday)+15,ABS(Option-2),1)*DG69*8)),0))</f>
        <v> </v>
      </c>
      <c r="BI69" s="300" t="str">
        <f aca="false">IF($A69="N/A"," ",IF(OR(Dayrun=1,Dayrun=8,Dayrun=11),MAX(0,(xSPRDOPT(P69,($E69-'Pricing Inputs'!$X104*$D69),$CV69,0,($CQ69+IF(Smile=TRUE(),VLOOKUP(MAX(-5,$H69-P69),Volsmile,2),0)),$CT69,$CU69,($A69-DateToday)+15,ABS(Option-2),1)*DG69*8)),0))</f>
        <v> </v>
      </c>
      <c r="BJ69" s="301" t="str">
        <f aca="false">IF($A69="N/A"," ",IF(OR(Dayrun&lt;=2,Dayrun&gt;=11),IF(OffPeakEx=TRUE(),MAX(0,(xSPRDOPT(Q69,($E69-'Pricing Inputs'!$X104*$D69),$CV69,0,($CQ69+IF(Smile=TRUE(),VLOOKUP(MAX(-5,$H69-Q69),Volsmile,2),0)),$CT69,$CU69,($A69-DateToday)+15,ABS(Option-2),1)*DG69*8)),0),0))</f>
        <v> </v>
      </c>
      <c r="BK69" s="302" t="str">
        <f aca="false">IF($A69="N/A"," ",R69*$AS69)</f>
        <v> </v>
      </c>
      <c r="BL69" s="303" t="str">
        <f aca="false">IF($A69="N/A"," ",S69*$AT69)</f>
        <v> </v>
      </c>
      <c r="BM69" s="303" t="str">
        <f aca="false">IF($A69="N/A"," ",T69*$AU69)</f>
        <v> </v>
      </c>
      <c r="BN69" s="303" t="str">
        <f aca="false">IF($A69="N/A"," ",U69*$AV69)</f>
        <v> </v>
      </c>
      <c r="BO69" s="303" t="str">
        <f aca="false">IF($A69="N/A"," ",V69*$AW69)</f>
        <v> </v>
      </c>
      <c r="BP69" s="303" t="str">
        <f aca="false">IF($A69="N/A"," ",W69*$AX69)</f>
        <v> </v>
      </c>
      <c r="BQ69" s="303" t="str">
        <f aca="false">IF($A69="N/A"," ",X69*$AY69)</f>
        <v> </v>
      </c>
      <c r="BR69" s="303" t="str">
        <f aca="false">IF($A69="N/A"," ",Y69*$AZ69)</f>
        <v> </v>
      </c>
      <c r="BS69" s="304" t="str">
        <f aca="false">IF($A69="N/A"," ",Z69*$BA69)</f>
        <v> </v>
      </c>
      <c r="BT69" s="305" t="str">
        <f aca="false">IF($A69="N/A"," ",AA69*$AS69)</f>
        <v> </v>
      </c>
      <c r="BU69" s="306" t="str">
        <f aca="false">IF($A69="N/A"," ",AB69*$AT69)</f>
        <v> </v>
      </c>
      <c r="BV69" s="306" t="str">
        <f aca="false">IF($A69="N/A"," ",AC69*$AU69)</f>
        <v> </v>
      </c>
      <c r="BW69" s="306" t="str">
        <f aca="false">IF($A69="N/A"," ",AD69*$AV69)</f>
        <v> </v>
      </c>
      <c r="BX69" s="306" t="str">
        <f aca="false">IF($A69="N/A"," ",AE69*$AW69)</f>
        <v> </v>
      </c>
      <c r="BY69" s="306" t="str">
        <f aca="false">IF($A69="N/A"," ",AF69*$AX69)</f>
        <v> </v>
      </c>
      <c r="BZ69" s="306" t="str">
        <f aca="false">IF($A69="N/A"," ",AG69*$AY69)</f>
        <v> </v>
      </c>
      <c r="CA69" s="306" t="str">
        <f aca="false">IF($A69="N/A"," ",AH69*$AZ69)</f>
        <v> </v>
      </c>
      <c r="CB69" s="307" t="str">
        <f aca="false">IF($A69="N/A"," ",AI69*$BA69)</f>
        <v> </v>
      </c>
      <c r="CC69" s="308" t="str">
        <f aca="false">IF($A69="N/A"," ",AJ69*$AS69)</f>
        <v> </v>
      </c>
      <c r="CD69" s="309" t="str">
        <f aca="false">IF($A69="N/A"," ",AK69*$AT69)</f>
        <v> </v>
      </c>
      <c r="CE69" s="309" t="str">
        <f aca="false">IF($A69="N/A"," ",AL69*$AU69)</f>
        <v> </v>
      </c>
      <c r="CF69" s="309" t="str">
        <f aca="false">IF($A69="N/A"," ",AM69*$AV69)</f>
        <v> </v>
      </c>
      <c r="CG69" s="309" t="str">
        <f aca="false">IF($A69="N/A"," ",AN69*$AW69)</f>
        <v> </v>
      </c>
      <c r="CH69" s="309" t="str">
        <f aca="false">IF($A69="N/A"," ",AO69*$AX69)</f>
        <v> </v>
      </c>
      <c r="CI69" s="309" t="str">
        <f aca="false">IF($A69="N/A"," ",AP69*$AY69)</f>
        <v> </v>
      </c>
      <c r="CJ69" s="309" t="str">
        <f aca="false">IF($A69="N/A"," ",AQ69*$AZ69)</f>
        <v> </v>
      </c>
      <c r="CK69" s="310" t="str">
        <f aca="false">IF($A69="N/A"," ",AR69*$BA69)</f>
        <v> </v>
      </c>
      <c r="CL69" s="311" t="str">
        <f aca="false">IF(A69="N/A"," ",(VLOOKUP(A69,PowerVolTable,(IF(VolBMO=2,7,IF(VolBMO=1,6,8))),FALSE())))</f>
        <v> </v>
      </c>
      <c r="CM69" s="312" t="str">
        <f aca="false">IF(A69="N/A"," ",(VLOOKUP(A69,IntraPowerVol,(IF(VolBMO=2,3,IF(VolBMO=1,2,4))),FALSE())*VLOOKUP(MONTH($A69),Volscale,2)))</f>
        <v> </v>
      </c>
      <c r="CN69" s="312" t="str">
        <f aca="false">IF($A69="N/A"," ",IF(VolType=1,CM69,CL69))</f>
        <v> </v>
      </c>
      <c r="CO69" s="312" t="str">
        <f aca="false">IF($A69="N/A"," ",(VLOOKUP($A69,OffPeakVol,(IF(VolBMO=2,7,IF(VolBMO=1,6,8))),FALSE())))</f>
        <v> </v>
      </c>
      <c r="CP69" s="312" t="str">
        <f aca="false">IF($A69="N/A"," ",(VLOOKUP($A69,OffPeakVol,(IF(VolBMO=2,3,IF(VolBMO=1,2,4))),FALSE())*VLOOKUP(MONTH($A69),Volscale,2)))</f>
        <v> </v>
      </c>
      <c r="CQ69" s="312" t="str">
        <f aca="false">IF($A69="N/A"," ",IF(VolType=1,CP69,CO69))</f>
        <v> </v>
      </c>
      <c r="CR69" s="312" t="str">
        <f aca="false">IF($A69="N/A"," ",(VLOOKUP($A69,GasVolTable,(IF(VolBMO=2,6,IF(VolBMO=1,7,5))),FALSE())))</f>
        <v> </v>
      </c>
      <c r="CS69" s="312" t="str">
        <f aca="false">IF($A69="N/A"," ",(VLOOKUP($A69,OmicronVol,(IF(VolBMO=2,3,IF(VolBMO=1,4,2))),FALSE())))</f>
        <v> </v>
      </c>
      <c r="CT69" s="312" t="str">
        <f aca="false">IF($A69="N/A"," ",(IF(DateToday&gt;$A69,$CS69,IF(VolType=1,((($CR69^2)*((($A69-1)-DateToday)/((EOMONTH($A69,0)+1)-DateToday-15)))+((($CS69)^2)*((15)/((EOMONTH($A69,0)+1)-DateToday-15))))^0.5,CR69))))</f>
        <v> </v>
      </c>
      <c r="CU69" s="312" t="str">
        <f aca="false">IF($A69="N/A"," ",IF('Pricing Inputs'!$AR$23=TRUE(),Inputs!$S$22,VLOOKUP($A69,CorrelationTable,2,FALSE())))</f>
        <v> </v>
      </c>
      <c r="CV69" s="313" t="str">
        <f aca="false">IF($A69="N/A"," ",F69+G69+(D69*('Pricing Inputs'!X104)))</f>
        <v> </v>
      </c>
      <c r="CW69" s="314" t="str">
        <f aca="false">IF($A69="N/A"," ",IF(PV=1,0,'Pricing Inputs'!Y104))</f>
        <v> </v>
      </c>
      <c r="CX69" s="315" t="str">
        <f aca="false">IF($A69="N/A"," ",(1+CW69/2)^(-2*((EOMONTH(A69,0)+20)-DateToday)/365.25))</f>
        <v> </v>
      </c>
      <c r="CY69" s="316" t="str">
        <f aca="false">IF($A69="N/A"," ",(IF(MONTH(A69)&gt;=4,IF(MONTH(A69)&lt;=10,Inputs!$S$26,Inputs!$S$27),Inputs!$S$27))*$CX69)</f>
        <v> </v>
      </c>
      <c r="CZ69" s="317" t="str">
        <f aca="false">IF($A69="N/A"," ",BK69+BL69+BN69+BO69+BQ69+BR69)</f>
        <v> </v>
      </c>
      <c r="DA69" s="318" t="str">
        <f aca="false">IF($A69="N/A"," ",BM69+BP69+BS69)</f>
        <v> </v>
      </c>
      <c r="DB69" s="319" t="str">
        <f aca="false">IF($A69="N/A"," ",BT69+BU69+BW69+BX69+BZ69+CA69)</f>
        <v> </v>
      </c>
      <c r="DC69" s="319" t="str">
        <f aca="false">IF($A69="N/A"," ",BV69+BY69+CB69)</f>
        <v> </v>
      </c>
      <c r="DD69" s="320" t="str">
        <f aca="false">IF($A69="N/A"," ",SUM(CC69:CK69))</f>
        <v> </v>
      </c>
      <c r="DE69" s="321" t="str">
        <f aca="false">IF($A69="N/A"," ",VLOOKUP($A69,NumberofDaysTable,2)*Availability)</f>
        <v> </v>
      </c>
      <c r="DF69" s="94" t="str">
        <f aca="false">IF($A69="N/A"," ",VLOOKUP($A69,NumberofDaysTable,3)*Availability)</f>
        <v> </v>
      </c>
      <c r="DG69" s="322" t="str">
        <f aca="false">IF($A69="N/A"," ",VLOOKUP($A69,NumberofDaysTable,4)*Availability)</f>
        <v> </v>
      </c>
      <c r="DH69" s="323" t="str">
        <f aca="false">IF($A69="N/A"," ",IF(Option=1,$D69*Inputs!$S$15*SUM(AS69:BA69),0))</f>
        <v> </v>
      </c>
      <c r="DI69" s="324" t="str">
        <f aca="false">IF($A69="N/A"," ",IF(Option=1,$D69*Inputs!$S$16*SUM(AS69:BA69),0))</f>
        <v> </v>
      </c>
      <c r="DJ69" s="325" t="str">
        <f aca="false">IF($A69="N/A"," ",SUM(AS69:AT69))</f>
        <v> </v>
      </c>
      <c r="DK69" s="325" t="str">
        <f aca="false">IF($A69="N/A"," ",SUM(AU69:BA69))</f>
        <v> </v>
      </c>
      <c r="DL69" s="325" t="str">
        <f aca="false">IF($A69="N/A"," ",SUM(BB69:BC69))</f>
        <v> </v>
      </c>
      <c r="DM69" s="325" t="str">
        <f aca="false">IF($A69="N/A"," ",SUM(BD69:BJ69))</f>
        <v> </v>
      </c>
    </row>
    <row r="70" customFormat="false" ht="12.75" hidden="false" customHeight="false" outlineLevel="0" collapsed="false">
      <c r="A70" s="282" t="str">
        <f aca="false">IF(A69="N/A","N/A",IF(EDATE(A69,1)&gt;Inputs!$S$5,"N/A",EDATE(A69,1)))</f>
        <v>N/A</v>
      </c>
      <c r="B70" s="283" t="str">
        <f aca="false">IF(A70="N/A"," ",YEAR(A70))</f>
        <v> </v>
      </c>
      <c r="C70" s="284" t="str">
        <f aca="false">IF(A70="N/A"," ",VLOOKUP(A70,ScaledPrice,14))</f>
        <v> </v>
      </c>
      <c r="D70" s="285" t="str">
        <f aca="false">IF(A70="N/A"," ",(VLOOKUP(MONTH($A70),Hrtable,2))/1000)</f>
        <v> </v>
      </c>
      <c r="E70" s="286" t="str">
        <f aca="false">IF($A70="N/A"," ",(C70)*D70)</f>
        <v> </v>
      </c>
      <c r="F70" s="287" t="str">
        <f aca="false">IF(A70="N/A"," ",VOM*(1+VOMesc)^(YEAR(A70)-YEAR(Today)))</f>
        <v> </v>
      </c>
      <c r="G70" s="287" t="str">
        <f aca="false">IF(A70="N/A"," ",Perstart/VLOOKUP(Dayrun,'Pricing Inputs'!$AQ$4:$AS$14,3)/(CY70/CX70))</f>
        <v> </v>
      </c>
      <c r="H70" s="288" t="str">
        <f aca="false">IF(A70="N/A"," ",SUM(E70:G70))</f>
        <v> </v>
      </c>
      <c r="I70" s="289" t="str">
        <f aca="false">VLOOKUP($A70,ScaledPrice,6)</f>
        <v> </v>
      </c>
      <c r="J70" s="290" t="str">
        <f aca="false">VLOOKUP($A70,ScaledPrice,10)</f>
        <v> </v>
      </c>
      <c r="K70" s="290" t="str">
        <f aca="false">VLOOKUP($A70,ScaledPrice,13)</f>
        <v> </v>
      </c>
      <c r="L70" s="290" t="str">
        <f aca="false">VLOOKUP($A70,ScaledPrice,7)</f>
        <v> </v>
      </c>
      <c r="M70" s="290" t="str">
        <f aca="false">VLOOKUP($A70,ScaledPrice,11)</f>
        <v> </v>
      </c>
      <c r="N70" s="290" t="str">
        <f aca="false">VLOOKUP($A70,ScaledPrice,13)</f>
        <v> </v>
      </c>
      <c r="O70" s="290" t="str">
        <f aca="false">VLOOKUP($A70,ScaledPrice,8)</f>
        <v> </v>
      </c>
      <c r="P70" s="290" t="str">
        <f aca="false">VLOOKUP($A70,ScaledPrice,12)</f>
        <v> </v>
      </c>
      <c r="Q70" s="291" t="str">
        <f aca="false">VLOOKUP($A70,ScaledPrice,13)</f>
        <v> </v>
      </c>
      <c r="R70" s="292" t="str">
        <f aca="false">IF($A70="N/A"," ",IF(Dayrun&gt;=3,IF(Option=1,MAX($I70-$H70,0),IF(Option=2,MAX($H70-$I70,0),0)),0))</f>
        <v> </v>
      </c>
      <c r="S70" s="286" t="str">
        <f aca="false">IF($A70="N/A"," ",IF(Dayrun&gt;=6,IF(Option=1,MAX($J70-H70,0),IF(Option=2,MAX(H70-$J70,0),0)),0))</f>
        <v> </v>
      </c>
      <c r="T70" s="286" t="str">
        <f aca="false">IF($A70="N/A"," ",IF(OR(Dayrun&lt;=2,Dayrun&gt;=9),IF(Option=1,MAX($K70-$H70,0),IF(Option=2,MAX($H70-$K70,0),0)),0))</f>
        <v> </v>
      </c>
      <c r="U70" s="286" t="str">
        <f aca="false">IF($A70="N/A"," ",IF(OR(Dayrun=1,Dayrun=4,Dayrun=5,Dayrun=7,Dayrun=8,Dayrun=10,Dayrun=11),IF(Option=1,MAX($L70-H70,0),IF(Option=2,MAX(H70-$L70,0),0)),0))</f>
        <v> </v>
      </c>
      <c r="V70" s="286" t="str">
        <f aca="false">IF($A70="N/A"," ",IF(OR(Dayrun=1,Dayrun=7,Dayrun=8,Dayrun=10,Dayrun=11),IF(Option=1,MAX($M70-H70,0),IF(Option=2,MAX(H70-$M70,0),0)),0))</f>
        <v> </v>
      </c>
      <c r="W70" s="286" t="str">
        <f aca="false">IF($A70="N/A"," ",IF(OR(Dayrun&lt;=2,Dayrun&gt;=10),IF(Option=1,MAX($N70-$H70,0),IF(Option=2,MAX($H70-$N70,0),0)),0))</f>
        <v> </v>
      </c>
      <c r="X70" s="286" t="str">
        <f aca="false">IF($A70="N/A"," ",IF(OR(Dayrun=1,Dayrun=5,Dayrun=8,Dayrun=11),IF(Option=1,MAX($O70-H70,0),IF(Option=2,MAX(H70-$O70,0),0)),0))</f>
        <v> </v>
      </c>
      <c r="Y70" s="286" t="str">
        <f aca="false">IF($A70="N/A"," ",IF(OR(Dayrun=1,Dayrun=8,Dayrun=11),IF(Option=1,MAX($P70-H70,0),IF(Option=2,MAX(H70-$P70,0),0)),0))</f>
        <v> </v>
      </c>
      <c r="Z70" s="293" t="str">
        <f aca="false">IF($A70="N/A"," ",IF(OR(Dayrun&lt;=2,Dayrun&gt;=11),IF(Option=1,MAX($Q70-$H70,0),IF(Option=2,MAX($H70-$Q70,0),0)),0))</f>
        <v> </v>
      </c>
      <c r="AA70" s="289" t="str">
        <f aca="false">IF($A70="N/A"," ",IF(Dayrun&gt;=3,(MAX(0,(xSPRDOPT(I70,($E70-'Pricing Inputs'!$X105*$D70),$CV70,0,($CN70+IF(Smile=TRUE(),VLOOKUP(MAX(-5,$H70-I70),Volsmile,2),0)),$CT70,$CU70,($A70-DateToday)+15,ABS(Option-2),0)-R70))),0))</f>
        <v> </v>
      </c>
      <c r="AB70" s="290" t="str">
        <f aca="false">IF($A70="N/A"," ",IF(Dayrun&gt;=6,MAX(0,(xSPRDOPT(J70,($E70-'Pricing Inputs'!$X105*$D70),$CV70,0,($CN70+IF(Smile=TRUE(),VLOOKUP(MAX(-5,$H70-J70),Volsmile,2),0)),$CT70,$CU70,($A70-DateToday)+15,ABS(Option-2),0)-S70)),0))</f>
        <v> </v>
      </c>
      <c r="AC70" s="290" t="str">
        <f aca="false">IF($A70="N/A"," ",IF(OR(Dayrun&lt;=2,Dayrun&gt;=9),IF(OffPeakEx=TRUE(),MAX(0,(xSPRDOPT(K70,($E70-'Pricing Inputs'!$X105*$D70),$CV70,0,($CQ70+IF(Smile=TRUE(),VLOOKUP(MAX(-5,$H70-K70),Volsmile,2),0)),$CT70,$CU70,($A70-DateToday)+15,ABS(Option-2),0)-T70)),0),0))</f>
        <v> </v>
      </c>
      <c r="AD70" s="290" t="str">
        <f aca="false">IF($A70="N/A"," ",IF(OR(Dayrun=1,Dayrun=4,Dayrun=5,Dayrun=7,Dayrun=8,Dayrun=10,Dayrun=11),MAX(0,(xSPRDOPT(L70,($E70-'Pricing Inputs'!$X105*$D70),$CV70,0,($CQ70+IF(Smile=TRUE(),VLOOKUP(MAX(-5,$H70-L70),Volsmile,2),0)),$CT70,$CU70,($A70-DateToday)+15,ABS(Option-2),0)-U70)),0))</f>
        <v> </v>
      </c>
      <c r="AE70" s="290" t="str">
        <f aca="false">IF($A70="N/A"," ",IF(OR(Dayrun=1,Dayrun=7,Dayrun=8,Dayrun=10,Dayrun=11),MAX(0,(xSPRDOPT(M70,($E70-'Pricing Inputs'!$X105*$D70),$CV70,0,($CQ70+IF(Smile=TRUE(),VLOOKUP(MAX(-5,$H70-M70),Volsmile,2),0)),$CT70,$CU70,($A70-DateToday)+15,ABS(Option-2),0)-V70)),0))</f>
        <v> </v>
      </c>
      <c r="AF70" s="290" t="str">
        <f aca="false">IF($A70="N/A"," ",IF(OR(Dayrun&lt;=2,Dayrun&gt;=10),IF(OffPeakEx=TRUE(),MAX(0,(xSPRDOPT(N70,($E70-'Pricing Inputs'!$X105*$D70),$CV70,0,($CQ70+IF(Smile=TRUE(),VLOOKUP(MAX(-5,$H70-N70),Volsmile,2),0)),$CT70,$CU70,($A70-DateToday)+15,ABS(Option-2),0)-W70)),0),0))</f>
        <v> </v>
      </c>
      <c r="AG70" s="290" t="str">
        <f aca="false">IF($A70="N/A"," ",IF(OR(Dayrun=1,Dayrun=5,Dayrun=8,Dayrun=11),MAX(0,(xSPRDOPT(O70,($E70-'Pricing Inputs'!$X105*$D70),$CV70,0,($CQ70+IF(Smile=TRUE(),VLOOKUP(MAX(-5,$H70-O70),Volsmile,2),0)),$CT70,$CU70,($A70-DateToday)+15,ABS(Option-2),0)-X70)),0))</f>
        <v> </v>
      </c>
      <c r="AH70" s="290" t="str">
        <f aca="false">IF($A70="N/A"," ",IF(OR(Dayrun=1,Dayrun=8,Dayrun=11),MAX(0,(xSPRDOPT(P70,($E70-'Pricing Inputs'!$X105*$D70),$CV70,0,($CQ70+IF(Smile=TRUE(),VLOOKUP(MAX(-5,$H70-P70),Volsmile,2),0)),$CT70,$CU70,($A70-DateToday)+15,ABS(Option-2),0)-Y70)),0))</f>
        <v> </v>
      </c>
      <c r="AI70" s="290" t="str">
        <f aca="false">IF($A70="N/A"," ",IF(OR(Dayrun&lt;=2,Dayrun&gt;=11),IF(OffPeakEx=TRUE(),MAX(0,(xSPRDOPT(Q70,($E70-'Pricing Inputs'!$X105*$D70),$CV70,0,($CQ70+IF(Smile=TRUE(),VLOOKUP(MAX(-5,$H70-Q70),Volsmile,2),0)),$CT70,$CU70,($A70-DateToday)+15,ABS(Option-2),0)-Z70)),0),0))</f>
        <v> </v>
      </c>
      <c r="AJ70" s="294" t="str">
        <f aca="false">IF($A70="N/A"," ",IF(Dayrun&gt;=3,IF(Option=1,$I70-$H70,IF(Option=2,$H70-$I70)),0))</f>
        <v> </v>
      </c>
      <c r="AK70" s="295" t="str">
        <f aca="false">IF($A70="N/A"," ",IF(Dayrun&gt;=6,IF(Option=1,$J70-H70,IF(Option=2,H70-$J70)),0))</f>
        <v> </v>
      </c>
      <c r="AL70" s="295" t="str">
        <f aca="false">IF($A70="N/A"," ",IF(OR(Dayrun&lt;=2,Dayrun&gt;=9),IF(Option=1,$K70-$H70,IF(Option=2,$H70-$K70)),0))</f>
        <v> </v>
      </c>
      <c r="AM70" s="295" t="str">
        <f aca="false">IF($A70="N/A"," ",IF(OR(Dayrun=1,Dayrun=4,Dayrun=5,Dayrun=7,Dayrun=8,Dayrun=10,Dayrun=11),IF(Option=1,$L70-H70,IF(Option=2,H70-$L70)),0))</f>
        <v> </v>
      </c>
      <c r="AN70" s="295" t="str">
        <f aca="false">IF($A70="N/A"," ",IF(OR(Dayrun=1,Dayrun=7,Dayrun=8,Dayrun=10,Dayrun=11),IF(Option=1,$M70-H70,IF(Option=2,H70-$M70)),0))</f>
        <v> </v>
      </c>
      <c r="AO70" s="295" t="str">
        <f aca="false">IF($A70="N/A"," ",IF(OR(Dayrun&lt;=2,Dayrun&gt;=9),IF(Option=1,$N70-$H70,IF(Option=2,$H70-$N70)),0))</f>
        <v> </v>
      </c>
      <c r="AP70" s="295" t="str">
        <f aca="false">IF($A70="N/A"," ",IF(OR(Dayrun=1,Dayrun=5,Dayrun=8,Dayrun=11),IF(Option=1,$O70-H70,IF(Option=2,H70-$O70)),0))</f>
        <v> </v>
      </c>
      <c r="AQ70" s="295" t="str">
        <f aca="false">IF($A70="N/A"," ",IF(OR(Dayrun=1,Dayrun=8,Dayrun=11),IF(Option=1,$P70-H70,IF(Option=2,H70-$P70)),0))</f>
        <v> </v>
      </c>
      <c r="AR70" s="296" t="str">
        <f aca="false">IF($A70="N/A"," ",IF(OR(Dayrun&lt;=2,Dayrun&gt;=9),IF(Option=1,$Q70-H70,IF(Option=2,H70-$Q70)),0))</f>
        <v> </v>
      </c>
      <c r="AS70" s="297" t="str">
        <f aca="false">IF($A70="N/A"," ",IF(VLOOKUP(MONTH($A70),ManualTable,2)=1,IF(Dayrun&gt;=3,$DE70*8*$CY70,0),0))</f>
        <v> </v>
      </c>
      <c r="AT70" s="297" t="str">
        <f aca="false">IF($A70="N/A"," ",IF(VLOOKUP(MONTH($A70),ManualTable,3)=1,IF(Dayrun&gt;=6,$DE70*8*$CY70,0),0))</f>
        <v> </v>
      </c>
      <c r="AU70" s="297" t="str">
        <f aca="false">IF($A70="N/A"," ",IF(VLOOKUP(MONTH($A70),ManualTable,4)=1,IF(OR(Dayrun&lt;=2,Dayrun&gt;=9),$DE70*8*$CY70,0),0))</f>
        <v> </v>
      </c>
      <c r="AV70" s="297" t="str">
        <f aca="false">IF($A70="N/A"," ",IF(VLOOKUP(MONTH($A70),ManualTable,5)=1,IF(OR(Dayrun=1,Dayrun=4,Dayrun=5,Dayrun=7,Dayrun=8,Dayrun=10,Dayrun=11),$DF70*8*$CY70,0),0))</f>
        <v> </v>
      </c>
      <c r="AW70" s="297" t="str">
        <f aca="false">IF($A70="N/A"," ",IF(VLOOKUP(MONTH($A70),ManualTable,6)=1,IF(OR(Dayrun=1,Dayrun=7,Dayrun=8,Dayrun=10,Dayrun=11),$DF70*8*$CY70,0),0))</f>
        <v> </v>
      </c>
      <c r="AX70" s="297" t="str">
        <f aca="false">IF($A70="N/A"," ",IF(VLOOKUP(MONTH($A70),ManualTable,7)=1,IF(OR(Dayrun&lt;=2,Dayrun&gt;=9),$DF70*8*$CY70,0),0))</f>
        <v> </v>
      </c>
      <c r="AY70" s="297" t="str">
        <f aca="false">IF($A70="N/A"," ",IF(VLOOKUP(MONTH($A70),ManualTable,8)=1,IF(OR(Dayrun=1,Dayrun=5,Dayrun=8,Dayrun=11),$DG70*8*$CY70,0),0))</f>
        <v> </v>
      </c>
      <c r="AZ70" s="297" t="str">
        <f aca="false">IF($A70="N/A"," ",IF(VLOOKUP(MONTH($A70),ManualTable,9)=1,IF(OR(Dayrun=1,Dayrun=8,Dayrun=11),$DG70*8*$CY70,0),0))</f>
        <v> </v>
      </c>
      <c r="BA70" s="298" t="str">
        <f aca="false">IF($A70="N/A"," ",IF(VLOOKUP(MONTH($A70),ManualTable,10)=1,IF(OR(Dayrun&lt;=2,Dayrun&gt;=9),$DG70*8*$CY70,0),0))</f>
        <v> </v>
      </c>
      <c r="BB70" s="299" t="str">
        <f aca="false">IF($A70="N/A"," ",IF(Dayrun&gt;=3,(MAX(0,(xSPRDOPT(I70,($E70-'Pricing Inputs'!$X105*$D70),$CV70,0,($CN70+IF(Smile=TRUE(),VLOOKUP(MAX(-5,$H70-I70),Volsmile,2),0)),$CT70,$CU70,($A70-DateToday)+15,ABS(Option-2),1)*DE70*8))),0))</f>
        <v> </v>
      </c>
      <c r="BC70" s="300" t="str">
        <f aca="false">IF($A70="N/A"," ",IF(Dayrun&gt;=6,MAX(0,(xSPRDOPT(J70,($E70-'Pricing Inputs'!$X105*$D70),$CV70,0,($CN70+IF(Smile=TRUE(),VLOOKUP(MAX(-5,$H70-J70),Volsmile,2),0)),$CT70,$CU70,($A70-DateToday)+15,ABS(Option-2),1)*DE70*8)),0))</f>
        <v> </v>
      </c>
      <c r="BD70" s="300" t="str">
        <f aca="false">IF($A70="N/A"," ",IF(OR(Dayrun&lt;=2,Dayrun&gt;=9),IF(OffPeakEx=TRUE(),MAX(0,(xSPRDOPT(K70,($E70-'Pricing Inputs'!$X105*$D70),$CV70,0,($CQ70+IF(Smile=TRUE(),VLOOKUP(MAX(-5,$H70-K70),Volsmile,2),0)),$CT70,$CU70,($A70-DateToday)+15,ABS(Option-2),1)*DE70*8)),0),0))</f>
        <v> </v>
      </c>
      <c r="BE70" s="300" t="str">
        <f aca="false">IF($A70="N/A"," ",IF(OR(Dayrun=1,Dayrun=4,Dayrun=5,Dayrun=7,Dayrun=8,Dayrun=10,Dayrun=11),MAX(0,(xSPRDOPT(L70,($E70-'Pricing Inputs'!$X105*$D70),$CV70,0,($CQ70+IF(Smile=TRUE(),VLOOKUP(MAX(-5,$H70-L70),Volsmile,2),0)),$CT70,$CU70,($A70-DateToday)+15,ABS(Option-2),1)*DF70*8)),0))</f>
        <v> </v>
      </c>
      <c r="BF70" s="300" t="str">
        <f aca="false">IF($A70="N/A"," ",IF(OR(Dayrun=1,Dayrun=7,Dayrun=8,Dayrun=10,Dayrun=11),MAX(0,(xSPRDOPT(M70,($E70-'Pricing Inputs'!$X105*$D70),$CV70,0,($CQ70+IF(Smile=TRUE(),VLOOKUP(MAX(-5,$H70-M70),Volsmile,2),0)),$CT70,$CU70,($A70-DateToday)+15,ABS(Option-2),1)*DF70*8)),0))</f>
        <v> </v>
      </c>
      <c r="BG70" s="300" t="str">
        <f aca="false">IF($A70="N/A"," ",IF(OR(Dayrun&lt;=2,Dayrun&gt;=10),IF(OffPeakEx=TRUE(),MAX(0,(xSPRDOPT(N70,($E70-'Pricing Inputs'!$X105*$D70),$CV70,0,($CQ70+IF(Smile=TRUE(),VLOOKUP(MAX(-5,$H70-N70),Volsmile,2),0)),$CT70,$CU70,($A70-DateToday)+15,ABS(Option-2),1)*DF70*8)),0),0))</f>
        <v> </v>
      </c>
      <c r="BH70" s="300" t="str">
        <f aca="false">IF($A70="N/A"," ",IF(OR(Dayrun=1,Dayrun=5,Dayrun=8,Dayrun=11),MAX(0,(xSPRDOPT(O70,($E70-'Pricing Inputs'!$X105*$D70),$CV70,0,($CQ70+IF(Smile=TRUE(),VLOOKUP(MAX(-5,$H70-O70),Volsmile,2),0)),$CT70,$CU70,($A70-DateToday)+15,ABS(Option-2),1)*DG70*8)),0))</f>
        <v> </v>
      </c>
      <c r="BI70" s="300" t="str">
        <f aca="false">IF($A70="N/A"," ",IF(OR(Dayrun=1,Dayrun=8,Dayrun=11),MAX(0,(xSPRDOPT(P70,($E70-'Pricing Inputs'!$X105*$D70),$CV70,0,($CQ70+IF(Smile=TRUE(),VLOOKUP(MAX(-5,$H70-P70),Volsmile,2),0)),$CT70,$CU70,($A70-DateToday)+15,ABS(Option-2),1)*DG70*8)),0))</f>
        <v> </v>
      </c>
      <c r="BJ70" s="301" t="str">
        <f aca="false">IF($A70="N/A"," ",IF(OR(Dayrun&lt;=2,Dayrun&gt;=11),IF(OffPeakEx=TRUE(),MAX(0,(xSPRDOPT(Q70,($E70-'Pricing Inputs'!$X105*$D70),$CV70,0,($CQ70+IF(Smile=TRUE(),VLOOKUP(MAX(-5,$H70-Q70),Volsmile,2),0)),$CT70,$CU70,($A70-DateToday)+15,ABS(Option-2),1)*DG70*8)),0),0))</f>
        <v> </v>
      </c>
      <c r="BK70" s="302" t="str">
        <f aca="false">IF($A70="N/A"," ",R70*$AS70)</f>
        <v> </v>
      </c>
      <c r="BL70" s="303" t="str">
        <f aca="false">IF($A70="N/A"," ",S70*$AT70)</f>
        <v> </v>
      </c>
      <c r="BM70" s="303" t="str">
        <f aca="false">IF($A70="N/A"," ",T70*$AU70)</f>
        <v> </v>
      </c>
      <c r="BN70" s="303" t="str">
        <f aca="false">IF($A70="N/A"," ",U70*$AV70)</f>
        <v> </v>
      </c>
      <c r="BO70" s="303" t="str">
        <f aca="false">IF($A70="N/A"," ",V70*$AW70)</f>
        <v> </v>
      </c>
      <c r="BP70" s="303" t="str">
        <f aca="false">IF($A70="N/A"," ",W70*$AX70)</f>
        <v> </v>
      </c>
      <c r="BQ70" s="303" t="str">
        <f aca="false">IF($A70="N/A"," ",X70*$AY70)</f>
        <v> </v>
      </c>
      <c r="BR70" s="303" t="str">
        <f aca="false">IF($A70="N/A"," ",Y70*$AZ70)</f>
        <v> </v>
      </c>
      <c r="BS70" s="304" t="str">
        <f aca="false">IF($A70="N/A"," ",Z70*$BA70)</f>
        <v> </v>
      </c>
      <c r="BT70" s="305" t="str">
        <f aca="false">IF($A70="N/A"," ",AA70*$AS70)</f>
        <v> </v>
      </c>
      <c r="BU70" s="306" t="str">
        <f aca="false">IF($A70="N/A"," ",AB70*$AT70)</f>
        <v> </v>
      </c>
      <c r="BV70" s="306" t="str">
        <f aca="false">IF($A70="N/A"," ",AC70*$AU70)</f>
        <v> </v>
      </c>
      <c r="BW70" s="306" t="str">
        <f aca="false">IF($A70="N/A"," ",AD70*$AV70)</f>
        <v> </v>
      </c>
      <c r="BX70" s="306" t="str">
        <f aca="false">IF($A70="N/A"," ",AE70*$AW70)</f>
        <v> </v>
      </c>
      <c r="BY70" s="306" t="str">
        <f aca="false">IF($A70="N/A"," ",AF70*$AX70)</f>
        <v> </v>
      </c>
      <c r="BZ70" s="306" t="str">
        <f aca="false">IF($A70="N/A"," ",AG70*$AY70)</f>
        <v> </v>
      </c>
      <c r="CA70" s="306" t="str">
        <f aca="false">IF($A70="N/A"," ",AH70*$AZ70)</f>
        <v> </v>
      </c>
      <c r="CB70" s="307" t="str">
        <f aca="false">IF($A70="N/A"," ",AI70*$BA70)</f>
        <v> </v>
      </c>
      <c r="CC70" s="308" t="str">
        <f aca="false">IF($A70="N/A"," ",AJ70*$AS70)</f>
        <v> </v>
      </c>
      <c r="CD70" s="309" t="str">
        <f aca="false">IF($A70="N/A"," ",AK70*$AT70)</f>
        <v> </v>
      </c>
      <c r="CE70" s="309" t="str">
        <f aca="false">IF($A70="N/A"," ",AL70*$AU70)</f>
        <v> </v>
      </c>
      <c r="CF70" s="309" t="str">
        <f aca="false">IF($A70="N/A"," ",AM70*$AV70)</f>
        <v> </v>
      </c>
      <c r="CG70" s="309" t="str">
        <f aca="false">IF($A70="N/A"," ",AN70*$AW70)</f>
        <v> </v>
      </c>
      <c r="CH70" s="309" t="str">
        <f aca="false">IF($A70="N/A"," ",AO70*$AX70)</f>
        <v> </v>
      </c>
      <c r="CI70" s="309" t="str">
        <f aca="false">IF($A70="N/A"," ",AP70*$AY70)</f>
        <v> </v>
      </c>
      <c r="CJ70" s="309" t="str">
        <f aca="false">IF($A70="N/A"," ",AQ70*$AZ70)</f>
        <v> </v>
      </c>
      <c r="CK70" s="310" t="str">
        <f aca="false">IF($A70="N/A"," ",AR70*$BA70)</f>
        <v> </v>
      </c>
      <c r="CL70" s="311" t="str">
        <f aca="false">IF(A70="N/A"," ",(VLOOKUP(A70,PowerVolTable,(IF(VolBMO=2,7,IF(VolBMO=1,6,8))),FALSE())))</f>
        <v> </v>
      </c>
      <c r="CM70" s="312" t="str">
        <f aca="false">IF(A70="N/A"," ",(VLOOKUP(A70,IntraPowerVol,(IF(VolBMO=2,3,IF(VolBMO=1,2,4))),FALSE())*VLOOKUP(MONTH($A70),Volscale,2)))</f>
        <v> </v>
      </c>
      <c r="CN70" s="312" t="str">
        <f aca="false">IF($A70="N/A"," ",IF(VolType=1,CM70,CL70))</f>
        <v> </v>
      </c>
      <c r="CO70" s="312" t="str">
        <f aca="false">IF($A70="N/A"," ",(VLOOKUP($A70,OffPeakVol,(IF(VolBMO=2,7,IF(VolBMO=1,6,8))),FALSE())))</f>
        <v> </v>
      </c>
      <c r="CP70" s="312" t="str">
        <f aca="false">IF($A70="N/A"," ",(VLOOKUP($A70,OffPeakVol,(IF(VolBMO=2,3,IF(VolBMO=1,2,4))),FALSE())*VLOOKUP(MONTH($A70),Volscale,2)))</f>
        <v> </v>
      </c>
      <c r="CQ70" s="312" t="str">
        <f aca="false">IF($A70="N/A"," ",IF(VolType=1,CP70,CO70))</f>
        <v> </v>
      </c>
      <c r="CR70" s="312" t="str">
        <f aca="false">IF($A70="N/A"," ",(VLOOKUP($A70,GasVolTable,(IF(VolBMO=2,6,IF(VolBMO=1,7,5))),FALSE())))</f>
        <v> </v>
      </c>
      <c r="CS70" s="312" t="str">
        <f aca="false">IF($A70="N/A"," ",(VLOOKUP($A70,OmicronVol,(IF(VolBMO=2,3,IF(VolBMO=1,4,2))),FALSE())))</f>
        <v> </v>
      </c>
      <c r="CT70" s="312" t="str">
        <f aca="false">IF($A70="N/A"," ",(IF(DateToday&gt;$A70,$CS70,IF(VolType=1,((($CR70^2)*((($A70-1)-DateToday)/((EOMONTH($A70,0)+1)-DateToday-15)))+((($CS70)^2)*((15)/((EOMONTH($A70,0)+1)-DateToday-15))))^0.5,CR70))))</f>
        <v> </v>
      </c>
      <c r="CU70" s="312" t="str">
        <f aca="false">IF($A70="N/A"," ",IF('Pricing Inputs'!$AR$23=TRUE(),Inputs!$S$22,VLOOKUP($A70,CorrelationTable,2,FALSE())))</f>
        <v> </v>
      </c>
      <c r="CV70" s="313" t="str">
        <f aca="false">IF($A70="N/A"," ",F70+G70+(D70*('Pricing Inputs'!X105)))</f>
        <v> </v>
      </c>
      <c r="CW70" s="314" t="str">
        <f aca="false">IF($A70="N/A"," ",IF(PV=1,0,'Pricing Inputs'!Y105))</f>
        <v> </v>
      </c>
      <c r="CX70" s="315" t="str">
        <f aca="false">IF($A70="N/A"," ",(1+CW70/2)^(-2*((EOMONTH(A70,0)+20)-DateToday)/365.25))</f>
        <v> </v>
      </c>
      <c r="CY70" s="316" t="str">
        <f aca="false">IF($A70="N/A"," ",(IF(MONTH(A70)&gt;=4,IF(MONTH(A70)&lt;=10,Inputs!$S$26,Inputs!$S$27),Inputs!$S$27))*$CX70)</f>
        <v> </v>
      </c>
      <c r="CZ70" s="317" t="str">
        <f aca="false">IF($A70="N/A"," ",BK70+BL70+BN70+BO70+BQ70+BR70)</f>
        <v> </v>
      </c>
      <c r="DA70" s="318" t="str">
        <f aca="false">IF($A70="N/A"," ",BM70+BP70+BS70)</f>
        <v> </v>
      </c>
      <c r="DB70" s="319" t="str">
        <f aca="false">IF($A70="N/A"," ",BT70+BU70+BW70+BX70+BZ70+CA70)</f>
        <v> </v>
      </c>
      <c r="DC70" s="319" t="str">
        <f aca="false">IF($A70="N/A"," ",BV70+BY70+CB70)</f>
        <v> </v>
      </c>
      <c r="DD70" s="320" t="str">
        <f aca="false">IF($A70="N/A"," ",SUM(CC70:CK70))</f>
        <v> </v>
      </c>
      <c r="DE70" s="321" t="str">
        <f aca="false">IF($A70="N/A"," ",VLOOKUP($A70,NumberofDaysTable,2)*Availability)</f>
        <v> </v>
      </c>
      <c r="DF70" s="94" t="str">
        <f aca="false">IF($A70="N/A"," ",VLOOKUP($A70,NumberofDaysTable,3)*Availability)</f>
        <v> </v>
      </c>
      <c r="DG70" s="322" t="str">
        <f aca="false">IF($A70="N/A"," ",VLOOKUP($A70,NumberofDaysTable,4)*Availability)</f>
        <v> </v>
      </c>
      <c r="DH70" s="323" t="str">
        <f aca="false">IF($A70="N/A"," ",IF(Option=1,$D70*Inputs!$S$15*SUM(AS70:BA70),0))</f>
        <v> </v>
      </c>
      <c r="DI70" s="324" t="str">
        <f aca="false">IF($A70="N/A"," ",IF(Option=1,$D70*Inputs!$S$16*SUM(AS70:BA70),0))</f>
        <v> </v>
      </c>
      <c r="DJ70" s="325" t="str">
        <f aca="false">IF($A70="N/A"," ",SUM(AS70:AT70))</f>
        <v> </v>
      </c>
      <c r="DK70" s="325" t="str">
        <f aca="false">IF($A70="N/A"," ",SUM(AU70:BA70))</f>
        <v> </v>
      </c>
      <c r="DL70" s="325" t="str">
        <f aca="false">IF($A70="N/A"," ",SUM(BB70:BC70))</f>
        <v> </v>
      </c>
      <c r="DM70" s="325" t="str">
        <f aca="false">IF($A70="N/A"," ",SUM(BD70:BJ70))</f>
        <v> </v>
      </c>
    </row>
    <row r="71" customFormat="false" ht="12.75" hidden="false" customHeight="false" outlineLevel="0" collapsed="false">
      <c r="A71" s="282" t="str">
        <f aca="false">IF(A70="N/A","N/A",IF(EDATE(A70,1)&gt;Inputs!$S$5,"N/A",EDATE(A70,1)))</f>
        <v>N/A</v>
      </c>
      <c r="B71" s="283" t="str">
        <f aca="false">IF(A71="N/A"," ",YEAR(A71))</f>
        <v> </v>
      </c>
      <c r="C71" s="284" t="str">
        <f aca="false">IF(A71="N/A"," ",VLOOKUP(A71,ScaledPrice,14))</f>
        <v> </v>
      </c>
      <c r="D71" s="285" t="str">
        <f aca="false">IF(A71="N/A"," ",(VLOOKUP(MONTH($A71),Hrtable,2))/1000)</f>
        <v> </v>
      </c>
      <c r="E71" s="286" t="str">
        <f aca="false">IF($A71="N/A"," ",(C71)*D71)</f>
        <v> </v>
      </c>
      <c r="F71" s="287" t="str">
        <f aca="false">IF(A71="N/A"," ",VOM*(1+VOMesc)^(YEAR(A71)-YEAR(Today)))</f>
        <v> </v>
      </c>
      <c r="G71" s="287" t="str">
        <f aca="false">IF(A71="N/A"," ",Perstart/VLOOKUP(Dayrun,'Pricing Inputs'!$AQ$4:$AS$14,3)/(CY71/CX71))</f>
        <v> </v>
      </c>
      <c r="H71" s="288" t="str">
        <f aca="false">IF(A71="N/A"," ",SUM(E71:G71))</f>
        <v> </v>
      </c>
      <c r="I71" s="289" t="str">
        <f aca="false">VLOOKUP($A71,ScaledPrice,6)</f>
        <v> </v>
      </c>
      <c r="J71" s="290" t="str">
        <f aca="false">VLOOKUP($A71,ScaledPrice,10)</f>
        <v> </v>
      </c>
      <c r="K71" s="290" t="str">
        <f aca="false">VLOOKUP($A71,ScaledPrice,13)</f>
        <v> </v>
      </c>
      <c r="L71" s="290" t="str">
        <f aca="false">VLOOKUP($A71,ScaledPrice,7)</f>
        <v> </v>
      </c>
      <c r="M71" s="290" t="str">
        <f aca="false">VLOOKUP($A71,ScaledPrice,11)</f>
        <v> </v>
      </c>
      <c r="N71" s="290" t="str">
        <f aca="false">VLOOKUP($A71,ScaledPrice,13)</f>
        <v> </v>
      </c>
      <c r="O71" s="290" t="str">
        <f aca="false">VLOOKUP($A71,ScaledPrice,8)</f>
        <v> </v>
      </c>
      <c r="P71" s="290" t="str">
        <f aca="false">VLOOKUP($A71,ScaledPrice,12)</f>
        <v> </v>
      </c>
      <c r="Q71" s="291" t="str">
        <f aca="false">VLOOKUP($A71,ScaledPrice,13)</f>
        <v> </v>
      </c>
      <c r="R71" s="292" t="str">
        <f aca="false">IF($A71="N/A"," ",IF(Dayrun&gt;=3,IF(Option=1,MAX($I71-$H71,0),IF(Option=2,MAX($H71-$I71,0),0)),0))</f>
        <v> </v>
      </c>
      <c r="S71" s="286" t="str">
        <f aca="false">IF($A71="N/A"," ",IF(Dayrun&gt;=6,IF(Option=1,MAX($J71-H71,0),IF(Option=2,MAX(H71-$J71,0),0)),0))</f>
        <v> </v>
      </c>
      <c r="T71" s="286" t="str">
        <f aca="false">IF($A71="N/A"," ",IF(OR(Dayrun&lt;=2,Dayrun&gt;=9),IF(Option=1,MAX($K71-$H71,0),IF(Option=2,MAX($H71-$K71,0),0)),0))</f>
        <v> </v>
      </c>
      <c r="U71" s="286" t="str">
        <f aca="false">IF($A71="N/A"," ",IF(OR(Dayrun=1,Dayrun=4,Dayrun=5,Dayrun=7,Dayrun=8,Dayrun=10,Dayrun=11),IF(Option=1,MAX($L71-H71,0),IF(Option=2,MAX(H71-$L71,0),0)),0))</f>
        <v> </v>
      </c>
      <c r="V71" s="286" t="str">
        <f aca="false">IF($A71="N/A"," ",IF(OR(Dayrun=1,Dayrun=7,Dayrun=8,Dayrun=10,Dayrun=11),IF(Option=1,MAX($M71-H71,0),IF(Option=2,MAX(H71-$M71,0),0)),0))</f>
        <v> </v>
      </c>
      <c r="W71" s="286" t="str">
        <f aca="false">IF($A71="N/A"," ",IF(OR(Dayrun&lt;=2,Dayrun&gt;=10),IF(Option=1,MAX($N71-$H71,0),IF(Option=2,MAX($H71-$N71,0),0)),0))</f>
        <v> </v>
      </c>
      <c r="X71" s="286" t="str">
        <f aca="false">IF($A71="N/A"," ",IF(OR(Dayrun=1,Dayrun=5,Dayrun=8,Dayrun=11),IF(Option=1,MAX($O71-H71,0),IF(Option=2,MAX(H71-$O71,0),0)),0))</f>
        <v> </v>
      </c>
      <c r="Y71" s="286" t="str">
        <f aca="false">IF($A71="N/A"," ",IF(OR(Dayrun=1,Dayrun=8,Dayrun=11),IF(Option=1,MAX($P71-H71,0),IF(Option=2,MAX(H71-$P71,0),0)),0))</f>
        <v> </v>
      </c>
      <c r="Z71" s="293" t="str">
        <f aca="false">IF($A71="N/A"," ",IF(OR(Dayrun&lt;=2,Dayrun&gt;=11),IF(Option=1,MAX($Q71-$H71,0),IF(Option=2,MAX($H71-$Q71,0),0)),0))</f>
        <v> </v>
      </c>
      <c r="AA71" s="289" t="str">
        <f aca="false">IF($A71="N/A"," ",IF(Dayrun&gt;=3,(MAX(0,(xSPRDOPT(I71,($E71-'Pricing Inputs'!$X106*$D71),$CV71,0,($CN71+IF(Smile=TRUE(),VLOOKUP(MAX(-5,$H71-I71),Volsmile,2),0)),$CT71,$CU71,($A71-DateToday)+15,ABS(Option-2),0)-R71))),0))</f>
        <v> </v>
      </c>
      <c r="AB71" s="290" t="str">
        <f aca="false">IF($A71="N/A"," ",IF(Dayrun&gt;=6,MAX(0,(xSPRDOPT(J71,($E71-'Pricing Inputs'!$X106*$D71),$CV71,0,($CN71+IF(Smile=TRUE(),VLOOKUP(MAX(-5,$H71-J71),Volsmile,2),0)),$CT71,$CU71,($A71-DateToday)+15,ABS(Option-2),0)-S71)),0))</f>
        <v> </v>
      </c>
      <c r="AC71" s="290" t="str">
        <f aca="false">IF($A71="N/A"," ",IF(OR(Dayrun&lt;=2,Dayrun&gt;=9),IF(OffPeakEx=TRUE(),MAX(0,(xSPRDOPT(K71,($E71-'Pricing Inputs'!$X106*$D71),$CV71,0,($CQ71+IF(Smile=TRUE(),VLOOKUP(MAX(-5,$H71-K71),Volsmile,2),0)),$CT71,$CU71,($A71-DateToday)+15,ABS(Option-2),0)-T71)),0),0))</f>
        <v> </v>
      </c>
      <c r="AD71" s="290" t="str">
        <f aca="false">IF($A71="N/A"," ",IF(OR(Dayrun=1,Dayrun=4,Dayrun=5,Dayrun=7,Dayrun=8,Dayrun=10,Dayrun=11),MAX(0,(xSPRDOPT(L71,($E71-'Pricing Inputs'!$X106*$D71),$CV71,0,($CQ71+IF(Smile=TRUE(),VLOOKUP(MAX(-5,$H71-L71),Volsmile,2),0)),$CT71,$CU71,($A71-DateToday)+15,ABS(Option-2),0)-U71)),0))</f>
        <v> </v>
      </c>
      <c r="AE71" s="290" t="str">
        <f aca="false">IF($A71="N/A"," ",IF(OR(Dayrun=1,Dayrun=7,Dayrun=8,Dayrun=10,Dayrun=11),MAX(0,(xSPRDOPT(M71,($E71-'Pricing Inputs'!$X106*$D71),$CV71,0,($CQ71+IF(Smile=TRUE(),VLOOKUP(MAX(-5,$H71-M71),Volsmile,2),0)),$CT71,$CU71,($A71-DateToday)+15,ABS(Option-2),0)-V71)),0))</f>
        <v> </v>
      </c>
      <c r="AF71" s="290" t="str">
        <f aca="false">IF($A71="N/A"," ",IF(OR(Dayrun&lt;=2,Dayrun&gt;=10),IF(OffPeakEx=TRUE(),MAX(0,(xSPRDOPT(N71,($E71-'Pricing Inputs'!$X106*$D71),$CV71,0,($CQ71+IF(Smile=TRUE(),VLOOKUP(MAX(-5,$H71-N71),Volsmile,2),0)),$CT71,$CU71,($A71-DateToday)+15,ABS(Option-2),0)-W71)),0),0))</f>
        <v> </v>
      </c>
      <c r="AG71" s="290" t="str">
        <f aca="false">IF($A71="N/A"," ",IF(OR(Dayrun=1,Dayrun=5,Dayrun=8,Dayrun=11),MAX(0,(xSPRDOPT(O71,($E71-'Pricing Inputs'!$X106*$D71),$CV71,0,($CQ71+IF(Smile=TRUE(),VLOOKUP(MAX(-5,$H71-O71),Volsmile,2),0)),$CT71,$CU71,($A71-DateToday)+15,ABS(Option-2),0)-X71)),0))</f>
        <v> </v>
      </c>
      <c r="AH71" s="290" t="str">
        <f aca="false">IF($A71="N/A"," ",IF(OR(Dayrun=1,Dayrun=8,Dayrun=11),MAX(0,(xSPRDOPT(P71,($E71-'Pricing Inputs'!$X106*$D71),$CV71,0,($CQ71+IF(Smile=TRUE(),VLOOKUP(MAX(-5,$H71-P71),Volsmile,2),0)),$CT71,$CU71,($A71-DateToday)+15,ABS(Option-2),0)-Y71)),0))</f>
        <v> </v>
      </c>
      <c r="AI71" s="290" t="str">
        <f aca="false">IF($A71="N/A"," ",IF(OR(Dayrun&lt;=2,Dayrun&gt;=11),IF(OffPeakEx=TRUE(),MAX(0,(xSPRDOPT(Q71,($E71-'Pricing Inputs'!$X106*$D71),$CV71,0,($CQ71+IF(Smile=TRUE(),VLOOKUP(MAX(-5,$H71-Q71),Volsmile,2),0)),$CT71,$CU71,($A71-DateToday)+15,ABS(Option-2),0)-Z71)),0),0))</f>
        <v> </v>
      </c>
      <c r="AJ71" s="294" t="str">
        <f aca="false">IF($A71="N/A"," ",IF(Dayrun&gt;=3,IF(Option=1,$I71-$H71,IF(Option=2,$H71-$I71)),0))</f>
        <v> </v>
      </c>
      <c r="AK71" s="295" t="str">
        <f aca="false">IF($A71="N/A"," ",IF(Dayrun&gt;=6,IF(Option=1,$J71-H71,IF(Option=2,H71-$J71)),0))</f>
        <v> </v>
      </c>
      <c r="AL71" s="295" t="str">
        <f aca="false">IF($A71="N/A"," ",IF(OR(Dayrun&lt;=2,Dayrun&gt;=9),IF(Option=1,$K71-$H71,IF(Option=2,$H71-$K71)),0))</f>
        <v> </v>
      </c>
      <c r="AM71" s="295" t="str">
        <f aca="false">IF($A71="N/A"," ",IF(OR(Dayrun=1,Dayrun=4,Dayrun=5,Dayrun=7,Dayrun=8,Dayrun=10,Dayrun=11),IF(Option=1,$L71-H71,IF(Option=2,H71-$L71)),0))</f>
        <v> </v>
      </c>
      <c r="AN71" s="295" t="str">
        <f aca="false">IF($A71="N/A"," ",IF(OR(Dayrun=1,Dayrun=7,Dayrun=8,Dayrun=10,Dayrun=11),IF(Option=1,$M71-H71,IF(Option=2,H71-$M71)),0))</f>
        <v> </v>
      </c>
      <c r="AO71" s="295" t="str">
        <f aca="false">IF($A71="N/A"," ",IF(OR(Dayrun&lt;=2,Dayrun&gt;=9),IF(Option=1,$N71-$H71,IF(Option=2,$H71-$N71)),0))</f>
        <v> </v>
      </c>
      <c r="AP71" s="295" t="str">
        <f aca="false">IF($A71="N/A"," ",IF(OR(Dayrun=1,Dayrun=5,Dayrun=8,Dayrun=11),IF(Option=1,$O71-H71,IF(Option=2,H71-$O71)),0))</f>
        <v> </v>
      </c>
      <c r="AQ71" s="295" t="str">
        <f aca="false">IF($A71="N/A"," ",IF(OR(Dayrun=1,Dayrun=8,Dayrun=11),IF(Option=1,$P71-H71,IF(Option=2,H71-$P71)),0))</f>
        <v> </v>
      </c>
      <c r="AR71" s="296" t="str">
        <f aca="false">IF($A71="N/A"," ",IF(OR(Dayrun&lt;=2,Dayrun&gt;=9),IF(Option=1,$Q71-H71,IF(Option=2,H71-$Q71)),0))</f>
        <v> </v>
      </c>
      <c r="AS71" s="297" t="str">
        <f aca="false">IF($A71="N/A"," ",IF(VLOOKUP(MONTH($A71),ManualTable,2)=1,IF(Dayrun&gt;=3,$DE71*8*$CY71,0),0))</f>
        <v> </v>
      </c>
      <c r="AT71" s="297" t="str">
        <f aca="false">IF($A71="N/A"," ",IF(VLOOKUP(MONTH($A71),ManualTable,3)=1,IF(Dayrun&gt;=6,$DE71*8*$CY71,0),0))</f>
        <v> </v>
      </c>
      <c r="AU71" s="297" t="str">
        <f aca="false">IF($A71="N/A"," ",IF(VLOOKUP(MONTH($A71),ManualTable,4)=1,IF(OR(Dayrun&lt;=2,Dayrun&gt;=9),$DE71*8*$CY71,0),0))</f>
        <v> </v>
      </c>
      <c r="AV71" s="297" t="str">
        <f aca="false">IF($A71="N/A"," ",IF(VLOOKUP(MONTH($A71),ManualTable,5)=1,IF(OR(Dayrun=1,Dayrun=4,Dayrun=5,Dayrun=7,Dayrun=8,Dayrun=10,Dayrun=11),$DF71*8*$CY71,0),0))</f>
        <v> </v>
      </c>
      <c r="AW71" s="297" t="str">
        <f aca="false">IF($A71="N/A"," ",IF(VLOOKUP(MONTH($A71),ManualTable,6)=1,IF(OR(Dayrun=1,Dayrun=7,Dayrun=8,Dayrun=10,Dayrun=11),$DF71*8*$CY71,0),0))</f>
        <v> </v>
      </c>
      <c r="AX71" s="297" t="str">
        <f aca="false">IF($A71="N/A"," ",IF(VLOOKUP(MONTH($A71),ManualTable,7)=1,IF(OR(Dayrun&lt;=2,Dayrun&gt;=9),$DF71*8*$CY71,0),0))</f>
        <v> </v>
      </c>
      <c r="AY71" s="297" t="str">
        <f aca="false">IF($A71="N/A"," ",IF(VLOOKUP(MONTH($A71),ManualTable,8)=1,IF(OR(Dayrun=1,Dayrun=5,Dayrun=8,Dayrun=11),$DG71*8*$CY71,0),0))</f>
        <v> </v>
      </c>
      <c r="AZ71" s="297" t="str">
        <f aca="false">IF($A71="N/A"," ",IF(VLOOKUP(MONTH($A71),ManualTable,9)=1,IF(OR(Dayrun=1,Dayrun=8,Dayrun=11),$DG71*8*$CY71,0),0))</f>
        <v> </v>
      </c>
      <c r="BA71" s="298" t="str">
        <f aca="false">IF($A71="N/A"," ",IF(VLOOKUP(MONTH($A71),ManualTable,10)=1,IF(OR(Dayrun&lt;=2,Dayrun&gt;=9),$DG71*8*$CY71,0),0))</f>
        <v> </v>
      </c>
      <c r="BB71" s="299" t="str">
        <f aca="false">IF($A71="N/A"," ",IF(Dayrun&gt;=3,(MAX(0,(xSPRDOPT(I71,($E71-'Pricing Inputs'!$X106*$D71),$CV71,0,($CN71+IF(Smile=TRUE(),VLOOKUP(MAX(-5,$H71-I71),Volsmile,2),0)),$CT71,$CU71,($A71-DateToday)+15,ABS(Option-2),1)*DE71*8))),0))</f>
        <v> </v>
      </c>
      <c r="BC71" s="300" t="str">
        <f aca="false">IF($A71="N/A"," ",IF(Dayrun&gt;=6,MAX(0,(xSPRDOPT(J71,($E71-'Pricing Inputs'!$X106*$D71),$CV71,0,($CN71+IF(Smile=TRUE(),VLOOKUP(MAX(-5,$H71-J71),Volsmile,2),0)),$CT71,$CU71,($A71-DateToday)+15,ABS(Option-2),1)*DE71*8)),0))</f>
        <v> </v>
      </c>
      <c r="BD71" s="300" t="str">
        <f aca="false">IF($A71="N/A"," ",IF(OR(Dayrun&lt;=2,Dayrun&gt;=9),IF(OffPeakEx=TRUE(),MAX(0,(xSPRDOPT(K71,($E71-'Pricing Inputs'!$X106*$D71),$CV71,0,($CQ71+IF(Smile=TRUE(),VLOOKUP(MAX(-5,$H71-K71),Volsmile,2),0)),$CT71,$CU71,($A71-DateToday)+15,ABS(Option-2),1)*DE71*8)),0),0))</f>
        <v> </v>
      </c>
      <c r="BE71" s="300" t="str">
        <f aca="false">IF($A71="N/A"," ",IF(OR(Dayrun=1,Dayrun=4,Dayrun=5,Dayrun=7,Dayrun=8,Dayrun=10,Dayrun=11),MAX(0,(xSPRDOPT(L71,($E71-'Pricing Inputs'!$X106*$D71),$CV71,0,($CQ71+IF(Smile=TRUE(),VLOOKUP(MAX(-5,$H71-L71),Volsmile,2),0)),$CT71,$CU71,($A71-DateToday)+15,ABS(Option-2),1)*DF71*8)),0))</f>
        <v> </v>
      </c>
      <c r="BF71" s="300" t="str">
        <f aca="false">IF($A71="N/A"," ",IF(OR(Dayrun=1,Dayrun=7,Dayrun=8,Dayrun=10,Dayrun=11),MAX(0,(xSPRDOPT(M71,($E71-'Pricing Inputs'!$X106*$D71),$CV71,0,($CQ71+IF(Smile=TRUE(),VLOOKUP(MAX(-5,$H71-M71),Volsmile,2),0)),$CT71,$CU71,($A71-DateToday)+15,ABS(Option-2),1)*DF71*8)),0))</f>
        <v> </v>
      </c>
      <c r="BG71" s="300" t="str">
        <f aca="false">IF($A71="N/A"," ",IF(OR(Dayrun&lt;=2,Dayrun&gt;=10),IF(OffPeakEx=TRUE(),MAX(0,(xSPRDOPT(N71,($E71-'Pricing Inputs'!$X106*$D71),$CV71,0,($CQ71+IF(Smile=TRUE(),VLOOKUP(MAX(-5,$H71-N71),Volsmile,2),0)),$CT71,$CU71,($A71-DateToday)+15,ABS(Option-2),1)*DF71*8)),0),0))</f>
        <v> </v>
      </c>
      <c r="BH71" s="300" t="str">
        <f aca="false">IF($A71="N/A"," ",IF(OR(Dayrun=1,Dayrun=5,Dayrun=8,Dayrun=11),MAX(0,(xSPRDOPT(O71,($E71-'Pricing Inputs'!$X106*$D71),$CV71,0,($CQ71+IF(Smile=TRUE(),VLOOKUP(MAX(-5,$H71-O71),Volsmile,2),0)),$CT71,$CU71,($A71-DateToday)+15,ABS(Option-2),1)*DG71*8)),0))</f>
        <v> </v>
      </c>
      <c r="BI71" s="300" t="str">
        <f aca="false">IF($A71="N/A"," ",IF(OR(Dayrun=1,Dayrun=8,Dayrun=11),MAX(0,(xSPRDOPT(P71,($E71-'Pricing Inputs'!$X106*$D71),$CV71,0,($CQ71+IF(Smile=TRUE(),VLOOKUP(MAX(-5,$H71-P71),Volsmile,2),0)),$CT71,$CU71,($A71-DateToday)+15,ABS(Option-2),1)*DG71*8)),0))</f>
        <v> </v>
      </c>
      <c r="BJ71" s="301" t="str">
        <f aca="false">IF($A71="N/A"," ",IF(OR(Dayrun&lt;=2,Dayrun&gt;=11),IF(OffPeakEx=TRUE(),MAX(0,(xSPRDOPT(Q71,($E71-'Pricing Inputs'!$X106*$D71),$CV71,0,($CQ71+IF(Smile=TRUE(),VLOOKUP(MAX(-5,$H71-Q71),Volsmile,2),0)),$CT71,$CU71,($A71-DateToday)+15,ABS(Option-2),1)*DG71*8)),0),0))</f>
        <v> </v>
      </c>
      <c r="BK71" s="302" t="str">
        <f aca="false">IF($A71="N/A"," ",R71*$AS71)</f>
        <v> </v>
      </c>
      <c r="BL71" s="303" t="str">
        <f aca="false">IF($A71="N/A"," ",S71*$AT71)</f>
        <v> </v>
      </c>
      <c r="BM71" s="303" t="str">
        <f aca="false">IF($A71="N/A"," ",T71*$AU71)</f>
        <v> </v>
      </c>
      <c r="BN71" s="303" t="str">
        <f aca="false">IF($A71="N/A"," ",U71*$AV71)</f>
        <v> </v>
      </c>
      <c r="BO71" s="303" t="str">
        <f aca="false">IF($A71="N/A"," ",V71*$AW71)</f>
        <v> </v>
      </c>
      <c r="BP71" s="303" t="str">
        <f aca="false">IF($A71="N/A"," ",W71*$AX71)</f>
        <v> </v>
      </c>
      <c r="BQ71" s="303" t="str">
        <f aca="false">IF($A71="N/A"," ",X71*$AY71)</f>
        <v> </v>
      </c>
      <c r="BR71" s="303" t="str">
        <f aca="false">IF($A71="N/A"," ",Y71*$AZ71)</f>
        <v> </v>
      </c>
      <c r="BS71" s="304" t="str">
        <f aca="false">IF($A71="N/A"," ",Z71*$BA71)</f>
        <v> </v>
      </c>
      <c r="BT71" s="305" t="str">
        <f aca="false">IF($A71="N/A"," ",AA71*$AS71)</f>
        <v> </v>
      </c>
      <c r="BU71" s="306" t="str">
        <f aca="false">IF($A71="N/A"," ",AB71*$AT71)</f>
        <v> </v>
      </c>
      <c r="BV71" s="306" t="str">
        <f aca="false">IF($A71="N/A"," ",AC71*$AU71)</f>
        <v> </v>
      </c>
      <c r="BW71" s="306" t="str">
        <f aca="false">IF($A71="N/A"," ",AD71*$AV71)</f>
        <v> </v>
      </c>
      <c r="BX71" s="306" t="str">
        <f aca="false">IF($A71="N/A"," ",AE71*$AW71)</f>
        <v> </v>
      </c>
      <c r="BY71" s="306" t="str">
        <f aca="false">IF($A71="N/A"," ",AF71*$AX71)</f>
        <v> </v>
      </c>
      <c r="BZ71" s="306" t="str">
        <f aca="false">IF($A71="N/A"," ",AG71*$AY71)</f>
        <v> </v>
      </c>
      <c r="CA71" s="306" t="str">
        <f aca="false">IF($A71="N/A"," ",AH71*$AZ71)</f>
        <v> </v>
      </c>
      <c r="CB71" s="307" t="str">
        <f aca="false">IF($A71="N/A"," ",AI71*$BA71)</f>
        <v> </v>
      </c>
      <c r="CC71" s="308" t="str">
        <f aca="false">IF($A71="N/A"," ",AJ71*$AS71)</f>
        <v> </v>
      </c>
      <c r="CD71" s="309" t="str">
        <f aca="false">IF($A71="N/A"," ",AK71*$AT71)</f>
        <v> </v>
      </c>
      <c r="CE71" s="309" t="str">
        <f aca="false">IF($A71="N/A"," ",AL71*$AU71)</f>
        <v> </v>
      </c>
      <c r="CF71" s="309" t="str">
        <f aca="false">IF($A71="N/A"," ",AM71*$AV71)</f>
        <v> </v>
      </c>
      <c r="CG71" s="309" t="str">
        <f aca="false">IF($A71="N/A"," ",AN71*$AW71)</f>
        <v> </v>
      </c>
      <c r="CH71" s="309" t="str">
        <f aca="false">IF($A71="N/A"," ",AO71*$AX71)</f>
        <v> </v>
      </c>
      <c r="CI71" s="309" t="str">
        <f aca="false">IF($A71="N/A"," ",AP71*$AY71)</f>
        <v> </v>
      </c>
      <c r="CJ71" s="309" t="str">
        <f aca="false">IF($A71="N/A"," ",AQ71*$AZ71)</f>
        <v> </v>
      </c>
      <c r="CK71" s="310" t="str">
        <f aca="false">IF($A71="N/A"," ",AR71*$BA71)</f>
        <v> </v>
      </c>
      <c r="CL71" s="311" t="str">
        <f aca="false">IF(A71="N/A"," ",(VLOOKUP(A71,PowerVolTable,(IF(VolBMO=2,7,IF(VolBMO=1,6,8))),FALSE())))</f>
        <v> </v>
      </c>
      <c r="CM71" s="312" t="str">
        <f aca="false">IF(A71="N/A"," ",(VLOOKUP(A71,IntraPowerVol,(IF(VolBMO=2,3,IF(VolBMO=1,2,4))),FALSE())*VLOOKUP(MONTH($A71),Volscale,2)))</f>
        <v> </v>
      </c>
      <c r="CN71" s="312" t="str">
        <f aca="false">IF($A71="N/A"," ",IF(VolType=1,CM71,CL71))</f>
        <v> </v>
      </c>
      <c r="CO71" s="312" t="str">
        <f aca="false">IF($A71="N/A"," ",(VLOOKUP($A71,OffPeakVol,(IF(VolBMO=2,7,IF(VolBMO=1,6,8))),FALSE())))</f>
        <v> </v>
      </c>
      <c r="CP71" s="312" t="str">
        <f aca="false">IF($A71="N/A"," ",(VLOOKUP($A71,OffPeakVol,(IF(VolBMO=2,3,IF(VolBMO=1,2,4))),FALSE())*VLOOKUP(MONTH($A71),Volscale,2)))</f>
        <v> </v>
      </c>
      <c r="CQ71" s="312" t="str">
        <f aca="false">IF($A71="N/A"," ",IF(VolType=1,CP71,CO71))</f>
        <v> </v>
      </c>
      <c r="CR71" s="312" t="str">
        <f aca="false">IF($A71="N/A"," ",(VLOOKUP($A71,GasVolTable,(IF(VolBMO=2,6,IF(VolBMO=1,7,5))),FALSE())))</f>
        <v> </v>
      </c>
      <c r="CS71" s="312" t="str">
        <f aca="false">IF($A71="N/A"," ",(VLOOKUP($A71,OmicronVol,(IF(VolBMO=2,3,IF(VolBMO=1,4,2))),FALSE())))</f>
        <v> </v>
      </c>
      <c r="CT71" s="312" t="str">
        <f aca="false">IF($A71="N/A"," ",(IF(DateToday&gt;$A71,$CS71,IF(VolType=1,((($CR71^2)*((($A71-1)-DateToday)/((EOMONTH($A71,0)+1)-DateToday-15)))+((($CS71)^2)*((15)/((EOMONTH($A71,0)+1)-DateToday-15))))^0.5,CR71))))</f>
        <v> </v>
      </c>
      <c r="CU71" s="312" t="str">
        <f aca="false">IF($A71="N/A"," ",IF('Pricing Inputs'!$AR$23=TRUE(),Inputs!$S$22,VLOOKUP($A71,CorrelationTable,2,FALSE())))</f>
        <v> </v>
      </c>
      <c r="CV71" s="313" t="str">
        <f aca="false">IF($A71="N/A"," ",F71+G71+(D71*('Pricing Inputs'!X106)))</f>
        <v> </v>
      </c>
      <c r="CW71" s="314" t="str">
        <f aca="false">IF($A71="N/A"," ",IF(PV=1,0,'Pricing Inputs'!Y106))</f>
        <v> </v>
      </c>
      <c r="CX71" s="315" t="str">
        <f aca="false">IF($A71="N/A"," ",(1+CW71/2)^(-2*((EOMONTH(A71,0)+20)-DateToday)/365.25))</f>
        <v> </v>
      </c>
      <c r="CY71" s="316" t="str">
        <f aca="false">IF($A71="N/A"," ",(IF(MONTH(A71)&gt;=4,IF(MONTH(A71)&lt;=10,Inputs!$S$26,Inputs!$S$27),Inputs!$S$27))*$CX71)</f>
        <v> </v>
      </c>
      <c r="CZ71" s="317" t="str">
        <f aca="false">IF($A71="N/A"," ",BK71+BL71+BN71+BO71+BQ71+BR71)</f>
        <v> </v>
      </c>
      <c r="DA71" s="318" t="str">
        <f aca="false">IF($A71="N/A"," ",BM71+BP71+BS71)</f>
        <v> </v>
      </c>
      <c r="DB71" s="319" t="str">
        <f aca="false">IF($A71="N/A"," ",BT71+BU71+BW71+BX71+BZ71+CA71)</f>
        <v> </v>
      </c>
      <c r="DC71" s="319" t="str">
        <f aca="false">IF($A71="N/A"," ",BV71+BY71+CB71)</f>
        <v> </v>
      </c>
      <c r="DD71" s="320" t="str">
        <f aca="false">IF($A71="N/A"," ",SUM(CC71:CK71))</f>
        <v> </v>
      </c>
      <c r="DE71" s="321" t="str">
        <f aca="false">IF($A71="N/A"," ",VLOOKUP($A71,NumberofDaysTable,2)*Availability)</f>
        <v> </v>
      </c>
      <c r="DF71" s="94" t="str">
        <f aca="false">IF($A71="N/A"," ",VLOOKUP($A71,NumberofDaysTable,3)*Availability)</f>
        <v> </v>
      </c>
      <c r="DG71" s="322" t="str">
        <f aca="false">IF($A71="N/A"," ",VLOOKUP($A71,NumberofDaysTable,4)*Availability)</f>
        <v> </v>
      </c>
      <c r="DH71" s="323" t="str">
        <f aca="false">IF($A71="N/A"," ",IF(Option=1,$D71*Inputs!$S$15*SUM(AS71:BA71),0))</f>
        <v> </v>
      </c>
      <c r="DI71" s="324" t="str">
        <f aca="false">IF($A71="N/A"," ",IF(Option=1,$D71*Inputs!$S$16*SUM(AS71:BA71),0))</f>
        <v> </v>
      </c>
      <c r="DJ71" s="325" t="str">
        <f aca="false">IF($A71="N/A"," ",SUM(AS71:AT71))</f>
        <v> </v>
      </c>
      <c r="DK71" s="325" t="str">
        <f aca="false">IF($A71="N/A"," ",SUM(AU71:BA71))</f>
        <v> </v>
      </c>
      <c r="DL71" s="325" t="str">
        <f aca="false">IF($A71="N/A"," ",SUM(BB71:BC71))</f>
        <v> </v>
      </c>
      <c r="DM71" s="325" t="str">
        <f aca="false">IF($A71="N/A"," ",SUM(BD71:BJ71))</f>
        <v> </v>
      </c>
    </row>
    <row r="72" customFormat="false" ht="12.75" hidden="false" customHeight="false" outlineLevel="0" collapsed="false">
      <c r="A72" s="282" t="str">
        <f aca="false">IF(A71="N/A","N/A",IF(EDATE(A71,1)&gt;Inputs!$S$5,"N/A",EDATE(A71,1)))</f>
        <v>N/A</v>
      </c>
      <c r="B72" s="283" t="str">
        <f aca="false">IF(A72="N/A"," ",YEAR(A72))</f>
        <v> </v>
      </c>
      <c r="C72" s="284" t="str">
        <f aca="false">IF(A72="N/A"," ",VLOOKUP(A72,ScaledPrice,14))</f>
        <v> </v>
      </c>
      <c r="D72" s="285" t="str">
        <f aca="false">IF(A72="N/A"," ",(VLOOKUP(MONTH($A72),Hrtable,2))/1000)</f>
        <v> </v>
      </c>
      <c r="E72" s="286" t="str">
        <f aca="false">IF($A72="N/A"," ",(C72)*D72)</f>
        <v> </v>
      </c>
      <c r="F72" s="287" t="str">
        <f aca="false">IF(A72="N/A"," ",VOM*(1+VOMesc)^(YEAR(A72)-YEAR(Today)))</f>
        <v> </v>
      </c>
      <c r="G72" s="287" t="str">
        <f aca="false">IF(A72="N/A"," ",Perstart/VLOOKUP(Dayrun,'Pricing Inputs'!$AQ$4:$AS$14,3)/(CY72/CX72))</f>
        <v> </v>
      </c>
      <c r="H72" s="288" t="str">
        <f aca="false">IF(A72="N/A"," ",SUM(E72:G72))</f>
        <v> </v>
      </c>
      <c r="I72" s="289" t="str">
        <f aca="false">VLOOKUP($A72,ScaledPrice,6)</f>
        <v> </v>
      </c>
      <c r="J72" s="290" t="str">
        <f aca="false">VLOOKUP($A72,ScaledPrice,10)</f>
        <v> </v>
      </c>
      <c r="K72" s="290" t="str">
        <f aca="false">VLOOKUP($A72,ScaledPrice,13)</f>
        <v> </v>
      </c>
      <c r="L72" s="290" t="str">
        <f aca="false">VLOOKUP($A72,ScaledPrice,7)</f>
        <v> </v>
      </c>
      <c r="M72" s="290" t="str">
        <f aca="false">VLOOKUP($A72,ScaledPrice,11)</f>
        <v> </v>
      </c>
      <c r="N72" s="290" t="str">
        <f aca="false">VLOOKUP($A72,ScaledPrice,13)</f>
        <v> </v>
      </c>
      <c r="O72" s="290" t="str">
        <f aca="false">VLOOKUP($A72,ScaledPrice,8)</f>
        <v> </v>
      </c>
      <c r="P72" s="290" t="str">
        <f aca="false">VLOOKUP($A72,ScaledPrice,12)</f>
        <v> </v>
      </c>
      <c r="Q72" s="291" t="str">
        <f aca="false">VLOOKUP($A72,ScaledPrice,13)</f>
        <v> </v>
      </c>
      <c r="R72" s="292" t="str">
        <f aca="false">IF($A72="N/A"," ",IF(Dayrun&gt;=3,IF(Option=1,MAX($I72-$H72,0),IF(Option=2,MAX($H72-$I72,0),0)),0))</f>
        <v> </v>
      </c>
      <c r="S72" s="286" t="str">
        <f aca="false">IF($A72="N/A"," ",IF(Dayrun&gt;=6,IF(Option=1,MAX($J72-H72,0),IF(Option=2,MAX(H72-$J72,0),0)),0))</f>
        <v> </v>
      </c>
      <c r="T72" s="286" t="str">
        <f aca="false">IF($A72="N/A"," ",IF(OR(Dayrun&lt;=2,Dayrun&gt;=9),IF(Option=1,MAX($K72-$H72,0),IF(Option=2,MAX($H72-$K72,0),0)),0))</f>
        <v> </v>
      </c>
      <c r="U72" s="286" t="str">
        <f aca="false">IF($A72="N/A"," ",IF(OR(Dayrun=1,Dayrun=4,Dayrun=5,Dayrun=7,Dayrun=8,Dayrun=10,Dayrun=11),IF(Option=1,MAX($L72-H72,0),IF(Option=2,MAX(H72-$L72,0),0)),0))</f>
        <v> </v>
      </c>
      <c r="V72" s="286" t="str">
        <f aca="false">IF($A72="N/A"," ",IF(OR(Dayrun=1,Dayrun=7,Dayrun=8,Dayrun=10,Dayrun=11),IF(Option=1,MAX($M72-H72,0),IF(Option=2,MAX(H72-$M72,0),0)),0))</f>
        <v> </v>
      </c>
      <c r="W72" s="286" t="str">
        <f aca="false">IF($A72="N/A"," ",IF(OR(Dayrun&lt;=2,Dayrun&gt;=10),IF(Option=1,MAX($N72-$H72,0),IF(Option=2,MAX($H72-$N72,0),0)),0))</f>
        <v> </v>
      </c>
      <c r="X72" s="286" t="str">
        <f aca="false">IF($A72="N/A"," ",IF(OR(Dayrun=1,Dayrun=5,Dayrun=8,Dayrun=11),IF(Option=1,MAX($O72-H72,0),IF(Option=2,MAX(H72-$O72,0),0)),0))</f>
        <v> </v>
      </c>
      <c r="Y72" s="286" t="str">
        <f aca="false">IF($A72="N/A"," ",IF(OR(Dayrun=1,Dayrun=8,Dayrun=11),IF(Option=1,MAX($P72-H72,0),IF(Option=2,MAX(H72-$P72,0),0)),0))</f>
        <v> </v>
      </c>
      <c r="Z72" s="293" t="str">
        <f aca="false">IF($A72="N/A"," ",IF(OR(Dayrun&lt;=2,Dayrun&gt;=11),IF(Option=1,MAX($Q72-$H72,0),IF(Option=2,MAX($H72-$Q72,0),0)),0))</f>
        <v> </v>
      </c>
      <c r="AA72" s="289" t="str">
        <f aca="false">IF($A72="N/A"," ",IF(Dayrun&gt;=3,(MAX(0,(xSPRDOPT(I72,($E72-'Pricing Inputs'!$X107*$D72),$CV72,0,($CN72+IF(Smile=TRUE(),VLOOKUP(MAX(-5,$H72-I72),Volsmile,2),0)),$CT72,$CU72,($A72-DateToday)+15,ABS(Option-2),0)-R72))),0))</f>
        <v> </v>
      </c>
      <c r="AB72" s="290" t="str">
        <f aca="false">IF($A72="N/A"," ",IF(Dayrun&gt;=6,MAX(0,(xSPRDOPT(J72,($E72-'Pricing Inputs'!$X107*$D72),$CV72,0,($CN72+IF(Smile=TRUE(),VLOOKUP(MAX(-5,$H72-J72),Volsmile,2),0)),$CT72,$CU72,($A72-DateToday)+15,ABS(Option-2),0)-S72)),0))</f>
        <v> </v>
      </c>
      <c r="AC72" s="290" t="str">
        <f aca="false">IF($A72="N/A"," ",IF(OR(Dayrun&lt;=2,Dayrun&gt;=9),IF(OffPeakEx=TRUE(),MAX(0,(xSPRDOPT(K72,($E72-'Pricing Inputs'!$X107*$D72),$CV72,0,($CQ72+IF(Smile=TRUE(),VLOOKUP(MAX(-5,$H72-K72),Volsmile,2),0)),$CT72,$CU72,($A72-DateToday)+15,ABS(Option-2),0)-T72)),0),0))</f>
        <v> </v>
      </c>
      <c r="AD72" s="290" t="str">
        <f aca="false">IF($A72="N/A"," ",IF(OR(Dayrun=1,Dayrun=4,Dayrun=5,Dayrun=7,Dayrun=8,Dayrun=10,Dayrun=11),MAX(0,(xSPRDOPT(L72,($E72-'Pricing Inputs'!$X107*$D72),$CV72,0,($CQ72+IF(Smile=TRUE(),VLOOKUP(MAX(-5,$H72-L72),Volsmile,2),0)),$CT72,$CU72,($A72-DateToday)+15,ABS(Option-2),0)-U72)),0))</f>
        <v> </v>
      </c>
      <c r="AE72" s="290" t="str">
        <f aca="false">IF($A72="N/A"," ",IF(OR(Dayrun=1,Dayrun=7,Dayrun=8,Dayrun=10,Dayrun=11),MAX(0,(xSPRDOPT(M72,($E72-'Pricing Inputs'!$X107*$D72),$CV72,0,($CQ72+IF(Smile=TRUE(),VLOOKUP(MAX(-5,$H72-M72),Volsmile,2),0)),$CT72,$CU72,($A72-DateToday)+15,ABS(Option-2),0)-V72)),0))</f>
        <v> </v>
      </c>
      <c r="AF72" s="290" t="str">
        <f aca="false">IF($A72="N/A"," ",IF(OR(Dayrun&lt;=2,Dayrun&gt;=10),IF(OffPeakEx=TRUE(),MAX(0,(xSPRDOPT(N72,($E72-'Pricing Inputs'!$X107*$D72),$CV72,0,($CQ72+IF(Smile=TRUE(),VLOOKUP(MAX(-5,$H72-N72),Volsmile,2),0)),$CT72,$CU72,($A72-DateToday)+15,ABS(Option-2),0)-W72)),0),0))</f>
        <v> </v>
      </c>
      <c r="AG72" s="290" t="str">
        <f aca="false">IF($A72="N/A"," ",IF(OR(Dayrun=1,Dayrun=5,Dayrun=8,Dayrun=11),MAX(0,(xSPRDOPT(O72,($E72-'Pricing Inputs'!$X107*$D72),$CV72,0,($CQ72+IF(Smile=TRUE(),VLOOKUP(MAX(-5,$H72-O72),Volsmile,2),0)),$CT72,$CU72,($A72-DateToday)+15,ABS(Option-2),0)-X72)),0))</f>
        <v> </v>
      </c>
      <c r="AH72" s="290" t="str">
        <f aca="false">IF($A72="N/A"," ",IF(OR(Dayrun=1,Dayrun=8,Dayrun=11),MAX(0,(xSPRDOPT(P72,($E72-'Pricing Inputs'!$X107*$D72),$CV72,0,($CQ72+IF(Smile=TRUE(),VLOOKUP(MAX(-5,$H72-P72),Volsmile,2),0)),$CT72,$CU72,($A72-DateToday)+15,ABS(Option-2),0)-Y72)),0))</f>
        <v> </v>
      </c>
      <c r="AI72" s="290" t="str">
        <f aca="false">IF($A72="N/A"," ",IF(OR(Dayrun&lt;=2,Dayrun&gt;=11),IF(OffPeakEx=TRUE(),MAX(0,(xSPRDOPT(Q72,($E72-'Pricing Inputs'!$X107*$D72),$CV72,0,($CQ72+IF(Smile=TRUE(),VLOOKUP(MAX(-5,$H72-Q72),Volsmile,2),0)),$CT72,$CU72,($A72-DateToday)+15,ABS(Option-2),0)-Z72)),0),0))</f>
        <v> </v>
      </c>
      <c r="AJ72" s="294" t="str">
        <f aca="false">IF($A72="N/A"," ",IF(Dayrun&gt;=3,IF(Option=1,$I72-$H72,IF(Option=2,$H72-$I72)),0))</f>
        <v> </v>
      </c>
      <c r="AK72" s="295" t="str">
        <f aca="false">IF($A72="N/A"," ",IF(Dayrun&gt;=6,IF(Option=1,$J72-H72,IF(Option=2,H72-$J72)),0))</f>
        <v> </v>
      </c>
      <c r="AL72" s="295" t="str">
        <f aca="false">IF($A72="N/A"," ",IF(OR(Dayrun&lt;=2,Dayrun&gt;=9),IF(Option=1,$K72-$H72,IF(Option=2,$H72-$K72)),0))</f>
        <v> </v>
      </c>
      <c r="AM72" s="295" t="str">
        <f aca="false">IF($A72="N/A"," ",IF(OR(Dayrun=1,Dayrun=4,Dayrun=5,Dayrun=7,Dayrun=8,Dayrun=10,Dayrun=11),IF(Option=1,$L72-H72,IF(Option=2,H72-$L72)),0))</f>
        <v> </v>
      </c>
      <c r="AN72" s="295" t="str">
        <f aca="false">IF($A72="N/A"," ",IF(OR(Dayrun=1,Dayrun=7,Dayrun=8,Dayrun=10,Dayrun=11),IF(Option=1,$M72-H72,IF(Option=2,H72-$M72)),0))</f>
        <v> </v>
      </c>
      <c r="AO72" s="295" t="str">
        <f aca="false">IF($A72="N/A"," ",IF(OR(Dayrun&lt;=2,Dayrun&gt;=9),IF(Option=1,$N72-$H72,IF(Option=2,$H72-$N72)),0))</f>
        <v> </v>
      </c>
      <c r="AP72" s="295" t="str">
        <f aca="false">IF($A72="N/A"," ",IF(OR(Dayrun=1,Dayrun=5,Dayrun=8,Dayrun=11),IF(Option=1,$O72-H72,IF(Option=2,H72-$O72)),0))</f>
        <v> </v>
      </c>
      <c r="AQ72" s="295" t="str">
        <f aca="false">IF($A72="N/A"," ",IF(OR(Dayrun=1,Dayrun=8,Dayrun=11),IF(Option=1,$P72-H72,IF(Option=2,H72-$P72)),0))</f>
        <v> </v>
      </c>
      <c r="AR72" s="296" t="str">
        <f aca="false">IF($A72="N/A"," ",IF(OR(Dayrun&lt;=2,Dayrun&gt;=9),IF(Option=1,$Q72-H72,IF(Option=2,H72-$Q72)),0))</f>
        <v> </v>
      </c>
      <c r="AS72" s="297" t="str">
        <f aca="false">IF($A72="N/A"," ",IF(VLOOKUP(MONTH($A72),ManualTable,2)=1,IF(Dayrun&gt;=3,$DE72*8*$CY72,0),0))</f>
        <v> </v>
      </c>
      <c r="AT72" s="297" t="str">
        <f aca="false">IF($A72="N/A"," ",IF(VLOOKUP(MONTH($A72),ManualTable,3)=1,IF(Dayrun&gt;=6,$DE72*8*$CY72,0),0))</f>
        <v> </v>
      </c>
      <c r="AU72" s="297" t="str">
        <f aca="false">IF($A72="N/A"," ",IF(VLOOKUP(MONTH($A72),ManualTable,4)=1,IF(OR(Dayrun&lt;=2,Dayrun&gt;=9),$DE72*8*$CY72,0),0))</f>
        <v> </v>
      </c>
      <c r="AV72" s="297" t="str">
        <f aca="false">IF($A72="N/A"," ",IF(VLOOKUP(MONTH($A72),ManualTable,5)=1,IF(OR(Dayrun=1,Dayrun=4,Dayrun=5,Dayrun=7,Dayrun=8,Dayrun=10,Dayrun=11),$DF72*8*$CY72,0),0))</f>
        <v> </v>
      </c>
      <c r="AW72" s="297" t="str">
        <f aca="false">IF($A72="N/A"," ",IF(VLOOKUP(MONTH($A72),ManualTable,6)=1,IF(OR(Dayrun=1,Dayrun=7,Dayrun=8,Dayrun=10,Dayrun=11),$DF72*8*$CY72,0),0))</f>
        <v> </v>
      </c>
      <c r="AX72" s="297" t="str">
        <f aca="false">IF($A72="N/A"," ",IF(VLOOKUP(MONTH($A72),ManualTable,7)=1,IF(OR(Dayrun&lt;=2,Dayrun&gt;=9),$DF72*8*$CY72,0),0))</f>
        <v> </v>
      </c>
      <c r="AY72" s="297" t="str">
        <f aca="false">IF($A72="N/A"," ",IF(VLOOKUP(MONTH($A72),ManualTable,8)=1,IF(OR(Dayrun=1,Dayrun=5,Dayrun=8,Dayrun=11),$DG72*8*$CY72,0),0))</f>
        <v> </v>
      </c>
      <c r="AZ72" s="297" t="str">
        <f aca="false">IF($A72="N/A"," ",IF(VLOOKUP(MONTH($A72),ManualTable,9)=1,IF(OR(Dayrun=1,Dayrun=8,Dayrun=11),$DG72*8*$CY72,0),0))</f>
        <v> </v>
      </c>
      <c r="BA72" s="298" t="str">
        <f aca="false">IF($A72="N/A"," ",IF(VLOOKUP(MONTH($A72),ManualTable,10)=1,IF(OR(Dayrun&lt;=2,Dayrun&gt;=9),$DG72*8*$CY72,0),0))</f>
        <v> </v>
      </c>
      <c r="BB72" s="299" t="str">
        <f aca="false">IF($A72="N/A"," ",IF(Dayrun&gt;=3,(MAX(0,(xSPRDOPT(I72,($E72-'Pricing Inputs'!$X107*$D72),$CV72,0,($CN72+IF(Smile=TRUE(),VLOOKUP(MAX(-5,$H72-I72),Volsmile,2),0)),$CT72,$CU72,($A72-DateToday)+15,ABS(Option-2),1)*DE72*8))),0))</f>
        <v> </v>
      </c>
      <c r="BC72" s="300" t="str">
        <f aca="false">IF($A72="N/A"," ",IF(Dayrun&gt;=6,MAX(0,(xSPRDOPT(J72,($E72-'Pricing Inputs'!$X107*$D72),$CV72,0,($CN72+IF(Smile=TRUE(),VLOOKUP(MAX(-5,$H72-J72),Volsmile,2),0)),$CT72,$CU72,($A72-DateToday)+15,ABS(Option-2),1)*DE72*8)),0))</f>
        <v> </v>
      </c>
      <c r="BD72" s="300" t="str">
        <f aca="false">IF($A72="N/A"," ",IF(OR(Dayrun&lt;=2,Dayrun&gt;=9),IF(OffPeakEx=TRUE(),MAX(0,(xSPRDOPT(K72,($E72-'Pricing Inputs'!$X107*$D72),$CV72,0,($CQ72+IF(Smile=TRUE(),VLOOKUP(MAX(-5,$H72-K72),Volsmile,2),0)),$CT72,$CU72,($A72-DateToday)+15,ABS(Option-2),1)*DE72*8)),0),0))</f>
        <v> </v>
      </c>
      <c r="BE72" s="300" t="str">
        <f aca="false">IF($A72="N/A"," ",IF(OR(Dayrun=1,Dayrun=4,Dayrun=5,Dayrun=7,Dayrun=8,Dayrun=10,Dayrun=11),MAX(0,(xSPRDOPT(L72,($E72-'Pricing Inputs'!$X107*$D72),$CV72,0,($CQ72+IF(Smile=TRUE(),VLOOKUP(MAX(-5,$H72-L72),Volsmile,2),0)),$CT72,$CU72,($A72-DateToday)+15,ABS(Option-2),1)*DF72*8)),0))</f>
        <v> </v>
      </c>
      <c r="BF72" s="300" t="str">
        <f aca="false">IF($A72="N/A"," ",IF(OR(Dayrun=1,Dayrun=7,Dayrun=8,Dayrun=10,Dayrun=11),MAX(0,(xSPRDOPT(M72,($E72-'Pricing Inputs'!$X107*$D72),$CV72,0,($CQ72+IF(Smile=TRUE(),VLOOKUP(MAX(-5,$H72-M72),Volsmile,2),0)),$CT72,$CU72,($A72-DateToday)+15,ABS(Option-2),1)*DF72*8)),0))</f>
        <v> </v>
      </c>
      <c r="BG72" s="300" t="str">
        <f aca="false">IF($A72="N/A"," ",IF(OR(Dayrun&lt;=2,Dayrun&gt;=10),IF(OffPeakEx=TRUE(),MAX(0,(xSPRDOPT(N72,($E72-'Pricing Inputs'!$X107*$D72),$CV72,0,($CQ72+IF(Smile=TRUE(),VLOOKUP(MAX(-5,$H72-N72),Volsmile,2),0)),$CT72,$CU72,($A72-DateToday)+15,ABS(Option-2),1)*DF72*8)),0),0))</f>
        <v> </v>
      </c>
      <c r="BH72" s="300" t="str">
        <f aca="false">IF($A72="N/A"," ",IF(OR(Dayrun=1,Dayrun=5,Dayrun=8,Dayrun=11),MAX(0,(xSPRDOPT(O72,($E72-'Pricing Inputs'!$X107*$D72),$CV72,0,($CQ72+IF(Smile=TRUE(),VLOOKUP(MAX(-5,$H72-O72),Volsmile,2),0)),$CT72,$CU72,($A72-DateToday)+15,ABS(Option-2),1)*DG72*8)),0))</f>
        <v> </v>
      </c>
      <c r="BI72" s="300" t="str">
        <f aca="false">IF($A72="N/A"," ",IF(OR(Dayrun=1,Dayrun=8,Dayrun=11),MAX(0,(xSPRDOPT(P72,($E72-'Pricing Inputs'!$X107*$D72),$CV72,0,($CQ72+IF(Smile=TRUE(),VLOOKUP(MAX(-5,$H72-P72),Volsmile,2),0)),$CT72,$CU72,($A72-DateToday)+15,ABS(Option-2),1)*DG72*8)),0))</f>
        <v> </v>
      </c>
      <c r="BJ72" s="301" t="str">
        <f aca="false">IF($A72="N/A"," ",IF(OR(Dayrun&lt;=2,Dayrun&gt;=11),IF(OffPeakEx=TRUE(),MAX(0,(xSPRDOPT(Q72,($E72-'Pricing Inputs'!$X107*$D72),$CV72,0,($CQ72+IF(Smile=TRUE(),VLOOKUP(MAX(-5,$H72-Q72),Volsmile,2),0)),$CT72,$CU72,($A72-DateToday)+15,ABS(Option-2),1)*DG72*8)),0),0))</f>
        <v> </v>
      </c>
      <c r="BK72" s="302" t="str">
        <f aca="false">IF($A72="N/A"," ",R72*$AS72)</f>
        <v> </v>
      </c>
      <c r="BL72" s="303" t="str">
        <f aca="false">IF($A72="N/A"," ",S72*$AT72)</f>
        <v> </v>
      </c>
      <c r="BM72" s="303" t="str">
        <f aca="false">IF($A72="N/A"," ",T72*$AU72)</f>
        <v> </v>
      </c>
      <c r="BN72" s="303" t="str">
        <f aca="false">IF($A72="N/A"," ",U72*$AV72)</f>
        <v> </v>
      </c>
      <c r="BO72" s="303" t="str">
        <f aca="false">IF($A72="N/A"," ",V72*$AW72)</f>
        <v> </v>
      </c>
      <c r="BP72" s="303" t="str">
        <f aca="false">IF($A72="N/A"," ",W72*$AX72)</f>
        <v> </v>
      </c>
      <c r="BQ72" s="303" t="str">
        <f aca="false">IF($A72="N/A"," ",X72*$AY72)</f>
        <v> </v>
      </c>
      <c r="BR72" s="303" t="str">
        <f aca="false">IF($A72="N/A"," ",Y72*$AZ72)</f>
        <v> </v>
      </c>
      <c r="BS72" s="304" t="str">
        <f aca="false">IF($A72="N/A"," ",Z72*$BA72)</f>
        <v> </v>
      </c>
      <c r="BT72" s="305" t="str">
        <f aca="false">IF($A72="N/A"," ",AA72*$AS72)</f>
        <v> </v>
      </c>
      <c r="BU72" s="306" t="str">
        <f aca="false">IF($A72="N/A"," ",AB72*$AT72)</f>
        <v> </v>
      </c>
      <c r="BV72" s="306" t="str">
        <f aca="false">IF($A72="N/A"," ",AC72*$AU72)</f>
        <v> </v>
      </c>
      <c r="BW72" s="306" t="str">
        <f aca="false">IF($A72="N/A"," ",AD72*$AV72)</f>
        <v> </v>
      </c>
      <c r="BX72" s="306" t="str">
        <f aca="false">IF($A72="N/A"," ",AE72*$AW72)</f>
        <v> </v>
      </c>
      <c r="BY72" s="306" t="str">
        <f aca="false">IF($A72="N/A"," ",AF72*$AX72)</f>
        <v> </v>
      </c>
      <c r="BZ72" s="306" t="str">
        <f aca="false">IF($A72="N/A"," ",AG72*$AY72)</f>
        <v> </v>
      </c>
      <c r="CA72" s="306" t="str">
        <f aca="false">IF($A72="N/A"," ",AH72*$AZ72)</f>
        <v> </v>
      </c>
      <c r="CB72" s="307" t="str">
        <f aca="false">IF($A72="N/A"," ",AI72*$BA72)</f>
        <v> </v>
      </c>
      <c r="CC72" s="308" t="str">
        <f aca="false">IF($A72="N/A"," ",AJ72*$AS72)</f>
        <v> </v>
      </c>
      <c r="CD72" s="309" t="str">
        <f aca="false">IF($A72="N/A"," ",AK72*$AT72)</f>
        <v> </v>
      </c>
      <c r="CE72" s="309" t="str">
        <f aca="false">IF($A72="N/A"," ",AL72*$AU72)</f>
        <v> </v>
      </c>
      <c r="CF72" s="309" t="str">
        <f aca="false">IF($A72="N/A"," ",AM72*$AV72)</f>
        <v> </v>
      </c>
      <c r="CG72" s="309" t="str">
        <f aca="false">IF($A72="N/A"," ",AN72*$AW72)</f>
        <v> </v>
      </c>
      <c r="CH72" s="309" t="str">
        <f aca="false">IF($A72="N/A"," ",AO72*$AX72)</f>
        <v> </v>
      </c>
      <c r="CI72" s="309" t="str">
        <f aca="false">IF($A72="N/A"," ",AP72*$AY72)</f>
        <v> </v>
      </c>
      <c r="CJ72" s="309" t="str">
        <f aca="false">IF($A72="N/A"," ",AQ72*$AZ72)</f>
        <v> </v>
      </c>
      <c r="CK72" s="310" t="str">
        <f aca="false">IF($A72="N/A"," ",AR72*$BA72)</f>
        <v> </v>
      </c>
      <c r="CL72" s="311" t="str">
        <f aca="false">IF(A72="N/A"," ",(VLOOKUP(A72,PowerVolTable,(IF(VolBMO=2,7,IF(VolBMO=1,6,8))),FALSE())))</f>
        <v> </v>
      </c>
      <c r="CM72" s="312" t="str">
        <f aca="false">IF(A72="N/A"," ",(VLOOKUP(A72,IntraPowerVol,(IF(VolBMO=2,3,IF(VolBMO=1,2,4))),FALSE())*VLOOKUP(MONTH($A72),Volscale,2)))</f>
        <v> </v>
      </c>
      <c r="CN72" s="312" t="str">
        <f aca="false">IF($A72="N/A"," ",IF(VolType=1,CM72,CL72))</f>
        <v> </v>
      </c>
      <c r="CO72" s="312" t="str">
        <f aca="false">IF($A72="N/A"," ",(VLOOKUP($A72,OffPeakVol,(IF(VolBMO=2,7,IF(VolBMO=1,6,8))),FALSE())))</f>
        <v> </v>
      </c>
      <c r="CP72" s="312" t="str">
        <f aca="false">IF($A72="N/A"," ",(VLOOKUP($A72,OffPeakVol,(IF(VolBMO=2,3,IF(VolBMO=1,2,4))),FALSE())*VLOOKUP(MONTH($A72),Volscale,2)))</f>
        <v> </v>
      </c>
      <c r="CQ72" s="312" t="str">
        <f aca="false">IF($A72="N/A"," ",IF(VolType=1,CP72,CO72))</f>
        <v> </v>
      </c>
      <c r="CR72" s="312" t="str">
        <f aca="false">IF($A72="N/A"," ",(VLOOKUP($A72,GasVolTable,(IF(VolBMO=2,6,IF(VolBMO=1,7,5))),FALSE())))</f>
        <v> </v>
      </c>
      <c r="CS72" s="312" t="str">
        <f aca="false">IF($A72="N/A"," ",(VLOOKUP($A72,OmicronVol,(IF(VolBMO=2,3,IF(VolBMO=1,4,2))),FALSE())))</f>
        <v> </v>
      </c>
      <c r="CT72" s="312" t="str">
        <f aca="false">IF($A72="N/A"," ",(IF(DateToday&gt;$A72,$CS72,IF(VolType=1,((($CR72^2)*((($A72-1)-DateToday)/((EOMONTH($A72,0)+1)-DateToday-15)))+((($CS72)^2)*((15)/((EOMONTH($A72,0)+1)-DateToday-15))))^0.5,CR72))))</f>
        <v> </v>
      </c>
      <c r="CU72" s="312" t="str">
        <f aca="false">IF($A72="N/A"," ",IF('Pricing Inputs'!$AR$23=TRUE(),Inputs!$S$22,VLOOKUP($A72,CorrelationTable,2,FALSE())))</f>
        <v> </v>
      </c>
      <c r="CV72" s="313" t="str">
        <f aca="false">IF($A72="N/A"," ",F72+G72+(D72*('Pricing Inputs'!X107)))</f>
        <v> </v>
      </c>
      <c r="CW72" s="314" t="str">
        <f aca="false">IF($A72="N/A"," ",IF(PV=1,0,'Pricing Inputs'!Y107))</f>
        <v> </v>
      </c>
      <c r="CX72" s="315" t="str">
        <f aca="false">IF($A72="N/A"," ",(1+CW72/2)^(-2*((EOMONTH(A72,0)+20)-DateToday)/365.25))</f>
        <v> </v>
      </c>
      <c r="CY72" s="316" t="str">
        <f aca="false">IF($A72="N/A"," ",(IF(MONTH(A72)&gt;=4,IF(MONTH(A72)&lt;=10,Inputs!$S$26,Inputs!$S$27),Inputs!$S$27))*$CX72)</f>
        <v> </v>
      </c>
      <c r="CZ72" s="317" t="str">
        <f aca="false">IF($A72="N/A"," ",BK72+BL72+BN72+BO72+BQ72+BR72)</f>
        <v> </v>
      </c>
      <c r="DA72" s="318" t="str">
        <f aca="false">IF($A72="N/A"," ",BM72+BP72+BS72)</f>
        <v> </v>
      </c>
      <c r="DB72" s="319" t="str">
        <f aca="false">IF($A72="N/A"," ",BT72+BU72+BW72+BX72+BZ72+CA72)</f>
        <v> </v>
      </c>
      <c r="DC72" s="319" t="str">
        <f aca="false">IF($A72="N/A"," ",BV72+BY72+CB72)</f>
        <v> </v>
      </c>
      <c r="DD72" s="320" t="str">
        <f aca="false">IF($A72="N/A"," ",SUM(CC72:CK72))</f>
        <v> </v>
      </c>
      <c r="DE72" s="321" t="str">
        <f aca="false">IF($A72="N/A"," ",VLOOKUP($A72,NumberofDaysTable,2)*Availability)</f>
        <v> </v>
      </c>
      <c r="DF72" s="94" t="str">
        <f aca="false">IF($A72="N/A"," ",VLOOKUP($A72,NumberofDaysTable,3)*Availability)</f>
        <v> </v>
      </c>
      <c r="DG72" s="322" t="str">
        <f aca="false">IF($A72="N/A"," ",VLOOKUP($A72,NumberofDaysTable,4)*Availability)</f>
        <v> </v>
      </c>
      <c r="DH72" s="323" t="str">
        <f aca="false">IF($A72="N/A"," ",IF(Option=1,$D72*Inputs!$S$15*SUM(AS72:BA72),0))</f>
        <v> </v>
      </c>
      <c r="DI72" s="324" t="str">
        <f aca="false">IF($A72="N/A"," ",IF(Option=1,$D72*Inputs!$S$16*SUM(AS72:BA72),0))</f>
        <v> </v>
      </c>
      <c r="DJ72" s="325" t="str">
        <f aca="false">IF($A72="N/A"," ",SUM(AS72:AT72))</f>
        <v> </v>
      </c>
      <c r="DK72" s="325" t="str">
        <f aca="false">IF($A72="N/A"," ",SUM(AU72:BA72))</f>
        <v> </v>
      </c>
      <c r="DL72" s="325" t="str">
        <f aca="false">IF($A72="N/A"," ",SUM(BB72:BC72))</f>
        <v> </v>
      </c>
      <c r="DM72" s="325" t="str">
        <f aca="false">IF($A72="N/A"," ",SUM(BD72:BJ72))</f>
        <v> </v>
      </c>
    </row>
    <row r="73" customFormat="false" ht="12.75" hidden="false" customHeight="false" outlineLevel="0" collapsed="false">
      <c r="A73" s="282" t="str">
        <f aca="false">IF(A72="N/A","N/A",IF(EDATE(A72,1)&gt;Inputs!$S$5,"N/A",EDATE(A72,1)))</f>
        <v>N/A</v>
      </c>
      <c r="B73" s="283" t="str">
        <f aca="false">IF(A73="N/A"," ",YEAR(A73))</f>
        <v> </v>
      </c>
      <c r="C73" s="284" t="str">
        <f aca="false">IF(A73="N/A"," ",VLOOKUP(A73,ScaledPrice,14))</f>
        <v> </v>
      </c>
      <c r="D73" s="285" t="str">
        <f aca="false">IF(A73="N/A"," ",(VLOOKUP(MONTH($A73),Hrtable,2))/1000)</f>
        <v> </v>
      </c>
      <c r="E73" s="286" t="str">
        <f aca="false">IF($A73="N/A"," ",(C73)*D73)</f>
        <v> </v>
      </c>
      <c r="F73" s="287" t="str">
        <f aca="false">IF(A73="N/A"," ",VOM*(1+VOMesc)^(YEAR(A73)-YEAR(Today)))</f>
        <v> </v>
      </c>
      <c r="G73" s="287" t="str">
        <f aca="false">IF(A73="N/A"," ",Perstart/VLOOKUP(Dayrun,'Pricing Inputs'!$AQ$4:$AS$14,3)/(CY73/CX73))</f>
        <v> </v>
      </c>
      <c r="H73" s="288" t="str">
        <f aca="false">IF(A73="N/A"," ",SUM(E73:G73))</f>
        <v> </v>
      </c>
      <c r="I73" s="289" t="str">
        <f aca="false">VLOOKUP($A73,ScaledPrice,6)</f>
        <v> </v>
      </c>
      <c r="J73" s="290" t="str">
        <f aca="false">VLOOKUP($A73,ScaledPrice,10)</f>
        <v> </v>
      </c>
      <c r="K73" s="290" t="str">
        <f aca="false">VLOOKUP($A73,ScaledPrice,13)</f>
        <v> </v>
      </c>
      <c r="L73" s="290" t="str">
        <f aca="false">VLOOKUP($A73,ScaledPrice,7)</f>
        <v> </v>
      </c>
      <c r="M73" s="290" t="str">
        <f aca="false">VLOOKUP($A73,ScaledPrice,11)</f>
        <v> </v>
      </c>
      <c r="N73" s="290" t="str">
        <f aca="false">VLOOKUP($A73,ScaledPrice,13)</f>
        <v> </v>
      </c>
      <c r="O73" s="290" t="str">
        <f aca="false">VLOOKUP($A73,ScaledPrice,8)</f>
        <v> </v>
      </c>
      <c r="P73" s="290" t="str">
        <f aca="false">VLOOKUP($A73,ScaledPrice,12)</f>
        <v> </v>
      </c>
      <c r="Q73" s="291" t="str">
        <f aca="false">VLOOKUP($A73,ScaledPrice,13)</f>
        <v> </v>
      </c>
      <c r="R73" s="292" t="str">
        <f aca="false">IF($A73="N/A"," ",IF(Dayrun&gt;=3,IF(Option=1,MAX($I73-$H73,0),IF(Option=2,MAX($H73-$I73,0),0)),0))</f>
        <v> </v>
      </c>
      <c r="S73" s="286" t="str">
        <f aca="false">IF($A73="N/A"," ",IF(Dayrun&gt;=6,IF(Option=1,MAX($J73-H73,0),IF(Option=2,MAX(H73-$J73,0),0)),0))</f>
        <v> </v>
      </c>
      <c r="T73" s="286" t="str">
        <f aca="false">IF($A73="N/A"," ",IF(OR(Dayrun&lt;=2,Dayrun&gt;=9),IF(Option=1,MAX($K73-$H73,0),IF(Option=2,MAX($H73-$K73,0),0)),0))</f>
        <v> </v>
      </c>
      <c r="U73" s="286" t="str">
        <f aca="false">IF($A73="N/A"," ",IF(OR(Dayrun=1,Dayrun=4,Dayrun=5,Dayrun=7,Dayrun=8,Dayrun=10,Dayrun=11),IF(Option=1,MAX($L73-H73,0),IF(Option=2,MAX(H73-$L73,0),0)),0))</f>
        <v> </v>
      </c>
      <c r="V73" s="286" t="str">
        <f aca="false">IF($A73="N/A"," ",IF(OR(Dayrun=1,Dayrun=7,Dayrun=8,Dayrun=10,Dayrun=11),IF(Option=1,MAX($M73-H73,0),IF(Option=2,MAX(H73-$M73,0),0)),0))</f>
        <v> </v>
      </c>
      <c r="W73" s="286" t="str">
        <f aca="false">IF($A73="N/A"," ",IF(OR(Dayrun&lt;=2,Dayrun&gt;=10),IF(Option=1,MAX($N73-$H73,0),IF(Option=2,MAX($H73-$N73,0),0)),0))</f>
        <v> </v>
      </c>
      <c r="X73" s="286" t="str">
        <f aca="false">IF($A73="N/A"," ",IF(OR(Dayrun=1,Dayrun=5,Dayrun=8,Dayrun=11),IF(Option=1,MAX($O73-H73,0),IF(Option=2,MAX(H73-$O73,0),0)),0))</f>
        <v> </v>
      </c>
      <c r="Y73" s="286" t="str">
        <f aca="false">IF($A73="N/A"," ",IF(OR(Dayrun=1,Dayrun=8,Dayrun=11),IF(Option=1,MAX($P73-H73,0),IF(Option=2,MAX(H73-$P73,0),0)),0))</f>
        <v> </v>
      </c>
      <c r="Z73" s="293" t="str">
        <f aca="false">IF($A73="N/A"," ",IF(OR(Dayrun&lt;=2,Dayrun&gt;=11),IF(Option=1,MAX($Q73-$H73,0),IF(Option=2,MAX($H73-$Q73,0),0)),0))</f>
        <v> </v>
      </c>
      <c r="AA73" s="289" t="str">
        <f aca="false">IF($A73="N/A"," ",IF(Dayrun&gt;=3,(MAX(0,(xSPRDOPT(I73,($E73-'Pricing Inputs'!$X108*$D73),$CV73,0,($CN73+IF(Smile=TRUE(),VLOOKUP(MAX(-5,$H73-I73),Volsmile,2),0)),$CT73,$CU73,($A73-DateToday)+15,ABS(Option-2),0)-R73))),0))</f>
        <v> </v>
      </c>
      <c r="AB73" s="290" t="str">
        <f aca="false">IF($A73="N/A"," ",IF(Dayrun&gt;=6,MAX(0,(xSPRDOPT(J73,($E73-'Pricing Inputs'!$X108*$D73),$CV73,0,($CN73+IF(Smile=TRUE(),VLOOKUP(MAX(-5,$H73-J73),Volsmile,2),0)),$CT73,$CU73,($A73-DateToday)+15,ABS(Option-2),0)-S73)),0))</f>
        <v> </v>
      </c>
      <c r="AC73" s="290" t="str">
        <f aca="false">IF($A73="N/A"," ",IF(OR(Dayrun&lt;=2,Dayrun&gt;=9),IF(OffPeakEx=TRUE(),MAX(0,(xSPRDOPT(K73,($E73-'Pricing Inputs'!$X108*$D73),$CV73,0,($CQ73+IF(Smile=TRUE(),VLOOKUP(MAX(-5,$H73-K73),Volsmile,2),0)),$CT73,$CU73,($A73-DateToday)+15,ABS(Option-2),0)-T73)),0),0))</f>
        <v> </v>
      </c>
      <c r="AD73" s="290" t="str">
        <f aca="false">IF($A73="N/A"," ",IF(OR(Dayrun=1,Dayrun=4,Dayrun=5,Dayrun=7,Dayrun=8,Dayrun=10,Dayrun=11),MAX(0,(xSPRDOPT(L73,($E73-'Pricing Inputs'!$X108*$D73),$CV73,0,($CQ73+IF(Smile=TRUE(),VLOOKUP(MAX(-5,$H73-L73),Volsmile,2),0)),$CT73,$CU73,($A73-DateToday)+15,ABS(Option-2),0)-U73)),0))</f>
        <v> </v>
      </c>
      <c r="AE73" s="290" t="str">
        <f aca="false">IF($A73="N/A"," ",IF(OR(Dayrun=1,Dayrun=7,Dayrun=8,Dayrun=10,Dayrun=11),MAX(0,(xSPRDOPT(M73,($E73-'Pricing Inputs'!$X108*$D73),$CV73,0,($CQ73+IF(Smile=TRUE(),VLOOKUP(MAX(-5,$H73-M73),Volsmile,2),0)),$CT73,$CU73,($A73-DateToday)+15,ABS(Option-2),0)-V73)),0))</f>
        <v> </v>
      </c>
      <c r="AF73" s="290" t="str">
        <f aca="false">IF($A73="N/A"," ",IF(OR(Dayrun&lt;=2,Dayrun&gt;=10),IF(OffPeakEx=TRUE(),MAX(0,(xSPRDOPT(N73,($E73-'Pricing Inputs'!$X108*$D73),$CV73,0,($CQ73+IF(Smile=TRUE(),VLOOKUP(MAX(-5,$H73-N73),Volsmile,2),0)),$CT73,$CU73,($A73-DateToday)+15,ABS(Option-2),0)-W73)),0),0))</f>
        <v> </v>
      </c>
      <c r="AG73" s="290" t="str">
        <f aca="false">IF($A73="N/A"," ",IF(OR(Dayrun=1,Dayrun=5,Dayrun=8,Dayrun=11),MAX(0,(xSPRDOPT(O73,($E73-'Pricing Inputs'!$X108*$D73),$CV73,0,($CQ73+IF(Smile=TRUE(),VLOOKUP(MAX(-5,$H73-O73),Volsmile,2),0)),$CT73,$CU73,($A73-DateToday)+15,ABS(Option-2),0)-X73)),0))</f>
        <v> </v>
      </c>
      <c r="AH73" s="290" t="str">
        <f aca="false">IF($A73="N/A"," ",IF(OR(Dayrun=1,Dayrun=8,Dayrun=11),MAX(0,(xSPRDOPT(P73,($E73-'Pricing Inputs'!$X108*$D73),$CV73,0,($CQ73+IF(Smile=TRUE(),VLOOKUP(MAX(-5,$H73-P73),Volsmile,2),0)),$CT73,$CU73,($A73-DateToday)+15,ABS(Option-2),0)-Y73)),0))</f>
        <v> </v>
      </c>
      <c r="AI73" s="290" t="str">
        <f aca="false">IF($A73="N/A"," ",IF(OR(Dayrun&lt;=2,Dayrun&gt;=11),IF(OffPeakEx=TRUE(),MAX(0,(xSPRDOPT(Q73,($E73-'Pricing Inputs'!$X108*$D73),$CV73,0,($CQ73+IF(Smile=TRUE(),VLOOKUP(MAX(-5,$H73-Q73),Volsmile,2),0)),$CT73,$CU73,($A73-DateToday)+15,ABS(Option-2),0)-Z73)),0),0))</f>
        <v> </v>
      </c>
      <c r="AJ73" s="294" t="str">
        <f aca="false">IF($A73="N/A"," ",IF(Dayrun&gt;=3,IF(Option=1,$I73-$H73,IF(Option=2,$H73-$I73)),0))</f>
        <v> </v>
      </c>
      <c r="AK73" s="295" t="str">
        <f aca="false">IF($A73="N/A"," ",IF(Dayrun&gt;=6,IF(Option=1,$J73-H73,IF(Option=2,H73-$J73)),0))</f>
        <v> </v>
      </c>
      <c r="AL73" s="295" t="str">
        <f aca="false">IF($A73="N/A"," ",IF(OR(Dayrun&lt;=2,Dayrun&gt;=9),IF(Option=1,$K73-$H73,IF(Option=2,$H73-$K73)),0))</f>
        <v> </v>
      </c>
      <c r="AM73" s="295" t="str">
        <f aca="false">IF($A73="N/A"," ",IF(OR(Dayrun=1,Dayrun=4,Dayrun=5,Dayrun=7,Dayrun=8,Dayrun=10,Dayrun=11),IF(Option=1,$L73-H73,IF(Option=2,H73-$L73)),0))</f>
        <v> </v>
      </c>
      <c r="AN73" s="295" t="str">
        <f aca="false">IF($A73="N/A"," ",IF(OR(Dayrun=1,Dayrun=7,Dayrun=8,Dayrun=10,Dayrun=11),IF(Option=1,$M73-H73,IF(Option=2,H73-$M73)),0))</f>
        <v> </v>
      </c>
      <c r="AO73" s="295" t="str">
        <f aca="false">IF($A73="N/A"," ",IF(OR(Dayrun&lt;=2,Dayrun&gt;=9),IF(Option=1,$N73-$H73,IF(Option=2,$H73-$N73)),0))</f>
        <v> </v>
      </c>
      <c r="AP73" s="295" t="str">
        <f aca="false">IF($A73="N/A"," ",IF(OR(Dayrun=1,Dayrun=5,Dayrun=8,Dayrun=11),IF(Option=1,$O73-H73,IF(Option=2,H73-$O73)),0))</f>
        <v> </v>
      </c>
      <c r="AQ73" s="295" t="str">
        <f aca="false">IF($A73="N/A"," ",IF(OR(Dayrun=1,Dayrun=8,Dayrun=11),IF(Option=1,$P73-H73,IF(Option=2,H73-$P73)),0))</f>
        <v> </v>
      </c>
      <c r="AR73" s="296" t="str">
        <f aca="false">IF($A73="N/A"," ",IF(OR(Dayrun&lt;=2,Dayrun&gt;=9),IF(Option=1,$Q73-H73,IF(Option=2,H73-$Q73)),0))</f>
        <v> </v>
      </c>
      <c r="AS73" s="297" t="str">
        <f aca="false">IF($A73="N/A"," ",IF(VLOOKUP(MONTH($A73),ManualTable,2)=1,IF(Dayrun&gt;=3,$DE73*8*$CY73,0),0))</f>
        <v> </v>
      </c>
      <c r="AT73" s="297" t="str">
        <f aca="false">IF($A73="N/A"," ",IF(VLOOKUP(MONTH($A73),ManualTable,3)=1,IF(Dayrun&gt;=6,$DE73*8*$CY73,0),0))</f>
        <v> </v>
      </c>
      <c r="AU73" s="297" t="str">
        <f aca="false">IF($A73="N/A"," ",IF(VLOOKUP(MONTH($A73),ManualTable,4)=1,IF(OR(Dayrun&lt;=2,Dayrun&gt;=9),$DE73*8*$CY73,0),0))</f>
        <v> </v>
      </c>
      <c r="AV73" s="297" t="str">
        <f aca="false">IF($A73="N/A"," ",IF(VLOOKUP(MONTH($A73),ManualTable,5)=1,IF(OR(Dayrun=1,Dayrun=4,Dayrun=5,Dayrun=7,Dayrun=8,Dayrun=10,Dayrun=11),$DF73*8*$CY73,0),0))</f>
        <v> </v>
      </c>
      <c r="AW73" s="297" t="str">
        <f aca="false">IF($A73="N/A"," ",IF(VLOOKUP(MONTH($A73),ManualTable,6)=1,IF(OR(Dayrun=1,Dayrun=7,Dayrun=8,Dayrun=10,Dayrun=11),$DF73*8*$CY73,0),0))</f>
        <v> </v>
      </c>
      <c r="AX73" s="297" t="str">
        <f aca="false">IF($A73="N/A"," ",IF(VLOOKUP(MONTH($A73),ManualTable,7)=1,IF(OR(Dayrun&lt;=2,Dayrun&gt;=9),$DF73*8*$CY73,0),0))</f>
        <v> </v>
      </c>
      <c r="AY73" s="297" t="str">
        <f aca="false">IF($A73="N/A"," ",IF(VLOOKUP(MONTH($A73),ManualTable,8)=1,IF(OR(Dayrun=1,Dayrun=5,Dayrun=8,Dayrun=11),$DG73*8*$CY73,0),0))</f>
        <v> </v>
      </c>
      <c r="AZ73" s="297" t="str">
        <f aca="false">IF($A73="N/A"," ",IF(VLOOKUP(MONTH($A73),ManualTable,9)=1,IF(OR(Dayrun=1,Dayrun=8,Dayrun=11),$DG73*8*$CY73,0),0))</f>
        <v> </v>
      </c>
      <c r="BA73" s="298" t="str">
        <f aca="false">IF($A73="N/A"," ",IF(VLOOKUP(MONTH($A73),ManualTable,10)=1,IF(OR(Dayrun&lt;=2,Dayrun&gt;=9),$DG73*8*$CY73,0),0))</f>
        <v> </v>
      </c>
      <c r="BB73" s="299" t="str">
        <f aca="false">IF($A73="N/A"," ",IF(Dayrun&gt;=3,(MAX(0,(xSPRDOPT(I73,($E73-'Pricing Inputs'!$X108*$D73),$CV73,0,($CN73+IF(Smile=TRUE(),VLOOKUP(MAX(-5,$H73-I73),Volsmile,2),0)),$CT73,$CU73,($A73-DateToday)+15,ABS(Option-2),1)*DE73*8))),0))</f>
        <v> </v>
      </c>
      <c r="BC73" s="300" t="str">
        <f aca="false">IF($A73="N/A"," ",IF(Dayrun&gt;=6,MAX(0,(xSPRDOPT(J73,($E73-'Pricing Inputs'!$X108*$D73),$CV73,0,($CN73+IF(Smile=TRUE(),VLOOKUP(MAX(-5,$H73-J73),Volsmile,2),0)),$CT73,$CU73,($A73-DateToday)+15,ABS(Option-2),1)*DE73*8)),0))</f>
        <v> </v>
      </c>
      <c r="BD73" s="300" t="str">
        <f aca="false">IF($A73="N/A"," ",IF(OR(Dayrun&lt;=2,Dayrun&gt;=9),IF(OffPeakEx=TRUE(),MAX(0,(xSPRDOPT(K73,($E73-'Pricing Inputs'!$X108*$D73),$CV73,0,($CQ73+IF(Smile=TRUE(),VLOOKUP(MAX(-5,$H73-K73),Volsmile,2),0)),$CT73,$CU73,($A73-DateToday)+15,ABS(Option-2),1)*DE73*8)),0),0))</f>
        <v> </v>
      </c>
      <c r="BE73" s="300" t="str">
        <f aca="false">IF($A73="N/A"," ",IF(OR(Dayrun=1,Dayrun=4,Dayrun=5,Dayrun=7,Dayrun=8,Dayrun=10,Dayrun=11),MAX(0,(xSPRDOPT(L73,($E73-'Pricing Inputs'!$X108*$D73),$CV73,0,($CQ73+IF(Smile=TRUE(),VLOOKUP(MAX(-5,$H73-L73),Volsmile,2),0)),$CT73,$CU73,($A73-DateToday)+15,ABS(Option-2),1)*DF73*8)),0))</f>
        <v> </v>
      </c>
      <c r="BF73" s="300" t="str">
        <f aca="false">IF($A73="N/A"," ",IF(OR(Dayrun=1,Dayrun=7,Dayrun=8,Dayrun=10,Dayrun=11),MAX(0,(xSPRDOPT(M73,($E73-'Pricing Inputs'!$X108*$D73),$CV73,0,($CQ73+IF(Smile=TRUE(),VLOOKUP(MAX(-5,$H73-M73),Volsmile,2),0)),$CT73,$CU73,($A73-DateToday)+15,ABS(Option-2),1)*DF73*8)),0))</f>
        <v> </v>
      </c>
      <c r="BG73" s="300" t="str">
        <f aca="false">IF($A73="N/A"," ",IF(OR(Dayrun&lt;=2,Dayrun&gt;=10),IF(OffPeakEx=TRUE(),MAX(0,(xSPRDOPT(N73,($E73-'Pricing Inputs'!$X108*$D73),$CV73,0,($CQ73+IF(Smile=TRUE(),VLOOKUP(MAX(-5,$H73-N73),Volsmile,2),0)),$CT73,$CU73,($A73-DateToday)+15,ABS(Option-2),1)*DF73*8)),0),0))</f>
        <v> </v>
      </c>
      <c r="BH73" s="300" t="str">
        <f aca="false">IF($A73="N/A"," ",IF(OR(Dayrun=1,Dayrun=5,Dayrun=8,Dayrun=11),MAX(0,(xSPRDOPT(O73,($E73-'Pricing Inputs'!$X108*$D73),$CV73,0,($CQ73+IF(Smile=TRUE(),VLOOKUP(MAX(-5,$H73-O73),Volsmile,2),0)),$CT73,$CU73,($A73-DateToday)+15,ABS(Option-2),1)*DG73*8)),0))</f>
        <v> </v>
      </c>
      <c r="BI73" s="300" t="str">
        <f aca="false">IF($A73="N/A"," ",IF(OR(Dayrun=1,Dayrun=8,Dayrun=11),MAX(0,(xSPRDOPT(P73,($E73-'Pricing Inputs'!$X108*$D73),$CV73,0,($CQ73+IF(Smile=TRUE(),VLOOKUP(MAX(-5,$H73-P73),Volsmile,2),0)),$CT73,$CU73,($A73-DateToday)+15,ABS(Option-2),1)*DG73*8)),0))</f>
        <v> </v>
      </c>
      <c r="BJ73" s="301" t="str">
        <f aca="false">IF($A73="N/A"," ",IF(OR(Dayrun&lt;=2,Dayrun&gt;=11),IF(OffPeakEx=TRUE(),MAX(0,(xSPRDOPT(Q73,($E73-'Pricing Inputs'!$X108*$D73),$CV73,0,($CQ73+IF(Smile=TRUE(),VLOOKUP(MAX(-5,$H73-Q73),Volsmile,2),0)),$CT73,$CU73,($A73-DateToday)+15,ABS(Option-2),1)*DG73*8)),0),0))</f>
        <v> </v>
      </c>
      <c r="BK73" s="302" t="str">
        <f aca="false">IF($A73="N/A"," ",R73*$AS73)</f>
        <v> </v>
      </c>
      <c r="BL73" s="303" t="str">
        <f aca="false">IF($A73="N/A"," ",S73*$AT73)</f>
        <v> </v>
      </c>
      <c r="BM73" s="303" t="str">
        <f aca="false">IF($A73="N/A"," ",T73*$AU73)</f>
        <v> </v>
      </c>
      <c r="BN73" s="303" t="str">
        <f aca="false">IF($A73="N/A"," ",U73*$AV73)</f>
        <v> </v>
      </c>
      <c r="BO73" s="303" t="str">
        <f aca="false">IF($A73="N/A"," ",V73*$AW73)</f>
        <v> </v>
      </c>
      <c r="BP73" s="303" t="str">
        <f aca="false">IF($A73="N/A"," ",W73*$AX73)</f>
        <v> </v>
      </c>
      <c r="BQ73" s="303" t="str">
        <f aca="false">IF($A73="N/A"," ",X73*$AY73)</f>
        <v> </v>
      </c>
      <c r="BR73" s="303" t="str">
        <f aca="false">IF($A73="N/A"," ",Y73*$AZ73)</f>
        <v> </v>
      </c>
      <c r="BS73" s="304" t="str">
        <f aca="false">IF($A73="N/A"," ",Z73*$BA73)</f>
        <v> </v>
      </c>
      <c r="BT73" s="305" t="str">
        <f aca="false">IF($A73="N/A"," ",AA73*$AS73)</f>
        <v> </v>
      </c>
      <c r="BU73" s="306" t="str">
        <f aca="false">IF($A73="N/A"," ",AB73*$AT73)</f>
        <v> </v>
      </c>
      <c r="BV73" s="306" t="str">
        <f aca="false">IF($A73="N/A"," ",AC73*$AU73)</f>
        <v> </v>
      </c>
      <c r="BW73" s="306" t="str">
        <f aca="false">IF($A73="N/A"," ",AD73*$AV73)</f>
        <v> </v>
      </c>
      <c r="BX73" s="306" t="str">
        <f aca="false">IF($A73="N/A"," ",AE73*$AW73)</f>
        <v> </v>
      </c>
      <c r="BY73" s="306" t="str">
        <f aca="false">IF($A73="N/A"," ",AF73*$AX73)</f>
        <v> </v>
      </c>
      <c r="BZ73" s="306" t="str">
        <f aca="false">IF($A73="N/A"," ",AG73*$AY73)</f>
        <v> </v>
      </c>
      <c r="CA73" s="306" t="str">
        <f aca="false">IF($A73="N/A"," ",AH73*$AZ73)</f>
        <v> </v>
      </c>
      <c r="CB73" s="307" t="str">
        <f aca="false">IF($A73="N/A"," ",AI73*$BA73)</f>
        <v> </v>
      </c>
      <c r="CC73" s="308" t="str">
        <f aca="false">IF($A73="N/A"," ",AJ73*$AS73)</f>
        <v> </v>
      </c>
      <c r="CD73" s="309" t="str">
        <f aca="false">IF($A73="N/A"," ",AK73*$AT73)</f>
        <v> </v>
      </c>
      <c r="CE73" s="309" t="str">
        <f aca="false">IF($A73="N/A"," ",AL73*$AU73)</f>
        <v> </v>
      </c>
      <c r="CF73" s="309" t="str">
        <f aca="false">IF($A73="N/A"," ",AM73*$AV73)</f>
        <v> </v>
      </c>
      <c r="CG73" s="309" t="str">
        <f aca="false">IF($A73="N/A"," ",AN73*$AW73)</f>
        <v> </v>
      </c>
      <c r="CH73" s="309" t="str">
        <f aca="false">IF($A73="N/A"," ",AO73*$AX73)</f>
        <v> </v>
      </c>
      <c r="CI73" s="309" t="str">
        <f aca="false">IF($A73="N/A"," ",AP73*$AY73)</f>
        <v> </v>
      </c>
      <c r="CJ73" s="309" t="str">
        <f aca="false">IF($A73="N/A"," ",AQ73*$AZ73)</f>
        <v> </v>
      </c>
      <c r="CK73" s="310" t="str">
        <f aca="false">IF($A73="N/A"," ",AR73*$BA73)</f>
        <v> </v>
      </c>
      <c r="CL73" s="311" t="str">
        <f aca="false">IF(A73="N/A"," ",(VLOOKUP(A73,PowerVolTable,(IF(VolBMO=2,7,IF(VolBMO=1,6,8))),FALSE())))</f>
        <v> </v>
      </c>
      <c r="CM73" s="312" t="str">
        <f aca="false">IF(A73="N/A"," ",(VLOOKUP(A73,IntraPowerVol,(IF(VolBMO=2,3,IF(VolBMO=1,2,4))),FALSE())*VLOOKUP(MONTH($A73),Volscale,2)))</f>
        <v> </v>
      </c>
      <c r="CN73" s="312" t="str">
        <f aca="false">IF($A73="N/A"," ",IF(VolType=1,CM73,CL73))</f>
        <v> </v>
      </c>
      <c r="CO73" s="312" t="str">
        <f aca="false">IF($A73="N/A"," ",(VLOOKUP($A73,OffPeakVol,(IF(VolBMO=2,7,IF(VolBMO=1,6,8))),FALSE())))</f>
        <v> </v>
      </c>
      <c r="CP73" s="312" t="str">
        <f aca="false">IF($A73="N/A"," ",(VLOOKUP($A73,OffPeakVol,(IF(VolBMO=2,3,IF(VolBMO=1,2,4))),FALSE())*VLOOKUP(MONTH($A73),Volscale,2)))</f>
        <v> </v>
      </c>
      <c r="CQ73" s="312" t="str">
        <f aca="false">IF($A73="N/A"," ",IF(VolType=1,CP73,CO73))</f>
        <v> </v>
      </c>
      <c r="CR73" s="312" t="str">
        <f aca="false">IF($A73="N/A"," ",(VLOOKUP($A73,GasVolTable,(IF(VolBMO=2,6,IF(VolBMO=1,7,5))),FALSE())))</f>
        <v> </v>
      </c>
      <c r="CS73" s="312" t="str">
        <f aca="false">IF($A73="N/A"," ",(VLOOKUP($A73,OmicronVol,(IF(VolBMO=2,3,IF(VolBMO=1,4,2))),FALSE())))</f>
        <v> </v>
      </c>
      <c r="CT73" s="312" t="str">
        <f aca="false">IF($A73="N/A"," ",(IF(DateToday&gt;$A73,$CS73,IF(VolType=1,((($CR73^2)*((($A73-1)-DateToday)/((EOMONTH($A73,0)+1)-DateToday-15)))+((($CS73)^2)*((15)/((EOMONTH($A73,0)+1)-DateToday-15))))^0.5,CR73))))</f>
        <v> </v>
      </c>
      <c r="CU73" s="312" t="str">
        <f aca="false">IF($A73="N/A"," ",IF('Pricing Inputs'!$AR$23=TRUE(),Inputs!$S$22,VLOOKUP($A73,CorrelationTable,2,FALSE())))</f>
        <v> </v>
      </c>
      <c r="CV73" s="313" t="str">
        <f aca="false">IF($A73="N/A"," ",F73+G73+(D73*('Pricing Inputs'!X108)))</f>
        <v> </v>
      </c>
      <c r="CW73" s="314" t="str">
        <f aca="false">IF($A73="N/A"," ",IF(PV=1,0,'Pricing Inputs'!Y108))</f>
        <v> </v>
      </c>
      <c r="CX73" s="315" t="str">
        <f aca="false">IF($A73="N/A"," ",(1+CW73/2)^(-2*((EOMONTH(A73,0)+20)-DateToday)/365.25))</f>
        <v> </v>
      </c>
      <c r="CY73" s="316" t="str">
        <f aca="false">IF($A73="N/A"," ",(IF(MONTH(A73)&gt;=4,IF(MONTH(A73)&lt;=10,Inputs!$S$26,Inputs!$S$27),Inputs!$S$27))*$CX73)</f>
        <v> </v>
      </c>
      <c r="CZ73" s="317" t="str">
        <f aca="false">IF($A73="N/A"," ",BK73+BL73+BN73+BO73+BQ73+BR73)</f>
        <v> </v>
      </c>
      <c r="DA73" s="318" t="str">
        <f aca="false">IF($A73="N/A"," ",BM73+BP73+BS73)</f>
        <v> </v>
      </c>
      <c r="DB73" s="319" t="str">
        <f aca="false">IF($A73="N/A"," ",BT73+BU73+BW73+BX73+BZ73+CA73)</f>
        <v> </v>
      </c>
      <c r="DC73" s="319" t="str">
        <f aca="false">IF($A73="N/A"," ",BV73+BY73+CB73)</f>
        <v> </v>
      </c>
      <c r="DD73" s="320" t="str">
        <f aca="false">IF($A73="N/A"," ",SUM(CC73:CK73))</f>
        <v> </v>
      </c>
      <c r="DE73" s="321" t="str">
        <f aca="false">IF($A73="N/A"," ",VLOOKUP($A73,NumberofDaysTable,2)*Availability)</f>
        <v> </v>
      </c>
      <c r="DF73" s="94" t="str">
        <f aca="false">IF($A73="N/A"," ",VLOOKUP($A73,NumberofDaysTable,3)*Availability)</f>
        <v> </v>
      </c>
      <c r="DG73" s="322" t="str">
        <f aca="false">IF($A73="N/A"," ",VLOOKUP($A73,NumberofDaysTable,4)*Availability)</f>
        <v> </v>
      </c>
      <c r="DH73" s="323" t="str">
        <f aca="false">IF($A73="N/A"," ",IF(Option=1,$D73*Inputs!$S$15*SUM(AS73:BA73),0))</f>
        <v> </v>
      </c>
      <c r="DI73" s="324" t="str">
        <f aca="false">IF($A73="N/A"," ",IF(Option=1,$D73*Inputs!$S$16*SUM(AS73:BA73),0))</f>
        <v> </v>
      </c>
      <c r="DJ73" s="325" t="str">
        <f aca="false">IF($A73="N/A"," ",SUM(AS73:AT73))</f>
        <v> </v>
      </c>
      <c r="DK73" s="325" t="str">
        <f aca="false">IF($A73="N/A"," ",SUM(AU73:BA73))</f>
        <v> </v>
      </c>
      <c r="DL73" s="325" t="str">
        <f aca="false">IF($A73="N/A"," ",SUM(BB73:BC73))</f>
        <v> </v>
      </c>
      <c r="DM73" s="325" t="str">
        <f aca="false">IF($A73="N/A"," ",SUM(BD73:BJ73))</f>
        <v> </v>
      </c>
    </row>
    <row r="74" customFormat="false" ht="12.75" hidden="false" customHeight="false" outlineLevel="0" collapsed="false">
      <c r="A74" s="282" t="str">
        <f aca="false">IF(A73="N/A","N/A",IF(EDATE(A73,1)&gt;Inputs!$S$5,"N/A",EDATE(A73,1)))</f>
        <v>N/A</v>
      </c>
      <c r="B74" s="283" t="str">
        <f aca="false">IF(A74="N/A"," ",YEAR(A74))</f>
        <v> </v>
      </c>
      <c r="C74" s="284" t="str">
        <f aca="false">IF(A74="N/A"," ",VLOOKUP(A74,ScaledPrice,14))</f>
        <v> </v>
      </c>
      <c r="D74" s="285" t="str">
        <f aca="false">IF(A74="N/A"," ",(VLOOKUP(MONTH($A74),Hrtable,2))/1000)</f>
        <v> </v>
      </c>
      <c r="E74" s="286" t="str">
        <f aca="false">IF($A74="N/A"," ",(C74)*D74)</f>
        <v> </v>
      </c>
      <c r="F74" s="287" t="str">
        <f aca="false">IF(A74="N/A"," ",VOM*(1+VOMesc)^(YEAR(A74)-YEAR(Today)))</f>
        <v> </v>
      </c>
      <c r="G74" s="287" t="str">
        <f aca="false">IF(A74="N/A"," ",Perstart/VLOOKUP(Dayrun,'Pricing Inputs'!$AQ$4:$AS$14,3)/(CY74/CX74))</f>
        <v> </v>
      </c>
      <c r="H74" s="288" t="str">
        <f aca="false">IF(A74="N/A"," ",SUM(E74:G74))</f>
        <v> </v>
      </c>
      <c r="I74" s="289" t="str">
        <f aca="false">VLOOKUP($A74,ScaledPrice,6)</f>
        <v> </v>
      </c>
      <c r="J74" s="290" t="str">
        <f aca="false">VLOOKUP($A74,ScaledPrice,10)</f>
        <v> </v>
      </c>
      <c r="K74" s="290" t="str">
        <f aca="false">VLOOKUP($A74,ScaledPrice,13)</f>
        <v> </v>
      </c>
      <c r="L74" s="290" t="str">
        <f aca="false">VLOOKUP($A74,ScaledPrice,7)</f>
        <v> </v>
      </c>
      <c r="M74" s="290" t="str">
        <f aca="false">VLOOKUP($A74,ScaledPrice,11)</f>
        <v> </v>
      </c>
      <c r="N74" s="290" t="str">
        <f aca="false">VLOOKUP($A74,ScaledPrice,13)</f>
        <v> </v>
      </c>
      <c r="O74" s="290" t="str">
        <f aca="false">VLOOKUP($A74,ScaledPrice,8)</f>
        <v> </v>
      </c>
      <c r="P74" s="290" t="str">
        <f aca="false">VLOOKUP($A74,ScaledPrice,12)</f>
        <v> </v>
      </c>
      <c r="Q74" s="291" t="str">
        <f aca="false">VLOOKUP($A74,ScaledPrice,13)</f>
        <v> </v>
      </c>
      <c r="R74" s="292" t="str">
        <f aca="false">IF($A74="N/A"," ",IF(Dayrun&gt;=3,IF(Option=1,MAX($I74-$H74,0),IF(Option=2,MAX($H74-$I74,0),0)),0))</f>
        <v> </v>
      </c>
      <c r="S74" s="286" t="str">
        <f aca="false">IF($A74="N/A"," ",IF(Dayrun&gt;=6,IF(Option=1,MAX($J74-H74,0),IF(Option=2,MAX(H74-$J74,0),0)),0))</f>
        <v> </v>
      </c>
      <c r="T74" s="286" t="str">
        <f aca="false">IF($A74="N/A"," ",IF(OR(Dayrun&lt;=2,Dayrun&gt;=9),IF(Option=1,MAX($K74-$H74,0),IF(Option=2,MAX($H74-$K74,0),0)),0))</f>
        <v> </v>
      </c>
      <c r="U74" s="286" t="str">
        <f aca="false">IF($A74="N/A"," ",IF(OR(Dayrun=1,Dayrun=4,Dayrun=5,Dayrun=7,Dayrun=8,Dayrun=10,Dayrun=11),IF(Option=1,MAX($L74-H74,0),IF(Option=2,MAX(H74-$L74,0),0)),0))</f>
        <v> </v>
      </c>
      <c r="V74" s="286" t="str">
        <f aca="false">IF($A74="N/A"," ",IF(OR(Dayrun=1,Dayrun=7,Dayrun=8,Dayrun=10,Dayrun=11),IF(Option=1,MAX($M74-H74,0),IF(Option=2,MAX(H74-$M74,0),0)),0))</f>
        <v> </v>
      </c>
      <c r="W74" s="286" t="str">
        <f aca="false">IF($A74="N/A"," ",IF(OR(Dayrun&lt;=2,Dayrun&gt;=10),IF(Option=1,MAX($N74-$H74,0),IF(Option=2,MAX($H74-$N74,0),0)),0))</f>
        <v> </v>
      </c>
      <c r="X74" s="286" t="str">
        <f aca="false">IF($A74="N/A"," ",IF(OR(Dayrun=1,Dayrun=5,Dayrun=8,Dayrun=11),IF(Option=1,MAX($O74-H74,0),IF(Option=2,MAX(H74-$O74,0),0)),0))</f>
        <v> </v>
      </c>
      <c r="Y74" s="286" t="str">
        <f aca="false">IF($A74="N/A"," ",IF(OR(Dayrun=1,Dayrun=8,Dayrun=11),IF(Option=1,MAX($P74-H74,0),IF(Option=2,MAX(H74-$P74,0),0)),0))</f>
        <v> </v>
      </c>
      <c r="Z74" s="293" t="str">
        <f aca="false">IF($A74="N/A"," ",IF(OR(Dayrun&lt;=2,Dayrun&gt;=11),IF(Option=1,MAX($Q74-$H74,0),IF(Option=2,MAX($H74-$Q74,0),0)),0))</f>
        <v> </v>
      </c>
      <c r="AA74" s="289" t="str">
        <f aca="false">IF($A74="N/A"," ",IF(Dayrun&gt;=3,(MAX(0,(xSPRDOPT(I74,($E74-'Pricing Inputs'!$X109*$D74),$CV74,0,($CN74+IF(Smile=TRUE(),VLOOKUP(MAX(-5,$H74-I74),Volsmile,2),0)),$CT74,$CU74,($A74-DateToday)+15,ABS(Option-2),0)-R74))),0))</f>
        <v> </v>
      </c>
      <c r="AB74" s="290" t="str">
        <f aca="false">IF($A74="N/A"," ",IF(Dayrun&gt;=6,MAX(0,(xSPRDOPT(J74,($E74-'Pricing Inputs'!$X109*$D74),$CV74,0,($CN74+IF(Smile=TRUE(),VLOOKUP(MAX(-5,$H74-J74),Volsmile,2),0)),$CT74,$CU74,($A74-DateToday)+15,ABS(Option-2),0)-S74)),0))</f>
        <v> </v>
      </c>
      <c r="AC74" s="290" t="str">
        <f aca="false">IF($A74="N/A"," ",IF(OR(Dayrun&lt;=2,Dayrun&gt;=9),IF(OffPeakEx=TRUE(),MAX(0,(xSPRDOPT(K74,($E74-'Pricing Inputs'!$X109*$D74),$CV74,0,($CQ74+IF(Smile=TRUE(),VLOOKUP(MAX(-5,$H74-K74),Volsmile,2),0)),$CT74,$CU74,($A74-DateToday)+15,ABS(Option-2),0)-T74)),0),0))</f>
        <v> </v>
      </c>
      <c r="AD74" s="290" t="str">
        <f aca="false">IF($A74="N/A"," ",IF(OR(Dayrun=1,Dayrun=4,Dayrun=5,Dayrun=7,Dayrun=8,Dayrun=10,Dayrun=11),MAX(0,(xSPRDOPT(L74,($E74-'Pricing Inputs'!$X109*$D74),$CV74,0,($CQ74+IF(Smile=TRUE(),VLOOKUP(MAX(-5,$H74-L74),Volsmile,2),0)),$CT74,$CU74,($A74-DateToday)+15,ABS(Option-2),0)-U74)),0))</f>
        <v> </v>
      </c>
      <c r="AE74" s="290" t="str">
        <f aca="false">IF($A74="N/A"," ",IF(OR(Dayrun=1,Dayrun=7,Dayrun=8,Dayrun=10,Dayrun=11),MAX(0,(xSPRDOPT(M74,($E74-'Pricing Inputs'!$X109*$D74),$CV74,0,($CQ74+IF(Smile=TRUE(),VLOOKUP(MAX(-5,$H74-M74),Volsmile,2),0)),$CT74,$CU74,($A74-DateToday)+15,ABS(Option-2),0)-V74)),0))</f>
        <v> </v>
      </c>
      <c r="AF74" s="290" t="str">
        <f aca="false">IF($A74="N/A"," ",IF(OR(Dayrun&lt;=2,Dayrun&gt;=10),IF(OffPeakEx=TRUE(),MAX(0,(xSPRDOPT(N74,($E74-'Pricing Inputs'!$X109*$D74),$CV74,0,($CQ74+IF(Smile=TRUE(),VLOOKUP(MAX(-5,$H74-N74),Volsmile,2),0)),$CT74,$CU74,($A74-DateToday)+15,ABS(Option-2),0)-W74)),0),0))</f>
        <v> </v>
      </c>
      <c r="AG74" s="290" t="str">
        <f aca="false">IF($A74="N/A"," ",IF(OR(Dayrun=1,Dayrun=5,Dayrun=8,Dayrun=11),MAX(0,(xSPRDOPT(O74,($E74-'Pricing Inputs'!$X109*$D74),$CV74,0,($CQ74+IF(Smile=TRUE(),VLOOKUP(MAX(-5,$H74-O74),Volsmile,2),0)),$CT74,$CU74,($A74-DateToday)+15,ABS(Option-2),0)-X74)),0))</f>
        <v> </v>
      </c>
      <c r="AH74" s="290" t="str">
        <f aca="false">IF($A74="N/A"," ",IF(OR(Dayrun=1,Dayrun=8,Dayrun=11),MAX(0,(xSPRDOPT(P74,($E74-'Pricing Inputs'!$X109*$D74),$CV74,0,($CQ74+IF(Smile=TRUE(),VLOOKUP(MAX(-5,$H74-P74),Volsmile,2),0)),$CT74,$CU74,($A74-DateToday)+15,ABS(Option-2),0)-Y74)),0))</f>
        <v> </v>
      </c>
      <c r="AI74" s="290" t="str">
        <f aca="false">IF($A74="N/A"," ",IF(OR(Dayrun&lt;=2,Dayrun&gt;=11),IF(OffPeakEx=TRUE(),MAX(0,(xSPRDOPT(Q74,($E74-'Pricing Inputs'!$X109*$D74),$CV74,0,($CQ74+IF(Smile=TRUE(),VLOOKUP(MAX(-5,$H74-Q74),Volsmile,2),0)),$CT74,$CU74,($A74-DateToday)+15,ABS(Option-2),0)-Z74)),0),0))</f>
        <v> </v>
      </c>
      <c r="AJ74" s="294" t="str">
        <f aca="false">IF($A74="N/A"," ",IF(Dayrun&gt;=3,IF(Option=1,$I74-$H74,IF(Option=2,$H74-$I74)),0))</f>
        <v> </v>
      </c>
      <c r="AK74" s="295" t="str">
        <f aca="false">IF($A74="N/A"," ",IF(Dayrun&gt;=6,IF(Option=1,$J74-H74,IF(Option=2,H74-$J74)),0))</f>
        <v> </v>
      </c>
      <c r="AL74" s="295" t="str">
        <f aca="false">IF($A74="N/A"," ",IF(OR(Dayrun&lt;=2,Dayrun&gt;=9),IF(Option=1,$K74-$H74,IF(Option=2,$H74-$K74)),0))</f>
        <v> </v>
      </c>
      <c r="AM74" s="295" t="str">
        <f aca="false">IF($A74="N/A"," ",IF(OR(Dayrun=1,Dayrun=4,Dayrun=5,Dayrun=7,Dayrun=8,Dayrun=10,Dayrun=11),IF(Option=1,$L74-H74,IF(Option=2,H74-$L74)),0))</f>
        <v> </v>
      </c>
      <c r="AN74" s="295" t="str">
        <f aca="false">IF($A74="N/A"," ",IF(OR(Dayrun=1,Dayrun=7,Dayrun=8,Dayrun=10,Dayrun=11),IF(Option=1,$M74-H74,IF(Option=2,H74-$M74)),0))</f>
        <v> </v>
      </c>
      <c r="AO74" s="295" t="str">
        <f aca="false">IF($A74="N/A"," ",IF(OR(Dayrun&lt;=2,Dayrun&gt;=9),IF(Option=1,$N74-$H74,IF(Option=2,$H74-$N74)),0))</f>
        <v> </v>
      </c>
      <c r="AP74" s="295" t="str">
        <f aca="false">IF($A74="N/A"," ",IF(OR(Dayrun=1,Dayrun=5,Dayrun=8,Dayrun=11),IF(Option=1,$O74-H74,IF(Option=2,H74-$O74)),0))</f>
        <v> </v>
      </c>
      <c r="AQ74" s="295" t="str">
        <f aca="false">IF($A74="N/A"," ",IF(OR(Dayrun=1,Dayrun=8,Dayrun=11),IF(Option=1,$P74-H74,IF(Option=2,H74-$P74)),0))</f>
        <v> </v>
      </c>
      <c r="AR74" s="296" t="str">
        <f aca="false">IF($A74="N/A"," ",IF(OR(Dayrun&lt;=2,Dayrun&gt;=9),IF(Option=1,$Q74-H74,IF(Option=2,H74-$Q74)),0))</f>
        <v> </v>
      </c>
      <c r="AS74" s="297" t="str">
        <f aca="false">IF($A74="N/A"," ",IF(VLOOKUP(MONTH($A74),ManualTable,2)=1,IF(Dayrun&gt;=3,$DE74*8*$CY74,0),0))</f>
        <v> </v>
      </c>
      <c r="AT74" s="297" t="str">
        <f aca="false">IF($A74="N/A"," ",IF(VLOOKUP(MONTH($A74),ManualTable,3)=1,IF(Dayrun&gt;=6,$DE74*8*$CY74,0),0))</f>
        <v> </v>
      </c>
      <c r="AU74" s="297" t="str">
        <f aca="false">IF($A74="N/A"," ",IF(VLOOKUP(MONTH($A74),ManualTable,4)=1,IF(OR(Dayrun&lt;=2,Dayrun&gt;=9),$DE74*8*$CY74,0),0))</f>
        <v> </v>
      </c>
      <c r="AV74" s="297" t="str">
        <f aca="false">IF($A74="N/A"," ",IF(VLOOKUP(MONTH($A74),ManualTable,5)=1,IF(OR(Dayrun=1,Dayrun=4,Dayrun=5,Dayrun=7,Dayrun=8,Dayrun=10,Dayrun=11),$DF74*8*$CY74,0),0))</f>
        <v> </v>
      </c>
      <c r="AW74" s="297" t="str">
        <f aca="false">IF($A74="N/A"," ",IF(VLOOKUP(MONTH($A74),ManualTable,6)=1,IF(OR(Dayrun=1,Dayrun=7,Dayrun=8,Dayrun=10,Dayrun=11),$DF74*8*$CY74,0),0))</f>
        <v> </v>
      </c>
      <c r="AX74" s="297" t="str">
        <f aca="false">IF($A74="N/A"," ",IF(VLOOKUP(MONTH($A74),ManualTable,7)=1,IF(OR(Dayrun&lt;=2,Dayrun&gt;=9),$DF74*8*$CY74,0),0))</f>
        <v> </v>
      </c>
      <c r="AY74" s="297" t="str">
        <f aca="false">IF($A74="N/A"," ",IF(VLOOKUP(MONTH($A74),ManualTable,8)=1,IF(OR(Dayrun=1,Dayrun=5,Dayrun=8,Dayrun=11),$DG74*8*$CY74,0),0))</f>
        <v> </v>
      </c>
      <c r="AZ74" s="297" t="str">
        <f aca="false">IF($A74="N/A"," ",IF(VLOOKUP(MONTH($A74),ManualTable,9)=1,IF(OR(Dayrun=1,Dayrun=8,Dayrun=11),$DG74*8*$CY74,0),0))</f>
        <v> </v>
      </c>
      <c r="BA74" s="298" t="str">
        <f aca="false">IF($A74="N/A"," ",IF(VLOOKUP(MONTH($A74),ManualTable,10)=1,IF(OR(Dayrun&lt;=2,Dayrun&gt;=9),$DG74*8*$CY74,0),0))</f>
        <v> </v>
      </c>
      <c r="BB74" s="299" t="str">
        <f aca="false">IF($A74="N/A"," ",IF(Dayrun&gt;=3,(MAX(0,(xSPRDOPT(I74,($E74-'Pricing Inputs'!$X109*$D74),$CV74,0,($CN74+IF(Smile=TRUE(),VLOOKUP(MAX(-5,$H74-I74),Volsmile,2),0)),$CT74,$CU74,($A74-DateToday)+15,ABS(Option-2),1)*DE74*8))),0))</f>
        <v> </v>
      </c>
      <c r="BC74" s="300" t="str">
        <f aca="false">IF($A74="N/A"," ",IF(Dayrun&gt;=6,MAX(0,(xSPRDOPT(J74,($E74-'Pricing Inputs'!$X109*$D74),$CV74,0,($CN74+IF(Smile=TRUE(),VLOOKUP(MAX(-5,$H74-J74),Volsmile,2),0)),$CT74,$CU74,($A74-DateToday)+15,ABS(Option-2),1)*DE74*8)),0))</f>
        <v> </v>
      </c>
      <c r="BD74" s="300" t="str">
        <f aca="false">IF($A74="N/A"," ",IF(OR(Dayrun&lt;=2,Dayrun&gt;=9),IF(OffPeakEx=TRUE(),MAX(0,(xSPRDOPT(K74,($E74-'Pricing Inputs'!$X109*$D74),$CV74,0,($CQ74+IF(Smile=TRUE(),VLOOKUP(MAX(-5,$H74-K74),Volsmile,2),0)),$CT74,$CU74,($A74-DateToday)+15,ABS(Option-2),1)*DE74*8)),0),0))</f>
        <v> </v>
      </c>
      <c r="BE74" s="300" t="str">
        <f aca="false">IF($A74="N/A"," ",IF(OR(Dayrun=1,Dayrun=4,Dayrun=5,Dayrun=7,Dayrun=8,Dayrun=10,Dayrun=11),MAX(0,(xSPRDOPT(L74,($E74-'Pricing Inputs'!$X109*$D74),$CV74,0,($CQ74+IF(Smile=TRUE(),VLOOKUP(MAX(-5,$H74-L74),Volsmile,2),0)),$CT74,$CU74,($A74-DateToday)+15,ABS(Option-2),1)*DF74*8)),0))</f>
        <v> </v>
      </c>
      <c r="BF74" s="300" t="str">
        <f aca="false">IF($A74="N/A"," ",IF(OR(Dayrun=1,Dayrun=7,Dayrun=8,Dayrun=10,Dayrun=11),MAX(0,(xSPRDOPT(M74,($E74-'Pricing Inputs'!$X109*$D74),$CV74,0,($CQ74+IF(Smile=TRUE(),VLOOKUP(MAX(-5,$H74-M74),Volsmile,2),0)),$CT74,$CU74,($A74-DateToday)+15,ABS(Option-2),1)*DF74*8)),0))</f>
        <v> </v>
      </c>
      <c r="BG74" s="300" t="str">
        <f aca="false">IF($A74="N/A"," ",IF(OR(Dayrun&lt;=2,Dayrun&gt;=10),IF(OffPeakEx=TRUE(),MAX(0,(xSPRDOPT(N74,($E74-'Pricing Inputs'!$X109*$D74),$CV74,0,($CQ74+IF(Smile=TRUE(),VLOOKUP(MAX(-5,$H74-N74),Volsmile,2),0)),$CT74,$CU74,($A74-DateToday)+15,ABS(Option-2),1)*DF74*8)),0),0))</f>
        <v> </v>
      </c>
      <c r="BH74" s="300" t="str">
        <f aca="false">IF($A74="N/A"," ",IF(OR(Dayrun=1,Dayrun=5,Dayrun=8,Dayrun=11),MAX(0,(xSPRDOPT(O74,($E74-'Pricing Inputs'!$X109*$D74),$CV74,0,($CQ74+IF(Smile=TRUE(),VLOOKUP(MAX(-5,$H74-O74),Volsmile,2),0)),$CT74,$CU74,($A74-DateToday)+15,ABS(Option-2),1)*DG74*8)),0))</f>
        <v> </v>
      </c>
      <c r="BI74" s="300" t="str">
        <f aca="false">IF($A74="N/A"," ",IF(OR(Dayrun=1,Dayrun=8,Dayrun=11),MAX(0,(xSPRDOPT(P74,($E74-'Pricing Inputs'!$X109*$D74),$CV74,0,($CQ74+IF(Smile=TRUE(),VLOOKUP(MAX(-5,$H74-P74),Volsmile,2),0)),$CT74,$CU74,($A74-DateToday)+15,ABS(Option-2),1)*DG74*8)),0))</f>
        <v> </v>
      </c>
      <c r="BJ74" s="301" t="str">
        <f aca="false">IF($A74="N/A"," ",IF(OR(Dayrun&lt;=2,Dayrun&gt;=11),IF(OffPeakEx=TRUE(),MAX(0,(xSPRDOPT(Q74,($E74-'Pricing Inputs'!$X109*$D74),$CV74,0,($CQ74+IF(Smile=TRUE(),VLOOKUP(MAX(-5,$H74-Q74),Volsmile,2),0)),$CT74,$CU74,($A74-DateToday)+15,ABS(Option-2),1)*DG74*8)),0),0))</f>
        <v> </v>
      </c>
      <c r="BK74" s="302" t="str">
        <f aca="false">IF($A74="N/A"," ",R74*$AS74)</f>
        <v> </v>
      </c>
      <c r="BL74" s="303" t="str">
        <f aca="false">IF($A74="N/A"," ",S74*$AT74)</f>
        <v> </v>
      </c>
      <c r="BM74" s="303" t="str">
        <f aca="false">IF($A74="N/A"," ",T74*$AU74)</f>
        <v> </v>
      </c>
      <c r="BN74" s="303" t="str">
        <f aca="false">IF($A74="N/A"," ",U74*$AV74)</f>
        <v> </v>
      </c>
      <c r="BO74" s="303" t="str">
        <f aca="false">IF($A74="N/A"," ",V74*$AW74)</f>
        <v> </v>
      </c>
      <c r="BP74" s="303" t="str">
        <f aca="false">IF($A74="N/A"," ",W74*$AX74)</f>
        <v> </v>
      </c>
      <c r="BQ74" s="303" t="str">
        <f aca="false">IF($A74="N/A"," ",X74*$AY74)</f>
        <v> </v>
      </c>
      <c r="BR74" s="303" t="str">
        <f aca="false">IF($A74="N/A"," ",Y74*$AZ74)</f>
        <v> </v>
      </c>
      <c r="BS74" s="304" t="str">
        <f aca="false">IF($A74="N/A"," ",Z74*$BA74)</f>
        <v> </v>
      </c>
      <c r="BT74" s="305" t="str">
        <f aca="false">IF($A74="N/A"," ",AA74*$AS74)</f>
        <v> </v>
      </c>
      <c r="BU74" s="306" t="str">
        <f aca="false">IF($A74="N/A"," ",AB74*$AT74)</f>
        <v> </v>
      </c>
      <c r="BV74" s="306" t="str">
        <f aca="false">IF($A74="N/A"," ",AC74*$AU74)</f>
        <v> </v>
      </c>
      <c r="BW74" s="306" t="str">
        <f aca="false">IF($A74="N/A"," ",AD74*$AV74)</f>
        <v> </v>
      </c>
      <c r="BX74" s="306" t="str">
        <f aca="false">IF($A74="N/A"," ",AE74*$AW74)</f>
        <v> </v>
      </c>
      <c r="BY74" s="306" t="str">
        <f aca="false">IF($A74="N/A"," ",AF74*$AX74)</f>
        <v> </v>
      </c>
      <c r="BZ74" s="306" t="str">
        <f aca="false">IF($A74="N/A"," ",AG74*$AY74)</f>
        <v> </v>
      </c>
      <c r="CA74" s="306" t="str">
        <f aca="false">IF($A74="N/A"," ",AH74*$AZ74)</f>
        <v> </v>
      </c>
      <c r="CB74" s="307" t="str">
        <f aca="false">IF($A74="N/A"," ",AI74*$BA74)</f>
        <v> </v>
      </c>
      <c r="CC74" s="308" t="str">
        <f aca="false">IF($A74="N/A"," ",AJ74*$AS74)</f>
        <v> </v>
      </c>
      <c r="CD74" s="309" t="str">
        <f aca="false">IF($A74="N/A"," ",AK74*$AT74)</f>
        <v> </v>
      </c>
      <c r="CE74" s="309" t="str">
        <f aca="false">IF($A74="N/A"," ",AL74*$AU74)</f>
        <v> </v>
      </c>
      <c r="CF74" s="309" t="str">
        <f aca="false">IF($A74="N/A"," ",AM74*$AV74)</f>
        <v> </v>
      </c>
      <c r="CG74" s="309" t="str">
        <f aca="false">IF($A74="N/A"," ",AN74*$AW74)</f>
        <v> </v>
      </c>
      <c r="CH74" s="309" t="str">
        <f aca="false">IF($A74="N/A"," ",AO74*$AX74)</f>
        <v> </v>
      </c>
      <c r="CI74" s="309" t="str">
        <f aca="false">IF($A74="N/A"," ",AP74*$AY74)</f>
        <v> </v>
      </c>
      <c r="CJ74" s="309" t="str">
        <f aca="false">IF($A74="N/A"," ",AQ74*$AZ74)</f>
        <v> </v>
      </c>
      <c r="CK74" s="310" t="str">
        <f aca="false">IF($A74="N/A"," ",AR74*$BA74)</f>
        <v> </v>
      </c>
      <c r="CL74" s="311" t="str">
        <f aca="false">IF(A74="N/A"," ",(VLOOKUP(A74,PowerVolTable,(IF(VolBMO=2,7,IF(VolBMO=1,6,8))),FALSE())))</f>
        <v> </v>
      </c>
      <c r="CM74" s="312" t="str">
        <f aca="false">IF(A74="N/A"," ",(VLOOKUP(A74,IntraPowerVol,(IF(VolBMO=2,3,IF(VolBMO=1,2,4))),FALSE())*VLOOKUP(MONTH($A74),Volscale,2)))</f>
        <v> </v>
      </c>
      <c r="CN74" s="312" t="str">
        <f aca="false">IF($A74="N/A"," ",IF(VolType=1,CM74,CL74))</f>
        <v> </v>
      </c>
      <c r="CO74" s="312" t="str">
        <f aca="false">IF($A74="N/A"," ",(VLOOKUP($A74,OffPeakVol,(IF(VolBMO=2,7,IF(VolBMO=1,6,8))),FALSE())))</f>
        <v> </v>
      </c>
      <c r="CP74" s="312" t="str">
        <f aca="false">IF($A74="N/A"," ",(VLOOKUP($A74,OffPeakVol,(IF(VolBMO=2,3,IF(VolBMO=1,2,4))),FALSE())*VLOOKUP(MONTH($A74),Volscale,2)))</f>
        <v> </v>
      </c>
      <c r="CQ74" s="312" t="str">
        <f aca="false">IF($A74="N/A"," ",IF(VolType=1,CP74,CO74))</f>
        <v> </v>
      </c>
      <c r="CR74" s="312" t="str">
        <f aca="false">IF($A74="N/A"," ",(VLOOKUP($A74,GasVolTable,(IF(VolBMO=2,6,IF(VolBMO=1,7,5))),FALSE())))</f>
        <v> </v>
      </c>
      <c r="CS74" s="312" t="str">
        <f aca="false">IF($A74="N/A"," ",(VLOOKUP($A74,OmicronVol,(IF(VolBMO=2,3,IF(VolBMO=1,4,2))),FALSE())))</f>
        <v> </v>
      </c>
      <c r="CT74" s="312" t="str">
        <f aca="false">IF($A74="N/A"," ",(IF(DateToday&gt;$A74,$CS74,IF(VolType=1,((($CR74^2)*((($A74-1)-DateToday)/((EOMONTH($A74,0)+1)-DateToday-15)))+((($CS74)^2)*((15)/((EOMONTH($A74,0)+1)-DateToday-15))))^0.5,CR74))))</f>
        <v> </v>
      </c>
      <c r="CU74" s="312" t="str">
        <f aca="false">IF($A74="N/A"," ",IF('Pricing Inputs'!$AR$23=TRUE(),Inputs!$S$22,VLOOKUP($A74,CorrelationTable,2,FALSE())))</f>
        <v> </v>
      </c>
      <c r="CV74" s="313" t="str">
        <f aca="false">IF($A74="N/A"," ",F74+G74+(D74*('Pricing Inputs'!X109)))</f>
        <v> </v>
      </c>
      <c r="CW74" s="314" t="str">
        <f aca="false">IF($A74="N/A"," ",IF(PV=1,0,'Pricing Inputs'!Y109))</f>
        <v> </v>
      </c>
      <c r="CX74" s="315" t="str">
        <f aca="false">IF($A74="N/A"," ",(1+CW74/2)^(-2*((EOMONTH(A74,0)+20)-DateToday)/365.25))</f>
        <v> </v>
      </c>
      <c r="CY74" s="316" t="str">
        <f aca="false">IF($A74="N/A"," ",(IF(MONTH(A74)&gt;=4,IF(MONTH(A74)&lt;=10,Inputs!$S$26,Inputs!$S$27),Inputs!$S$27))*$CX74)</f>
        <v> </v>
      </c>
      <c r="CZ74" s="317" t="str">
        <f aca="false">IF($A74="N/A"," ",BK74+BL74+BN74+BO74+BQ74+BR74)</f>
        <v> </v>
      </c>
      <c r="DA74" s="318" t="str">
        <f aca="false">IF($A74="N/A"," ",BM74+BP74+BS74)</f>
        <v> </v>
      </c>
      <c r="DB74" s="319" t="str">
        <f aca="false">IF($A74="N/A"," ",BT74+BU74+BW74+BX74+BZ74+CA74)</f>
        <v> </v>
      </c>
      <c r="DC74" s="319" t="str">
        <f aca="false">IF($A74="N/A"," ",BV74+BY74+CB74)</f>
        <v> </v>
      </c>
      <c r="DD74" s="320" t="str">
        <f aca="false">IF($A74="N/A"," ",SUM(CC74:CK74))</f>
        <v> </v>
      </c>
      <c r="DE74" s="321" t="str">
        <f aca="false">IF($A74="N/A"," ",VLOOKUP($A74,NumberofDaysTable,2)*Availability)</f>
        <v> </v>
      </c>
      <c r="DF74" s="94" t="str">
        <f aca="false">IF($A74="N/A"," ",VLOOKUP($A74,NumberofDaysTable,3)*Availability)</f>
        <v> </v>
      </c>
      <c r="DG74" s="322" t="str">
        <f aca="false">IF($A74="N/A"," ",VLOOKUP($A74,NumberofDaysTable,4)*Availability)</f>
        <v> </v>
      </c>
      <c r="DH74" s="323" t="str">
        <f aca="false">IF($A74="N/A"," ",IF(Option=1,$D74*Inputs!$S$15*SUM(AS74:BA74),0))</f>
        <v> </v>
      </c>
      <c r="DI74" s="324" t="str">
        <f aca="false">IF($A74="N/A"," ",IF(Option=1,$D74*Inputs!$S$16*SUM(AS74:BA74),0))</f>
        <v> </v>
      </c>
      <c r="DJ74" s="325" t="str">
        <f aca="false">IF($A74="N/A"," ",SUM(AS74:AT74))</f>
        <v> </v>
      </c>
      <c r="DK74" s="325" t="str">
        <f aca="false">IF($A74="N/A"," ",SUM(AU74:BA74))</f>
        <v> </v>
      </c>
      <c r="DL74" s="325" t="str">
        <f aca="false">IF($A74="N/A"," ",SUM(BB74:BC74))</f>
        <v> </v>
      </c>
      <c r="DM74" s="325" t="str">
        <f aca="false">IF($A74="N/A"," ",SUM(BD74:BJ74))</f>
        <v> </v>
      </c>
    </row>
    <row r="75" customFormat="false" ht="12.75" hidden="false" customHeight="false" outlineLevel="0" collapsed="false">
      <c r="A75" s="282" t="str">
        <f aca="false">IF(A74="N/A","N/A",IF(EDATE(A74,1)&gt;Inputs!$S$5,"N/A",EDATE(A74,1)))</f>
        <v>N/A</v>
      </c>
      <c r="B75" s="283" t="str">
        <f aca="false">IF(A75="N/A"," ",YEAR(A75))</f>
        <v> </v>
      </c>
      <c r="C75" s="284" t="str">
        <f aca="false">IF(A75="N/A"," ",VLOOKUP(A75,ScaledPrice,14))</f>
        <v> </v>
      </c>
      <c r="D75" s="285" t="str">
        <f aca="false">IF(A75="N/A"," ",(VLOOKUP(MONTH($A75),Hrtable,2))/1000)</f>
        <v> </v>
      </c>
      <c r="E75" s="286" t="str">
        <f aca="false">IF($A75="N/A"," ",(C75)*D75)</f>
        <v> </v>
      </c>
      <c r="F75" s="287" t="str">
        <f aca="false">IF(A75="N/A"," ",VOM*(1+VOMesc)^(YEAR(A75)-YEAR(Today)))</f>
        <v> </v>
      </c>
      <c r="G75" s="287" t="str">
        <f aca="false">IF(A75="N/A"," ",Perstart/VLOOKUP(Dayrun,'Pricing Inputs'!$AQ$4:$AS$14,3)/(CY75/CX75))</f>
        <v> </v>
      </c>
      <c r="H75" s="288" t="str">
        <f aca="false">IF(A75="N/A"," ",SUM(E75:G75))</f>
        <v> </v>
      </c>
      <c r="I75" s="289" t="str">
        <f aca="false">VLOOKUP($A75,ScaledPrice,6)</f>
        <v> </v>
      </c>
      <c r="J75" s="290" t="str">
        <f aca="false">VLOOKUP($A75,ScaledPrice,10)</f>
        <v> </v>
      </c>
      <c r="K75" s="290" t="str">
        <f aca="false">VLOOKUP($A75,ScaledPrice,13)</f>
        <v> </v>
      </c>
      <c r="L75" s="290" t="str">
        <f aca="false">VLOOKUP($A75,ScaledPrice,7)</f>
        <v> </v>
      </c>
      <c r="M75" s="290" t="str">
        <f aca="false">VLOOKUP($A75,ScaledPrice,11)</f>
        <v> </v>
      </c>
      <c r="N75" s="290" t="str">
        <f aca="false">VLOOKUP($A75,ScaledPrice,13)</f>
        <v> </v>
      </c>
      <c r="O75" s="290" t="str">
        <f aca="false">VLOOKUP($A75,ScaledPrice,8)</f>
        <v> </v>
      </c>
      <c r="P75" s="290" t="str">
        <f aca="false">VLOOKUP($A75,ScaledPrice,12)</f>
        <v> </v>
      </c>
      <c r="Q75" s="291" t="str">
        <f aca="false">VLOOKUP($A75,ScaledPrice,13)</f>
        <v> </v>
      </c>
      <c r="R75" s="292" t="str">
        <f aca="false">IF($A75="N/A"," ",IF(Dayrun&gt;=3,IF(Option=1,MAX($I75-$H75,0),IF(Option=2,MAX($H75-$I75,0),0)),0))</f>
        <v> </v>
      </c>
      <c r="S75" s="286" t="str">
        <f aca="false">IF($A75="N/A"," ",IF(Dayrun&gt;=6,IF(Option=1,MAX($J75-H75,0),IF(Option=2,MAX(H75-$J75,0),0)),0))</f>
        <v> </v>
      </c>
      <c r="T75" s="286" t="str">
        <f aca="false">IF($A75="N/A"," ",IF(OR(Dayrun&lt;=2,Dayrun&gt;=9),IF(Option=1,MAX($K75-$H75,0),IF(Option=2,MAX($H75-$K75,0),0)),0))</f>
        <v> </v>
      </c>
      <c r="U75" s="286" t="str">
        <f aca="false">IF($A75="N/A"," ",IF(OR(Dayrun=1,Dayrun=4,Dayrun=5,Dayrun=7,Dayrun=8,Dayrun=10,Dayrun=11),IF(Option=1,MAX($L75-H75,0),IF(Option=2,MAX(H75-$L75,0),0)),0))</f>
        <v> </v>
      </c>
      <c r="V75" s="286" t="str">
        <f aca="false">IF($A75="N/A"," ",IF(OR(Dayrun=1,Dayrun=7,Dayrun=8,Dayrun=10,Dayrun=11),IF(Option=1,MAX($M75-H75,0),IF(Option=2,MAX(H75-$M75,0),0)),0))</f>
        <v> </v>
      </c>
      <c r="W75" s="286" t="str">
        <f aca="false">IF($A75="N/A"," ",IF(OR(Dayrun&lt;=2,Dayrun&gt;=10),IF(Option=1,MAX($N75-$H75,0),IF(Option=2,MAX($H75-$N75,0),0)),0))</f>
        <v> </v>
      </c>
      <c r="X75" s="286" t="str">
        <f aca="false">IF($A75="N/A"," ",IF(OR(Dayrun=1,Dayrun=5,Dayrun=8,Dayrun=11),IF(Option=1,MAX($O75-H75,0),IF(Option=2,MAX(H75-$O75,0),0)),0))</f>
        <v> </v>
      </c>
      <c r="Y75" s="286" t="str">
        <f aca="false">IF($A75="N/A"," ",IF(OR(Dayrun=1,Dayrun=8,Dayrun=11),IF(Option=1,MAX($P75-H75,0),IF(Option=2,MAX(H75-$P75,0),0)),0))</f>
        <v> </v>
      </c>
      <c r="Z75" s="293" t="str">
        <f aca="false">IF($A75="N/A"," ",IF(OR(Dayrun&lt;=2,Dayrun&gt;=11),IF(Option=1,MAX($Q75-$H75,0),IF(Option=2,MAX($H75-$Q75,0),0)),0))</f>
        <v> </v>
      </c>
      <c r="AA75" s="289" t="str">
        <f aca="false">IF($A75="N/A"," ",IF(Dayrun&gt;=3,(MAX(0,(xSPRDOPT(I75,($E75-'Pricing Inputs'!$X110*$D75),$CV75,0,($CN75+IF(Smile=TRUE(),VLOOKUP(MAX(-5,$H75-I75),Volsmile,2),0)),$CT75,$CU75,($A75-DateToday)+15,ABS(Option-2),0)-R75))),0))</f>
        <v> </v>
      </c>
      <c r="AB75" s="290" t="str">
        <f aca="false">IF($A75="N/A"," ",IF(Dayrun&gt;=6,MAX(0,(xSPRDOPT(J75,($E75-'Pricing Inputs'!$X110*$D75),$CV75,0,($CN75+IF(Smile=TRUE(),VLOOKUP(MAX(-5,$H75-J75),Volsmile,2),0)),$CT75,$CU75,($A75-DateToday)+15,ABS(Option-2),0)-S75)),0))</f>
        <v> </v>
      </c>
      <c r="AC75" s="290" t="str">
        <f aca="false">IF($A75="N/A"," ",IF(OR(Dayrun&lt;=2,Dayrun&gt;=9),IF(OffPeakEx=TRUE(),MAX(0,(xSPRDOPT(K75,($E75-'Pricing Inputs'!$X110*$D75),$CV75,0,($CQ75+IF(Smile=TRUE(),VLOOKUP(MAX(-5,$H75-K75),Volsmile,2),0)),$CT75,$CU75,($A75-DateToday)+15,ABS(Option-2),0)-T75)),0),0))</f>
        <v> </v>
      </c>
      <c r="AD75" s="290" t="str">
        <f aca="false">IF($A75="N/A"," ",IF(OR(Dayrun=1,Dayrun=4,Dayrun=5,Dayrun=7,Dayrun=8,Dayrun=10,Dayrun=11),MAX(0,(xSPRDOPT(L75,($E75-'Pricing Inputs'!$X110*$D75),$CV75,0,($CQ75+IF(Smile=TRUE(),VLOOKUP(MAX(-5,$H75-L75),Volsmile,2),0)),$CT75,$CU75,($A75-DateToday)+15,ABS(Option-2),0)-U75)),0))</f>
        <v> </v>
      </c>
      <c r="AE75" s="290" t="str">
        <f aca="false">IF($A75="N/A"," ",IF(OR(Dayrun=1,Dayrun=7,Dayrun=8,Dayrun=10,Dayrun=11),MAX(0,(xSPRDOPT(M75,($E75-'Pricing Inputs'!$X110*$D75),$CV75,0,($CQ75+IF(Smile=TRUE(),VLOOKUP(MAX(-5,$H75-M75),Volsmile,2),0)),$CT75,$CU75,($A75-DateToday)+15,ABS(Option-2),0)-V75)),0))</f>
        <v> </v>
      </c>
      <c r="AF75" s="290" t="str">
        <f aca="false">IF($A75="N/A"," ",IF(OR(Dayrun&lt;=2,Dayrun&gt;=10),IF(OffPeakEx=TRUE(),MAX(0,(xSPRDOPT(N75,($E75-'Pricing Inputs'!$X110*$D75),$CV75,0,($CQ75+IF(Smile=TRUE(),VLOOKUP(MAX(-5,$H75-N75),Volsmile,2),0)),$CT75,$CU75,($A75-DateToday)+15,ABS(Option-2),0)-W75)),0),0))</f>
        <v> </v>
      </c>
      <c r="AG75" s="290" t="str">
        <f aca="false">IF($A75="N/A"," ",IF(OR(Dayrun=1,Dayrun=5,Dayrun=8,Dayrun=11),MAX(0,(xSPRDOPT(O75,($E75-'Pricing Inputs'!$X110*$D75),$CV75,0,($CQ75+IF(Smile=TRUE(),VLOOKUP(MAX(-5,$H75-O75),Volsmile,2),0)),$CT75,$CU75,($A75-DateToday)+15,ABS(Option-2),0)-X75)),0))</f>
        <v> </v>
      </c>
      <c r="AH75" s="290" t="str">
        <f aca="false">IF($A75="N/A"," ",IF(OR(Dayrun=1,Dayrun=8,Dayrun=11),MAX(0,(xSPRDOPT(P75,($E75-'Pricing Inputs'!$X110*$D75),$CV75,0,($CQ75+IF(Smile=TRUE(),VLOOKUP(MAX(-5,$H75-P75),Volsmile,2),0)),$CT75,$CU75,($A75-DateToday)+15,ABS(Option-2),0)-Y75)),0))</f>
        <v> </v>
      </c>
      <c r="AI75" s="290" t="str">
        <f aca="false">IF($A75="N/A"," ",IF(OR(Dayrun&lt;=2,Dayrun&gt;=11),IF(OffPeakEx=TRUE(),MAX(0,(xSPRDOPT(Q75,($E75-'Pricing Inputs'!$X110*$D75),$CV75,0,($CQ75+IF(Smile=TRUE(),VLOOKUP(MAX(-5,$H75-Q75),Volsmile,2),0)),$CT75,$CU75,($A75-DateToday)+15,ABS(Option-2),0)-Z75)),0),0))</f>
        <v> </v>
      </c>
      <c r="AJ75" s="294" t="str">
        <f aca="false">IF($A75="N/A"," ",IF(Dayrun&gt;=3,IF(Option=1,$I75-$H75,IF(Option=2,$H75-$I75)),0))</f>
        <v> </v>
      </c>
      <c r="AK75" s="295" t="str">
        <f aca="false">IF($A75="N/A"," ",IF(Dayrun&gt;=6,IF(Option=1,$J75-H75,IF(Option=2,H75-$J75)),0))</f>
        <v> </v>
      </c>
      <c r="AL75" s="295" t="str">
        <f aca="false">IF($A75="N/A"," ",IF(OR(Dayrun&lt;=2,Dayrun&gt;=9),IF(Option=1,$K75-$H75,IF(Option=2,$H75-$K75)),0))</f>
        <v> </v>
      </c>
      <c r="AM75" s="295" t="str">
        <f aca="false">IF($A75="N/A"," ",IF(OR(Dayrun=1,Dayrun=4,Dayrun=5,Dayrun=7,Dayrun=8,Dayrun=10,Dayrun=11),IF(Option=1,$L75-H75,IF(Option=2,H75-$L75)),0))</f>
        <v> </v>
      </c>
      <c r="AN75" s="295" t="str">
        <f aca="false">IF($A75="N/A"," ",IF(OR(Dayrun=1,Dayrun=7,Dayrun=8,Dayrun=10,Dayrun=11),IF(Option=1,$M75-H75,IF(Option=2,H75-$M75)),0))</f>
        <v> </v>
      </c>
      <c r="AO75" s="295" t="str">
        <f aca="false">IF($A75="N/A"," ",IF(OR(Dayrun&lt;=2,Dayrun&gt;=9),IF(Option=1,$N75-$H75,IF(Option=2,$H75-$N75)),0))</f>
        <v> </v>
      </c>
      <c r="AP75" s="295" t="str">
        <f aca="false">IF($A75="N/A"," ",IF(OR(Dayrun=1,Dayrun=5,Dayrun=8,Dayrun=11),IF(Option=1,$O75-H75,IF(Option=2,H75-$O75)),0))</f>
        <v> </v>
      </c>
      <c r="AQ75" s="295" t="str">
        <f aca="false">IF($A75="N/A"," ",IF(OR(Dayrun=1,Dayrun=8,Dayrun=11),IF(Option=1,$P75-H75,IF(Option=2,H75-$P75)),0))</f>
        <v> </v>
      </c>
      <c r="AR75" s="296" t="str">
        <f aca="false">IF($A75="N/A"," ",IF(OR(Dayrun&lt;=2,Dayrun&gt;=9),IF(Option=1,$Q75-H75,IF(Option=2,H75-$Q75)),0))</f>
        <v> </v>
      </c>
      <c r="AS75" s="297" t="str">
        <f aca="false">IF($A75="N/A"," ",IF(VLOOKUP(MONTH($A75),ManualTable,2)=1,IF(Dayrun&gt;=3,$DE75*8*$CY75,0),0))</f>
        <v> </v>
      </c>
      <c r="AT75" s="297" t="str">
        <f aca="false">IF($A75="N/A"," ",IF(VLOOKUP(MONTH($A75),ManualTable,3)=1,IF(Dayrun&gt;=6,$DE75*8*$CY75,0),0))</f>
        <v> </v>
      </c>
      <c r="AU75" s="297" t="str">
        <f aca="false">IF($A75="N/A"," ",IF(VLOOKUP(MONTH($A75),ManualTable,4)=1,IF(OR(Dayrun&lt;=2,Dayrun&gt;=9),$DE75*8*$CY75,0),0))</f>
        <v> </v>
      </c>
      <c r="AV75" s="297" t="str">
        <f aca="false">IF($A75="N/A"," ",IF(VLOOKUP(MONTH($A75),ManualTable,5)=1,IF(OR(Dayrun=1,Dayrun=4,Dayrun=5,Dayrun=7,Dayrun=8,Dayrun=10,Dayrun=11),$DF75*8*$CY75,0),0))</f>
        <v> </v>
      </c>
      <c r="AW75" s="297" t="str">
        <f aca="false">IF($A75="N/A"," ",IF(VLOOKUP(MONTH($A75),ManualTable,6)=1,IF(OR(Dayrun=1,Dayrun=7,Dayrun=8,Dayrun=10,Dayrun=11),$DF75*8*$CY75,0),0))</f>
        <v> </v>
      </c>
      <c r="AX75" s="297" t="str">
        <f aca="false">IF($A75="N/A"," ",IF(VLOOKUP(MONTH($A75),ManualTable,7)=1,IF(OR(Dayrun&lt;=2,Dayrun&gt;=9),$DF75*8*$CY75,0),0))</f>
        <v> </v>
      </c>
      <c r="AY75" s="297" t="str">
        <f aca="false">IF($A75="N/A"," ",IF(VLOOKUP(MONTH($A75),ManualTable,8)=1,IF(OR(Dayrun=1,Dayrun=5,Dayrun=8,Dayrun=11),$DG75*8*$CY75,0),0))</f>
        <v> </v>
      </c>
      <c r="AZ75" s="297" t="str">
        <f aca="false">IF($A75="N/A"," ",IF(VLOOKUP(MONTH($A75),ManualTable,9)=1,IF(OR(Dayrun=1,Dayrun=8,Dayrun=11),$DG75*8*$CY75,0),0))</f>
        <v> </v>
      </c>
      <c r="BA75" s="298" t="str">
        <f aca="false">IF($A75="N/A"," ",IF(VLOOKUP(MONTH($A75),ManualTable,10)=1,IF(OR(Dayrun&lt;=2,Dayrun&gt;=9),$DG75*8*$CY75,0),0))</f>
        <v> </v>
      </c>
      <c r="BB75" s="299" t="str">
        <f aca="false">IF($A75="N/A"," ",IF(Dayrun&gt;=3,(MAX(0,(xSPRDOPT(I75,($E75-'Pricing Inputs'!$X110*$D75),$CV75,0,($CN75+IF(Smile=TRUE(),VLOOKUP(MAX(-5,$H75-I75),Volsmile,2),0)),$CT75,$CU75,($A75-DateToday)+15,ABS(Option-2),1)*DE75*8))),0))</f>
        <v> </v>
      </c>
      <c r="BC75" s="300" t="str">
        <f aca="false">IF($A75="N/A"," ",IF(Dayrun&gt;=6,MAX(0,(xSPRDOPT(J75,($E75-'Pricing Inputs'!$X110*$D75),$CV75,0,($CN75+IF(Smile=TRUE(),VLOOKUP(MAX(-5,$H75-J75),Volsmile,2),0)),$CT75,$CU75,($A75-DateToday)+15,ABS(Option-2),1)*DE75*8)),0))</f>
        <v> </v>
      </c>
      <c r="BD75" s="300" t="str">
        <f aca="false">IF($A75="N/A"," ",IF(OR(Dayrun&lt;=2,Dayrun&gt;=9),IF(OffPeakEx=TRUE(),MAX(0,(xSPRDOPT(K75,($E75-'Pricing Inputs'!$X110*$D75),$CV75,0,($CQ75+IF(Smile=TRUE(),VLOOKUP(MAX(-5,$H75-K75),Volsmile,2),0)),$CT75,$CU75,($A75-DateToday)+15,ABS(Option-2),1)*DE75*8)),0),0))</f>
        <v> </v>
      </c>
      <c r="BE75" s="300" t="str">
        <f aca="false">IF($A75="N/A"," ",IF(OR(Dayrun=1,Dayrun=4,Dayrun=5,Dayrun=7,Dayrun=8,Dayrun=10,Dayrun=11),MAX(0,(xSPRDOPT(L75,($E75-'Pricing Inputs'!$X110*$D75),$CV75,0,($CQ75+IF(Smile=TRUE(),VLOOKUP(MAX(-5,$H75-L75),Volsmile,2),0)),$CT75,$CU75,($A75-DateToday)+15,ABS(Option-2),1)*DF75*8)),0))</f>
        <v> </v>
      </c>
      <c r="BF75" s="300" t="str">
        <f aca="false">IF($A75="N/A"," ",IF(OR(Dayrun=1,Dayrun=7,Dayrun=8,Dayrun=10,Dayrun=11),MAX(0,(xSPRDOPT(M75,($E75-'Pricing Inputs'!$X110*$D75),$CV75,0,($CQ75+IF(Smile=TRUE(),VLOOKUP(MAX(-5,$H75-M75),Volsmile,2),0)),$CT75,$CU75,($A75-DateToday)+15,ABS(Option-2),1)*DF75*8)),0))</f>
        <v> </v>
      </c>
      <c r="BG75" s="300" t="str">
        <f aca="false">IF($A75="N/A"," ",IF(OR(Dayrun&lt;=2,Dayrun&gt;=10),IF(OffPeakEx=TRUE(),MAX(0,(xSPRDOPT(N75,($E75-'Pricing Inputs'!$X110*$D75),$CV75,0,($CQ75+IF(Smile=TRUE(),VLOOKUP(MAX(-5,$H75-N75),Volsmile,2),0)),$CT75,$CU75,($A75-DateToday)+15,ABS(Option-2),1)*DF75*8)),0),0))</f>
        <v> </v>
      </c>
      <c r="BH75" s="300" t="str">
        <f aca="false">IF($A75="N/A"," ",IF(OR(Dayrun=1,Dayrun=5,Dayrun=8,Dayrun=11),MAX(0,(xSPRDOPT(O75,($E75-'Pricing Inputs'!$X110*$D75),$CV75,0,($CQ75+IF(Smile=TRUE(),VLOOKUP(MAX(-5,$H75-O75),Volsmile,2),0)),$CT75,$CU75,($A75-DateToday)+15,ABS(Option-2),1)*DG75*8)),0))</f>
        <v> </v>
      </c>
      <c r="BI75" s="300" t="str">
        <f aca="false">IF($A75="N/A"," ",IF(OR(Dayrun=1,Dayrun=8,Dayrun=11),MAX(0,(xSPRDOPT(P75,($E75-'Pricing Inputs'!$X110*$D75),$CV75,0,($CQ75+IF(Smile=TRUE(),VLOOKUP(MAX(-5,$H75-P75),Volsmile,2),0)),$CT75,$CU75,($A75-DateToday)+15,ABS(Option-2),1)*DG75*8)),0))</f>
        <v> </v>
      </c>
      <c r="BJ75" s="301" t="str">
        <f aca="false">IF($A75="N/A"," ",IF(OR(Dayrun&lt;=2,Dayrun&gt;=11),IF(OffPeakEx=TRUE(),MAX(0,(xSPRDOPT(Q75,($E75-'Pricing Inputs'!$X110*$D75),$CV75,0,($CQ75+IF(Smile=TRUE(),VLOOKUP(MAX(-5,$H75-Q75),Volsmile,2),0)),$CT75,$CU75,($A75-DateToday)+15,ABS(Option-2),1)*DG75*8)),0),0))</f>
        <v> </v>
      </c>
      <c r="BK75" s="302" t="str">
        <f aca="false">IF($A75="N/A"," ",R75*$AS75)</f>
        <v> </v>
      </c>
      <c r="BL75" s="303" t="str">
        <f aca="false">IF($A75="N/A"," ",S75*$AT75)</f>
        <v> </v>
      </c>
      <c r="BM75" s="303" t="str">
        <f aca="false">IF($A75="N/A"," ",T75*$AU75)</f>
        <v> </v>
      </c>
      <c r="BN75" s="303" t="str">
        <f aca="false">IF($A75="N/A"," ",U75*$AV75)</f>
        <v> </v>
      </c>
      <c r="BO75" s="303" t="str">
        <f aca="false">IF($A75="N/A"," ",V75*$AW75)</f>
        <v> </v>
      </c>
      <c r="BP75" s="303" t="str">
        <f aca="false">IF($A75="N/A"," ",W75*$AX75)</f>
        <v> </v>
      </c>
      <c r="BQ75" s="303" t="str">
        <f aca="false">IF($A75="N/A"," ",X75*$AY75)</f>
        <v> </v>
      </c>
      <c r="BR75" s="303" t="str">
        <f aca="false">IF($A75="N/A"," ",Y75*$AZ75)</f>
        <v> </v>
      </c>
      <c r="BS75" s="304" t="str">
        <f aca="false">IF($A75="N/A"," ",Z75*$BA75)</f>
        <v> </v>
      </c>
      <c r="BT75" s="305" t="str">
        <f aca="false">IF($A75="N/A"," ",AA75*$AS75)</f>
        <v> </v>
      </c>
      <c r="BU75" s="306" t="str">
        <f aca="false">IF($A75="N/A"," ",AB75*$AT75)</f>
        <v> </v>
      </c>
      <c r="BV75" s="306" t="str">
        <f aca="false">IF($A75="N/A"," ",AC75*$AU75)</f>
        <v> </v>
      </c>
      <c r="BW75" s="306" t="str">
        <f aca="false">IF($A75="N/A"," ",AD75*$AV75)</f>
        <v> </v>
      </c>
      <c r="BX75" s="306" t="str">
        <f aca="false">IF($A75="N/A"," ",AE75*$AW75)</f>
        <v> </v>
      </c>
      <c r="BY75" s="306" t="str">
        <f aca="false">IF($A75="N/A"," ",AF75*$AX75)</f>
        <v> </v>
      </c>
      <c r="BZ75" s="306" t="str">
        <f aca="false">IF($A75="N/A"," ",AG75*$AY75)</f>
        <v> </v>
      </c>
      <c r="CA75" s="306" t="str">
        <f aca="false">IF($A75="N/A"," ",AH75*$AZ75)</f>
        <v> </v>
      </c>
      <c r="CB75" s="307" t="str">
        <f aca="false">IF($A75="N/A"," ",AI75*$BA75)</f>
        <v> </v>
      </c>
      <c r="CC75" s="308" t="str">
        <f aca="false">IF($A75="N/A"," ",AJ75*$AS75)</f>
        <v> </v>
      </c>
      <c r="CD75" s="309" t="str">
        <f aca="false">IF($A75="N/A"," ",AK75*$AT75)</f>
        <v> </v>
      </c>
      <c r="CE75" s="309" t="str">
        <f aca="false">IF($A75="N/A"," ",AL75*$AU75)</f>
        <v> </v>
      </c>
      <c r="CF75" s="309" t="str">
        <f aca="false">IF($A75="N/A"," ",AM75*$AV75)</f>
        <v> </v>
      </c>
      <c r="CG75" s="309" t="str">
        <f aca="false">IF($A75="N/A"," ",AN75*$AW75)</f>
        <v> </v>
      </c>
      <c r="CH75" s="309" t="str">
        <f aca="false">IF($A75="N/A"," ",AO75*$AX75)</f>
        <v> </v>
      </c>
      <c r="CI75" s="309" t="str">
        <f aca="false">IF($A75="N/A"," ",AP75*$AY75)</f>
        <v> </v>
      </c>
      <c r="CJ75" s="309" t="str">
        <f aca="false">IF($A75="N/A"," ",AQ75*$AZ75)</f>
        <v> </v>
      </c>
      <c r="CK75" s="310" t="str">
        <f aca="false">IF($A75="N/A"," ",AR75*$BA75)</f>
        <v> </v>
      </c>
      <c r="CL75" s="311" t="str">
        <f aca="false">IF(A75="N/A"," ",(VLOOKUP(A75,PowerVolTable,(IF(VolBMO=2,7,IF(VolBMO=1,6,8))),FALSE())))</f>
        <v> </v>
      </c>
      <c r="CM75" s="312" t="str">
        <f aca="false">IF(A75="N/A"," ",(VLOOKUP(A75,IntraPowerVol,(IF(VolBMO=2,3,IF(VolBMO=1,2,4))),FALSE())*VLOOKUP(MONTH($A75),Volscale,2)))</f>
        <v> </v>
      </c>
      <c r="CN75" s="312" t="str">
        <f aca="false">IF($A75="N/A"," ",IF(VolType=1,CM75,CL75))</f>
        <v> </v>
      </c>
      <c r="CO75" s="312" t="str">
        <f aca="false">IF($A75="N/A"," ",(VLOOKUP($A75,OffPeakVol,(IF(VolBMO=2,7,IF(VolBMO=1,6,8))),FALSE())))</f>
        <v> </v>
      </c>
      <c r="CP75" s="312" t="str">
        <f aca="false">IF($A75="N/A"," ",(VLOOKUP($A75,OffPeakVol,(IF(VolBMO=2,3,IF(VolBMO=1,2,4))),FALSE())*VLOOKUP(MONTH($A75),Volscale,2)))</f>
        <v> </v>
      </c>
      <c r="CQ75" s="312" t="str">
        <f aca="false">IF($A75="N/A"," ",IF(VolType=1,CP75,CO75))</f>
        <v> </v>
      </c>
      <c r="CR75" s="312" t="str">
        <f aca="false">IF($A75="N/A"," ",(VLOOKUP($A75,GasVolTable,(IF(VolBMO=2,6,IF(VolBMO=1,7,5))),FALSE())))</f>
        <v> </v>
      </c>
      <c r="CS75" s="312" t="str">
        <f aca="false">IF($A75="N/A"," ",(VLOOKUP($A75,OmicronVol,(IF(VolBMO=2,3,IF(VolBMO=1,4,2))),FALSE())))</f>
        <v> </v>
      </c>
      <c r="CT75" s="312" t="str">
        <f aca="false">IF($A75="N/A"," ",(IF(DateToday&gt;$A75,$CS75,IF(VolType=1,((($CR75^2)*((($A75-1)-DateToday)/((EOMONTH($A75,0)+1)-DateToday-15)))+((($CS75)^2)*((15)/((EOMONTH($A75,0)+1)-DateToday-15))))^0.5,CR75))))</f>
        <v> </v>
      </c>
      <c r="CU75" s="312" t="str">
        <f aca="false">IF($A75="N/A"," ",IF('Pricing Inputs'!$AR$23=TRUE(),Inputs!$S$22,VLOOKUP($A75,CorrelationTable,2,FALSE())))</f>
        <v> </v>
      </c>
      <c r="CV75" s="313" t="str">
        <f aca="false">IF($A75="N/A"," ",F75+G75+(D75*('Pricing Inputs'!X110)))</f>
        <v> </v>
      </c>
      <c r="CW75" s="314" t="str">
        <f aca="false">IF($A75="N/A"," ",IF(PV=1,0,'Pricing Inputs'!Y110))</f>
        <v> </v>
      </c>
      <c r="CX75" s="315" t="str">
        <f aca="false">IF($A75="N/A"," ",(1+CW75/2)^(-2*((EOMONTH(A75,0)+20)-DateToday)/365.25))</f>
        <v> </v>
      </c>
      <c r="CY75" s="316" t="str">
        <f aca="false">IF($A75="N/A"," ",(IF(MONTH(A75)&gt;=4,IF(MONTH(A75)&lt;=10,Inputs!$S$26,Inputs!$S$27),Inputs!$S$27))*$CX75)</f>
        <v> </v>
      </c>
      <c r="CZ75" s="317" t="str">
        <f aca="false">IF($A75="N/A"," ",BK75+BL75+BN75+BO75+BQ75+BR75)</f>
        <v> </v>
      </c>
      <c r="DA75" s="318" t="str">
        <f aca="false">IF($A75="N/A"," ",BM75+BP75+BS75)</f>
        <v> </v>
      </c>
      <c r="DB75" s="319" t="str">
        <f aca="false">IF($A75="N/A"," ",BT75+BU75+BW75+BX75+BZ75+CA75)</f>
        <v> </v>
      </c>
      <c r="DC75" s="319" t="str">
        <f aca="false">IF($A75="N/A"," ",BV75+BY75+CB75)</f>
        <v> </v>
      </c>
      <c r="DD75" s="320" t="str">
        <f aca="false">IF($A75="N/A"," ",SUM(CC75:CK75))</f>
        <v> </v>
      </c>
      <c r="DE75" s="321" t="str">
        <f aca="false">IF($A75="N/A"," ",VLOOKUP($A75,NumberofDaysTable,2)*Availability)</f>
        <v> </v>
      </c>
      <c r="DF75" s="94" t="str">
        <f aca="false">IF($A75="N/A"," ",VLOOKUP($A75,NumberofDaysTable,3)*Availability)</f>
        <v> </v>
      </c>
      <c r="DG75" s="322" t="str">
        <f aca="false">IF($A75="N/A"," ",VLOOKUP($A75,NumberofDaysTable,4)*Availability)</f>
        <v> </v>
      </c>
      <c r="DH75" s="323" t="str">
        <f aca="false">IF($A75="N/A"," ",IF(Option=1,$D75*Inputs!$S$15*SUM(AS75:BA75),0))</f>
        <v> </v>
      </c>
      <c r="DI75" s="324" t="str">
        <f aca="false">IF($A75="N/A"," ",IF(Option=1,$D75*Inputs!$S$16*SUM(AS75:BA75),0))</f>
        <v> </v>
      </c>
      <c r="DJ75" s="325" t="str">
        <f aca="false">IF($A75="N/A"," ",SUM(AS75:AT75))</f>
        <v> </v>
      </c>
      <c r="DK75" s="325" t="str">
        <f aca="false">IF($A75="N/A"," ",SUM(AU75:BA75))</f>
        <v> </v>
      </c>
      <c r="DL75" s="325" t="str">
        <f aca="false">IF($A75="N/A"," ",SUM(BB75:BC75))</f>
        <v> </v>
      </c>
      <c r="DM75" s="325" t="str">
        <f aca="false">IF($A75="N/A"," ",SUM(BD75:BJ75))</f>
        <v> </v>
      </c>
    </row>
    <row r="76" customFormat="false" ht="12.75" hidden="false" customHeight="false" outlineLevel="0" collapsed="false">
      <c r="A76" s="282" t="str">
        <f aca="false">IF(A75="N/A","N/A",IF(EDATE(A75,1)&gt;Inputs!$S$5,"N/A",EDATE(A75,1)))</f>
        <v>N/A</v>
      </c>
      <c r="B76" s="283" t="str">
        <f aca="false">IF(A76="N/A"," ",YEAR(A76))</f>
        <v> </v>
      </c>
      <c r="C76" s="284" t="str">
        <f aca="false">IF(A76="N/A"," ",VLOOKUP(A76,ScaledPrice,14))</f>
        <v> </v>
      </c>
      <c r="D76" s="285" t="str">
        <f aca="false">IF(A76="N/A"," ",(VLOOKUP(MONTH($A76),Hrtable,2))/1000)</f>
        <v> </v>
      </c>
      <c r="E76" s="286" t="str">
        <f aca="false">IF($A76="N/A"," ",(C76)*D76)</f>
        <v> </v>
      </c>
      <c r="F76" s="287" t="str">
        <f aca="false">IF(A76="N/A"," ",VOM*(1+VOMesc)^(YEAR(A76)-YEAR(Today)))</f>
        <v> </v>
      </c>
      <c r="G76" s="287" t="str">
        <f aca="false">IF(A76="N/A"," ",Perstart/VLOOKUP(Dayrun,'Pricing Inputs'!$AQ$4:$AS$14,3)/(CY76/CX76))</f>
        <v> </v>
      </c>
      <c r="H76" s="288" t="str">
        <f aca="false">IF(A76="N/A"," ",SUM(E76:G76))</f>
        <v> </v>
      </c>
      <c r="I76" s="289" t="str">
        <f aca="false">VLOOKUP($A76,ScaledPrice,6)</f>
        <v> </v>
      </c>
      <c r="J76" s="290" t="str">
        <f aca="false">VLOOKUP($A76,ScaledPrice,10)</f>
        <v> </v>
      </c>
      <c r="K76" s="290" t="str">
        <f aca="false">VLOOKUP($A76,ScaledPrice,13)</f>
        <v> </v>
      </c>
      <c r="L76" s="290" t="str">
        <f aca="false">VLOOKUP($A76,ScaledPrice,7)</f>
        <v> </v>
      </c>
      <c r="M76" s="290" t="str">
        <f aca="false">VLOOKUP($A76,ScaledPrice,11)</f>
        <v> </v>
      </c>
      <c r="N76" s="290" t="str">
        <f aca="false">VLOOKUP($A76,ScaledPrice,13)</f>
        <v> </v>
      </c>
      <c r="O76" s="290" t="str">
        <f aca="false">VLOOKUP($A76,ScaledPrice,8)</f>
        <v> </v>
      </c>
      <c r="P76" s="290" t="str">
        <f aca="false">VLOOKUP($A76,ScaledPrice,12)</f>
        <v> </v>
      </c>
      <c r="Q76" s="291" t="str">
        <f aca="false">VLOOKUP($A76,ScaledPrice,13)</f>
        <v> </v>
      </c>
      <c r="R76" s="292" t="str">
        <f aca="false">IF($A76="N/A"," ",IF(Dayrun&gt;=3,IF(Option=1,MAX($I76-$H76,0),IF(Option=2,MAX($H76-$I76,0),0)),0))</f>
        <v> </v>
      </c>
      <c r="S76" s="286" t="str">
        <f aca="false">IF($A76="N/A"," ",IF(Dayrun&gt;=6,IF(Option=1,MAX($J76-H76,0),IF(Option=2,MAX(H76-$J76,0),0)),0))</f>
        <v> </v>
      </c>
      <c r="T76" s="286" t="str">
        <f aca="false">IF($A76="N/A"," ",IF(OR(Dayrun&lt;=2,Dayrun&gt;=9),IF(Option=1,MAX($K76-$H76,0),IF(Option=2,MAX($H76-$K76,0),0)),0))</f>
        <v> </v>
      </c>
      <c r="U76" s="286" t="str">
        <f aca="false">IF($A76="N/A"," ",IF(OR(Dayrun=1,Dayrun=4,Dayrun=5,Dayrun=7,Dayrun=8,Dayrun=10,Dayrun=11),IF(Option=1,MAX($L76-H76,0),IF(Option=2,MAX(H76-$L76,0),0)),0))</f>
        <v> </v>
      </c>
      <c r="V76" s="286" t="str">
        <f aca="false">IF($A76="N/A"," ",IF(OR(Dayrun=1,Dayrun=7,Dayrun=8,Dayrun=10,Dayrun=11),IF(Option=1,MAX($M76-H76,0),IF(Option=2,MAX(H76-$M76,0),0)),0))</f>
        <v> </v>
      </c>
      <c r="W76" s="286" t="str">
        <f aca="false">IF($A76="N/A"," ",IF(OR(Dayrun&lt;=2,Dayrun&gt;=10),IF(Option=1,MAX($N76-$H76,0),IF(Option=2,MAX($H76-$N76,0),0)),0))</f>
        <v> </v>
      </c>
      <c r="X76" s="286" t="str">
        <f aca="false">IF($A76="N/A"," ",IF(OR(Dayrun=1,Dayrun=5,Dayrun=8,Dayrun=11),IF(Option=1,MAX($O76-H76,0),IF(Option=2,MAX(H76-$O76,0),0)),0))</f>
        <v> </v>
      </c>
      <c r="Y76" s="286" t="str">
        <f aca="false">IF($A76="N/A"," ",IF(OR(Dayrun=1,Dayrun=8,Dayrun=11),IF(Option=1,MAX($P76-H76,0),IF(Option=2,MAX(H76-$P76,0),0)),0))</f>
        <v> </v>
      </c>
      <c r="Z76" s="293" t="str">
        <f aca="false">IF($A76="N/A"," ",IF(OR(Dayrun&lt;=2,Dayrun&gt;=11),IF(Option=1,MAX($Q76-$H76,0),IF(Option=2,MAX($H76-$Q76,0),0)),0))</f>
        <v> </v>
      </c>
      <c r="AA76" s="289" t="str">
        <f aca="false">IF($A76="N/A"," ",IF(Dayrun&gt;=3,(MAX(0,(xSPRDOPT(I76,($E76-'Pricing Inputs'!$X111*$D76),$CV76,0,($CN76+IF(Smile=TRUE(),VLOOKUP(MAX(-5,$H76-I76),Volsmile,2),0)),$CT76,$CU76,($A76-DateToday)+15,ABS(Option-2),0)-R76))),0))</f>
        <v> </v>
      </c>
      <c r="AB76" s="290" t="str">
        <f aca="false">IF($A76="N/A"," ",IF(Dayrun&gt;=6,MAX(0,(xSPRDOPT(J76,($E76-'Pricing Inputs'!$X111*$D76),$CV76,0,($CN76+IF(Smile=TRUE(),VLOOKUP(MAX(-5,$H76-J76),Volsmile,2),0)),$CT76,$CU76,($A76-DateToday)+15,ABS(Option-2),0)-S76)),0))</f>
        <v> </v>
      </c>
      <c r="AC76" s="290" t="str">
        <f aca="false">IF($A76="N/A"," ",IF(OR(Dayrun&lt;=2,Dayrun&gt;=9),IF(OffPeakEx=TRUE(),MAX(0,(xSPRDOPT(K76,($E76-'Pricing Inputs'!$X111*$D76),$CV76,0,($CQ76+IF(Smile=TRUE(),VLOOKUP(MAX(-5,$H76-K76),Volsmile,2),0)),$CT76,$CU76,($A76-DateToday)+15,ABS(Option-2),0)-T76)),0),0))</f>
        <v> </v>
      </c>
      <c r="AD76" s="290" t="str">
        <f aca="false">IF($A76="N/A"," ",IF(OR(Dayrun=1,Dayrun=4,Dayrun=5,Dayrun=7,Dayrun=8,Dayrun=10,Dayrun=11),MAX(0,(xSPRDOPT(L76,($E76-'Pricing Inputs'!$X111*$D76),$CV76,0,($CQ76+IF(Smile=TRUE(),VLOOKUP(MAX(-5,$H76-L76),Volsmile,2),0)),$CT76,$CU76,($A76-DateToday)+15,ABS(Option-2),0)-U76)),0))</f>
        <v> </v>
      </c>
      <c r="AE76" s="290" t="str">
        <f aca="false">IF($A76="N/A"," ",IF(OR(Dayrun=1,Dayrun=7,Dayrun=8,Dayrun=10,Dayrun=11),MAX(0,(xSPRDOPT(M76,($E76-'Pricing Inputs'!$X111*$D76),$CV76,0,($CQ76+IF(Smile=TRUE(),VLOOKUP(MAX(-5,$H76-M76),Volsmile,2),0)),$CT76,$CU76,($A76-DateToday)+15,ABS(Option-2),0)-V76)),0))</f>
        <v> </v>
      </c>
      <c r="AF76" s="290" t="str">
        <f aca="false">IF($A76="N/A"," ",IF(OR(Dayrun&lt;=2,Dayrun&gt;=10),IF(OffPeakEx=TRUE(),MAX(0,(xSPRDOPT(N76,($E76-'Pricing Inputs'!$X111*$D76),$CV76,0,($CQ76+IF(Smile=TRUE(),VLOOKUP(MAX(-5,$H76-N76),Volsmile,2),0)),$CT76,$CU76,($A76-DateToday)+15,ABS(Option-2),0)-W76)),0),0))</f>
        <v> </v>
      </c>
      <c r="AG76" s="290" t="str">
        <f aca="false">IF($A76="N/A"," ",IF(OR(Dayrun=1,Dayrun=5,Dayrun=8,Dayrun=11),MAX(0,(xSPRDOPT(O76,($E76-'Pricing Inputs'!$X111*$D76),$CV76,0,($CQ76+IF(Smile=TRUE(),VLOOKUP(MAX(-5,$H76-O76),Volsmile,2),0)),$CT76,$CU76,($A76-DateToday)+15,ABS(Option-2),0)-X76)),0))</f>
        <v> </v>
      </c>
      <c r="AH76" s="290" t="str">
        <f aca="false">IF($A76="N/A"," ",IF(OR(Dayrun=1,Dayrun=8,Dayrun=11),MAX(0,(xSPRDOPT(P76,($E76-'Pricing Inputs'!$X111*$D76),$CV76,0,($CQ76+IF(Smile=TRUE(),VLOOKUP(MAX(-5,$H76-P76),Volsmile,2),0)),$CT76,$CU76,($A76-DateToday)+15,ABS(Option-2),0)-Y76)),0))</f>
        <v> </v>
      </c>
      <c r="AI76" s="290" t="str">
        <f aca="false">IF($A76="N/A"," ",IF(OR(Dayrun&lt;=2,Dayrun&gt;=11),IF(OffPeakEx=TRUE(),MAX(0,(xSPRDOPT(Q76,($E76-'Pricing Inputs'!$X111*$D76),$CV76,0,($CQ76+IF(Smile=TRUE(),VLOOKUP(MAX(-5,$H76-Q76),Volsmile,2),0)),$CT76,$CU76,($A76-DateToday)+15,ABS(Option-2),0)-Z76)),0),0))</f>
        <v> </v>
      </c>
      <c r="AJ76" s="294" t="str">
        <f aca="false">IF($A76="N/A"," ",IF(Dayrun&gt;=3,IF(Option=1,$I76-$H76,IF(Option=2,$H76-$I76)),0))</f>
        <v> </v>
      </c>
      <c r="AK76" s="295" t="str">
        <f aca="false">IF($A76="N/A"," ",IF(Dayrun&gt;=6,IF(Option=1,$J76-H76,IF(Option=2,H76-$J76)),0))</f>
        <v> </v>
      </c>
      <c r="AL76" s="295" t="str">
        <f aca="false">IF($A76="N/A"," ",IF(OR(Dayrun&lt;=2,Dayrun&gt;=9),IF(Option=1,$K76-$H76,IF(Option=2,$H76-$K76)),0))</f>
        <v> </v>
      </c>
      <c r="AM76" s="295" t="str">
        <f aca="false">IF($A76="N/A"," ",IF(OR(Dayrun=1,Dayrun=4,Dayrun=5,Dayrun=7,Dayrun=8,Dayrun=10,Dayrun=11),IF(Option=1,$L76-H76,IF(Option=2,H76-$L76)),0))</f>
        <v> </v>
      </c>
      <c r="AN76" s="295" t="str">
        <f aca="false">IF($A76="N/A"," ",IF(OR(Dayrun=1,Dayrun=7,Dayrun=8,Dayrun=10,Dayrun=11),IF(Option=1,$M76-H76,IF(Option=2,H76-$M76)),0))</f>
        <v> </v>
      </c>
      <c r="AO76" s="295" t="str">
        <f aca="false">IF($A76="N/A"," ",IF(OR(Dayrun&lt;=2,Dayrun&gt;=9),IF(Option=1,$N76-$H76,IF(Option=2,$H76-$N76)),0))</f>
        <v> </v>
      </c>
      <c r="AP76" s="295" t="str">
        <f aca="false">IF($A76="N/A"," ",IF(OR(Dayrun=1,Dayrun=5,Dayrun=8,Dayrun=11),IF(Option=1,$O76-H76,IF(Option=2,H76-$O76)),0))</f>
        <v> </v>
      </c>
      <c r="AQ76" s="295" t="str">
        <f aca="false">IF($A76="N/A"," ",IF(OR(Dayrun=1,Dayrun=8,Dayrun=11),IF(Option=1,$P76-H76,IF(Option=2,H76-$P76)),0))</f>
        <v> </v>
      </c>
      <c r="AR76" s="296" t="str">
        <f aca="false">IF($A76="N/A"," ",IF(OR(Dayrun&lt;=2,Dayrun&gt;=9),IF(Option=1,$Q76-H76,IF(Option=2,H76-$Q76)),0))</f>
        <v> </v>
      </c>
      <c r="AS76" s="297" t="str">
        <f aca="false">IF($A76="N/A"," ",IF(VLOOKUP(MONTH($A76),ManualTable,2)=1,IF(Dayrun&gt;=3,$DE76*8*$CY76,0),0))</f>
        <v> </v>
      </c>
      <c r="AT76" s="297" t="str">
        <f aca="false">IF($A76="N/A"," ",IF(VLOOKUP(MONTH($A76),ManualTable,3)=1,IF(Dayrun&gt;=6,$DE76*8*$CY76,0),0))</f>
        <v> </v>
      </c>
      <c r="AU76" s="297" t="str">
        <f aca="false">IF($A76="N/A"," ",IF(VLOOKUP(MONTH($A76),ManualTable,4)=1,IF(OR(Dayrun&lt;=2,Dayrun&gt;=9),$DE76*8*$CY76,0),0))</f>
        <v> </v>
      </c>
      <c r="AV76" s="297" t="str">
        <f aca="false">IF($A76="N/A"," ",IF(VLOOKUP(MONTH($A76),ManualTable,5)=1,IF(OR(Dayrun=1,Dayrun=4,Dayrun=5,Dayrun=7,Dayrun=8,Dayrun=10,Dayrun=11),$DF76*8*$CY76,0),0))</f>
        <v> </v>
      </c>
      <c r="AW76" s="297" t="str">
        <f aca="false">IF($A76="N/A"," ",IF(VLOOKUP(MONTH($A76),ManualTable,6)=1,IF(OR(Dayrun=1,Dayrun=7,Dayrun=8,Dayrun=10,Dayrun=11),$DF76*8*$CY76,0),0))</f>
        <v> </v>
      </c>
      <c r="AX76" s="297" t="str">
        <f aca="false">IF($A76="N/A"," ",IF(VLOOKUP(MONTH($A76),ManualTable,7)=1,IF(OR(Dayrun&lt;=2,Dayrun&gt;=9),$DF76*8*$CY76,0),0))</f>
        <v> </v>
      </c>
      <c r="AY76" s="297" t="str">
        <f aca="false">IF($A76="N/A"," ",IF(VLOOKUP(MONTH($A76),ManualTable,8)=1,IF(OR(Dayrun=1,Dayrun=5,Dayrun=8,Dayrun=11),$DG76*8*$CY76,0),0))</f>
        <v> </v>
      </c>
      <c r="AZ76" s="297" t="str">
        <f aca="false">IF($A76="N/A"," ",IF(VLOOKUP(MONTH($A76),ManualTable,9)=1,IF(OR(Dayrun=1,Dayrun=8,Dayrun=11),$DG76*8*$CY76,0),0))</f>
        <v> </v>
      </c>
      <c r="BA76" s="298" t="str">
        <f aca="false">IF($A76="N/A"," ",IF(VLOOKUP(MONTH($A76),ManualTable,10)=1,IF(OR(Dayrun&lt;=2,Dayrun&gt;=9),$DG76*8*$CY76,0),0))</f>
        <v> </v>
      </c>
      <c r="BB76" s="299" t="str">
        <f aca="false">IF($A76="N/A"," ",IF(Dayrun&gt;=3,(MAX(0,(xSPRDOPT(I76,($E76-'Pricing Inputs'!$X111*$D76),$CV76,0,($CN76+IF(Smile=TRUE(),VLOOKUP(MAX(-5,$H76-I76),Volsmile,2),0)),$CT76,$CU76,($A76-DateToday)+15,ABS(Option-2),1)*DE76*8))),0))</f>
        <v> </v>
      </c>
      <c r="BC76" s="300" t="str">
        <f aca="false">IF($A76="N/A"," ",IF(Dayrun&gt;=6,MAX(0,(xSPRDOPT(J76,($E76-'Pricing Inputs'!$X111*$D76),$CV76,0,($CN76+IF(Smile=TRUE(),VLOOKUP(MAX(-5,$H76-J76),Volsmile,2),0)),$CT76,$CU76,($A76-DateToday)+15,ABS(Option-2),1)*DE76*8)),0))</f>
        <v> </v>
      </c>
      <c r="BD76" s="300" t="str">
        <f aca="false">IF($A76="N/A"," ",IF(OR(Dayrun&lt;=2,Dayrun&gt;=9),IF(OffPeakEx=TRUE(),MAX(0,(xSPRDOPT(K76,($E76-'Pricing Inputs'!$X111*$D76),$CV76,0,($CQ76+IF(Smile=TRUE(),VLOOKUP(MAX(-5,$H76-K76),Volsmile,2),0)),$CT76,$CU76,($A76-DateToday)+15,ABS(Option-2),1)*DE76*8)),0),0))</f>
        <v> </v>
      </c>
      <c r="BE76" s="300" t="str">
        <f aca="false">IF($A76="N/A"," ",IF(OR(Dayrun=1,Dayrun=4,Dayrun=5,Dayrun=7,Dayrun=8,Dayrun=10,Dayrun=11),MAX(0,(xSPRDOPT(L76,($E76-'Pricing Inputs'!$X111*$D76),$CV76,0,($CQ76+IF(Smile=TRUE(),VLOOKUP(MAX(-5,$H76-L76),Volsmile,2),0)),$CT76,$CU76,($A76-DateToday)+15,ABS(Option-2),1)*DF76*8)),0))</f>
        <v> </v>
      </c>
      <c r="BF76" s="300" t="str">
        <f aca="false">IF($A76="N/A"," ",IF(OR(Dayrun=1,Dayrun=7,Dayrun=8,Dayrun=10,Dayrun=11),MAX(0,(xSPRDOPT(M76,($E76-'Pricing Inputs'!$X111*$D76),$CV76,0,($CQ76+IF(Smile=TRUE(),VLOOKUP(MAX(-5,$H76-M76),Volsmile,2),0)),$CT76,$CU76,($A76-DateToday)+15,ABS(Option-2),1)*DF76*8)),0))</f>
        <v> </v>
      </c>
      <c r="BG76" s="300" t="str">
        <f aca="false">IF($A76="N/A"," ",IF(OR(Dayrun&lt;=2,Dayrun&gt;=10),IF(OffPeakEx=TRUE(),MAX(0,(xSPRDOPT(N76,($E76-'Pricing Inputs'!$X111*$D76),$CV76,0,($CQ76+IF(Smile=TRUE(),VLOOKUP(MAX(-5,$H76-N76),Volsmile,2),0)),$CT76,$CU76,($A76-DateToday)+15,ABS(Option-2),1)*DF76*8)),0),0))</f>
        <v> </v>
      </c>
      <c r="BH76" s="300" t="str">
        <f aca="false">IF($A76="N/A"," ",IF(OR(Dayrun=1,Dayrun=5,Dayrun=8,Dayrun=11),MAX(0,(xSPRDOPT(O76,($E76-'Pricing Inputs'!$X111*$D76),$CV76,0,($CQ76+IF(Smile=TRUE(),VLOOKUP(MAX(-5,$H76-O76),Volsmile,2),0)),$CT76,$CU76,($A76-DateToday)+15,ABS(Option-2),1)*DG76*8)),0))</f>
        <v> </v>
      </c>
      <c r="BI76" s="300" t="str">
        <f aca="false">IF($A76="N/A"," ",IF(OR(Dayrun=1,Dayrun=8,Dayrun=11),MAX(0,(xSPRDOPT(P76,($E76-'Pricing Inputs'!$X111*$D76),$CV76,0,($CQ76+IF(Smile=TRUE(),VLOOKUP(MAX(-5,$H76-P76),Volsmile,2),0)),$CT76,$CU76,($A76-DateToday)+15,ABS(Option-2),1)*DG76*8)),0))</f>
        <v> </v>
      </c>
      <c r="BJ76" s="301" t="str">
        <f aca="false">IF($A76="N/A"," ",IF(OR(Dayrun&lt;=2,Dayrun&gt;=11),IF(OffPeakEx=TRUE(),MAX(0,(xSPRDOPT(Q76,($E76-'Pricing Inputs'!$X111*$D76),$CV76,0,($CQ76+IF(Smile=TRUE(),VLOOKUP(MAX(-5,$H76-Q76),Volsmile,2),0)),$CT76,$CU76,($A76-DateToday)+15,ABS(Option-2),1)*DG76*8)),0),0))</f>
        <v> </v>
      </c>
      <c r="BK76" s="302" t="str">
        <f aca="false">IF($A76="N/A"," ",R76*$AS76)</f>
        <v> </v>
      </c>
      <c r="BL76" s="303" t="str">
        <f aca="false">IF($A76="N/A"," ",S76*$AT76)</f>
        <v> </v>
      </c>
      <c r="BM76" s="303" t="str">
        <f aca="false">IF($A76="N/A"," ",T76*$AU76)</f>
        <v> </v>
      </c>
      <c r="BN76" s="303" t="str">
        <f aca="false">IF($A76="N/A"," ",U76*$AV76)</f>
        <v> </v>
      </c>
      <c r="BO76" s="303" t="str">
        <f aca="false">IF($A76="N/A"," ",V76*$AW76)</f>
        <v> </v>
      </c>
      <c r="BP76" s="303" t="str">
        <f aca="false">IF($A76="N/A"," ",W76*$AX76)</f>
        <v> </v>
      </c>
      <c r="BQ76" s="303" t="str">
        <f aca="false">IF($A76="N/A"," ",X76*$AY76)</f>
        <v> </v>
      </c>
      <c r="BR76" s="303" t="str">
        <f aca="false">IF($A76="N/A"," ",Y76*$AZ76)</f>
        <v> </v>
      </c>
      <c r="BS76" s="304" t="str">
        <f aca="false">IF($A76="N/A"," ",Z76*$BA76)</f>
        <v> </v>
      </c>
      <c r="BT76" s="305" t="str">
        <f aca="false">IF($A76="N/A"," ",AA76*$AS76)</f>
        <v> </v>
      </c>
      <c r="BU76" s="306" t="str">
        <f aca="false">IF($A76="N/A"," ",AB76*$AT76)</f>
        <v> </v>
      </c>
      <c r="BV76" s="306" t="str">
        <f aca="false">IF($A76="N/A"," ",AC76*$AU76)</f>
        <v> </v>
      </c>
      <c r="BW76" s="306" t="str">
        <f aca="false">IF($A76="N/A"," ",AD76*$AV76)</f>
        <v> </v>
      </c>
      <c r="BX76" s="306" t="str">
        <f aca="false">IF($A76="N/A"," ",AE76*$AW76)</f>
        <v> </v>
      </c>
      <c r="BY76" s="306" t="str">
        <f aca="false">IF($A76="N/A"," ",AF76*$AX76)</f>
        <v> </v>
      </c>
      <c r="BZ76" s="306" t="str">
        <f aca="false">IF($A76="N/A"," ",AG76*$AY76)</f>
        <v> </v>
      </c>
      <c r="CA76" s="306" t="str">
        <f aca="false">IF($A76="N/A"," ",AH76*$AZ76)</f>
        <v> </v>
      </c>
      <c r="CB76" s="307" t="str">
        <f aca="false">IF($A76="N/A"," ",AI76*$BA76)</f>
        <v> </v>
      </c>
      <c r="CC76" s="308" t="str">
        <f aca="false">IF($A76="N/A"," ",AJ76*$AS76)</f>
        <v> </v>
      </c>
      <c r="CD76" s="309" t="str">
        <f aca="false">IF($A76="N/A"," ",AK76*$AT76)</f>
        <v> </v>
      </c>
      <c r="CE76" s="309" t="str">
        <f aca="false">IF($A76="N/A"," ",AL76*$AU76)</f>
        <v> </v>
      </c>
      <c r="CF76" s="309" t="str">
        <f aca="false">IF($A76="N/A"," ",AM76*$AV76)</f>
        <v> </v>
      </c>
      <c r="CG76" s="309" t="str">
        <f aca="false">IF($A76="N/A"," ",AN76*$AW76)</f>
        <v> </v>
      </c>
      <c r="CH76" s="309" t="str">
        <f aca="false">IF($A76="N/A"," ",AO76*$AX76)</f>
        <v> </v>
      </c>
      <c r="CI76" s="309" t="str">
        <f aca="false">IF($A76="N/A"," ",AP76*$AY76)</f>
        <v> </v>
      </c>
      <c r="CJ76" s="309" t="str">
        <f aca="false">IF($A76="N/A"," ",AQ76*$AZ76)</f>
        <v> </v>
      </c>
      <c r="CK76" s="310" t="str">
        <f aca="false">IF($A76="N/A"," ",AR76*$BA76)</f>
        <v> </v>
      </c>
      <c r="CL76" s="311" t="str">
        <f aca="false">IF(A76="N/A"," ",(VLOOKUP(A76,PowerVolTable,(IF(VolBMO=2,7,IF(VolBMO=1,6,8))),FALSE())))</f>
        <v> </v>
      </c>
      <c r="CM76" s="312" t="str">
        <f aca="false">IF(A76="N/A"," ",(VLOOKUP(A76,IntraPowerVol,(IF(VolBMO=2,3,IF(VolBMO=1,2,4))),FALSE())*VLOOKUP(MONTH($A76),Volscale,2)))</f>
        <v> </v>
      </c>
      <c r="CN76" s="312" t="str">
        <f aca="false">IF($A76="N/A"," ",IF(VolType=1,CM76,CL76))</f>
        <v> </v>
      </c>
      <c r="CO76" s="312" t="str">
        <f aca="false">IF($A76="N/A"," ",(VLOOKUP($A76,OffPeakVol,(IF(VolBMO=2,7,IF(VolBMO=1,6,8))),FALSE())))</f>
        <v> </v>
      </c>
      <c r="CP76" s="312" t="str">
        <f aca="false">IF($A76="N/A"," ",(VLOOKUP($A76,OffPeakVol,(IF(VolBMO=2,3,IF(VolBMO=1,2,4))),FALSE())*VLOOKUP(MONTH($A76),Volscale,2)))</f>
        <v> </v>
      </c>
      <c r="CQ76" s="312" t="str">
        <f aca="false">IF($A76="N/A"," ",IF(VolType=1,CP76,CO76))</f>
        <v> </v>
      </c>
      <c r="CR76" s="312" t="str">
        <f aca="false">IF($A76="N/A"," ",(VLOOKUP($A76,GasVolTable,(IF(VolBMO=2,6,IF(VolBMO=1,7,5))),FALSE())))</f>
        <v> </v>
      </c>
      <c r="CS76" s="312" t="str">
        <f aca="false">IF($A76="N/A"," ",(VLOOKUP($A76,OmicronVol,(IF(VolBMO=2,3,IF(VolBMO=1,4,2))),FALSE())))</f>
        <v> </v>
      </c>
      <c r="CT76" s="312" t="str">
        <f aca="false">IF($A76="N/A"," ",(IF(DateToday&gt;$A76,$CS76,IF(VolType=1,((($CR76^2)*((($A76-1)-DateToday)/((EOMONTH($A76,0)+1)-DateToday-15)))+((($CS76)^2)*((15)/((EOMONTH($A76,0)+1)-DateToday-15))))^0.5,CR76))))</f>
        <v> </v>
      </c>
      <c r="CU76" s="312" t="str">
        <f aca="false">IF($A76="N/A"," ",IF('Pricing Inputs'!$AR$23=TRUE(),Inputs!$S$22,VLOOKUP($A76,CorrelationTable,2,FALSE())))</f>
        <v> </v>
      </c>
      <c r="CV76" s="313" t="str">
        <f aca="false">IF($A76="N/A"," ",F76+G76+(D76*('Pricing Inputs'!X111)))</f>
        <v> </v>
      </c>
      <c r="CW76" s="314" t="str">
        <f aca="false">IF($A76="N/A"," ",IF(PV=1,0,'Pricing Inputs'!Y111))</f>
        <v> </v>
      </c>
      <c r="CX76" s="315" t="str">
        <f aca="false">IF($A76="N/A"," ",(1+CW76/2)^(-2*((EOMONTH(A76,0)+20)-DateToday)/365.25))</f>
        <v> </v>
      </c>
      <c r="CY76" s="316" t="str">
        <f aca="false">IF($A76="N/A"," ",(IF(MONTH(A76)&gt;=4,IF(MONTH(A76)&lt;=10,Inputs!$S$26,Inputs!$S$27),Inputs!$S$27))*$CX76)</f>
        <v> </v>
      </c>
      <c r="CZ76" s="317" t="str">
        <f aca="false">IF($A76="N/A"," ",BK76+BL76+BN76+BO76+BQ76+BR76)</f>
        <v> </v>
      </c>
      <c r="DA76" s="318" t="str">
        <f aca="false">IF($A76="N/A"," ",BM76+BP76+BS76)</f>
        <v> </v>
      </c>
      <c r="DB76" s="319" t="str">
        <f aca="false">IF($A76="N/A"," ",BT76+BU76+BW76+BX76+BZ76+CA76)</f>
        <v> </v>
      </c>
      <c r="DC76" s="319" t="str">
        <f aca="false">IF($A76="N/A"," ",BV76+BY76+CB76)</f>
        <v> </v>
      </c>
      <c r="DD76" s="320" t="str">
        <f aca="false">IF($A76="N/A"," ",SUM(CC76:CK76))</f>
        <v> </v>
      </c>
      <c r="DE76" s="321" t="str">
        <f aca="false">IF($A76="N/A"," ",VLOOKUP($A76,NumberofDaysTable,2)*Availability)</f>
        <v> </v>
      </c>
      <c r="DF76" s="94" t="str">
        <f aca="false">IF($A76="N/A"," ",VLOOKUP($A76,NumberofDaysTable,3)*Availability)</f>
        <v> </v>
      </c>
      <c r="DG76" s="322" t="str">
        <f aca="false">IF($A76="N/A"," ",VLOOKUP($A76,NumberofDaysTable,4)*Availability)</f>
        <v> </v>
      </c>
      <c r="DH76" s="323" t="str">
        <f aca="false">IF($A76="N/A"," ",IF(Option=1,$D76*Inputs!$S$15*SUM(AS76:BA76),0))</f>
        <v> </v>
      </c>
      <c r="DI76" s="324" t="str">
        <f aca="false">IF($A76="N/A"," ",IF(Option=1,$D76*Inputs!$S$16*SUM(AS76:BA76),0))</f>
        <v> </v>
      </c>
      <c r="DJ76" s="325" t="str">
        <f aca="false">IF($A76="N/A"," ",SUM(AS76:AT76))</f>
        <v> </v>
      </c>
      <c r="DK76" s="325" t="str">
        <f aca="false">IF($A76="N/A"," ",SUM(AU76:BA76))</f>
        <v> </v>
      </c>
      <c r="DL76" s="325" t="str">
        <f aca="false">IF($A76="N/A"," ",SUM(BB76:BC76))</f>
        <v> </v>
      </c>
      <c r="DM76" s="325" t="str">
        <f aca="false">IF($A76="N/A"," ",SUM(BD76:BJ76))</f>
        <v> </v>
      </c>
    </row>
    <row r="77" customFormat="false" ht="12.75" hidden="false" customHeight="false" outlineLevel="0" collapsed="false">
      <c r="A77" s="282" t="str">
        <f aca="false">IF(A76="N/A","N/A",IF(EDATE(A76,1)&gt;Inputs!$S$5,"N/A",EDATE(A76,1)))</f>
        <v>N/A</v>
      </c>
      <c r="B77" s="283" t="str">
        <f aca="false">IF(A77="N/A"," ",YEAR(A77))</f>
        <v> </v>
      </c>
      <c r="C77" s="284" t="str">
        <f aca="false">IF(A77="N/A"," ",VLOOKUP(A77,ScaledPrice,14))</f>
        <v> </v>
      </c>
      <c r="D77" s="285" t="str">
        <f aca="false">IF(A77="N/A"," ",(VLOOKUP(MONTH($A77),Hrtable,2))/1000)</f>
        <v> </v>
      </c>
      <c r="E77" s="286" t="str">
        <f aca="false">IF($A77="N/A"," ",(C77)*D77)</f>
        <v> </v>
      </c>
      <c r="F77" s="287" t="str">
        <f aca="false">IF(A77="N/A"," ",VOM*(1+VOMesc)^(YEAR(A77)-YEAR(Today)))</f>
        <v> </v>
      </c>
      <c r="G77" s="287" t="str">
        <f aca="false">IF(A77="N/A"," ",Perstart/VLOOKUP(Dayrun,'Pricing Inputs'!$AQ$4:$AS$14,3)/(CY77/CX77))</f>
        <v> </v>
      </c>
      <c r="H77" s="288" t="str">
        <f aca="false">IF(A77="N/A"," ",SUM(E77:G77))</f>
        <v> </v>
      </c>
      <c r="I77" s="289" t="str">
        <f aca="false">VLOOKUP($A77,ScaledPrice,6)</f>
        <v> </v>
      </c>
      <c r="J77" s="290" t="str">
        <f aca="false">VLOOKUP($A77,ScaledPrice,10)</f>
        <v> </v>
      </c>
      <c r="K77" s="290" t="str">
        <f aca="false">VLOOKUP($A77,ScaledPrice,13)</f>
        <v> </v>
      </c>
      <c r="L77" s="290" t="str">
        <f aca="false">VLOOKUP($A77,ScaledPrice,7)</f>
        <v> </v>
      </c>
      <c r="M77" s="290" t="str">
        <f aca="false">VLOOKUP($A77,ScaledPrice,11)</f>
        <v> </v>
      </c>
      <c r="N77" s="290" t="str">
        <f aca="false">VLOOKUP($A77,ScaledPrice,13)</f>
        <v> </v>
      </c>
      <c r="O77" s="290" t="str">
        <f aca="false">VLOOKUP($A77,ScaledPrice,8)</f>
        <v> </v>
      </c>
      <c r="P77" s="290" t="str">
        <f aca="false">VLOOKUP($A77,ScaledPrice,12)</f>
        <v> </v>
      </c>
      <c r="Q77" s="291" t="str">
        <f aca="false">VLOOKUP($A77,ScaledPrice,13)</f>
        <v> </v>
      </c>
      <c r="R77" s="292" t="str">
        <f aca="false">IF($A77="N/A"," ",IF(Dayrun&gt;=3,IF(Option=1,MAX($I77-$H77,0),IF(Option=2,MAX($H77-$I77,0),0)),0))</f>
        <v> </v>
      </c>
      <c r="S77" s="286" t="str">
        <f aca="false">IF($A77="N/A"," ",IF(Dayrun&gt;=6,IF(Option=1,MAX($J77-H77,0),IF(Option=2,MAX(H77-$J77,0),0)),0))</f>
        <v> </v>
      </c>
      <c r="T77" s="286" t="str">
        <f aca="false">IF($A77="N/A"," ",IF(OR(Dayrun&lt;=2,Dayrun&gt;=9),IF(Option=1,MAX($K77-$H77,0),IF(Option=2,MAX($H77-$K77,0),0)),0))</f>
        <v> </v>
      </c>
      <c r="U77" s="286" t="str">
        <f aca="false">IF($A77="N/A"," ",IF(OR(Dayrun=1,Dayrun=4,Dayrun=5,Dayrun=7,Dayrun=8,Dayrun=10,Dayrun=11),IF(Option=1,MAX($L77-H77,0),IF(Option=2,MAX(H77-$L77,0),0)),0))</f>
        <v> </v>
      </c>
      <c r="V77" s="286" t="str">
        <f aca="false">IF($A77="N/A"," ",IF(OR(Dayrun=1,Dayrun=7,Dayrun=8,Dayrun=10,Dayrun=11),IF(Option=1,MAX($M77-H77,0),IF(Option=2,MAX(H77-$M77,0),0)),0))</f>
        <v> </v>
      </c>
      <c r="W77" s="286" t="str">
        <f aca="false">IF($A77="N/A"," ",IF(OR(Dayrun&lt;=2,Dayrun&gt;=10),IF(Option=1,MAX($N77-$H77,0),IF(Option=2,MAX($H77-$N77,0),0)),0))</f>
        <v> </v>
      </c>
      <c r="X77" s="286" t="str">
        <f aca="false">IF($A77="N/A"," ",IF(OR(Dayrun=1,Dayrun=5,Dayrun=8,Dayrun=11),IF(Option=1,MAX($O77-H77,0),IF(Option=2,MAX(H77-$O77,0),0)),0))</f>
        <v> </v>
      </c>
      <c r="Y77" s="286" t="str">
        <f aca="false">IF($A77="N/A"," ",IF(OR(Dayrun=1,Dayrun=8,Dayrun=11),IF(Option=1,MAX($P77-H77,0),IF(Option=2,MAX(H77-$P77,0),0)),0))</f>
        <v> </v>
      </c>
      <c r="Z77" s="293" t="str">
        <f aca="false">IF($A77="N/A"," ",IF(OR(Dayrun&lt;=2,Dayrun&gt;=11),IF(Option=1,MAX($Q77-$H77,0),IF(Option=2,MAX($H77-$Q77,0),0)),0))</f>
        <v> </v>
      </c>
      <c r="AA77" s="289" t="str">
        <f aca="false">IF($A77="N/A"," ",IF(Dayrun&gt;=3,(MAX(0,(xSPRDOPT(I77,($E77-'Pricing Inputs'!$X112*$D77),$CV77,0,($CN77+IF(Smile=TRUE(),VLOOKUP(MAX(-5,$H77-I77),Volsmile,2),0)),$CT77,$CU77,($A77-DateToday)+15,ABS(Option-2),0)-R77))),0))</f>
        <v> </v>
      </c>
      <c r="AB77" s="290" t="str">
        <f aca="false">IF($A77="N/A"," ",IF(Dayrun&gt;=6,MAX(0,(xSPRDOPT(J77,($E77-'Pricing Inputs'!$X112*$D77),$CV77,0,($CN77+IF(Smile=TRUE(),VLOOKUP(MAX(-5,$H77-J77),Volsmile,2),0)),$CT77,$CU77,($A77-DateToday)+15,ABS(Option-2),0)-S77)),0))</f>
        <v> </v>
      </c>
      <c r="AC77" s="290" t="str">
        <f aca="false">IF($A77="N/A"," ",IF(OR(Dayrun&lt;=2,Dayrun&gt;=9),IF(OffPeakEx=TRUE(),MAX(0,(xSPRDOPT(K77,($E77-'Pricing Inputs'!$X112*$D77),$CV77,0,($CQ77+IF(Smile=TRUE(),VLOOKUP(MAX(-5,$H77-K77),Volsmile,2),0)),$CT77,$CU77,($A77-DateToday)+15,ABS(Option-2),0)-T77)),0),0))</f>
        <v> </v>
      </c>
      <c r="AD77" s="290" t="str">
        <f aca="false">IF($A77="N/A"," ",IF(OR(Dayrun=1,Dayrun=4,Dayrun=5,Dayrun=7,Dayrun=8,Dayrun=10,Dayrun=11),MAX(0,(xSPRDOPT(L77,($E77-'Pricing Inputs'!$X112*$D77),$CV77,0,($CQ77+IF(Smile=TRUE(),VLOOKUP(MAX(-5,$H77-L77),Volsmile,2),0)),$CT77,$CU77,($A77-DateToday)+15,ABS(Option-2),0)-U77)),0))</f>
        <v> </v>
      </c>
      <c r="AE77" s="290" t="str">
        <f aca="false">IF($A77="N/A"," ",IF(OR(Dayrun=1,Dayrun=7,Dayrun=8,Dayrun=10,Dayrun=11),MAX(0,(xSPRDOPT(M77,($E77-'Pricing Inputs'!$X112*$D77),$CV77,0,($CQ77+IF(Smile=TRUE(),VLOOKUP(MAX(-5,$H77-M77),Volsmile,2),0)),$CT77,$CU77,($A77-DateToday)+15,ABS(Option-2),0)-V77)),0))</f>
        <v> </v>
      </c>
      <c r="AF77" s="290" t="str">
        <f aca="false">IF($A77="N/A"," ",IF(OR(Dayrun&lt;=2,Dayrun&gt;=10),IF(OffPeakEx=TRUE(),MAX(0,(xSPRDOPT(N77,($E77-'Pricing Inputs'!$X112*$D77),$CV77,0,($CQ77+IF(Smile=TRUE(),VLOOKUP(MAX(-5,$H77-N77),Volsmile,2),0)),$CT77,$CU77,($A77-DateToday)+15,ABS(Option-2),0)-W77)),0),0))</f>
        <v> </v>
      </c>
      <c r="AG77" s="290" t="str">
        <f aca="false">IF($A77="N/A"," ",IF(OR(Dayrun=1,Dayrun=5,Dayrun=8,Dayrun=11),MAX(0,(xSPRDOPT(O77,($E77-'Pricing Inputs'!$X112*$D77),$CV77,0,($CQ77+IF(Smile=TRUE(),VLOOKUP(MAX(-5,$H77-O77),Volsmile,2),0)),$CT77,$CU77,($A77-DateToday)+15,ABS(Option-2),0)-X77)),0))</f>
        <v> </v>
      </c>
      <c r="AH77" s="290" t="str">
        <f aca="false">IF($A77="N/A"," ",IF(OR(Dayrun=1,Dayrun=8,Dayrun=11),MAX(0,(xSPRDOPT(P77,($E77-'Pricing Inputs'!$X112*$D77),$CV77,0,($CQ77+IF(Smile=TRUE(),VLOOKUP(MAX(-5,$H77-P77),Volsmile,2),0)),$CT77,$CU77,($A77-DateToday)+15,ABS(Option-2),0)-Y77)),0))</f>
        <v> </v>
      </c>
      <c r="AI77" s="290" t="str">
        <f aca="false">IF($A77="N/A"," ",IF(OR(Dayrun&lt;=2,Dayrun&gt;=11),IF(OffPeakEx=TRUE(),MAX(0,(xSPRDOPT(Q77,($E77-'Pricing Inputs'!$X112*$D77),$CV77,0,($CQ77+IF(Smile=TRUE(),VLOOKUP(MAX(-5,$H77-Q77),Volsmile,2),0)),$CT77,$CU77,($A77-DateToday)+15,ABS(Option-2),0)-Z77)),0),0))</f>
        <v> </v>
      </c>
      <c r="AJ77" s="294" t="str">
        <f aca="false">IF($A77="N/A"," ",IF(Dayrun&gt;=3,IF(Option=1,$I77-$H77,IF(Option=2,$H77-$I77)),0))</f>
        <v> </v>
      </c>
      <c r="AK77" s="295" t="str">
        <f aca="false">IF($A77="N/A"," ",IF(Dayrun&gt;=6,IF(Option=1,$J77-H77,IF(Option=2,H77-$J77)),0))</f>
        <v> </v>
      </c>
      <c r="AL77" s="295" t="str">
        <f aca="false">IF($A77="N/A"," ",IF(OR(Dayrun&lt;=2,Dayrun&gt;=9),IF(Option=1,$K77-$H77,IF(Option=2,$H77-$K77)),0))</f>
        <v> </v>
      </c>
      <c r="AM77" s="295" t="str">
        <f aca="false">IF($A77="N/A"," ",IF(OR(Dayrun=1,Dayrun=4,Dayrun=5,Dayrun=7,Dayrun=8,Dayrun=10,Dayrun=11),IF(Option=1,$L77-H77,IF(Option=2,H77-$L77)),0))</f>
        <v> </v>
      </c>
      <c r="AN77" s="295" t="str">
        <f aca="false">IF($A77="N/A"," ",IF(OR(Dayrun=1,Dayrun=7,Dayrun=8,Dayrun=10,Dayrun=11),IF(Option=1,$M77-H77,IF(Option=2,H77-$M77)),0))</f>
        <v> </v>
      </c>
      <c r="AO77" s="295" t="str">
        <f aca="false">IF($A77="N/A"," ",IF(OR(Dayrun&lt;=2,Dayrun&gt;=9),IF(Option=1,$N77-$H77,IF(Option=2,$H77-$N77)),0))</f>
        <v> </v>
      </c>
      <c r="AP77" s="295" t="str">
        <f aca="false">IF($A77="N/A"," ",IF(OR(Dayrun=1,Dayrun=5,Dayrun=8,Dayrun=11),IF(Option=1,$O77-H77,IF(Option=2,H77-$O77)),0))</f>
        <v> </v>
      </c>
      <c r="AQ77" s="295" t="str">
        <f aca="false">IF($A77="N/A"," ",IF(OR(Dayrun=1,Dayrun=8,Dayrun=11),IF(Option=1,$P77-H77,IF(Option=2,H77-$P77)),0))</f>
        <v> </v>
      </c>
      <c r="AR77" s="296" t="str">
        <f aca="false">IF($A77="N/A"," ",IF(OR(Dayrun&lt;=2,Dayrun&gt;=9),IF(Option=1,$Q77-H77,IF(Option=2,H77-$Q77)),0))</f>
        <v> </v>
      </c>
      <c r="AS77" s="297" t="str">
        <f aca="false">IF($A77="N/A"," ",IF(VLOOKUP(MONTH($A77),ManualTable,2)=1,IF(Dayrun&gt;=3,$DE77*8*$CY77,0),0))</f>
        <v> </v>
      </c>
      <c r="AT77" s="297" t="str">
        <f aca="false">IF($A77="N/A"," ",IF(VLOOKUP(MONTH($A77),ManualTable,3)=1,IF(Dayrun&gt;=6,$DE77*8*$CY77,0),0))</f>
        <v> </v>
      </c>
      <c r="AU77" s="297" t="str">
        <f aca="false">IF($A77="N/A"," ",IF(VLOOKUP(MONTH($A77),ManualTable,4)=1,IF(OR(Dayrun&lt;=2,Dayrun&gt;=9),$DE77*8*$CY77,0),0))</f>
        <v> </v>
      </c>
      <c r="AV77" s="297" t="str">
        <f aca="false">IF($A77="N/A"," ",IF(VLOOKUP(MONTH($A77),ManualTable,5)=1,IF(OR(Dayrun=1,Dayrun=4,Dayrun=5,Dayrun=7,Dayrun=8,Dayrun=10,Dayrun=11),$DF77*8*$CY77,0),0))</f>
        <v> </v>
      </c>
      <c r="AW77" s="297" t="str">
        <f aca="false">IF($A77="N/A"," ",IF(VLOOKUP(MONTH($A77),ManualTable,6)=1,IF(OR(Dayrun=1,Dayrun=7,Dayrun=8,Dayrun=10,Dayrun=11),$DF77*8*$CY77,0),0))</f>
        <v> </v>
      </c>
      <c r="AX77" s="297" t="str">
        <f aca="false">IF($A77="N/A"," ",IF(VLOOKUP(MONTH($A77),ManualTable,7)=1,IF(OR(Dayrun&lt;=2,Dayrun&gt;=9),$DF77*8*$CY77,0),0))</f>
        <v> </v>
      </c>
      <c r="AY77" s="297" t="str">
        <f aca="false">IF($A77="N/A"," ",IF(VLOOKUP(MONTH($A77),ManualTable,8)=1,IF(OR(Dayrun=1,Dayrun=5,Dayrun=8,Dayrun=11),$DG77*8*$CY77,0),0))</f>
        <v> </v>
      </c>
      <c r="AZ77" s="297" t="str">
        <f aca="false">IF($A77="N/A"," ",IF(VLOOKUP(MONTH($A77),ManualTable,9)=1,IF(OR(Dayrun=1,Dayrun=8,Dayrun=11),$DG77*8*$CY77,0),0))</f>
        <v> </v>
      </c>
      <c r="BA77" s="298" t="str">
        <f aca="false">IF($A77="N/A"," ",IF(VLOOKUP(MONTH($A77),ManualTable,10)=1,IF(OR(Dayrun&lt;=2,Dayrun&gt;=9),$DG77*8*$CY77,0),0))</f>
        <v> </v>
      </c>
      <c r="BB77" s="299" t="str">
        <f aca="false">IF($A77="N/A"," ",IF(Dayrun&gt;=3,(MAX(0,(xSPRDOPT(I77,($E77-'Pricing Inputs'!$X112*$D77),$CV77,0,($CN77+IF(Smile=TRUE(),VLOOKUP(MAX(-5,$H77-I77),Volsmile,2),0)),$CT77,$CU77,($A77-DateToday)+15,ABS(Option-2),1)*DE77*8))),0))</f>
        <v> </v>
      </c>
      <c r="BC77" s="300" t="str">
        <f aca="false">IF($A77="N/A"," ",IF(Dayrun&gt;=6,MAX(0,(xSPRDOPT(J77,($E77-'Pricing Inputs'!$X112*$D77),$CV77,0,($CN77+IF(Smile=TRUE(),VLOOKUP(MAX(-5,$H77-J77),Volsmile,2),0)),$CT77,$CU77,($A77-DateToday)+15,ABS(Option-2),1)*DE77*8)),0))</f>
        <v> </v>
      </c>
      <c r="BD77" s="300" t="str">
        <f aca="false">IF($A77="N/A"," ",IF(OR(Dayrun&lt;=2,Dayrun&gt;=9),IF(OffPeakEx=TRUE(),MAX(0,(xSPRDOPT(K77,($E77-'Pricing Inputs'!$X112*$D77),$CV77,0,($CQ77+IF(Smile=TRUE(),VLOOKUP(MAX(-5,$H77-K77),Volsmile,2),0)),$CT77,$CU77,($A77-DateToday)+15,ABS(Option-2),1)*DE77*8)),0),0))</f>
        <v> </v>
      </c>
      <c r="BE77" s="300" t="str">
        <f aca="false">IF($A77="N/A"," ",IF(OR(Dayrun=1,Dayrun=4,Dayrun=5,Dayrun=7,Dayrun=8,Dayrun=10,Dayrun=11),MAX(0,(xSPRDOPT(L77,($E77-'Pricing Inputs'!$X112*$D77),$CV77,0,($CQ77+IF(Smile=TRUE(),VLOOKUP(MAX(-5,$H77-L77),Volsmile,2),0)),$CT77,$CU77,($A77-DateToday)+15,ABS(Option-2),1)*DF77*8)),0))</f>
        <v> </v>
      </c>
      <c r="BF77" s="300" t="str">
        <f aca="false">IF($A77="N/A"," ",IF(OR(Dayrun=1,Dayrun=7,Dayrun=8,Dayrun=10,Dayrun=11),MAX(0,(xSPRDOPT(M77,($E77-'Pricing Inputs'!$X112*$D77),$CV77,0,($CQ77+IF(Smile=TRUE(),VLOOKUP(MAX(-5,$H77-M77),Volsmile,2),0)),$CT77,$CU77,($A77-DateToday)+15,ABS(Option-2),1)*DF77*8)),0))</f>
        <v> </v>
      </c>
      <c r="BG77" s="300" t="str">
        <f aca="false">IF($A77="N/A"," ",IF(OR(Dayrun&lt;=2,Dayrun&gt;=10),IF(OffPeakEx=TRUE(),MAX(0,(xSPRDOPT(N77,($E77-'Pricing Inputs'!$X112*$D77),$CV77,0,($CQ77+IF(Smile=TRUE(),VLOOKUP(MAX(-5,$H77-N77),Volsmile,2),0)),$CT77,$CU77,($A77-DateToday)+15,ABS(Option-2),1)*DF77*8)),0),0))</f>
        <v> </v>
      </c>
      <c r="BH77" s="300" t="str">
        <f aca="false">IF($A77="N/A"," ",IF(OR(Dayrun=1,Dayrun=5,Dayrun=8,Dayrun=11),MAX(0,(xSPRDOPT(O77,($E77-'Pricing Inputs'!$X112*$D77),$CV77,0,($CQ77+IF(Smile=TRUE(),VLOOKUP(MAX(-5,$H77-O77),Volsmile,2),0)),$CT77,$CU77,($A77-DateToday)+15,ABS(Option-2),1)*DG77*8)),0))</f>
        <v> </v>
      </c>
      <c r="BI77" s="300" t="str">
        <f aca="false">IF($A77="N/A"," ",IF(OR(Dayrun=1,Dayrun=8,Dayrun=11),MAX(0,(xSPRDOPT(P77,($E77-'Pricing Inputs'!$X112*$D77),$CV77,0,($CQ77+IF(Smile=TRUE(),VLOOKUP(MAX(-5,$H77-P77),Volsmile,2),0)),$CT77,$CU77,($A77-DateToday)+15,ABS(Option-2),1)*DG77*8)),0))</f>
        <v> </v>
      </c>
      <c r="BJ77" s="301" t="str">
        <f aca="false">IF($A77="N/A"," ",IF(OR(Dayrun&lt;=2,Dayrun&gt;=11),IF(OffPeakEx=TRUE(),MAX(0,(xSPRDOPT(Q77,($E77-'Pricing Inputs'!$X112*$D77),$CV77,0,($CQ77+IF(Smile=TRUE(),VLOOKUP(MAX(-5,$H77-Q77),Volsmile,2),0)),$CT77,$CU77,($A77-DateToday)+15,ABS(Option-2),1)*DG77*8)),0),0))</f>
        <v> </v>
      </c>
      <c r="BK77" s="302" t="str">
        <f aca="false">IF($A77="N/A"," ",R77*$AS77)</f>
        <v> </v>
      </c>
      <c r="BL77" s="303" t="str">
        <f aca="false">IF($A77="N/A"," ",S77*$AT77)</f>
        <v> </v>
      </c>
      <c r="BM77" s="303" t="str">
        <f aca="false">IF($A77="N/A"," ",T77*$AU77)</f>
        <v> </v>
      </c>
      <c r="BN77" s="303" t="str">
        <f aca="false">IF($A77="N/A"," ",U77*$AV77)</f>
        <v> </v>
      </c>
      <c r="BO77" s="303" t="str">
        <f aca="false">IF($A77="N/A"," ",V77*$AW77)</f>
        <v> </v>
      </c>
      <c r="BP77" s="303" t="str">
        <f aca="false">IF($A77="N/A"," ",W77*$AX77)</f>
        <v> </v>
      </c>
      <c r="BQ77" s="303" t="str">
        <f aca="false">IF($A77="N/A"," ",X77*$AY77)</f>
        <v> </v>
      </c>
      <c r="BR77" s="303" t="str">
        <f aca="false">IF($A77="N/A"," ",Y77*$AZ77)</f>
        <v> </v>
      </c>
      <c r="BS77" s="304" t="str">
        <f aca="false">IF($A77="N/A"," ",Z77*$BA77)</f>
        <v> </v>
      </c>
      <c r="BT77" s="305" t="str">
        <f aca="false">IF($A77="N/A"," ",AA77*$AS77)</f>
        <v> </v>
      </c>
      <c r="BU77" s="306" t="str">
        <f aca="false">IF($A77="N/A"," ",AB77*$AT77)</f>
        <v> </v>
      </c>
      <c r="BV77" s="306" t="str">
        <f aca="false">IF($A77="N/A"," ",AC77*$AU77)</f>
        <v> </v>
      </c>
      <c r="BW77" s="306" t="str">
        <f aca="false">IF($A77="N/A"," ",AD77*$AV77)</f>
        <v> </v>
      </c>
      <c r="BX77" s="306" t="str">
        <f aca="false">IF($A77="N/A"," ",AE77*$AW77)</f>
        <v> </v>
      </c>
      <c r="BY77" s="306" t="str">
        <f aca="false">IF($A77="N/A"," ",AF77*$AX77)</f>
        <v> </v>
      </c>
      <c r="BZ77" s="306" t="str">
        <f aca="false">IF($A77="N/A"," ",AG77*$AY77)</f>
        <v> </v>
      </c>
      <c r="CA77" s="306" t="str">
        <f aca="false">IF($A77="N/A"," ",AH77*$AZ77)</f>
        <v> </v>
      </c>
      <c r="CB77" s="307" t="str">
        <f aca="false">IF($A77="N/A"," ",AI77*$BA77)</f>
        <v> </v>
      </c>
      <c r="CC77" s="308" t="str">
        <f aca="false">IF($A77="N/A"," ",AJ77*$AS77)</f>
        <v> </v>
      </c>
      <c r="CD77" s="309" t="str">
        <f aca="false">IF($A77="N/A"," ",AK77*$AT77)</f>
        <v> </v>
      </c>
      <c r="CE77" s="309" t="str">
        <f aca="false">IF($A77="N/A"," ",AL77*$AU77)</f>
        <v> </v>
      </c>
      <c r="CF77" s="309" t="str">
        <f aca="false">IF($A77="N/A"," ",AM77*$AV77)</f>
        <v> </v>
      </c>
      <c r="CG77" s="309" t="str">
        <f aca="false">IF($A77="N/A"," ",AN77*$AW77)</f>
        <v> </v>
      </c>
      <c r="CH77" s="309" t="str">
        <f aca="false">IF($A77="N/A"," ",AO77*$AX77)</f>
        <v> </v>
      </c>
      <c r="CI77" s="309" t="str">
        <f aca="false">IF($A77="N/A"," ",AP77*$AY77)</f>
        <v> </v>
      </c>
      <c r="CJ77" s="309" t="str">
        <f aca="false">IF($A77="N/A"," ",AQ77*$AZ77)</f>
        <v> </v>
      </c>
      <c r="CK77" s="310" t="str">
        <f aca="false">IF($A77="N/A"," ",AR77*$BA77)</f>
        <v> </v>
      </c>
      <c r="CL77" s="311" t="str">
        <f aca="false">IF(A77="N/A"," ",(VLOOKUP(A77,PowerVolTable,(IF(VolBMO=2,7,IF(VolBMO=1,6,8))),FALSE())))</f>
        <v> </v>
      </c>
      <c r="CM77" s="312" t="str">
        <f aca="false">IF(A77="N/A"," ",(VLOOKUP(A77,IntraPowerVol,(IF(VolBMO=2,3,IF(VolBMO=1,2,4))),FALSE())*VLOOKUP(MONTH($A77),Volscale,2)))</f>
        <v> </v>
      </c>
      <c r="CN77" s="312" t="str">
        <f aca="false">IF($A77="N/A"," ",IF(VolType=1,CM77,CL77))</f>
        <v> </v>
      </c>
      <c r="CO77" s="312" t="str">
        <f aca="false">IF($A77="N/A"," ",(VLOOKUP($A77,OffPeakVol,(IF(VolBMO=2,7,IF(VolBMO=1,6,8))),FALSE())))</f>
        <v> </v>
      </c>
      <c r="CP77" s="312" t="str">
        <f aca="false">IF($A77="N/A"," ",(VLOOKUP($A77,OffPeakVol,(IF(VolBMO=2,3,IF(VolBMO=1,2,4))),FALSE())*VLOOKUP(MONTH($A77),Volscale,2)))</f>
        <v> </v>
      </c>
      <c r="CQ77" s="312" t="str">
        <f aca="false">IF($A77="N/A"," ",IF(VolType=1,CP77,CO77))</f>
        <v> </v>
      </c>
      <c r="CR77" s="312" t="str">
        <f aca="false">IF($A77="N/A"," ",(VLOOKUP($A77,GasVolTable,(IF(VolBMO=2,6,IF(VolBMO=1,7,5))),FALSE())))</f>
        <v> </v>
      </c>
      <c r="CS77" s="312" t="str">
        <f aca="false">IF($A77="N/A"," ",(VLOOKUP($A77,OmicronVol,(IF(VolBMO=2,3,IF(VolBMO=1,4,2))),FALSE())))</f>
        <v> </v>
      </c>
      <c r="CT77" s="312" t="str">
        <f aca="false">IF($A77="N/A"," ",(IF(DateToday&gt;$A77,$CS77,IF(VolType=1,((($CR77^2)*((($A77-1)-DateToday)/((EOMONTH($A77,0)+1)-DateToday-15)))+((($CS77)^2)*((15)/((EOMONTH($A77,0)+1)-DateToday-15))))^0.5,CR77))))</f>
        <v> </v>
      </c>
      <c r="CU77" s="312" t="str">
        <f aca="false">IF($A77="N/A"," ",IF('Pricing Inputs'!$AR$23=TRUE(),Inputs!$S$22,VLOOKUP($A77,CorrelationTable,2,FALSE())))</f>
        <v> </v>
      </c>
      <c r="CV77" s="313" t="str">
        <f aca="false">IF($A77="N/A"," ",F77+G77+(D77*('Pricing Inputs'!X112)))</f>
        <v> </v>
      </c>
      <c r="CW77" s="314" t="str">
        <f aca="false">IF($A77="N/A"," ",IF(PV=1,0,'Pricing Inputs'!Y112))</f>
        <v> </v>
      </c>
      <c r="CX77" s="315" t="str">
        <f aca="false">IF($A77="N/A"," ",(1+CW77/2)^(-2*((EOMONTH(A77,0)+20)-DateToday)/365.25))</f>
        <v> </v>
      </c>
      <c r="CY77" s="316" t="str">
        <f aca="false">IF($A77="N/A"," ",(IF(MONTH(A77)&gt;=4,IF(MONTH(A77)&lt;=10,Inputs!$S$26,Inputs!$S$27),Inputs!$S$27))*$CX77)</f>
        <v> </v>
      </c>
      <c r="CZ77" s="317" t="str">
        <f aca="false">IF($A77="N/A"," ",BK77+BL77+BN77+BO77+BQ77+BR77)</f>
        <v> </v>
      </c>
      <c r="DA77" s="318" t="str">
        <f aca="false">IF($A77="N/A"," ",BM77+BP77+BS77)</f>
        <v> </v>
      </c>
      <c r="DB77" s="319" t="str">
        <f aca="false">IF($A77="N/A"," ",BT77+BU77+BW77+BX77+BZ77+CA77)</f>
        <v> </v>
      </c>
      <c r="DC77" s="319" t="str">
        <f aca="false">IF($A77="N/A"," ",BV77+BY77+CB77)</f>
        <v> </v>
      </c>
      <c r="DD77" s="320" t="str">
        <f aca="false">IF($A77="N/A"," ",SUM(CC77:CK77))</f>
        <v> </v>
      </c>
      <c r="DE77" s="321" t="str">
        <f aca="false">IF($A77="N/A"," ",VLOOKUP($A77,NumberofDaysTable,2)*Availability)</f>
        <v> </v>
      </c>
      <c r="DF77" s="94" t="str">
        <f aca="false">IF($A77="N/A"," ",VLOOKUP($A77,NumberofDaysTable,3)*Availability)</f>
        <v> </v>
      </c>
      <c r="DG77" s="322" t="str">
        <f aca="false">IF($A77="N/A"," ",VLOOKUP($A77,NumberofDaysTable,4)*Availability)</f>
        <v> </v>
      </c>
      <c r="DH77" s="323" t="str">
        <f aca="false">IF($A77="N/A"," ",IF(Option=1,$D77*Inputs!$S$15*SUM(AS77:BA77),0))</f>
        <v> </v>
      </c>
      <c r="DI77" s="324" t="str">
        <f aca="false">IF($A77="N/A"," ",IF(Option=1,$D77*Inputs!$S$16*SUM(AS77:BA77),0))</f>
        <v> </v>
      </c>
      <c r="DJ77" s="325" t="str">
        <f aca="false">IF($A77="N/A"," ",SUM(AS77:AT77))</f>
        <v> </v>
      </c>
      <c r="DK77" s="325" t="str">
        <f aca="false">IF($A77="N/A"," ",SUM(AU77:BA77))</f>
        <v> </v>
      </c>
      <c r="DL77" s="325" t="str">
        <f aca="false">IF($A77="N/A"," ",SUM(BB77:BC77))</f>
        <v> </v>
      </c>
      <c r="DM77" s="325" t="str">
        <f aca="false">IF($A77="N/A"," ",SUM(BD77:BJ77))</f>
        <v> </v>
      </c>
    </row>
    <row r="78" customFormat="false" ht="12.75" hidden="false" customHeight="false" outlineLevel="0" collapsed="false">
      <c r="A78" s="282" t="str">
        <f aca="false">IF(A77="N/A","N/A",IF(EDATE(A77,1)&gt;Inputs!$S$5,"N/A",EDATE(A77,1)))</f>
        <v>N/A</v>
      </c>
      <c r="B78" s="283" t="str">
        <f aca="false">IF(A78="N/A"," ",YEAR(A78))</f>
        <v> </v>
      </c>
      <c r="C78" s="284" t="str">
        <f aca="false">IF(A78="N/A"," ",VLOOKUP(A78,ScaledPrice,14))</f>
        <v> </v>
      </c>
      <c r="D78" s="285" t="str">
        <f aca="false">IF(A78="N/A"," ",(VLOOKUP(MONTH($A78),Hrtable,2))/1000)</f>
        <v> </v>
      </c>
      <c r="E78" s="286" t="str">
        <f aca="false">IF($A78="N/A"," ",(C78)*D78)</f>
        <v> </v>
      </c>
      <c r="F78" s="287" t="str">
        <f aca="false">IF(A78="N/A"," ",VOM*(1+VOMesc)^(YEAR(A78)-YEAR(Today)))</f>
        <v> </v>
      </c>
      <c r="G78" s="287" t="str">
        <f aca="false">IF(A78="N/A"," ",Perstart/VLOOKUP(Dayrun,'Pricing Inputs'!$AQ$4:$AS$14,3)/(CY78/CX78))</f>
        <v> </v>
      </c>
      <c r="H78" s="288" t="str">
        <f aca="false">IF(A78="N/A"," ",SUM(E78:G78))</f>
        <v> </v>
      </c>
      <c r="I78" s="289" t="str">
        <f aca="false">VLOOKUP($A78,ScaledPrice,6)</f>
        <v> </v>
      </c>
      <c r="J78" s="290" t="str">
        <f aca="false">VLOOKUP($A78,ScaledPrice,10)</f>
        <v> </v>
      </c>
      <c r="K78" s="290" t="str">
        <f aca="false">VLOOKUP($A78,ScaledPrice,13)</f>
        <v> </v>
      </c>
      <c r="L78" s="290" t="str">
        <f aca="false">VLOOKUP($A78,ScaledPrice,7)</f>
        <v> </v>
      </c>
      <c r="M78" s="290" t="str">
        <f aca="false">VLOOKUP($A78,ScaledPrice,11)</f>
        <v> </v>
      </c>
      <c r="N78" s="290" t="str">
        <f aca="false">VLOOKUP($A78,ScaledPrice,13)</f>
        <v> </v>
      </c>
      <c r="O78" s="290" t="str">
        <f aca="false">VLOOKUP($A78,ScaledPrice,8)</f>
        <v> </v>
      </c>
      <c r="P78" s="290" t="str">
        <f aca="false">VLOOKUP($A78,ScaledPrice,12)</f>
        <v> </v>
      </c>
      <c r="Q78" s="291" t="str">
        <f aca="false">VLOOKUP($A78,ScaledPrice,13)</f>
        <v> </v>
      </c>
      <c r="R78" s="292" t="str">
        <f aca="false">IF($A78="N/A"," ",IF(Dayrun&gt;=3,IF(Option=1,MAX($I78-$H78,0),IF(Option=2,MAX($H78-$I78,0),0)),0))</f>
        <v> </v>
      </c>
      <c r="S78" s="286" t="str">
        <f aca="false">IF($A78="N/A"," ",IF(Dayrun&gt;=6,IF(Option=1,MAX($J78-H78,0),IF(Option=2,MAX(H78-$J78,0),0)),0))</f>
        <v> </v>
      </c>
      <c r="T78" s="286" t="str">
        <f aca="false">IF($A78="N/A"," ",IF(OR(Dayrun&lt;=2,Dayrun&gt;=9),IF(Option=1,MAX($K78-$H78,0),IF(Option=2,MAX($H78-$K78,0),0)),0))</f>
        <v> </v>
      </c>
      <c r="U78" s="286" t="str">
        <f aca="false">IF($A78="N/A"," ",IF(OR(Dayrun=1,Dayrun=4,Dayrun=5,Dayrun=7,Dayrun=8,Dayrun=10,Dayrun=11),IF(Option=1,MAX($L78-H78,0),IF(Option=2,MAX(H78-$L78,0),0)),0))</f>
        <v> </v>
      </c>
      <c r="V78" s="286" t="str">
        <f aca="false">IF($A78="N/A"," ",IF(OR(Dayrun=1,Dayrun=7,Dayrun=8,Dayrun=10,Dayrun=11),IF(Option=1,MAX($M78-H78,0),IF(Option=2,MAX(H78-$M78,0),0)),0))</f>
        <v> </v>
      </c>
      <c r="W78" s="286" t="str">
        <f aca="false">IF($A78="N/A"," ",IF(OR(Dayrun&lt;=2,Dayrun&gt;=10),IF(Option=1,MAX($N78-$H78,0),IF(Option=2,MAX($H78-$N78,0),0)),0))</f>
        <v> </v>
      </c>
      <c r="X78" s="286" t="str">
        <f aca="false">IF($A78="N/A"," ",IF(OR(Dayrun=1,Dayrun=5,Dayrun=8,Dayrun=11),IF(Option=1,MAX($O78-H78,0),IF(Option=2,MAX(H78-$O78,0),0)),0))</f>
        <v> </v>
      </c>
      <c r="Y78" s="286" t="str">
        <f aca="false">IF($A78="N/A"," ",IF(OR(Dayrun=1,Dayrun=8,Dayrun=11),IF(Option=1,MAX($P78-H78,0),IF(Option=2,MAX(H78-$P78,0),0)),0))</f>
        <v> </v>
      </c>
      <c r="Z78" s="293" t="str">
        <f aca="false">IF($A78="N/A"," ",IF(OR(Dayrun&lt;=2,Dayrun&gt;=11),IF(Option=1,MAX($Q78-$H78,0),IF(Option=2,MAX($H78-$Q78,0),0)),0))</f>
        <v> </v>
      </c>
      <c r="AA78" s="289" t="str">
        <f aca="false">IF($A78="N/A"," ",IF(Dayrun&gt;=3,(MAX(0,(xSPRDOPT(I78,($E78-'Pricing Inputs'!$X113*$D78),$CV78,0,($CN78+IF(Smile=TRUE(),VLOOKUP(MAX(-5,$H78-I78),Volsmile,2),0)),$CT78,$CU78,($A78-DateToday)+15,ABS(Option-2),0)-R78))),0))</f>
        <v> </v>
      </c>
      <c r="AB78" s="290" t="str">
        <f aca="false">IF($A78="N/A"," ",IF(Dayrun&gt;=6,MAX(0,(xSPRDOPT(J78,($E78-'Pricing Inputs'!$X113*$D78),$CV78,0,($CN78+IF(Smile=TRUE(),VLOOKUP(MAX(-5,$H78-J78),Volsmile,2),0)),$CT78,$CU78,($A78-DateToday)+15,ABS(Option-2),0)-S78)),0))</f>
        <v> </v>
      </c>
      <c r="AC78" s="290" t="str">
        <f aca="false">IF($A78="N/A"," ",IF(OR(Dayrun&lt;=2,Dayrun&gt;=9),IF(OffPeakEx=TRUE(),MAX(0,(xSPRDOPT(K78,($E78-'Pricing Inputs'!$X113*$D78),$CV78,0,($CQ78+IF(Smile=TRUE(),VLOOKUP(MAX(-5,$H78-K78),Volsmile,2),0)),$CT78,$CU78,($A78-DateToday)+15,ABS(Option-2),0)-T78)),0),0))</f>
        <v> </v>
      </c>
      <c r="AD78" s="290" t="str">
        <f aca="false">IF($A78="N/A"," ",IF(OR(Dayrun=1,Dayrun=4,Dayrun=5,Dayrun=7,Dayrun=8,Dayrun=10,Dayrun=11),MAX(0,(xSPRDOPT(L78,($E78-'Pricing Inputs'!$X113*$D78),$CV78,0,($CQ78+IF(Smile=TRUE(),VLOOKUP(MAX(-5,$H78-L78),Volsmile,2),0)),$CT78,$CU78,($A78-DateToday)+15,ABS(Option-2),0)-U78)),0))</f>
        <v> </v>
      </c>
      <c r="AE78" s="290" t="str">
        <f aca="false">IF($A78="N/A"," ",IF(OR(Dayrun=1,Dayrun=7,Dayrun=8,Dayrun=10,Dayrun=11),MAX(0,(xSPRDOPT(M78,($E78-'Pricing Inputs'!$X113*$D78),$CV78,0,($CQ78+IF(Smile=TRUE(),VLOOKUP(MAX(-5,$H78-M78),Volsmile,2),0)),$CT78,$CU78,($A78-DateToday)+15,ABS(Option-2),0)-V78)),0))</f>
        <v> </v>
      </c>
      <c r="AF78" s="290" t="str">
        <f aca="false">IF($A78="N/A"," ",IF(OR(Dayrun&lt;=2,Dayrun&gt;=10),IF(OffPeakEx=TRUE(),MAX(0,(xSPRDOPT(N78,($E78-'Pricing Inputs'!$X113*$D78),$CV78,0,($CQ78+IF(Smile=TRUE(),VLOOKUP(MAX(-5,$H78-N78),Volsmile,2),0)),$CT78,$CU78,($A78-DateToday)+15,ABS(Option-2),0)-W78)),0),0))</f>
        <v> </v>
      </c>
      <c r="AG78" s="290" t="str">
        <f aca="false">IF($A78="N/A"," ",IF(OR(Dayrun=1,Dayrun=5,Dayrun=8,Dayrun=11),MAX(0,(xSPRDOPT(O78,($E78-'Pricing Inputs'!$X113*$D78),$CV78,0,($CQ78+IF(Smile=TRUE(),VLOOKUP(MAX(-5,$H78-O78),Volsmile,2),0)),$CT78,$CU78,($A78-DateToday)+15,ABS(Option-2),0)-X78)),0))</f>
        <v> </v>
      </c>
      <c r="AH78" s="290" t="str">
        <f aca="false">IF($A78="N/A"," ",IF(OR(Dayrun=1,Dayrun=8,Dayrun=11),MAX(0,(xSPRDOPT(P78,($E78-'Pricing Inputs'!$X113*$D78),$CV78,0,($CQ78+IF(Smile=TRUE(),VLOOKUP(MAX(-5,$H78-P78),Volsmile,2),0)),$CT78,$CU78,($A78-DateToday)+15,ABS(Option-2),0)-Y78)),0))</f>
        <v> </v>
      </c>
      <c r="AI78" s="290" t="str">
        <f aca="false">IF($A78="N/A"," ",IF(OR(Dayrun&lt;=2,Dayrun&gt;=11),IF(OffPeakEx=TRUE(),MAX(0,(xSPRDOPT(Q78,($E78-'Pricing Inputs'!$X113*$D78),$CV78,0,($CQ78+IF(Smile=TRUE(),VLOOKUP(MAX(-5,$H78-Q78),Volsmile,2),0)),$CT78,$CU78,($A78-DateToday)+15,ABS(Option-2),0)-Z78)),0),0))</f>
        <v> </v>
      </c>
      <c r="AJ78" s="294" t="str">
        <f aca="false">IF($A78="N/A"," ",IF(Dayrun&gt;=3,IF(Option=1,$I78-$H78,IF(Option=2,$H78-$I78)),0))</f>
        <v> </v>
      </c>
      <c r="AK78" s="295" t="str">
        <f aca="false">IF($A78="N/A"," ",IF(Dayrun&gt;=6,IF(Option=1,$J78-H78,IF(Option=2,H78-$J78)),0))</f>
        <v> </v>
      </c>
      <c r="AL78" s="295" t="str">
        <f aca="false">IF($A78="N/A"," ",IF(OR(Dayrun&lt;=2,Dayrun&gt;=9),IF(Option=1,$K78-$H78,IF(Option=2,$H78-$K78)),0))</f>
        <v> </v>
      </c>
      <c r="AM78" s="295" t="str">
        <f aca="false">IF($A78="N/A"," ",IF(OR(Dayrun=1,Dayrun=4,Dayrun=5,Dayrun=7,Dayrun=8,Dayrun=10,Dayrun=11),IF(Option=1,$L78-H78,IF(Option=2,H78-$L78)),0))</f>
        <v> </v>
      </c>
      <c r="AN78" s="295" t="str">
        <f aca="false">IF($A78="N/A"," ",IF(OR(Dayrun=1,Dayrun=7,Dayrun=8,Dayrun=10,Dayrun=11),IF(Option=1,$M78-H78,IF(Option=2,H78-$M78)),0))</f>
        <v> </v>
      </c>
      <c r="AO78" s="295" t="str">
        <f aca="false">IF($A78="N/A"," ",IF(OR(Dayrun&lt;=2,Dayrun&gt;=9),IF(Option=1,$N78-$H78,IF(Option=2,$H78-$N78)),0))</f>
        <v> </v>
      </c>
      <c r="AP78" s="295" t="str">
        <f aca="false">IF($A78="N/A"," ",IF(OR(Dayrun=1,Dayrun=5,Dayrun=8,Dayrun=11),IF(Option=1,$O78-H78,IF(Option=2,H78-$O78)),0))</f>
        <v> </v>
      </c>
      <c r="AQ78" s="295" t="str">
        <f aca="false">IF($A78="N/A"," ",IF(OR(Dayrun=1,Dayrun=8,Dayrun=11),IF(Option=1,$P78-H78,IF(Option=2,H78-$P78)),0))</f>
        <v> </v>
      </c>
      <c r="AR78" s="296" t="str">
        <f aca="false">IF($A78="N/A"," ",IF(OR(Dayrun&lt;=2,Dayrun&gt;=9),IF(Option=1,$Q78-H78,IF(Option=2,H78-$Q78)),0))</f>
        <v> </v>
      </c>
      <c r="AS78" s="297" t="str">
        <f aca="false">IF($A78="N/A"," ",IF(VLOOKUP(MONTH($A78),ManualTable,2)=1,IF(Dayrun&gt;=3,$DE78*8*$CY78,0),0))</f>
        <v> </v>
      </c>
      <c r="AT78" s="297" t="str">
        <f aca="false">IF($A78="N/A"," ",IF(VLOOKUP(MONTH($A78),ManualTable,3)=1,IF(Dayrun&gt;=6,$DE78*8*$CY78,0),0))</f>
        <v> </v>
      </c>
      <c r="AU78" s="297" t="str">
        <f aca="false">IF($A78="N/A"," ",IF(VLOOKUP(MONTH($A78),ManualTable,4)=1,IF(OR(Dayrun&lt;=2,Dayrun&gt;=9),$DE78*8*$CY78,0),0))</f>
        <v> </v>
      </c>
      <c r="AV78" s="297" t="str">
        <f aca="false">IF($A78="N/A"," ",IF(VLOOKUP(MONTH($A78),ManualTable,5)=1,IF(OR(Dayrun=1,Dayrun=4,Dayrun=5,Dayrun=7,Dayrun=8,Dayrun=10,Dayrun=11),$DF78*8*$CY78,0),0))</f>
        <v> </v>
      </c>
      <c r="AW78" s="297" t="str">
        <f aca="false">IF($A78="N/A"," ",IF(VLOOKUP(MONTH($A78),ManualTable,6)=1,IF(OR(Dayrun=1,Dayrun=7,Dayrun=8,Dayrun=10,Dayrun=11),$DF78*8*$CY78,0),0))</f>
        <v> </v>
      </c>
      <c r="AX78" s="297" t="str">
        <f aca="false">IF($A78="N/A"," ",IF(VLOOKUP(MONTH($A78),ManualTable,7)=1,IF(OR(Dayrun&lt;=2,Dayrun&gt;=9),$DF78*8*$CY78,0),0))</f>
        <v> </v>
      </c>
      <c r="AY78" s="297" t="str">
        <f aca="false">IF($A78="N/A"," ",IF(VLOOKUP(MONTH($A78),ManualTable,8)=1,IF(OR(Dayrun=1,Dayrun=5,Dayrun=8,Dayrun=11),$DG78*8*$CY78,0),0))</f>
        <v> </v>
      </c>
      <c r="AZ78" s="297" t="str">
        <f aca="false">IF($A78="N/A"," ",IF(VLOOKUP(MONTH($A78),ManualTable,9)=1,IF(OR(Dayrun=1,Dayrun=8,Dayrun=11),$DG78*8*$CY78,0),0))</f>
        <v> </v>
      </c>
      <c r="BA78" s="298" t="str">
        <f aca="false">IF($A78="N/A"," ",IF(VLOOKUP(MONTH($A78),ManualTable,10)=1,IF(OR(Dayrun&lt;=2,Dayrun&gt;=9),$DG78*8*$CY78,0),0))</f>
        <v> </v>
      </c>
      <c r="BB78" s="299" t="str">
        <f aca="false">IF($A78="N/A"," ",IF(Dayrun&gt;=3,(MAX(0,(xSPRDOPT(I78,($E78-'Pricing Inputs'!$X113*$D78),$CV78,0,($CN78+IF(Smile=TRUE(),VLOOKUP(MAX(-5,$H78-I78),Volsmile,2),0)),$CT78,$CU78,($A78-DateToday)+15,ABS(Option-2),1)*DE78*8))),0))</f>
        <v> </v>
      </c>
      <c r="BC78" s="300" t="str">
        <f aca="false">IF($A78="N/A"," ",IF(Dayrun&gt;=6,MAX(0,(xSPRDOPT(J78,($E78-'Pricing Inputs'!$X113*$D78),$CV78,0,($CN78+IF(Smile=TRUE(),VLOOKUP(MAX(-5,$H78-J78),Volsmile,2),0)),$CT78,$CU78,($A78-DateToday)+15,ABS(Option-2),1)*DE78*8)),0))</f>
        <v> </v>
      </c>
      <c r="BD78" s="300" t="str">
        <f aca="false">IF($A78="N/A"," ",IF(OR(Dayrun&lt;=2,Dayrun&gt;=9),IF(OffPeakEx=TRUE(),MAX(0,(xSPRDOPT(K78,($E78-'Pricing Inputs'!$X113*$D78),$CV78,0,($CQ78+IF(Smile=TRUE(),VLOOKUP(MAX(-5,$H78-K78),Volsmile,2),0)),$CT78,$CU78,($A78-DateToday)+15,ABS(Option-2),1)*DE78*8)),0),0))</f>
        <v> </v>
      </c>
      <c r="BE78" s="300" t="str">
        <f aca="false">IF($A78="N/A"," ",IF(OR(Dayrun=1,Dayrun=4,Dayrun=5,Dayrun=7,Dayrun=8,Dayrun=10,Dayrun=11),MAX(0,(xSPRDOPT(L78,($E78-'Pricing Inputs'!$X113*$D78),$CV78,0,($CQ78+IF(Smile=TRUE(),VLOOKUP(MAX(-5,$H78-L78),Volsmile,2),0)),$CT78,$CU78,($A78-DateToday)+15,ABS(Option-2),1)*DF78*8)),0))</f>
        <v> </v>
      </c>
      <c r="BF78" s="300" t="str">
        <f aca="false">IF($A78="N/A"," ",IF(OR(Dayrun=1,Dayrun=7,Dayrun=8,Dayrun=10,Dayrun=11),MAX(0,(xSPRDOPT(M78,($E78-'Pricing Inputs'!$X113*$D78),$CV78,0,($CQ78+IF(Smile=TRUE(),VLOOKUP(MAX(-5,$H78-M78),Volsmile,2),0)),$CT78,$CU78,($A78-DateToday)+15,ABS(Option-2),1)*DF78*8)),0))</f>
        <v> </v>
      </c>
      <c r="BG78" s="300" t="str">
        <f aca="false">IF($A78="N/A"," ",IF(OR(Dayrun&lt;=2,Dayrun&gt;=10),IF(OffPeakEx=TRUE(),MAX(0,(xSPRDOPT(N78,($E78-'Pricing Inputs'!$X113*$D78),$CV78,0,($CQ78+IF(Smile=TRUE(),VLOOKUP(MAX(-5,$H78-N78),Volsmile,2),0)),$CT78,$CU78,($A78-DateToday)+15,ABS(Option-2),1)*DF78*8)),0),0))</f>
        <v> </v>
      </c>
      <c r="BH78" s="300" t="str">
        <f aca="false">IF($A78="N/A"," ",IF(OR(Dayrun=1,Dayrun=5,Dayrun=8,Dayrun=11),MAX(0,(xSPRDOPT(O78,($E78-'Pricing Inputs'!$X113*$D78),$CV78,0,($CQ78+IF(Smile=TRUE(),VLOOKUP(MAX(-5,$H78-O78),Volsmile,2),0)),$CT78,$CU78,($A78-DateToday)+15,ABS(Option-2),1)*DG78*8)),0))</f>
        <v> </v>
      </c>
      <c r="BI78" s="300" t="str">
        <f aca="false">IF($A78="N/A"," ",IF(OR(Dayrun=1,Dayrun=8,Dayrun=11),MAX(0,(xSPRDOPT(P78,($E78-'Pricing Inputs'!$X113*$D78),$CV78,0,($CQ78+IF(Smile=TRUE(),VLOOKUP(MAX(-5,$H78-P78),Volsmile,2),0)),$CT78,$CU78,($A78-DateToday)+15,ABS(Option-2),1)*DG78*8)),0))</f>
        <v> </v>
      </c>
      <c r="BJ78" s="301" t="str">
        <f aca="false">IF($A78="N/A"," ",IF(OR(Dayrun&lt;=2,Dayrun&gt;=11),IF(OffPeakEx=TRUE(),MAX(0,(xSPRDOPT(Q78,($E78-'Pricing Inputs'!$X113*$D78),$CV78,0,($CQ78+IF(Smile=TRUE(),VLOOKUP(MAX(-5,$H78-Q78),Volsmile,2),0)),$CT78,$CU78,($A78-DateToday)+15,ABS(Option-2),1)*DG78*8)),0),0))</f>
        <v> </v>
      </c>
      <c r="BK78" s="302" t="str">
        <f aca="false">IF($A78="N/A"," ",R78*$AS78)</f>
        <v> </v>
      </c>
      <c r="BL78" s="303" t="str">
        <f aca="false">IF($A78="N/A"," ",S78*$AT78)</f>
        <v> </v>
      </c>
      <c r="BM78" s="303" t="str">
        <f aca="false">IF($A78="N/A"," ",T78*$AU78)</f>
        <v> </v>
      </c>
      <c r="BN78" s="303" t="str">
        <f aca="false">IF($A78="N/A"," ",U78*$AV78)</f>
        <v> </v>
      </c>
      <c r="BO78" s="303" t="str">
        <f aca="false">IF($A78="N/A"," ",V78*$AW78)</f>
        <v> </v>
      </c>
      <c r="BP78" s="303" t="str">
        <f aca="false">IF($A78="N/A"," ",W78*$AX78)</f>
        <v> </v>
      </c>
      <c r="BQ78" s="303" t="str">
        <f aca="false">IF($A78="N/A"," ",X78*$AY78)</f>
        <v> </v>
      </c>
      <c r="BR78" s="303" t="str">
        <f aca="false">IF($A78="N/A"," ",Y78*$AZ78)</f>
        <v> </v>
      </c>
      <c r="BS78" s="304" t="str">
        <f aca="false">IF($A78="N/A"," ",Z78*$BA78)</f>
        <v> </v>
      </c>
      <c r="BT78" s="305" t="str">
        <f aca="false">IF($A78="N/A"," ",AA78*$AS78)</f>
        <v> </v>
      </c>
      <c r="BU78" s="306" t="str">
        <f aca="false">IF($A78="N/A"," ",AB78*$AT78)</f>
        <v> </v>
      </c>
      <c r="BV78" s="306" t="str">
        <f aca="false">IF($A78="N/A"," ",AC78*$AU78)</f>
        <v> </v>
      </c>
      <c r="BW78" s="306" t="str">
        <f aca="false">IF($A78="N/A"," ",AD78*$AV78)</f>
        <v> </v>
      </c>
      <c r="BX78" s="306" t="str">
        <f aca="false">IF($A78="N/A"," ",AE78*$AW78)</f>
        <v> </v>
      </c>
      <c r="BY78" s="306" t="str">
        <f aca="false">IF($A78="N/A"," ",AF78*$AX78)</f>
        <v> </v>
      </c>
      <c r="BZ78" s="306" t="str">
        <f aca="false">IF($A78="N/A"," ",AG78*$AY78)</f>
        <v> </v>
      </c>
      <c r="CA78" s="306" t="str">
        <f aca="false">IF($A78="N/A"," ",AH78*$AZ78)</f>
        <v> </v>
      </c>
      <c r="CB78" s="307" t="str">
        <f aca="false">IF($A78="N/A"," ",AI78*$BA78)</f>
        <v> </v>
      </c>
      <c r="CC78" s="308" t="str">
        <f aca="false">IF($A78="N/A"," ",AJ78*$AS78)</f>
        <v> </v>
      </c>
      <c r="CD78" s="309" t="str">
        <f aca="false">IF($A78="N/A"," ",AK78*$AT78)</f>
        <v> </v>
      </c>
      <c r="CE78" s="309" t="str">
        <f aca="false">IF($A78="N/A"," ",AL78*$AU78)</f>
        <v> </v>
      </c>
      <c r="CF78" s="309" t="str">
        <f aca="false">IF($A78="N/A"," ",AM78*$AV78)</f>
        <v> </v>
      </c>
      <c r="CG78" s="309" t="str">
        <f aca="false">IF($A78="N/A"," ",AN78*$AW78)</f>
        <v> </v>
      </c>
      <c r="CH78" s="309" t="str">
        <f aca="false">IF($A78="N/A"," ",AO78*$AX78)</f>
        <v> </v>
      </c>
      <c r="CI78" s="309" t="str">
        <f aca="false">IF($A78="N/A"," ",AP78*$AY78)</f>
        <v> </v>
      </c>
      <c r="CJ78" s="309" t="str">
        <f aca="false">IF($A78="N/A"," ",AQ78*$AZ78)</f>
        <v> </v>
      </c>
      <c r="CK78" s="310" t="str">
        <f aca="false">IF($A78="N/A"," ",AR78*$BA78)</f>
        <v> </v>
      </c>
      <c r="CL78" s="311" t="str">
        <f aca="false">IF(A78="N/A"," ",(VLOOKUP(A78,PowerVolTable,(IF(VolBMO=2,7,IF(VolBMO=1,6,8))),FALSE())))</f>
        <v> </v>
      </c>
      <c r="CM78" s="312" t="str">
        <f aca="false">IF(A78="N/A"," ",(VLOOKUP(A78,IntraPowerVol,(IF(VolBMO=2,3,IF(VolBMO=1,2,4))),FALSE())*VLOOKUP(MONTH($A78),Volscale,2)))</f>
        <v> </v>
      </c>
      <c r="CN78" s="312" t="str">
        <f aca="false">IF($A78="N/A"," ",IF(VolType=1,CM78,CL78))</f>
        <v> </v>
      </c>
      <c r="CO78" s="312" t="str">
        <f aca="false">IF($A78="N/A"," ",(VLOOKUP($A78,OffPeakVol,(IF(VolBMO=2,7,IF(VolBMO=1,6,8))),FALSE())))</f>
        <v> </v>
      </c>
      <c r="CP78" s="312" t="str">
        <f aca="false">IF($A78="N/A"," ",(VLOOKUP($A78,OffPeakVol,(IF(VolBMO=2,3,IF(VolBMO=1,2,4))),FALSE())*VLOOKUP(MONTH($A78),Volscale,2)))</f>
        <v> </v>
      </c>
      <c r="CQ78" s="312" t="str">
        <f aca="false">IF($A78="N/A"," ",IF(VolType=1,CP78,CO78))</f>
        <v> </v>
      </c>
      <c r="CR78" s="312" t="str">
        <f aca="false">IF($A78="N/A"," ",(VLOOKUP($A78,GasVolTable,(IF(VolBMO=2,6,IF(VolBMO=1,7,5))),FALSE())))</f>
        <v> </v>
      </c>
      <c r="CS78" s="312" t="str">
        <f aca="false">IF($A78="N/A"," ",(VLOOKUP($A78,OmicronVol,(IF(VolBMO=2,3,IF(VolBMO=1,4,2))),FALSE())))</f>
        <v> </v>
      </c>
      <c r="CT78" s="312" t="str">
        <f aca="false">IF($A78="N/A"," ",(IF(DateToday&gt;$A78,$CS78,IF(VolType=1,((($CR78^2)*((($A78-1)-DateToday)/((EOMONTH($A78,0)+1)-DateToday-15)))+((($CS78)^2)*((15)/((EOMONTH($A78,0)+1)-DateToday-15))))^0.5,CR78))))</f>
        <v> </v>
      </c>
      <c r="CU78" s="312" t="str">
        <f aca="false">IF($A78="N/A"," ",IF('Pricing Inputs'!$AR$23=TRUE(),Inputs!$S$22,VLOOKUP($A78,CorrelationTable,2,FALSE())))</f>
        <v> </v>
      </c>
      <c r="CV78" s="313" t="str">
        <f aca="false">IF($A78="N/A"," ",F78+G78+(D78*('Pricing Inputs'!X113)))</f>
        <v> </v>
      </c>
      <c r="CW78" s="314" t="str">
        <f aca="false">IF($A78="N/A"," ",IF(PV=1,0,'Pricing Inputs'!Y113))</f>
        <v> </v>
      </c>
      <c r="CX78" s="315" t="str">
        <f aca="false">IF($A78="N/A"," ",(1+CW78/2)^(-2*((EOMONTH(A78,0)+20)-DateToday)/365.25))</f>
        <v> </v>
      </c>
      <c r="CY78" s="316" t="str">
        <f aca="false">IF($A78="N/A"," ",(IF(MONTH(A78)&gt;=4,IF(MONTH(A78)&lt;=10,Inputs!$S$26,Inputs!$S$27),Inputs!$S$27))*$CX78)</f>
        <v> </v>
      </c>
      <c r="CZ78" s="317" t="str">
        <f aca="false">IF($A78="N/A"," ",BK78+BL78+BN78+BO78+BQ78+BR78)</f>
        <v> </v>
      </c>
      <c r="DA78" s="318" t="str">
        <f aca="false">IF($A78="N/A"," ",BM78+BP78+BS78)</f>
        <v> </v>
      </c>
      <c r="DB78" s="319" t="str">
        <f aca="false">IF($A78="N/A"," ",BT78+BU78+BW78+BX78+BZ78+CA78)</f>
        <v> </v>
      </c>
      <c r="DC78" s="319" t="str">
        <f aca="false">IF($A78="N/A"," ",BV78+BY78+CB78)</f>
        <v> </v>
      </c>
      <c r="DD78" s="320" t="str">
        <f aca="false">IF($A78="N/A"," ",SUM(CC78:CK78))</f>
        <v> </v>
      </c>
      <c r="DE78" s="321" t="str">
        <f aca="false">IF($A78="N/A"," ",VLOOKUP($A78,NumberofDaysTable,2)*Availability)</f>
        <v> </v>
      </c>
      <c r="DF78" s="94" t="str">
        <f aca="false">IF($A78="N/A"," ",VLOOKUP($A78,NumberofDaysTable,3)*Availability)</f>
        <v> </v>
      </c>
      <c r="DG78" s="322" t="str">
        <f aca="false">IF($A78="N/A"," ",VLOOKUP($A78,NumberofDaysTable,4)*Availability)</f>
        <v> </v>
      </c>
      <c r="DH78" s="323" t="str">
        <f aca="false">IF($A78="N/A"," ",IF(Option=1,$D78*Inputs!$S$15*SUM(AS78:BA78),0))</f>
        <v> </v>
      </c>
      <c r="DI78" s="324" t="str">
        <f aca="false">IF($A78="N/A"," ",IF(Option=1,$D78*Inputs!$S$16*SUM(AS78:BA78),0))</f>
        <v> </v>
      </c>
      <c r="DJ78" s="325" t="str">
        <f aca="false">IF($A78="N/A"," ",SUM(AS78:AT78))</f>
        <v> </v>
      </c>
      <c r="DK78" s="325" t="str">
        <f aca="false">IF($A78="N/A"," ",SUM(AU78:BA78))</f>
        <v> </v>
      </c>
      <c r="DL78" s="325" t="str">
        <f aca="false">IF($A78="N/A"," ",SUM(BB78:BC78))</f>
        <v> </v>
      </c>
      <c r="DM78" s="325" t="str">
        <f aca="false">IF($A78="N/A"," ",SUM(BD78:BJ78))</f>
        <v> </v>
      </c>
    </row>
    <row r="79" customFormat="false" ht="12.75" hidden="false" customHeight="false" outlineLevel="0" collapsed="false">
      <c r="A79" s="282" t="str">
        <f aca="false">IF(A78="N/A","N/A",IF(EDATE(A78,1)&gt;Inputs!$S$5,"N/A",EDATE(A78,1)))</f>
        <v>N/A</v>
      </c>
      <c r="B79" s="283" t="str">
        <f aca="false">IF(A79="N/A"," ",YEAR(A79))</f>
        <v> </v>
      </c>
      <c r="C79" s="284" t="str">
        <f aca="false">IF(A79="N/A"," ",VLOOKUP(A79,ScaledPrice,14))</f>
        <v> </v>
      </c>
      <c r="D79" s="285" t="str">
        <f aca="false">IF(A79="N/A"," ",(VLOOKUP(MONTH($A79),Hrtable,2))/1000)</f>
        <v> </v>
      </c>
      <c r="E79" s="286" t="str">
        <f aca="false">IF($A79="N/A"," ",(C79)*D79)</f>
        <v> </v>
      </c>
      <c r="F79" s="287" t="str">
        <f aca="false">IF(A79="N/A"," ",VOM*(1+VOMesc)^(YEAR(A79)-YEAR(Today)))</f>
        <v> </v>
      </c>
      <c r="G79" s="287" t="str">
        <f aca="false">IF(A79="N/A"," ",Perstart/VLOOKUP(Dayrun,'Pricing Inputs'!$AQ$4:$AS$14,3)/(CY79/CX79))</f>
        <v> </v>
      </c>
      <c r="H79" s="288" t="str">
        <f aca="false">IF(A79="N/A"," ",SUM(E79:G79))</f>
        <v> </v>
      </c>
      <c r="I79" s="289" t="str">
        <f aca="false">VLOOKUP($A79,ScaledPrice,6)</f>
        <v> </v>
      </c>
      <c r="J79" s="290" t="str">
        <f aca="false">VLOOKUP($A79,ScaledPrice,10)</f>
        <v> </v>
      </c>
      <c r="K79" s="290" t="str">
        <f aca="false">VLOOKUP($A79,ScaledPrice,13)</f>
        <v> </v>
      </c>
      <c r="L79" s="290" t="str">
        <f aca="false">VLOOKUP($A79,ScaledPrice,7)</f>
        <v> </v>
      </c>
      <c r="M79" s="290" t="str">
        <f aca="false">VLOOKUP($A79,ScaledPrice,11)</f>
        <v> </v>
      </c>
      <c r="N79" s="290" t="str">
        <f aca="false">VLOOKUP($A79,ScaledPrice,13)</f>
        <v> </v>
      </c>
      <c r="O79" s="290" t="str">
        <f aca="false">VLOOKUP($A79,ScaledPrice,8)</f>
        <v> </v>
      </c>
      <c r="P79" s="290" t="str">
        <f aca="false">VLOOKUP($A79,ScaledPrice,12)</f>
        <v> </v>
      </c>
      <c r="Q79" s="291" t="str">
        <f aca="false">VLOOKUP($A79,ScaledPrice,13)</f>
        <v> </v>
      </c>
      <c r="R79" s="292" t="str">
        <f aca="false">IF($A79="N/A"," ",IF(Dayrun&gt;=3,IF(Option=1,MAX($I79-$H79,0),IF(Option=2,MAX($H79-$I79,0),0)),0))</f>
        <v> </v>
      </c>
      <c r="S79" s="286" t="str">
        <f aca="false">IF($A79="N/A"," ",IF(Dayrun&gt;=6,IF(Option=1,MAX($J79-H79,0),IF(Option=2,MAX(H79-$J79,0),0)),0))</f>
        <v> </v>
      </c>
      <c r="T79" s="286" t="str">
        <f aca="false">IF($A79="N/A"," ",IF(OR(Dayrun&lt;=2,Dayrun&gt;=9),IF(Option=1,MAX($K79-$H79,0),IF(Option=2,MAX($H79-$K79,0),0)),0))</f>
        <v> </v>
      </c>
      <c r="U79" s="286" t="str">
        <f aca="false">IF($A79="N/A"," ",IF(OR(Dayrun=1,Dayrun=4,Dayrun=5,Dayrun=7,Dayrun=8,Dayrun=10,Dayrun=11),IF(Option=1,MAX($L79-H79,0),IF(Option=2,MAX(H79-$L79,0),0)),0))</f>
        <v> </v>
      </c>
      <c r="V79" s="286" t="str">
        <f aca="false">IF($A79="N/A"," ",IF(OR(Dayrun=1,Dayrun=7,Dayrun=8,Dayrun=10,Dayrun=11),IF(Option=1,MAX($M79-H79,0),IF(Option=2,MAX(H79-$M79,0),0)),0))</f>
        <v> </v>
      </c>
      <c r="W79" s="286" t="str">
        <f aca="false">IF($A79="N/A"," ",IF(OR(Dayrun&lt;=2,Dayrun&gt;=10),IF(Option=1,MAX($N79-$H79,0),IF(Option=2,MAX($H79-$N79,0),0)),0))</f>
        <v> </v>
      </c>
      <c r="X79" s="286" t="str">
        <f aca="false">IF($A79="N/A"," ",IF(OR(Dayrun=1,Dayrun=5,Dayrun=8,Dayrun=11),IF(Option=1,MAX($O79-H79,0),IF(Option=2,MAX(H79-$O79,0),0)),0))</f>
        <v> </v>
      </c>
      <c r="Y79" s="286" t="str">
        <f aca="false">IF($A79="N/A"," ",IF(OR(Dayrun=1,Dayrun=8,Dayrun=11),IF(Option=1,MAX($P79-H79,0),IF(Option=2,MAX(H79-$P79,0),0)),0))</f>
        <v> </v>
      </c>
      <c r="Z79" s="293" t="str">
        <f aca="false">IF($A79="N/A"," ",IF(OR(Dayrun&lt;=2,Dayrun&gt;=11),IF(Option=1,MAX($Q79-$H79,0),IF(Option=2,MAX($H79-$Q79,0),0)),0))</f>
        <v> </v>
      </c>
      <c r="AA79" s="289" t="str">
        <f aca="false">IF($A79="N/A"," ",IF(Dayrun&gt;=3,(MAX(0,(xSPRDOPT(I79,($E79-'Pricing Inputs'!$X114*$D79),$CV79,0,($CN79+IF(Smile=TRUE(),VLOOKUP(MAX(-5,$H79-I79),Volsmile,2),0)),$CT79,$CU79,($A79-DateToday)+15,ABS(Option-2),0)-R79))),0))</f>
        <v> </v>
      </c>
      <c r="AB79" s="290" t="str">
        <f aca="false">IF($A79="N/A"," ",IF(Dayrun&gt;=6,MAX(0,(xSPRDOPT(J79,($E79-'Pricing Inputs'!$X114*$D79),$CV79,0,($CN79+IF(Smile=TRUE(),VLOOKUP(MAX(-5,$H79-J79),Volsmile,2),0)),$CT79,$CU79,($A79-DateToday)+15,ABS(Option-2),0)-S79)),0))</f>
        <v> </v>
      </c>
      <c r="AC79" s="290" t="str">
        <f aca="false">IF($A79="N/A"," ",IF(OR(Dayrun&lt;=2,Dayrun&gt;=9),IF(OffPeakEx=TRUE(),MAX(0,(xSPRDOPT(K79,($E79-'Pricing Inputs'!$X114*$D79),$CV79,0,($CQ79+IF(Smile=TRUE(),VLOOKUP(MAX(-5,$H79-K79),Volsmile,2),0)),$CT79,$CU79,($A79-DateToday)+15,ABS(Option-2),0)-T79)),0),0))</f>
        <v> </v>
      </c>
      <c r="AD79" s="290" t="str">
        <f aca="false">IF($A79="N/A"," ",IF(OR(Dayrun=1,Dayrun=4,Dayrun=5,Dayrun=7,Dayrun=8,Dayrun=10,Dayrun=11),MAX(0,(xSPRDOPT(L79,($E79-'Pricing Inputs'!$X114*$D79),$CV79,0,($CQ79+IF(Smile=TRUE(),VLOOKUP(MAX(-5,$H79-L79),Volsmile,2),0)),$CT79,$CU79,($A79-DateToday)+15,ABS(Option-2),0)-U79)),0))</f>
        <v> </v>
      </c>
      <c r="AE79" s="290" t="str">
        <f aca="false">IF($A79="N/A"," ",IF(OR(Dayrun=1,Dayrun=7,Dayrun=8,Dayrun=10,Dayrun=11),MAX(0,(xSPRDOPT(M79,($E79-'Pricing Inputs'!$X114*$D79),$CV79,0,($CQ79+IF(Smile=TRUE(),VLOOKUP(MAX(-5,$H79-M79),Volsmile,2),0)),$CT79,$CU79,($A79-DateToday)+15,ABS(Option-2),0)-V79)),0))</f>
        <v> </v>
      </c>
      <c r="AF79" s="290" t="str">
        <f aca="false">IF($A79="N/A"," ",IF(OR(Dayrun&lt;=2,Dayrun&gt;=10),IF(OffPeakEx=TRUE(),MAX(0,(xSPRDOPT(N79,($E79-'Pricing Inputs'!$X114*$D79),$CV79,0,($CQ79+IF(Smile=TRUE(),VLOOKUP(MAX(-5,$H79-N79),Volsmile,2),0)),$CT79,$CU79,($A79-DateToday)+15,ABS(Option-2),0)-W79)),0),0))</f>
        <v> </v>
      </c>
      <c r="AG79" s="290" t="str">
        <f aca="false">IF($A79="N/A"," ",IF(OR(Dayrun=1,Dayrun=5,Dayrun=8,Dayrun=11),MAX(0,(xSPRDOPT(O79,($E79-'Pricing Inputs'!$X114*$D79),$CV79,0,($CQ79+IF(Smile=TRUE(),VLOOKUP(MAX(-5,$H79-O79),Volsmile,2),0)),$CT79,$CU79,($A79-DateToday)+15,ABS(Option-2),0)-X79)),0))</f>
        <v> </v>
      </c>
      <c r="AH79" s="290" t="str">
        <f aca="false">IF($A79="N/A"," ",IF(OR(Dayrun=1,Dayrun=8,Dayrun=11),MAX(0,(xSPRDOPT(P79,($E79-'Pricing Inputs'!$X114*$D79),$CV79,0,($CQ79+IF(Smile=TRUE(),VLOOKUP(MAX(-5,$H79-P79),Volsmile,2),0)),$CT79,$CU79,($A79-DateToday)+15,ABS(Option-2),0)-Y79)),0))</f>
        <v> </v>
      </c>
      <c r="AI79" s="290" t="str">
        <f aca="false">IF($A79="N/A"," ",IF(OR(Dayrun&lt;=2,Dayrun&gt;=11),IF(OffPeakEx=TRUE(),MAX(0,(xSPRDOPT(Q79,($E79-'Pricing Inputs'!$X114*$D79),$CV79,0,($CQ79+IF(Smile=TRUE(),VLOOKUP(MAX(-5,$H79-Q79),Volsmile,2),0)),$CT79,$CU79,($A79-DateToday)+15,ABS(Option-2),0)-Z79)),0),0))</f>
        <v> </v>
      </c>
      <c r="AJ79" s="294" t="str">
        <f aca="false">IF($A79="N/A"," ",IF(Dayrun&gt;=3,IF(Option=1,$I79-$H79,IF(Option=2,$H79-$I79)),0))</f>
        <v> </v>
      </c>
      <c r="AK79" s="295" t="str">
        <f aca="false">IF($A79="N/A"," ",IF(Dayrun&gt;=6,IF(Option=1,$J79-H79,IF(Option=2,H79-$J79)),0))</f>
        <v> </v>
      </c>
      <c r="AL79" s="295" t="str">
        <f aca="false">IF($A79="N/A"," ",IF(OR(Dayrun&lt;=2,Dayrun&gt;=9),IF(Option=1,$K79-$H79,IF(Option=2,$H79-$K79)),0))</f>
        <v> </v>
      </c>
      <c r="AM79" s="295" t="str">
        <f aca="false">IF($A79="N/A"," ",IF(OR(Dayrun=1,Dayrun=4,Dayrun=5,Dayrun=7,Dayrun=8,Dayrun=10,Dayrun=11),IF(Option=1,$L79-H79,IF(Option=2,H79-$L79)),0))</f>
        <v> </v>
      </c>
      <c r="AN79" s="295" t="str">
        <f aca="false">IF($A79="N/A"," ",IF(OR(Dayrun=1,Dayrun=7,Dayrun=8,Dayrun=10,Dayrun=11),IF(Option=1,$M79-H79,IF(Option=2,H79-$M79)),0))</f>
        <v> </v>
      </c>
      <c r="AO79" s="295" t="str">
        <f aca="false">IF($A79="N/A"," ",IF(OR(Dayrun&lt;=2,Dayrun&gt;=9),IF(Option=1,$N79-$H79,IF(Option=2,$H79-$N79)),0))</f>
        <v> </v>
      </c>
      <c r="AP79" s="295" t="str">
        <f aca="false">IF($A79="N/A"," ",IF(OR(Dayrun=1,Dayrun=5,Dayrun=8,Dayrun=11),IF(Option=1,$O79-H79,IF(Option=2,H79-$O79)),0))</f>
        <v> </v>
      </c>
      <c r="AQ79" s="295" t="str">
        <f aca="false">IF($A79="N/A"," ",IF(OR(Dayrun=1,Dayrun=8,Dayrun=11),IF(Option=1,$P79-H79,IF(Option=2,H79-$P79)),0))</f>
        <v> </v>
      </c>
      <c r="AR79" s="296" t="str">
        <f aca="false">IF($A79="N/A"," ",IF(OR(Dayrun&lt;=2,Dayrun&gt;=9),IF(Option=1,$Q79-H79,IF(Option=2,H79-$Q79)),0))</f>
        <v> </v>
      </c>
      <c r="AS79" s="297" t="str">
        <f aca="false">IF($A79="N/A"," ",IF(VLOOKUP(MONTH($A79),ManualTable,2)=1,IF(Dayrun&gt;=3,$DE79*8*$CY79,0),0))</f>
        <v> </v>
      </c>
      <c r="AT79" s="297" t="str">
        <f aca="false">IF($A79="N/A"," ",IF(VLOOKUP(MONTH($A79),ManualTable,3)=1,IF(Dayrun&gt;=6,$DE79*8*$CY79,0),0))</f>
        <v> </v>
      </c>
      <c r="AU79" s="297" t="str">
        <f aca="false">IF($A79="N/A"," ",IF(VLOOKUP(MONTH($A79),ManualTable,4)=1,IF(OR(Dayrun&lt;=2,Dayrun&gt;=9),$DE79*8*$CY79,0),0))</f>
        <v> </v>
      </c>
      <c r="AV79" s="297" t="str">
        <f aca="false">IF($A79="N/A"," ",IF(VLOOKUP(MONTH($A79),ManualTable,5)=1,IF(OR(Dayrun=1,Dayrun=4,Dayrun=5,Dayrun=7,Dayrun=8,Dayrun=10,Dayrun=11),$DF79*8*$CY79,0),0))</f>
        <v> </v>
      </c>
      <c r="AW79" s="297" t="str">
        <f aca="false">IF($A79="N/A"," ",IF(VLOOKUP(MONTH($A79),ManualTable,6)=1,IF(OR(Dayrun=1,Dayrun=7,Dayrun=8,Dayrun=10,Dayrun=11),$DF79*8*$CY79,0),0))</f>
        <v> </v>
      </c>
      <c r="AX79" s="297" t="str">
        <f aca="false">IF($A79="N/A"," ",IF(VLOOKUP(MONTH($A79),ManualTable,7)=1,IF(OR(Dayrun&lt;=2,Dayrun&gt;=9),$DF79*8*$CY79,0),0))</f>
        <v> </v>
      </c>
      <c r="AY79" s="297" t="str">
        <f aca="false">IF($A79="N/A"," ",IF(VLOOKUP(MONTH($A79),ManualTable,8)=1,IF(OR(Dayrun=1,Dayrun=5,Dayrun=8,Dayrun=11),$DG79*8*$CY79,0),0))</f>
        <v> </v>
      </c>
      <c r="AZ79" s="297" t="str">
        <f aca="false">IF($A79="N/A"," ",IF(VLOOKUP(MONTH($A79),ManualTable,9)=1,IF(OR(Dayrun=1,Dayrun=8,Dayrun=11),$DG79*8*$CY79,0),0))</f>
        <v> </v>
      </c>
      <c r="BA79" s="298" t="str">
        <f aca="false">IF($A79="N/A"," ",IF(VLOOKUP(MONTH($A79),ManualTable,10)=1,IF(OR(Dayrun&lt;=2,Dayrun&gt;=9),$DG79*8*$CY79,0),0))</f>
        <v> </v>
      </c>
      <c r="BB79" s="299" t="str">
        <f aca="false">IF($A79="N/A"," ",IF(Dayrun&gt;=3,(MAX(0,(xSPRDOPT(I79,($E79-'Pricing Inputs'!$X114*$D79),$CV79,0,($CN79+IF(Smile=TRUE(),VLOOKUP(MAX(-5,$H79-I79),Volsmile,2),0)),$CT79,$CU79,($A79-DateToday)+15,ABS(Option-2),1)*DE79*8))),0))</f>
        <v> </v>
      </c>
      <c r="BC79" s="300" t="str">
        <f aca="false">IF($A79="N/A"," ",IF(Dayrun&gt;=6,MAX(0,(xSPRDOPT(J79,($E79-'Pricing Inputs'!$X114*$D79),$CV79,0,($CN79+IF(Smile=TRUE(),VLOOKUP(MAX(-5,$H79-J79),Volsmile,2),0)),$CT79,$CU79,($A79-DateToday)+15,ABS(Option-2),1)*DE79*8)),0))</f>
        <v> </v>
      </c>
      <c r="BD79" s="300" t="str">
        <f aca="false">IF($A79="N/A"," ",IF(OR(Dayrun&lt;=2,Dayrun&gt;=9),IF(OffPeakEx=TRUE(),MAX(0,(xSPRDOPT(K79,($E79-'Pricing Inputs'!$X114*$D79),$CV79,0,($CQ79+IF(Smile=TRUE(),VLOOKUP(MAX(-5,$H79-K79),Volsmile,2),0)),$CT79,$CU79,($A79-DateToday)+15,ABS(Option-2),1)*DE79*8)),0),0))</f>
        <v> </v>
      </c>
      <c r="BE79" s="300" t="str">
        <f aca="false">IF($A79="N/A"," ",IF(OR(Dayrun=1,Dayrun=4,Dayrun=5,Dayrun=7,Dayrun=8,Dayrun=10,Dayrun=11),MAX(0,(xSPRDOPT(L79,($E79-'Pricing Inputs'!$X114*$D79),$CV79,0,($CQ79+IF(Smile=TRUE(),VLOOKUP(MAX(-5,$H79-L79),Volsmile,2),0)),$CT79,$CU79,($A79-DateToday)+15,ABS(Option-2),1)*DF79*8)),0))</f>
        <v> </v>
      </c>
      <c r="BF79" s="300" t="str">
        <f aca="false">IF($A79="N/A"," ",IF(OR(Dayrun=1,Dayrun=7,Dayrun=8,Dayrun=10,Dayrun=11),MAX(0,(xSPRDOPT(M79,($E79-'Pricing Inputs'!$X114*$D79),$CV79,0,($CQ79+IF(Smile=TRUE(),VLOOKUP(MAX(-5,$H79-M79),Volsmile,2),0)),$CT79,$CU79,($A79-DateToday)+15,ABS(Option-2),1)*DF79*8)),0))</f>
        <v> </v>
      </c>
      <c r="BG79" s="300" t="str">
        <f aca="false">IF($A79="N/A"," ",IF(OR(Dayrun&lt;=2,Dayrun&gt;=10),IF(OffPeakEx=TRUE(),MAX(0,(xSPRDOPT(N79,($E79-'Pricing Inputs'!$X114*$D79),$CV79,0,($CQ79+IF(Smile=TRUE(),VLOOKUP(MAX(-5,$H79-N79),Volsmile,2),0)),$CT79,$CU79,($A79-DateToday)+15,ABS(Option-2),1)*DF79*8)),0),0))</f>
        <v> </v>
      </c>
      <c r="BH79" s="300" t="str">
        <f aca="false">IF($A79="N/A"," ",IF(OR(Dayrun=1,Dayrun=5,Dayrun=8,Dayrun=11),MAX(0,(xSPRDOPT(O79,($E79-'Pricing Inputs'!$X114*$D79),$CV79,0,($CQ79+IF(Smile=TRUE(),VLOOKUP(MAX(-5,$H79-O79),Volsmile,2),0)),$CT79,$CU79,($A79-DateToday)+15,ABS(Option-2),1)*DG79*8)),0))</f>
        <v> </v>
      </c>
      <c r="BI79" s="300" t="str">
        <f aca="false">IF($A79="N/A"," ",IF(OR(Dayrun=1,Dayrun=8,Dayrun=11),MAX(0,(xSPRDOPT(P79,($E79-'Pricing Inputs'!$X114*$D79),$CV79,0,($CQ79+IF(Smile=TRUE(),VLOOKUP(MAX(-5,$H79-P79),Volsmile,2),0)),$CT79,$CU79,($A79-DateToday)+15,ABS(Option-2),1)*DG79*8)),0))</f>
        <v> </v>
      </c>
      <c r="BJ79" s="301" t="str">
        <f aca="false">IF($A79="N/A"," ",IF(OR(Dayrun&lt;=2,Dayrun&gt;=11),IF(OffPeakEx=TRUE(),MAX(0,(xSPRDOPT(Q79,($E79-'Pricing Inputs'!$X114*$D79),$CV79,0,($CQ79+IF(Smile=TRUE(),VLOOKUP(MAX(-5,$H79-Q79),Volsmile,2),0)),$CT79,$CU79,($A79-DateToday)+15,ABS(Option-2),1)*DG79*8)),0),0))</f>
        <v> </v>
      </c>
      <c r="BK79" s="302" t="str">
        <f aca="false">IF($A79="N/A"," ",R79*$AS79)</f>
        <v> </v>
      </c>
      <c r="BL79" s="303" t="str">
        <f aca="false">IF($A79="N/A"," ",S79*$AT79)</f>
        <v> </v>
      </c>
      <c r="BM79" s="303" t="str">
        <f aca="false">IF($A79="N/A"," ",T79*$AU79)</f>
        <v> </v>
      </c>
      <c r="BN79" s="303" t="str">
        <f aca="false">IF($A79="N/A"," ",U79*$AV79)</f>
        <v> </v>
      </c>
      <c r="BO79" s="303" t="str">
        <f aca="false">IF($A79="N/A"," ",V79*$AW79)</f>
        <v> </v>
      </c>
      <c r="BP79" s="303" t="str">
        <f aca="false">IF($A79="N/A"," ",W79*$AX79)</f>
        <v> </v>
      </c>
      <c r="BQ79" s="303" t="str">
        <f aca="false">IF($A79="N/A"," ",X79*$AY79)</f>
        <v> </v>
      </c>
      <c r="BR79" s="303" t="str">
        <f aca="false">IF($A79="N/A"," ",Y79*$AZ79)</f>
        <v> </v>
      </c>
      <c r="BS79" s="304" t="str">
        <f aca="false">IF($A79="N/A"," ",Z79*$BA79)</f>
        <v> </v>
      </c>
      <c r="BT79" s="305" t="str">
        <f aca="false">IF($A79="N/A"," ",AA79*$AS79)</f>
        <v> </v>
      </c>
      <c r="BU79" s="306" t="str">
        <f aca="false">IF($A79="N/A"," ",AB79*$AT79)</f>
        <v> </v>
      </c>
      <c r="BV79" s="306" t="str">
        <f aca="false">IF($A79="N/A"," ",AC79*$AU79)</f>
        <v> </v>
      </c>
      <c r="BW79" s="306" t="str">
        <f aca="false">IF($A79="N/A"," ",AD79*$AV79)</f>
        <v> </v>
      </c>
      <c r="BX79" s="306" t="str">
        <f aca="false">IF($A79="N/A"," ",AE79*$AW79)</f>
        <v> </v>
      </c>
      <c r="BY79" s="306" t="str">
        <f aca="false">IF($A79="N/A"," ",AF79*$AX79)</f>
        <v> </v>
      </c>
      <c r="BZ79" s="306" t="str">
        <f aca="false">IF($A79="N/A"," ",AG79*$AY79)</f>
        <v> </v>
      </c>
      <c r="CA79" s="306" t="str">
        <f aca="false">IF($A79="N/A"," ",AH79*$AZ79)</f>
        <v> </v>
      </c>
      <c r="CB79" s="307" t="str">
        <f aca="false">IF($A79="N/A"," ",AI79*$BA79)</f>
        <v> </v>
      </c>
      <c r="CC79" s="308" t="str">
        <f aca="false">IF($A79="N/A"," ",AJ79*$AS79)</f>
        <v> </v>
      </c>
      <c r="CD79" s="309" t="str">
        <f aca="false">IF($A79="N/A"," ",AK79*$AT79)</f>
        <v> </v>
      </c>
      <c r="CE79" s="309" t="str">
        <f aca="false">IF($A79="N/A"," ",AL79*$AU79)</f>
        <v> </v>
      </c>
      <c r="CF79" s="309" t="str">
        <f aca="false">IF($A79="N/A"," ",AM79*$AV79)</f>
        <v> </v>
      </c>
      <c r="CG79" s="309" t="str">
        <f aca="false">IF($A79="N/A"," ",AN79*$AW79)</f>
        <v> </v>
      </c>
      <c r="CH79" s="309" t="str">
        <f aca="false">IF($A79="N/A"," ",AO79*$AX79)</f>
        <v> </v>
      </c>
      <c r="CI79" s="309" t="str">
        <f aca="false">IF($A79="N/A"," ",AP79*$AY79)</f>
        <v> </v>
      </c>
      <c r="CJ79" s="309" t="str">
        <f aca="false">IF($A79="N/A"," ",AQ79*$AZ79)</f>
        <v> </v>
      </c>
      <c r="CK79" s="310" t="str">
        <f aca="false">IF($A79="N/A"," ",AR79*$BA79)</f>
        <v> </v>
      </c>
      <c r="CL79" s="311" t="str">
        <f aca="false">IF(A79="N/A"," ",(VLOOKUP(A79,PowerVolTable,(IF(VolBMO=2,7,IF(VolBMO=1,6,8))),FALSE())))</f>
        <v> </v>
      </c>
      <c r="CM79" s="312" t="str">
        <f aca="false">IF(A79="N/A"," ",(VLOOKUP(A79,IntraPowerVol,(IF(VolBMO=2,3,IF(VolBMO=1,2,4))),FALSE())*VLOOKUP(MONTH($A79),Volscale,2)))</f>
        <v> </v>
      </c>
      <c r="CN79" s="312" t="str">
        <f aca="false">IF($A79="N/A"," ",IF(VolType=1,CM79,CL79))</f>
        <v> </v>
      </c>
      <c r="CO79" s="312" t="str">
        <f aca="false">IF($A79="N/A"," ",(VLOOKUP($A79,OffPeakVol,(IF(VolBMO=2,7,IF(VolBMO=1,6,8))),FALSE())))</f>
        <v> </v>
      </c>
      <c r="CP79" s="312" t="str">
        <f aca="false">IF($A79="N/A"," ",(VLOOKUP($A79,OffPeakVol,(IF(VolBMO=2,3,IF(VolBMO=1,2,4))),FALSE())*VLOOKUP(MONTH($A79),Volscale,2)))</f>
        <v> </v>
      </c>
      <c r="CQ79" s="312" t="str">
        <f aca="false">IF($A79="N/A"," ",IF(VolType=1,CP79,CO79))</f>
        <v> </v>
      </c>
      <c r="CR79" s="312" t="str">
        <f aca="false">IF($A79="N/A"," ",(VLOOKUP($A79,GasVolTable,(IF(VolBMO=2,6,IF(VolBMO=1,7,5))),FALSE())))</f>
        <v> </v>
      </c>
      <c r="CS79" s="312" t="str">
        <f aca="false">IF($A79="N/A"," ",(VLOOKUP($A79,OmicronVol,(IF(VolBMO=2,3,IF(VolBMO=1,4,2))),FALSE())))</f>
        <v> </v>
      </c>
      <c r="CT79" s="312" t="str">
        <f aca="false">IF($A79="N/A"," ",(IF(DateToday&gt;$A79,$CS79,IF(VolType=1,((($CR79^2)*((($A79-1)-DateToday)/((EOMONTH($A79,0)+1)-DateToday-15)))+((($CS79)^2)*((15)/((EOMONTH($A79,0)+1)-DateToday-15))))^0.5,CR79))))</f>
        <v> </v>
      </c>
      <c r="CU79" s="312" t="str">
        <f aca="false">IF($A79="N/A"," ",IF('Pricing Inputs'!$AR$23=TRUE(),Inputs!$S$22,VLOOKUP($A79,CorrelationTable,2,FALSE())))</f>
        <v> </v>
      </c>
      <c r="CV79" s="313" t="str">
        <f aca="false">IF($A79="N/A"," ",F79+G79+(D79*('Pricing Inputs'!X114)))</f>
        <v> </v>
      </c>
      <c r="CW79" s="314" t="str">
        <f aca="false">IF($A79="N/A"," ",IF(PV=1,0,'Pricing Inputs'!Y114))</f>
        <v> </v>
      </c>
      <c r="CX79" s="315" t="str">
        <f aca="false">IF($A79="N/A"," ",(1+CW79/2)^(-2*((EOMONTH(A79,0)+20)-DateToday)/365.25))</f>
        <v> </v>
      </c>
      <c r="CY79" s="316" t="str">
        <f aca="false">IF($A79="N/A"," ",(IF(MONTH(A79)&gt;=4,IF(MONTH(A79)&lt;=10,Inputs!$S$26,Inputs!$S$27),Inputs!$S$27))*$CX79)</f>
        <v> </v>
      </c>
      <c r="CZ79" s="317" t="str">
        <f aca="false">IF($A79="N/A"," ",BK79+BL79+BN79+BO79+BQ79+BR79)</f>
        <v> </v>
      </c>
      <c r="DA79" s="318" t="str">
        <f aca="false">IF($A79="N/A"," ",BM79+BP79+BS79)</f>
        <v> </v>
      </c>
      <c r="DB79" s="319" t="str">
        <f aca="false">IF($A79="N/A"," ",BT79+BU79+BW79+BX79+BZ79+CA79)</f>
        <v> </v>
      </c>
      <c r="DC79" s="319" t="str">
        <f aca="false">IF($A79="N/A"," ",BV79+BY79+CB79)</f>
        <v> </v>
      </c>
      <c r="DD79" s="320" t="str">
        <f aca="false">IF($A79="N/A"," ",SUM(CC79:CK79))</f>
        <v> </v>
      </c>
      <c r="DE79" s="321" t="str">
        <f aca="false">IF($A79="N/A"," ",VLOOKUP($A79,NumberofDaysTable,2)*Availability)</f>
        <v> </v>
      </c>
      <c r="DF79" s="94" t="str">
        <f aca="false">IF($A79="N/A"," ",VLOOKUP($A79,NumberofDaysTable,3)*Availability)</f>
        <v> </v>
      </c>
      <c r="DG79" s="322" t="str">
        <f aca="false">IF($A79="N/A"," ",VLOOKUP($A79,NumberofDaysTable,4)*Availability)</f>
        <v> </v>
      </c>
      <c r="DH79" s="323" t="str">
        <f aca="false">IF($A79="N/A"," ",IF(Option=1,$D79*Inputs!$S$15*SUM(AS79:BA79),0))</f>
        <v> </v>
      </c>
      <c r="DI79" s="324" t="str">
        <f aca="false">IF($A79="N/A"," ",IF(Option=1,$D79*Inputs!$S$16*SUM(AS79:BA79),0))</f>
        <v> </v>
      </c>
      <c r="DJ79" s="325" t="str">
        <f aca="false">IF($A79="N/A"," ",SUM(AS79:AT79))</f>
        <v> </v>
      </c>
      <c r="DK79" s="325" t="str">
        <f aca="false">IF($A79="N/A"," ",SUM(AU79:BA79))</f>
        <v> </v>
      </c>
      <c r="DL79" s="325" t="str">
        <f aca="false">IF($A79="N/A"," ",SUM(BB79:BC79))</f>
        <v> </v>
      </c>
      <c r="DM79" s="325" t="str">
        <f aca="false">IF($A79="N/A"," ",SUM(BD79:BJ79))</f>
        <v> </v>
      </c>
    </row>
    <row r="80" customFormat="false" ht="12.75" hidden="false" customHeight="false" outlineLevel="0" collapsed="false">
      <c r="A80" s="282" t="str">
        <f aca="false">IF(A79="N/A","N/A",IF(EDATE(A79,1)&gt;Inputs!$S$5,"N/A",EDATE(A79,1)))</f>
        <v>N/A</v>
      </c>
      <c r="B80" s="283" t="str">
        <f aca="false">IF(A80="N/A"," ",YEAR(A80))</f>
        <v> </v>
      </c>
      <c r="C80" s="284" t="str">
        <f aca="false">IF(A80="N/A"," ",VLOOKUP(A80,ScaledPrice,14))</f>
        <v> </v>
      </c>
      <c r="D80" s="285" t="str">
        <f aca="false">IF(A80="N/A"," ",(VLOOKUP(MONTH($A80),Hrtable,2))/1000)</f>
        <v> </v>
      </c>
      <c r="E80" s="286" t="str">
        <f aca="false">IF($A80="N/A"," ",(C80)*D80)</f>
        <v> </v>
      </c>
      <c r="F80" s="287" t="str">
        <f aca="false">IF(A80="N/A"," ",VOM*(1+VOMesc)^(YEAR(A80)-YEAR(Today)))</f>
        <v> </v>
      </c>
      <c r="G80" s="287" t="str">
        <f aca="false">IF(A80="N/A"," ",Perstart/VLOOKUP(Dayrun,'Pricing Inputs'!$AQ$4:$AS$14,3)/(CY80/CX80))</f>
        <v> </v>
      </c>
      <c r="H80" s="288" t="str">
        <f aca="false">IF(A80="N/A"," ",SUM(E80:G80))</f>
        <v> </v>
      </c>
      <c r="I80" s="289" t="str">
        <f aca="false">VLOOKUP($A80,ScaledPrice,6)</f>
        <v> </v>
      </c>
      <c r="J80" s="290" t="str">
        <f aca="false">VLOOKUP($A80,ScaledPrice,10)</f>
        <v> </v>
      </c>
      <c r="K80" s="290" t="str">
        <f aca="false">VLOOKUP($A80,ScaledPrice,13)</f>
        <v> </v>
      </c>
      <c r="L80" s="290" t="str">
        <f aca="false">VLOOKUP($A80,ScaledPrice,7)</f>
        <v> </v>
      </c>
      <c r="M80" s="290" t="str">
        <f aca="false">VLOOKUP($A80,ScaledPrice,11)</f>
        <v> </v>
      </c>
      <c r="N80" s="290" t="str">
        <f aca="false">VLOOKUP($A80,ScaledPrice,13)</f>
        <v> </v>
      </c>
      <c r="O80" s="290" t="str">
        <f aca="false">VLOOKUP($A80,ScaledPrice,8)</f>
        <v> </v>
      </c>
      <c r="P80" s="290" t="str">
        <f aca="false">VLOOKUP($A80,ScaledPrice,12)</f>
        <v> </v>
      </c>
      <c r="Q80" s="291" t="str">
        <f aca="false">VLOOKUP($A80,ScaledPrice,13)</f>
        <v> </v>
      </c>
      <c r="R80" s="292" t="str">
        <f aca="false">IF($A80="N/A"," ",IF(Dayrun&gt;=3,IF(Option=1,MAX($I80-$H80,0),IF(Option=2,MAX($H80-$I80,0),0)),0))</f>
        <v> </v>
      </c>
      <c r="S80" s="286" t="str">
        <f aca="false">IF($A80="N/A"," ",IF(Dayrun&gt;=6,IF(Option=1,MAX($J80-H80,0),IF(Option=2,MAX(H80-$J80,0),0)),0))</f>
        <v> </v>
      </c>
      <c r="T80" s="286" t="str">
        <f aca="false">IF($A80="N/A"," ",IF(OR(Dayrun&lt;=2,Dayrun&gt;=9),IF(Option=1,MAX($K80-$H80,0),IF(Option=2,MAX($H80-$K80,0),0)),0))</f>
        <v> </v>
      </c>
      <c r="U80" s="286" t="str">
        <f aca="false">IF($A80="N/A"," ",IF(OR(Dayrun=1,Dayrun=4,Dayrun=5,Dayrun=7,Dayrun=8,Dayrun=10,Dayrun=11),IF(Option=1,MAX($L80-H80,0),IF(Option=2,MAX(H80-$L80,0),0)),0))</f>
        <v> </v>
      </c>
      <c r="V80" s="286" t="str">
        <f aca="false">IF($A80="N/A"," ",IF(OR(Dayrun=1,Dayrun=7,Dayrun=8,Dayrun=10,Dayrun=11),IF(Option=1,MAX($M80-H80,0),IF(Option=2,MAX(H80-$M80,0),0)),0))</f>
        <v> </v>
      </c>
      <c r="W80" s="286" t="str">
        <f aca="false">IF($A80="N/A"," ",IF(OR(Dayrun&lt;=2,Dayrun&gt;=10),IF(Option=1,MAX($N80-$H80,0),IF(Option=2,MAX($H80-$N80,0),0)),0))</f>
        <v> </v>
      </c>
      <c r="X80" s="286" t="str">
        <f aca="false">IF($A80="N/A"," ",IF(OR(Dayrun=1,Dayrun=5,Dayrun=8,Dayrun=11),IF(Option=1,MAX($O80-H80,0),IF(Option=2,MAX(H80-$O80,0),0)),0))</f>
        <v> </v>
      </c>
      <c r="Y80" s="286" t="str">
        <f aca="false">IF($A80="N/A"," ",IF(OR(Dayrun=1,Dayrun=8,Dayrun=11),IF(Option=1,MAX($P80-H80,0),IF(Option=2,MAX(H80-$P80,0),0)),0))</f>
        <v> </v>
      </c>
      <c r="Z80" s="293" t="str">
        <f aca="false">IF($A80="N/A"," ",IF(OR(Dayrun&lt;=2,Dayrun&gt;=11),IF(Option=1,MAX($Q80-$H80,0),IF(Option=2,MAX($H80-$Q80,0),0)),0))</f>
        <v> </v>
      </c>
      <c r="AA80" s="289" t="str">
        <f aca="false">IF($A80="N/A"," ",IF(Dayrun&gt;=3,(MAX(0,(xSPRDOPT(I80,($E80-'Pricing Inputs'!$X115*$D80),$CV80,0,($CN80+IF(Smile=TRUE(),VLOOKUP(MAX(-5,$H80-I80),Volsmile,2),0)),$CT80,$CU80,($A80-DateToday)+15,ABS(Option-2),0)-R80))),0))</f>
        <v> </v>
      </c>
      <c r="AB80" s="290" t="str">
        <f aca="false">IF($A80="N/A"," ",IF(Dayrun&gt;=6,MAX(0,(xSPRDOPT(J80,($E80-'Pricing Inputs'!$X115*$D80),$CV80,0,($CN80+IF(Smile=TRUE(),VLOOKUP(MAX(-5,$H80-J80),Volsmile,2),0)),$CT80,$CU80,($A80-DateToday)+15,ABS(Option-2),0)-S80)),0))</f>
        <v> </v>
      </c>
      <c r="AC80" s="290" t="str">
        <f aca="false">IF($A80="N/A"," ",IF(OR(Dayrun&lt;=2,Dayrun&gt;=9),IF(OffPeakEx=TRUE(),MAX(0,(xSPRDOPT(K80,($E80-'Pricing Inputs'!$X115*$D80),$CV80,0,($CQ80+IF(Smile=TRUE(),VLOOKUP(MAX(-5,$H80-K80),Volsmile,2),0)),$CT80,$CU80,($A80-DateToday)+15,ABS(Option-2),0)-T80)),0),0))</f>
        <v> </v>
      </c>
      <c r="AD80" s="290" t="str">
        <f aca="false">IF($A80="N/A"," ",IF(OR(Dayrun=1,Dayrun=4,Dayrun=5,Dayrun=7,Dayrun=8,Dayrun=10,Dayrun=11),MAX(0,(xSPRDOPT(L80,($E80-'Pricing Inputs'!$X115*$D80),$CV80,0,($CQ80+IF(Smile=TRUE(),VLOOKUP(MAX(-5,$H80-L80),Volsmile,2),0)),$CT80,$CU80,($A80-DateToday)+15,ABS(Option-2),0)-U80)),0))</f>
        <v> </v>
      </c>
      <c r="AE80" s="290" t="str">
        <f aca="false">IF($A80="N/A"," ",IF(OR(Dayrun=1,Dayrun=7,Dayrun=8,Dayrun=10,Dayrun=11),MAX(0,(xSPRDOPT(M80,($E80-'Pricing Inputs'!$X115*$D80),$CV80,0,($CQ80+IF(Smile=TRUE(),VLOOKUP(MAX(-5,$H80-M80),Volsmile,2),0)),$CT80,$CU80,($A80-DateToday)+15,ABS(Option-2),0)-V80)),0))</f>
        <v> </v>
      </c>
      <c r="AF80" s="290" t="str">
        <f aca="false">IF($A80="N/A"," ",IF(OR(Dayrun&lt;=2,Dayrun&gt;=10),IF(OffPeakEx=TRUE(),MAX(0,(xSPRDOPT(N80,($E80-'Pricing Inputs'!$X115*$D80),$CV80,0,($CQ80+IF(Smile=TRUE(),VLOOKUP(MAX(-5,$H80-N80),Volsmile,2),0)),$CT80,$CU80,($A80-DateToday)+15,ABS(Option-2),0)-W80)),0),0))</f>
        <v> </v>
      </c>
      <c r="AG80" s="290" t="str">
        <f aca="false">IF($A80="N/A"," ",IF(OR(Dayrun=1,Dayrun=5,Dayrun=8,Dayrun=11),MAX(0,(xSPRDOPT(O80,($E80-'Pricing Inputs'!$X115*$D80),$CV80,0,($CQ80+IF(Smile=TRUE(),VLOOKUP(MAX(-5,$H80-O80),Volsmile,2),0)),$CT80,$CU80,($A80-DateToday)+15,ABS(Option-2),0)-X80)),0))</f>
        <v> </v>
      </c>
      <c r="AH80" s="290" t="str">
        <f aca="false">IF($A80="N/A"," ",IF(OR(Dayrun=1,Dayrun=8,Dayrun=11),MAX(0,(xSPRDOPT(P80,($E80-'Pricing Inputs'!$X115*$D80),$CV80,0,($CQ80+IF(Smile=TRUE(),VLOOKUP(MAX(-5,$H80-P80),Volsmile,2),0)),$CT80,$CU80,($A80-DateToday)+15,ABS(Option-2),0)-Y80)),0))</f>
        <v> </v>
      </c>
      <c r="AI80" s="290" t="str">
        <f aca="false">IF($A80="N/A"," ",IF(OR(Dayrun&lt;=2,Dayrun&gt;=11),IF(OffPeakEx=TRUE(),MAX(0,(xSPRDOPT(Q80,($E80-'Pricing Inputs'!$X115*$D80),$CV80,0,($CQ80+IF(Smile=TRUE(),VLOOKUP(MAX(-5,$H80-Q80),Volsmile,2),0)),$CT80,$CU80,($A80-DateToday)+15,ABS(Option-2),0)-Z80)),0),0))</f>
        <v> </v>
      </c>
      <c r="AJ80" s="294" t="str">
        <f aca="false">IF($A80="N/A"," ",IF(Dayrun&gt;=3,IF(Option=1,$I80-$H80,IF(Option=2,$H80-$I80)),0))</f>
        <v> </v>
      </c>
      <c r="AK80" s="295" t="str">
        <f aca="false">IF($A80="N/A"," ",IF(Dayrun&gt;=6,IF(Option=1,$J80-H80,IF(Option=2,H80-$J80)),0))</f>
        <v> </v>
      </c>
      <c r="AL80" s="295" t="str">
        <f aca="false">IF($A80="N/A"," ",IF(OR(Dayrun&lt;=2,Dayrun&gt;=9),IF(Option=1,$K80-$H80,IF(Option=2,$H80-$K80)),0))</f>
        <v> </v>
      </c>
      <c r="AM80" s="295" t="str">
        <f aca="false">IF($A80="N/A"," ",IF(OR(Dayrun=1,Dayrun=4,Dayrun=5,Dayrun=7,Dayrun=8,Dayrun=10,Dayrun=11),IF(Option=1,$L80-H80,IF(Option=2,H80-$L80)),0))</f>
        <v> </v>
      </c>
      <c r="AN80" s="295" t="str">
        <f aca="false">IF($A80="N/A"," ",IF(OR(Dayrun=1,Dayrun=7,Dayrun=8,Dayrun=10,Dayrun=11),IF(Option=1,$M80-H80,IF(Option=2,H80-$M80)),0))</f>
        <v> </v>
      </c>
      <c r="AO80" s="295" t="str">
        <f aca="false">IF($A80="N/A"," ",IF(OR(Dayrun&lt;=2,Dayrun&gt;=9),IF(Option=1,$N80-$H80,IF(Option=2,$H80-$N80)),0))</f>
        <v> </v>
      </c>
      <c r="AP80" s="295" t="str">
        <f aca="false">IF($A80="N/A"," ",IF(OR(Dayrun=1,Dayrun=5,Dayrun=8,Dayrun=11),IF(Option=1,$O80-H80,IF(Option=2,H80-$O80)),0))</f>
        <v> </v>
      </c>
      <c r="AQ80" s="295" t="str">
        <f aca="false">IF($A80="N/A"," ",IF(OR(Dayrun=1,Dayrun=8,Dayrun=11),IF(Option=1,$P80-H80,IF(Option=2,H80-$P80)),0))</f>
        <v> </v>
      </c>
      <c r="AR80" s="296" t="str">
        <f aca="false">IF($A80="N/A"," ",IF(OR(Dayrun&lt;=2,Dayrun&gt;=9),IF(Option=1,$Q80-H80,IF(Option=2,H80-$Q80)),0))</f>
        <v> </v>
      </c>
      <c r="AS80" s="297" t="str">
        <f aca="false">IF($A80="N/A"," ",IF(VLOOKUP(MONTH($A80),ManualTable,2)=1,IF(Dayrun&gt;=3,$DE80*8*$CY80,0),0))</f>
        <v> </v>
      </c>
      <c r="AT80" s="297" t="str">
        <f aca="false">IF($A80="N/A"," ",IF(VLOOKUP(MONTH($A80),ManualTable,3)=1,IF(Dayrun&gt;=6,$DE80*8*$CY80,0),0))</f>
        <v> </v>
      </c>
      <c r="AU80" s="297" t="str">
        <f aca="false">IF($A80="N/A"," ",IF(VLOOKUP(MONTH($A80),ManualTable,4)=1,IF(OR(Dayrun&lt;=2,Dayrun&gt;=9),$DE80*8*$CY80,0),0))</f>
        <v> </v>
      </c>
      <c r="AV80" s="297" t="str">
        <f aca="false">IF($A80="N/A"," ",IF(VLOOKUP(MONTH($A80),ManualTable,5)=1,IF(OR(Dayrun=1,Dayrun=4,Dayrun=5,Dayrun=7,Dayrun=8,Dayrun=10,Dayrun=11),$DF80*8*$CY80,0),0))</f>
        <v> </v>
      </c>
      <c r="AW80" s="297" t="str">
        <f aca="false">IF($A80="N/A"," ",IF(VLOOKUP(MONTH($A80),ManualTable,6)=1,IF(OR(Dayrun=1,Dayrun=7,Dayrun=8,Dayrun=10,Dayrun=11),$DF80*8*$CY80,0),0))</f>
        <v> </v>
      </c>
      <c r="AX80" s="297" t="str">
        <f aca="false">IF($A80="N/A"," ",IF(VLOOKUP(MONTH($A80),ManualTable,7)=1,IF(OR(Dayrun&lt;=2,Dayrun&gt;=9),$DF80*8*$CY80,0),0))</f>
        <v> </v>
      </c>
      <c r="AY80" s="297" t="str">
        <f aca="false">IF($A80="N/A"," ",IF(VLOOKUP(MONTH($A80),ManualTable,8)=1,IF(OR(Dayrun=1,Dayrun=5,Dayrun=8,Dayrun=11),$DG80*8*$CY80,0),0))</f>
        <v> </v>
      </c>
      <c r="AZ80" s="297" t="str">
        <f aca="false">IF($A80="N/A"," ",IF(VLOOKUP(MONTH($A80),ManualTable,9)=1,IF(OR(Dayrun=1,Dayrun=8,Dayrun=11),$DG80*8*$CY80,0),0))</f>
        <v> </v>
      </c>
      <c r="BA80" s="298" t="str">
        <f aca="false">IF($A80="N/A"," ",IF(VLOOKUP(MONTH($A80),ManualTable,10)=1,IF(OR(Dayrun&lt;=2,Dayrun&gt;=9),$DG80*8*$CY80,0),0))</f>
        <v> </v>
      </c>
      <c r="BB80" s="299" t="str">
        <f aca="false">IF($A80="N/A"," ",IF(Dayrun&gt;=3,(MAX(0,(xSPRDOPT(I80,($E80-'Pricing Inputs'!$X115*$D80),$CV80,0,($CN80+IF(Smile=TRUE(),VLOOKUP(MAX(-5,$H80-I80),Volsmile,2),0)),$CT80,$CU80,($A80-DateToday)+15,ABS(Option-2),1)*DE80*8))),0))</f>
        <v> </v>
      </c>
      <c r="BC80" s="300" t="str">
        <f aca="false">IF($A80="N/A"," ",IF(Dayrun&gt;=6,MAX(0,(xSPRDOPT(J80,($E80-'Pricing Inputs'!$X115*$D80),$CV80,0,($CN80+IF(Smile=TRUE(),VLOOKUP(MAX(-5,$H80-J80),Volsmile,2),0)),$CT80,$CU80,($A80-DateToday)+15,ABS(Option-2),1)*DE80*8)),0))</f>
        <v> </v>
      </c>
      <c r="BD80" s="300" t="str">
        <f aca="false">IF($A80="N/A"," ",IF(OR(Dayrun&lt;=2,Dayrun&gt;=9),IF(OffPeakEx=TRUE(),MAX(0,(xSPRDOPT(K80,($E80-'Pricing Inputs'!$X115*$D80),$CV80,0,($CQ80+IF(Smile=TRUE(),VLOOKUP(MAX(-5,$H80-K80),Volsmile,2),0)),$CT80,$CU80,($A80-DateToday)+15,ABS(Option-2),1)*DE80*8)),0),0))</f>
        <v> </v>
      </c>
      <c r="BE80" s="300" t="str">
        <f aca="false">IF($A80="N/A"," ",IF(OR(Dayrun=1,Dayrun=4,Dayrun=5,Dayrun=7,Dayrun=8,Dayrun=10,Dayrun=11),MAX(0,(xSPRDOPT(L80,($E80-'Pricing Inputs'!$X115*$D80),$CV80,0,($CQ80+IF(Smile=TRUE(),VLOOKUP(MAX(-5,$H80-L80),Volsmile,2),0)),$CT80,$CU80,($A80-DateToday)+15,ABS(Option-2),1)*DF80*8)),0))</f>
        <v> </v>
      </c>
      <c r="BF80" s="300" t="str">
        <f aca="false">IF($A80="N/A"," ",IF(OR(Dayrun=1,Dayrun=7,Dayrun=8,Dayrun=10,Dayrun=11),MAX(0,(xSPRDOPT(M80,($E80-'Pricing Inputs'!$X115*$D80),$CV80,0,($CQ80+IF(Smile=TRUE(),VLOOKUP(MAX(-5,$H80-M80),Volsmile,2),0)),$CT80,$CU80,($A80-DateToday)+15,ABS(Option-2),1)*DF80*8)),0))</f>
        <v> </v>
      </c>
      <c r="BG80" s="300" t="str">
        <f aca="false">IF($A80="N/A"," ",IF(OR(Dayrun&lt;=2,Dayrun&gt;=10),IF(OffPeakEx=TRUE(),MAX(0,(xSPRDOPT(N80,($E80-'Pricing Inputs'!$X115*$D80),$CV80,0,($CQ80+IF(Smile=TRUE(),VLOOKUP(MAX(-5,$H80-N80),Volsmile,2),0)),$CT80,$CU80,($A80-DateToday)+15,ABS(Option-2),1)*DF80*8)),0),0))</f>
        <v> </v>
      </c>
      <c r="BH80" s="300" t="str">
        <f aca="false">IF($A80="N/A"," ",IF(OR(Dayrun=1,Dayrun=5,Dayrun=8,Dayrun=11),MAX(0,(xSPRDOPT(O80,($E80-'Pricing Inputs'!$X115*$D80),$CV80,0,($CQ80+IF(Smile=TRUE(),VLOOKUP(MAX(-5,$H80-O80),Volsmile,2),0)),$CT80,$CU80,($A80-DateToday)+15,ABS(Option-2),1)*DG80*8)),0))</f>
        <v> </v>
      </c>
      <c r="BI80" s="300" t="str">
        <f aca="false">IF($A80="N/A"," ",IF(OR(Dayrun=1,Dayrun=8,Dayrun=11),MAX(0,(xSPRDOPT(P80,($E80-'Pricing Inputs'!$X115*$D80),$CV80,0,($CQ80+IF(Smile=TRUE(),VLOOKUP(MAX(-5,$H80-P80),Volsmile,2),0)),$CT80,$CU80,($A80-DateToday)+15,ABS(Option-2),1)*DG80*8)),0))</f>
        <v> </v>
      </c>
      <c r="BJ80" s="301" t="str">
        <f aca="false">IF($A80="N/A"," ",IF(OR(Dayrun&lt;=2,Dayrun&gt;=11),IF(OffPeakEx=TRUE(),MAX(0,(xSPRDOPT(Q80,($E80-'Pricing Inputs'!$X115*$D80),$CV80,0,($CQ80+IF(Smile=TRUE(),VLOOKUP(MAX(-5,$H80-Q80),Volsmile,2),0)),$CT80,$CU80,($A80-DateToday)+15,ABS(Option-2),1)*DG80*8)),0),0))</f>
        <v> </v>
      </c>
      <c r="BK80" s="302" t="str">
        <f aca="false">IF($A80="N/A"," ",R80*$AS80)</f>
        <v> </v>
      </c>
      <c r="BL80" s="303" t="str">
        <f aca="false">IF($A80="N/A"," ",S80*$AT80)</f>
        <v> </v>
      </c>
      <c r="BM80" s="303" t="str">
        <f aca="false">IF($A80="N/A"," ",T80*$AU80)</f>
        <v> </v>
      </c>
      <c r="BN80" s="303" t="str">
        <f aca="false">IF($A80="N/A"," ",U80*$AV80)</f>
        <v> </v>
      </c>
      <c r="BO80" s="303" t="str">
        <f aca="false">IF($A80="N/A"," ",V80*$AW80)</f>
        <v> </v>
      </c>
      <c r="BP80" s="303" t="str">
        <f aca="false">IF($A80="N/A"," ",W80*$AX80)</f>
        <v> </v>
      </c>
      <c r="BQ80" s="303" t="str">
        <f aca="false">IF($A80="N/A"," ",X80*$AY80)</f>
        <v> </v>
      </c>
      <c r="BR80" s="303" t="str">
        <f aca="false">IF($A80="N/A"," ",Y80*$AZ80)</f>
        <v> </v>
      </c>
      <c r="BS80" s="304" t="str">
        <f aca="false">IF($A80="N/A"," ",Z80*$BA80)</f>
        <v> </v>
      </c>
      <c r="BT80" s="305" t="str">
        <f aca="false">IF($A80="N/A"," ",AA80*$AS80)</f>
        <v> </v>
      </c>
      <c r="BU80" s="306" t="str">
        <f aca="false">IF($A80="N/A"," ",AB80*$AT80)</f>
        <v> </v>
      </c>
      <c r="BV80" s="306" t="str">
        <f aca="false">IF($A80="N/A"," ",AC80*$AU80)</f>
        <v> </v>
      </c>
      <c r="BW80" s="306" t="str">
        <f aca="false">IF($A80="N/A"," ",AD80*$AV80)</f>
        <v> </v>
      </c>
      <c r="BX80" s="306" t="str">
        <f aca="false">IF($A80="N/A"," ",AE80*$AW80)</f>
        <v> </v>
      </c>
      <c r="BY80" s="306" t="str">
        <f aca="false">IF($A80="N/A"," ",AF80*$AX80)</f>
        <v> </v>
      </c>
      <c r="BZ80" s="306" t="str">
        <f aca="false">IF($A80="N/A"," ",AG80*$AY80)</f>
        <v> </v>
      </c>
      <c r="CA80" s="306" t="str">
        <f aca="false">IF($A80="N/A"," ",AH80*$AZ80)</f>
        <v> </v>
      </c>
      <c r="CB80" s="307" t="str">
        <f aca="false">IF($A80="N/A"," ",AI80*$BA80)</f>
        <v> </v>
      </c>
      <c r="CC80" s="308" t="str">
        <f aca="false">IF($A80="N/A"," ",AJ80*$AS80)</f>
        <v> </v>
      </c>
      <c r="CD80" s="309" t="str">
        <f aca="false">IF($A80="N/A"," ",AK80*$AT80)</f>
        <v> </v>
      </c>
      <c r="CE80" s="309" t="str">
        <f aca="false">IF($A80="N/A"," ",AL80*$AU80)</f>
        <v> </v>
      </c>
      <c r="CF80" s="309" t="str">
        <f aca="false">IF($A80="N/A"," ",AM80*$AV80)</f>
        <v> </v>
      </c>
      <c r="CG80" s="309" t="str">
        <f aca="false">IF($A80="N/A"," ",AN80*$AW80)</f>
        <v> </v>
      </c>
      <c r="CH80" s="309" t="str">
        <f aca="false">IF($A80="N/A"," ",AO80*$AX80)</f>
        <v> </v>
      </c>
      <c r="CI80" s="309" t="str">
        <f aca="false">IF($A80="N/A"," ",AP80*$AY80)</f>
        <v> </v>
      </c>
      <c r="CJ80" s="309" t="str">
        <f aca="false">IF($A80="N/A"," ",AQ80*$AZ80)</f>
        <v> </v>
      </c>
      <c r="CK80" s="310" t="str">
        <f aca="false">IF($A80="N/A"," ",AR80*$BA80)</f>
        <v> </v>
      </c>
      <c r="CL80" s="311" t="str">
        <f aca="false">IF(A80="N/A"," ",(VLOOKUP(A80,PowerVolTable,(IF(VolBMO=2,7,IF(VolBMO=1,6,8))),FALSE())))</f>
        <v> </v>
      </c>
      <c r="CM80" s="312" t="str">
        <f aca="false">IF(A80="N/A"," ",(VLOOKUP(A80,IntraPowerVol,(IF(VolBMO=2,3,IF(VolBMO=1,2,4))),FALSE())*VLOOKUP(MONTH($A80),Volscale,2)))</f>
        <v> </v>
      </c>
      <c r="CN80" s="312" t="str">
        <f aca="false">IF($A80="N/A"," ",IF(VolType=1,CM80,CL80))</f>
        <v> </v>
      </c>
      <c r="CO80" s="312" t="str">
        <f aca="false">IF($A80="N/A"," ",(VLOOKUP($A80,OffPeakVol,(IF(VolBMO=2,7,IF(VolBMO=1,6,8))),FALSE())))</f>
        <v> </v>
      </c>
      <c r="CP80" s="312" t="str">
        <f aca="false">IF($A80="N/A"," ",(VLOOKUP($A80,OffPeakVol,(IF(VolBMO=2,3,IF(VolBMO=1,2,4))),FALSE())*VLOOKUP(MONTH($A80),Volscale,2)))</f>
        <v> </v>
      </c>
      <c r="CQ80" s="312" t="str">
        <f aca="false">IF($A80="N/A"," ",IF(VolType=1,CP80,CO80))</f>
        <v> </v>
      </c>
      <c r="CR80" s="312" t="str">
        <f aca="false">IF($A80="N/A"," ",(VLOOKUP($A80,GasVolTable,(IF(VolBMO=2,6,IF(VolBMO=1,7,5))),FALSE())))</f>
        <v> </v>
      </c>
      <c r="CS80" s="312" t="str">
        <f aca="false">IF($A80="N/A"," ",(VLOOKUP($A80,OmicronVol,(IF(VolBMO=2,3,IF(VolBMO=1,4,2))),FALSE())))</f>
        <v> </v>
      </c>
      <c r="CT80" s="312" t="str">
        <f aca="false">IF($A80="N/A"," ",(IF(DateToday&gt;$A80,$CS80,IF(VolType=1,((($CR80^2)*((($A80-1)-DateToday)/((EOMONTH($A80,0)+1)-DateToday-15)))+((($CS80)^2)*((15)/((EOMONTH($A80,0)+1)-DateToday-15))))^0.5,CR80))))</f>
        <v> </v>
      </c>
      <c r="CU80" s="312" t="str">
        <f aca="false">IF($A80="N/A"," ",IF('Pricing Inputs'!$AR$23=TRUE(),Inputs!$S$22,VLOOKUP($A80,CorrelationTable,2,FALSE())))</f>
        <v> </v>
      </c>
      <c r="CV80" s="313" t="str">
        <f aca="false">IF($A80="N/A"," ",F80+G80+(D80*('Pricing Inputs'!X115)))</f>
        <v> </v>
      </c>
      <c r="CW80" s="314" t="str">
        <f aca="false">IF($A80="N/A"," ",IF(PV=1,0,'Pricing Inputs'!Y115))</f>
        <v> </v>
      </c>
      <c r="CX80" s="315" t="str">
        <f aca="false">IF($A80="N/A"," ",(1+CW80/2)^(-2*((EOMONTH(A80,0)+20)-DateToday)/365.25))</f>
        <v> </v>
      </c>
      <c r="CY80" s="316" t="str">
        <f aca="false">IF($A80="N/A"," ",(IF(MONTH(A80)&gt;=4,IF(MONTH(A80)&lt;=10,Inputs!$S$26,Inputs!$S$27),Inputs!$S$27))*$CX80)</f>
        <v> </v>
      </c>
      <c r="CZ80" s="317" t="str">
        <f aca="false">IF($A80="N/A"," ",BK80+BL80+BN80+BO80+BQ80+BR80)</f>
        <v> </v>
      </c>
      <c r="DA80" s="318" t="str">
        <f aca="false">IF($A80="N/A"," ",BM80+BP80+BS80)</f>
        <v> </v>
      </c>
      <c r="DB80" s="319" t="str">
        <f aca="false">IF($A80="N/A"," ",BT80+BU80+BW80+BX80+BZ80+CA80)</f>
        <v> </v>
      </c>
      <c r="DC80" s="319" t="str">
        <f aca="false">IF($A80="N/A"," ",BV80+BY80+CB80)</f>
        <v> </v>
      </c>
      <c r="DD80" s="320" t="str">
        <f aca="false">IF($A80="N/A"," ",SUM(CC80:CK80))</f>
        <v> </v>
      </c>
      <c r="DE80" s="321" t="str">
        <f aca="false">IF($A80="N/A"," ",VLOOKUP($A80,NumberofDaysTable,2)*Availability)</f>
        <v> </v>
      </c>
      <c r="DF80" s="94" t="str">
        <f aca="false">IF($A80="N/A"," ",VLOOKUP($A80,NumberofDaysTable,3)*Availability)</f>
        <v> </v>
      </c>
      <c r="DG80" s="322" t="str">
        <f aca="false">IF($A80="N/A"," ",VLOOKUP($A80,NumberofDaysTable,4)*Availability)</f>
        <v> </v>
      </c>
      <c r="DH80" s="323" t="str">
        <f aca="false">IF($A80="N/A"," ",IF(Option=1,$D80*Inputs!$S$15*SUM(AS80:BA80),0))</f>
        <v> </v>
      </c>
      <c r="DI80" s="324" t="str">
        <f aca="false">IF($A80="N/A"," ",IF(Option=1,$D80*Inputs!$S$16*SUM(AS80:BA80),0))</f>
        <v> </v>
      </c>
      <c r="DJ80" s="325" t="str">
        <f aca="false">IF($A80="N/A"," ",SUM(AS80:AT80))</f>
        <v> </v>
      </c>
      <c r="DK80" s="325" t="str">
        <f aca="false">IF($A80="N/A"," ",SUM(AU80:BA80))</f>
        <v> </v>
      </c>
      <c r="DL80" s="325" t="str">
        <f aca="false">IF($A80="N/A"," ",SUM(BB80:BC80))</f>
        <v> </v>
      </c>
      <c r="DM80" s="325" t="str">
        <f aca="false">IF($A80="N/A"," ",SUM(BD80:BJ80))</f>
        <v> </v>
      </c>
    </row>
    <row r="81" customFormat="false" ht="12.75" hidden="false" customHeight="false" outlineLevel="0" collapsed="false">
      <c r="A81" s="282" t="str">
        <f aca="false">IF(A80="N/A","N/A",IF(EDATE(A80,1)&gt;Inputs!$S$5,"N/A",EDATE(A80,1)))</f>
        <v>N/A</v>
      </c>
      <c r="B81" s="283" t="str">
        <f aca="false">IF(A81="N/A"," ",YEAR(A81))</f>
        <v> </v>
      </c>
      <c r="C81" s="284" t="str">
        <f aca="false">IF(A81="N/A"," ",VLOOKUP(A81,ScaledPrice,14))</f>
        <v> </v>
      </c>
      <c r="D81" s="285" t="str">
        <f aca="false">IF(A81="N/A"," ",(VLOOKUP(MONTH($A81),Hrtable,2))/1000)</f>
        <v> </v>
      </c>
      <c r="E81" s="286" t="str">
        <f aca="false">IF($A81="N/A"," ",(C81)*D81)</f>
        <v> </v>
      </c>
      <c r="F81" s="287" t="str">
        <f aca="false">IF(A81="N/A"," ",VOM*(1+VOMesc)^(YEAR(A81)-YEAR(Today)))</f>
        <v> </v>
      </c>
      <c r="G81" s="287" t="str">
        <f aca="false">IF(A81="N/A"," ",Perstart/VLOOKUP(Dayrun,'Pricing Inputs'!$AQ$4:$AS$14,3)/(CY81/CX81))</f>
        <v> </v>
      </c>
      <c r="H81" s="288" t="str">
        <f aca="false">IF(A81="N/A"," ",SUM(E81:G81))</f>
        <v> </v>
      </c>
      <c r="I81" s="289" t="str">
        <f aca="false">VLOOKUP($A81,ScaledPrice,6)</f>
        <v> </v>
      </c>
      <c r="J81" s="290" t="str">
        <f aca="false">VLOOKUP($A81,ScaledPrice,10)</f>
        <v> </v>
      </c>
      <c r="K81" s="290" t="str">
        <f aca="false">VLOOKUP($A81,ScaledPrice,13)</f>
        <v> </v>
      </c>
      <c r="L81" s="290" t="str">
        <f aca="false">VLOOKUP($A81,ScaledPrice,7)</f>
        <v> </v>
      </c>
      <c r="M81" s="290" t="str">
        <f aca="false">VLOOKUP($A81,ScaledPrice,11)</f>
        <v> </v>
      </c>
      <c r="N81" s="290" t="str">
        <f aca="false">VLOOKUP($A81,ScaledPrice,13)</f>
        <v> </v>
      </c>
      <c r="O81" s="290" t="str">
        <f aca="false">VLOOKUP($A81,ScaledPrice,8)</f>
        <v> </v>
      </c>
      <c r="P81" s="290" t="str">
        <f aca="false">VLOOKUP($A81,ScaledPrice,12)</f>
        <v> </v>
      </c>
      <c r="Q81" s="291" t="str">
        <f aca="false">VLOOKUP($A81,ScaledPrice,13)</f>
        <v> </v>
      </c>
      <c r="R81" s="292" t="str">
        <f aca="false">IF($A81="N/A"," ",IF(Dayrun&gt;=3,IF(Option=1,MAX($I81-$H81,0),IF(Option=2,MAX($H81-$I81,0),0)),0))</f>
        <v> </v>
      </c>
      <c r="S81" s="286" t="str">
        <f aca="false">IF($A81="N/A"," ",IF(Dayrun&gt;=6,IF(Option=1,MAX($J81-H81,0),IF(Option=2,MAX(H81-$J81,0),0)),0))</f>
        <v> </v>
      </c>
      <c r="T81" s="286" t="str">
        <f aca="false">IF($A81="N/A"," ",IF(OR(Dayrun&lt;=2,Dayrun&gt;=9),IF(Option=1,MAX($K81-$H81,0),IF(Option=2,MAX($H81-$K81,0),0)),0))</f>
        <v> </v>
      </c>
      <c r="U81" s="286" t="str">
        <f aca="false">IF($A81="N/A"," ",IF(OR(Dayrun=1,Dayrun=4,Dayrun=5,Dayrun=7,Dayrun=8,Dayrun=10,Dayrun=11),IF(Option=1,MAX($L81-H81,0),IF(Option=2,MAX(H81-$L81,0),0)),0))</f>
        <v> </v>
      </c>
      <c r="V81" s="286" t="str">
        <f aca="false">IF($A81="N/A"," ",IF(OR(Dayrun=1,Dayrun=7,Dayrun=8,Dayrun=10,Dayrun=11),IF(Option=1,MAX($M81-H81,0),IF(Option=2,MAX(H81-$M81,0),0)),0))</f>
        <v> </v>
      </c>
      <c r="W81" s="286" t="str">
        <f aca="false">IF($A81="N/A"," ",IF(OR(Dayrun&lt;=2,Dayrun&gt;=10),IF(Option=1,MAX($N81-$H81,0),IF(Option=2,MAX($H81-$N81,0),0)),0))</f>
        <v> </v>
      </c>
      <c r="X81" s="286" t="str">
        <f aca="false">IF($A81="N/A"," ",IF(OR(Dayrun=1,Dayrun=5,Dayrun=8,Dayrun=11),IF(Option=1,MAX($O81-H81,0),IF(Option=2,MAX(H81-$O81,0),0)),0))</f>
        <v> </v>
      </c>
      <c r="Y81" s="286" t="str">
        <f aca="false">IF($A81="N/A"," ",IF(OR(Dayrun=1,Dayrun=8,Dayrun=11),IF(Option=1,MAX($P81-H81,0),IF(Option=2,MAX(H81-$P81,0),0)),0))</f>
        <v> </v>
      </c>
      <c r="Z81" s="293" t="str">
        <f aca="false">IF($A81="N/A"," ",IF(OR(Dayrun&lt;=2,Dayrun&gt;=11),IF(Option=1,MAX($Q81-$H81,0),IF(Option=2,MAX($H81-$Q81,0),0)),0))</f>
        <v> </v>
      </c>
      <c r="AA81" s="289" t="str">
        <f aca="false">IF($A81="N/A"," ",IF(Dayrun&gt;=3,(MAX(0,(xSPRDOPT(I81,($E81-'Pricing Inputs'!$X116*$D81),$CV81,0,($CN81+IF(Smile=TRUE(),VLOOKUP(MAX(-5,$H81-I81),Volsmile,2),0)),$CT81,$CU81,($A81-DateToday)+15,ABS(Option-2),0)-R81))),0))</f>
        <v> </v>
      </c>
      <c r="AB81" s="290" t="str">
        <f aca="false">IF($A81="N/A"," ",IF(Dayrun&gt;=6,MAX(0,(xSPRDOPT(J81,($E81-'Pricing Inputs'!$X116*$D81),$CV81,0,($CN81+IF(Smile=TRUE(),VLOOKUP(MAX(-5,$H81-J81),Volsmile,2),0)),$CT81,$CU81,($A81-DateToday)+15,ABS(Option-2),0)-S81)),0))</f>
        <v> </v>
      </c>
      <c r="AC81" s="290" t="str">
        <f aca="false">IF($A81="N/A"," ",IF(OR(Dayrun&lt;=2,Dayrun&gt;=9),IF(OffPeakEx=TRUE(),MAX(0,(xSPRDOPT(K81,($E81-'Pricing Inputs'!$X116*$D81),$CV81,0,($CQ81+IF(Smile=TRUE(),VLOOKUP(MAX(-5,$H81-K81),Volsmile,2),0)),$CT81,$CU81,($A81-DateToday)+15,ABS(Option-2),0)-T81)),0),0))</f>
        <v> </v>
      </c>
      <c r="AD81" s="290" t="str">
        <f aca="false">IF($A81="N/A"," ",IF(OR(Dayrun=1,Dayrun=4,Dayrun=5,Dayrun=7,Dayrun=8,Dayrun=10,Dayrun=11),MAX(0,(xSPRDOPT(L81,($E81-'Pricing Inputs'!$X116*$D81),$CV81,0,($CQ81+IF(Smile=TRUE(),VLOOKUP(MAX(-5,$H81-L81),Volsmile,2),0)),$CT81,$CU81,($A81-DateToday)+15,ABS(Option-2),0)-U81)),0))</f>
        <v> </v>
      </c>
      <c r="AE81" s="290" t="str">
        <f aca="false">IF($A81="N/A"," ",IF(OR(Dayrun=1,Dayrun=7,Dayrun=8,Dayrun=10,Dayrun=11),MAX(0,(xSPRDOPT(M81,($E81-'Pricing Inputs'!$X116*$D81),$CV81,0,($CQ81+IF(Smile=TRUE(),VLOOKUP(MAX(-5,$H81-M81),Volsmile,2),0)),$CT81,$CU81,($A81-DateToday)+15,ABS(Option-2),0)-V81)),0))</f>
        <v> </v>
      </c>
      <c r="AF81" s="290" t="str">
        <f aca="false">IF($A81="N/A"," ",IF(OR(Dayrun&lt;=2,Dayrun&gt;=10),IF(OffPeakEx=TRUE(),MAX(0,(xSPRDOPT(N81,($E81-'Pricing Inputs'!$X116*$D81),$CV81,0,($CQ81+IF(Smile=TRUE(),VLOOKUP(MAX(-5,$H81-N81),Volsmile,2),0)),$CT81,$CU81,($A81-DateToday)+15,ABS(Option-2),0)-W81)),0),0))</f>
        <v> </v>
      </c>
      <c r="AG81" s="290" t="str">
        <f aca="false">IF($A81="N/A"," ",IF(OR(Dayrun=1,Dayrun=5,Dayrun=8,Dayrun=11),MAX(0,(xSPRDOPT(O81,($E81-'Pricing Inputs'!$X116*$D81),$CV81,0,($CQ81+IF(Smile=TRUE(),VLOOKUP(MAX(-5,$H81-O81),Volsmile,2),0)),$CT81,$CU81,($A81-DateToday)+15,ABS(Option-2),0)-X81)),0))</f>
        <v> </v>
      </c>
      <c r="AH81" s="290" t="str">
        <f aca="false">IF($A81="N/A"," ",IF(OR(Dayrun=1,Dayrun=8,Dayrun=11),MAX(0,(xSPRDOPT(P81,($E81-'Pricing Inputs'!$X116*$D81),$CV81,0,($CQ81+IF(Smile=TRUE(),VLOOKUP(MAX(-5,$H81-P81),Volsmile,2),0)),$CT81,$CU81,($A81-DateToday)+15,ABS(Option-2),0)-Y81)),0))</f>
        <v> </v>
      </c>
      <c r="AI81" s="290" t="str">
        <f aca="false">IF($A81="N/A"," ",IF(OR(Dayrun&lt;=2,Dayrun&gt;=11),IF(OffPeakEx=TRUE(),MAX(0,(xSPRDOPT(Q81,($E81-'Pricing Inputs'!$X116*$D81),$CV81,0,($CQ81+IF(Smile=TRUE(),VLOOKUP(MAX(-5,$H81-Q81),Volsmile,2),0)),$CT81,$CU81,($A81-DateToday)+15,ABS(Option-2),0)-Z81)),0),0))</f>
        <v> </v>
      </c>
      <c r="AJ81" s="294" t="str">
        <f aca="false">IF($A81="N/A"," ",IF(Dayrun&gt;=3,IF(Option=1,$I81-$H81,IF(Option=2,$H81-$I81)),0))</f>
        <v> </v>
      </c>
      <c r="AK81" s="295" t="str">
        <f aca="false">IF($A81="N/A"," ",IF(Dayrun&gt;=6,IF(Option=1,$J81-H81,IF(Option=2,H81-$J81)),0))</f>
        <v> </v>
      </c>
      <c r="AL81" s="295" t="str">
        <f aca="false">IF($A81="N/A"," ",IF(OR(Dayrun&lt;=2,Dayrun&gt;=9),IF(Option=1,$K81-$H81,IF(Option=2,$H81-$K81)),0))</f>
        <v> </v>
      </c>
      <c r="AM81" s="295" t="str">
        <f aca="false">IF($A81="N/A"," ",IF(OR(Dayrun=1,Dayrun=4,Dayrun=5,Dayrun=7,Dayrun=8,Dayrun=10,Dayrun=11),IF(Option=1,$L81-H81,IF(Option=2,H81-$L81)),0))</f>
        <v> </v>
      </c>
      <c r="AN81" s="295" t="str">
        <f aca="false">IF($A81="N/A"," ",IF(OR(Dayrun=1,Dayrun=7,Dayrun=8,Dayrun=10,Dayrun=11),IF(Option=1,$M81-H81,IF(Option=2,H81-$M81)),0))</f>
        <v> </v>
      </c>
      <c r="AO81" s="295" t="str">
        <f aca="false">IF($A81="N/A"," ",IF(OR(Dayrun&lt;=2,Dayrun&gt;=9),IF(Option=1,$N81-$H81,IF(Option=2,$H81-$N81)),0))</f>
        <v> </v>
      </c>
      <c r="AP81" s="295" t="str">
        <f aca="false">IF($A81="N/A"," ",IF(OR(Dayrun=1,Dayrun=5,Dayrun=8,Dayrun=11),IF(Option=1,$O81-H81,IF(Option=2,H81-$O81)),0))</f>
        <v> </v>
      </c>
      <c r="AQ81" s="295" t="str">
        <f aca="false">IF($A81="N/A"," ",IF(OR(Dayrun=1,Dayrun=8,Dayrun=11),IF(Option=1,$P81-H81,IF(Option=2,H81-$P81)),0))</f>
        <v> </v>
      </c>
      <c r="AR81" s="296" t="str">
        <f aca="false">IF($A81="N/A"," ",IF(OR(Dayrun&lt;=2,Dayrun&gt;=9),IF(Option=1,$Q81-H81,IF(Option=2,H81-$Q81)),0))</f>
        <v> </v>
      </c>
      <c r="AS81" s="297" t="str">
        <f aca="false">IF($A81="N/A"," ",IF(VLOOKUP(MONTH($A81),ManualTable,2)=1,IF(Dayrun&gt;=3,$DE81*8*$CY81,0),0))</f>
        <v> </v>
      </c>
      <c r="AT81" s="297" t="str">
        <f aca="false">IF($A81="N/A"," ",IF(VLOOKUP(MONTH($A81),ManualTable,3)=1,IF(Dayrun&gt;=6,$DE81*8*$CY81,0),0))</f>
        <v> </v>
      </c>
      <c r="AU81" s="297" t="str">
        <f aca="false">IF($A81="N/A"," ",IF(VLOOKUP(MONTH($A81),ManualTable,4)=1,IF(OR(Dayrun&lt;=2,Dayrun&gt;=9),$DE81*8*$CY81,0),0))</f>
        <v> </v>
      </c>
      <c r="AV81" s="297" t="str">
        <f aca="false">IF($A81="N/A"," ",IF(VLOOKUP(MONTH($A81),ManualTable,5)=1,IF(OR(Dayrun=1,Dayrun=4,Dayrun=5,Dayrun=7,Dayrun=8,Dayrun=10,Dayrun=11),$DF81*8*$CY81,0),0))</f>
        <v> </v>
      </c>
      <c r="AW81" s="297" t="str">
        <f aca="false">IF($A81="N/A"," ",IF(VLOOKUP(MONTH($A81),ManualTable,6)=1,IF(OR(Dayrun=1,Dayrun=7,Dayrun=8,Dayrun=10,Dayrun=11),$DF81*8*$CY81,0),0))</f>
        <v> </v>
      </c>
      <c r="AX81" s="297" t="str">
        <f aca="false">IF($A81="N/A"," ",IF(VLOOKUP(MONTH($A81),ManualTable,7)=1,IF(OR(Dayrun&lt;=2,Dayrun&gt;=9),$DF81*8*$CY81,0),0))</f>
        <v> </v>
      </c>
      <c r="AY81" s="297" t="str">
        <f aca="false">IF($A81="N/A"," ",IF(VLOOKUP(MONTH($A81),ManualTable,8)=1,IF(OR(Dayrun=1,Dayrun=5,Dayrun=8,Dayrun=11),$DG81*8*$CY81,0),0))</f>
        <v> </v>
      </c>
      <c r="AZ81" s="297" t="str">
        <f aca="false">IF($A81="N/A"," ",IF(VLOOKUP(MONTH($A81),ManualTable,9)=1,IF(OR(Dayrun=1,Dayrun=8,Dayrun=11),$DG81*8*$CY81,0),0))</f>
        <v> </v>
      </c>
      <c r="BA81" s="298" t="str">
        <f aca="false">IF($A81="N/A"," ",IF(VLOOKUP(MONTH($A81),ManualTable,10)=1,IF(OR(Dayrun&lt;=2,Dayrun&gt;=9),$DG81*8*$CY81,0),0))</f>
        <v> </v>
      </c>
      <c r="BB81" s="299" t="str">
        <f aca="false">IF($A81="N/A"," ",IF(Dayrun&gt;=3,(MAX(0,(xSPRDOPT(I81,($E81-'Pricing Inputs'!$X116*$D81),$CV81,0,($CN81+IF(Smile=TRUE(),VLOOKUP(MAX(-5,$H81-I81),Volsmile,2),0)),$CT81,$CU81,($A81-DateToday)+15,ABS(Option-2),1)*DE81*8))),0))</f>
        <v> </v>
      </c>
      <c r="BC81" s="300" t="str">
        <f aca="false">IF($A81="N/A"," ",IF(Dayrun&gt;=6,MAX(0,(xSPRDOPT(J81,($E81-'Pricing Inputs'!$X116*$D81),$CV81,0,($CN81+IF(Smile=TRUE(),VLOOKUP(MAX(-5,$H81-J81),Volsmile,2),0)),$CT81,$CU81,($A81-DateToday)+15,ABS(Option-2),1)*DE81*8)),0))</f>
        <v> </v>
      </c>
      <c r="BD81" s="300" t="str">
        <f aca="false">IF($A81="N/A"," ",IF(OR(Dayrun&lt;=2,Dayrun&gt;=9),IF(OffPeakEx=TRUE(),MAX(0,(xSPRDOPT(K81,($E81-'Pricing Inputs'!$X116*$D81),$CV81,0,($CQ81+IF(Smile=TRUE(),VLOOKUP(MAX(-5,$H81-K81),Volsmile,2),0)),$CT81,$CU81,($A81-DateToday)+15,ABS(Option-2),1)*DE81*8)),0),0))</f>
        <v> </v>
      </c>
      <c r="BE81" s="300" t="str">
        <f aca="false">IF($A81="N/A"," ",IF(OR(Dayrun=1,Dayrun=4,Dayrun=5,Dayrun=7,Dayrun=8,Dayrun=10,Dayrun=11),MAX(0,(xSPRDOPT(L81,($E81-'Pricing Inputs'!$X116*$D81),$CV81,0,($CQ81+IF(Smile=TRUE(),VLOOKUP(MAX(-5,$H81-L81),Volsmile,2),0)),$CT81,$CU81,($A81-DateToday)+15,ABS(Option-2),1)*DF81*8)),0))</f>
        <v> </v>
      </c>
      <c r="BF81" s="300" t="str">
        <f aca="false">IF($A81="N/A"," ",IF(OR(Dayrun=1,Dayrun=7,Dayrun=8,Dayrun=10,Dayrun=11),MAX(0,(xSPRDOPT(M81,($E81-'Pricing Inputs'!$X116*$D81),$CV81,0,($CQ81+IF(Smile=TRUE(),VLOOKUP(MAX(-5,$H81-M81),Volsmile,2),0)),$CT81,$CU81,($A81-DateToday)+15,ABS(Option-2),1)*DF81*8)),0))</f>
        <v> </v>
      </c>
      <c r="BG81" s="300" t="str">
        <f aca="false">IF($A81="N/A"," ",IF(OR(Dayrun&lt;=2,Dayrun&gt;=10),IF(OffPeakEx=TRUE(),MAX(0,(xSPRDOPT(N81,($E81-'Pricing Inputs'!$X116*$D81),$CV81,0,($CQ81+IF(Smile=TRUE(),VLOOKUP(MAX(-5,$H81-N81),Volsmile,2),0)),$CT81,$CU81,($A81-DateToday)+15,ABS(Option-2),1)*DF81*8)),0),0))</f>
        <v> </v>
      </c>
      <c r="BH81" s="300" t="str">
        <f aca="false">IF($A81="N/A"," ",IF(OR(Dayrun=1,Dayrun=5,Dayrun=8,Dayrun=11),MAX(0,(xSPRDOPT(O81,($E81-'Pricing Inputs'!$X116*$D81),$CV81,0,($CQ81+IF(Smile=TRUE(),VLOOKUP(MAX(-5,$H81-O81),Volsmile,2),0)),$CT81,$CU81,($A81-DateToday)+15,ABS(Option-2),1)*DG81*8)),0))</f>
        <v> </v>
      </c>
      <c r="BI81" s="300" t="str">
        <f aca="false">IF($A81="N/A"," ",IF(OR(Dayrun=1,Dayrun=8,Dayrun=11),MAX(0,(xSPRDOPT(P81,($E81-'Pricing Inputs'!$X116*$D81),$CV81,0,($CQ81+IF(Smile=TRUE(),VLOOKUP(MAX(-5,$H81-P81),Volsmile,2),0)),$CT81,$CU81,($A81-DateToday)+15,ABS(Option-2),1)*DG81*8)),0))</f>
        <v> </v>
      </c>
      <c r="BJ81" s="301" t="str">
        <f aca="false">IF($A81="N/A"," ",IF(OR(Dayrun&lt;=2,Dayrun&gt;=11),IF(OffPeakEx=TRUE(),MAX(0,(xSPRDOPT(Q81,($E81-'Pricing Inputs'!$X116*$D81),$CV81,0,($CQ81+IF(Smile=TRUE(),VLOOKUP(MAX(-5,$H81-Q81),Volsmile,2),0)),$CT81,$CU81,($A81-DateToday)+15,ABS(Option-2),1)*DG81*8)),0),0))</f>
        <v> </v>
      </c>
      <c r="BK81" s="302" t="str">
        <f aca="false">IF($A81="N/A"," ",R81*$AS81)</f>
        <v> </v>
      </c>
      <c r="BL81" s="303" t="str">
        <f aca="false">IF($A81="N/A"," ",S81*$AT81)</f>
        <v> </v>
      </c>
      <c r="BM81" s="303" t="str">
        <f aca="false">IF($A81="N/A"," ",T81*$AU81)</f>
        <v> </v>
      </c>
      <c r="BN81" s="303" t="str">
        <f aca="false">IF($A81="N/A"," ",U81*$AV81)</f>
        <v> </v>
      </c>
      <c r="BO81" s="303" t="str">
        <f aca="false">IF($A81="N/A"," ",V81*$AW81)</f>
        <v> </v>
      </c>
      <c r="BP81" s="303" t="str">
        <f aca="false">IF($A81="N/A"," ",W81*$AX81)</f>
        <v> </v>
      </c>
      <c r="BQ81" s="303" t="str">
        <f aca="false">IF($A81="N/A"," ",X81*$AY81)</f>
        <v> </v>
      </c>
      <c r="BR81" s="303" t="str">
        <f aca="false">IF($A81="N/A"," ",Y81*$AZ81)</f>
        <v> </v>
      </c>
      <c r="BS81" s="304" t="str">
        <f aca="false">IF($A81="N/A"," ",Z81*$BA81)</f>
        <v> </v>
      </c>
      <c r="BT81" s="305" t="str">
        <f aca="false">IF($A81="N/A"," ",AA81*$AS81)</f>
        <v> </v>
      </c>
      <c r="BU81" s="306" t="str">
        <f aca="false">IF($A81="N/A"," ",AB81*$AT81)</f>
        <v> </v>
      </c>
      <c r="BV81" s="306" t="str">
        <f aca="false">IF($A81="N/A"," ",AC81*$AU81)</f>
        <v> </v>
      </c>
      <c r="BW81" s="306" t="str">
        <f aca="false">IF($A81="N/A"," ",AD81*$AV81)</f>
        <v> </v>
      </c>
      <c r="BX81" s="306" t="str">
        <f aca="false">IF($A81="N/A"," ",AE81*$AW81)</f>
        <v> </v>
      </c>
      <c r="BY81" s="306" t="str">
        <f aca="false">IF($A81="N/A"," ",AF81*$AX81)</f>
        <v> </v>
      </c>
      <c r="BZ81" s="306" t="str">
        <f aca="false">IF($A81="N/A"," ",AG81*$AY81)</f>
        <v> </v>
      </c>
      <c r="CA81" s="306" t="str">
        <f aca="false">IF($A81="N/A"," ",AH81*$AZ81)</f>
        <v> </v>
      </c>
      <c r="CB81" s="307" t="str">
        <f aca="false">IF($A81="N/A"," ",AI81*$BA81)</f>
        <v> </v>
      </c>
      <c r="CC81" s="308" t="str">
        <f aca="false">IF($A81="N/A"," ",AJ81*$AS81)</f>
        <v> </v>
      </c>
      <c r="CD81" s="309" t="str">
        <f aca="false">IF($A81="N/A"," ",AK81*$AT81)</f>
        <v> </v>
      </c>
      <c r="CE81" s="309" t="str">
        <f aca="false">IF($A81="N/A"," ",AL81*$AU81)</f>
        <v> </v>
      </c>
      <c r="CF81" s="309" t="str">
        <f aca="false">IF($A81="N/A"," ",AM81*$AV81)</f>
        <v> </v>
      </c>
      <c r="CG81" s="309" t="str">
        <f aca="false">IF($A81="N/A"," ",AN81*$AW81)</f>
        <v> </v>
      </c>
      <c r="CH81" s="309" t="str">
        <f aca="false">IF($A81="N/A"," ",AO81*$AX81)</f>
        <v> </v>
      </c>
      <c r="CI81" s="309" t="str">
        <f aca="false">IF($A81="N/A"," ",AP81*$AY81)</f>
        <v> </v>
      </c>
      <c r="CJ81" s="309" t="str">
        <f aca="false">IF($A81="N/A"," ",AQ81*$AZ81)</f>
        <v> </v>
      </c>
      <c r="CK81" s="310" t="str">
        <f aca="false">IF($A81="N/A"," ",AR81*$BA81)</f>
        <v> </v>
      </c>
      <c r="CL81" s="311" t="str">
        <f aca="false">IF(A81="N/A"," ",(VLOOKUP(A81,PowerVolTable,(IF(VolBMO=2,7,IF(VolBMO=1,6,8))),FALSE())))</f>
        <v> </v>
      </c>
      <c r="CM81" s="312" t="str">
        <f aca="false">IF(A81="N/A"," ",(VLOOKUP(A81,IntraPowerVol,(IF(VolBMO=2,3,IF(VolBMO=1,2,4))),FALSE())*VLOOKUP(MONTH($A81),Volscale,2)))</f>
        <v> </v>
      </c>
      <c r="CN81" s="312" t="str">
        <f aca="false">IF($A81="N/A"," ",IF(VolType=1,CM81,CL81))</f>
        <v> </v>
      </c>
      <c r="CO81" s="312" t="str">
        <f aca="false">IF($A81="N/A"," ",(VLOOKUP($A81,OffPeakVol,(IF(VolBMO=2,7,IF(VolBMO=1,6,8))),FALSE())))</f>
        <v> </v>
      </c>
      <c r="CP81" s="312" t="str">
        <f aca="false">IF($A81="N/A"," ",(VLOOKUP($A81,OffPeakVol,(IF(VolBMO=2,3,IF(VolBMO=1,2,4))),FALSE())*VLOOKUP(MONTH($A81),Volscale,2)))</f>
        <v> </v>
      </c>
      <c r="CQ81" s="312" t="str">
        <f aca="false">IF($A81="N/A"," ",IF(VolType=1,CP81,CO81))</f>
        <v> </v>
      </c>
      <c r="CR81" s="312" t="str">
        <f aca="false">IF($A81="N/A"," ",(VLOOKUP($A81,GasVolTable,(IF(VolBMO=2,6,IF(VolBMO=1,7,5))),FALSE())))</f>
        <v> </v>
      </c>
      <c r="CS81" s="312" t="str">
        <f aca="false">IF($A81="N/A"," ",(VLOOKUP($A81,OmicronVol,(IF(VolBMO=2,3,IF(VolBMO=1,4,2))),FALSE())))</f>
        <v> </v>
      </c>
      <c r="CT81" s="312" t="str">
        <f aca="false">IF($A81="N/A"," ",(IF(DateToday&gt;$A81,$CS81,IF(VolType=1,((($CR81^2)*((($A81-1)-DateToday)/((EOMONTH($A81,0)+1)-DateToday-15)))+((($CS81)^2)*((15)/((EOMONTH($A81,0)+1)-DateToday-15))))^0.5,CR81))))</f>
        <v> </v>
      </c>
      <c r="CU81" s="312" t="str">
        <f aca="false">IF($A81="N/A"," ",IF('Pricing Inputs'!$AR$23=TRUE(),Inputs!$S$22,VLOOKUP($A81,CorrelationTable,2,FALSE())))</f>
        <v> </v>
      </c>
      <c r="CV81" s="313" t="str">
        <f aca="false">IF($A81="N/A"," ",F81+G81+(D81*('Pricing Inputs'!X116)))</f>
        <v> </v>
      </c>
      <c r="CW81" s="314" t="str">
        <f aca="false">IF($A81="N/A"," ",IF(PV=1,0,'Pricing Inputs'!Y116))</f>
        <v> </v>
      </c>
      <c r="CX81" s="315" t="str">
        <f aca="false">IF($A81="N/A"," ",(1+CW81/2)^(-2*((EOMONTH(A81,0)+20)-DateToday)/365.25))</f>
        <v> </v>
      </c>
      <c r="CY81" s="316" t="str">
        <f aca="false">IF($A81="N/A"," ",(IF(MONTH(A81)&gt;=4,IF(MONTH(A81)&lt;=10,Inputs!$S$26,Inputs!$S$27),Inputs!$S$27))*$CX81)</f>
        <v> </v>
      </c>
      <c r="CZ81" s="317" t="str">
        <f aca="false">IF($A81="N/A"," ",BK81+BL81+BN81+BO81+BQ81+BR81)</f>
        <v> </v>
      </c>
      <c r="DA81" s="318" t="str">
        <f aca="false">IF($A81="N/A"," ",BM81+BP81+BS81)</f>
        <v> </v>
      </c>
      <c r="DB81" s="319" t="str">
        <f aca="false">IF($A81="N/A"," ",BT81+BU81+BW81+BX81+BZ81+CA81)</f>
        <v> </v>
      </c>
      <c r="DC81" s="319" t="str">
        <f aca="false">IF($A81="N/A"," ",BV81+BY81+CB81)</f>
        <v> </v>
      </c>
      <c r="DD81" s="320" t="str">
        <f aca="false">IF($A81="N/A"," ",SUM(CC81:CK81))</f>
        <v> </v>
      </c>
      <c r="DE81" s="321" t="str">
        <f aca="false">IF($A81="N/A"," ",VLOOKUP($A81,NumberofDaysTable,2)*Availability)</f>
        <v> </v>
      </c>
      <c r="DF81" s="94" t="str">
        <f aca="false">IF($A81="N/A"," ",VLOOKUP($A81,NumberofDaysTable,3)*Availability)</f>
        <v> </v>
      </c>
      <c r="DG81" s="322" t="str">
        <f aca="false">IF($A81="N/A"," ",VLOOKUP($A81,NumberofDaysTable,4)*Availability)</f>
        <v> </v>
      </c>
      <c r="DH81" s="323" t="str">
        <f aca="false">IF($A81="N/A"," ",IF(Option=1,$D81*Inputs!$S$15*SUM(AS81:BA81),0))</f>
        <v> </v>
      </c>
      <c r="DI81" s="324" t="str">
        <f aca="false">IF($A81="N/A"," ",IF(Option=1,$D81*Inputs!$S$16*SUM(AS81:BA81),0))</f>
        <v> </v>
      </c>
      <c r="DJ81" s="325" t="str">
        <f aca="false">IF($A81="N/A"," ",SUM(AS81:AT81))</f>
        <v> </v>
      </c>
      <c r="DK81" s="325" t="str">
        <f aca="false">IF($A81="N/A"," ",SUM(AU81:BA81))</f>
        <v> </v>
      </c>
      <c r="DL81" s="325" t="str">
        <f aca="false">IF($A81="N/A"," ",SUM(BB81:BC81))</f>
        <v> </v>
      </c>
      <c r="DM81" s="325" t="str">
        <f aca="false">IF($A81="N/A"," ",SUM(BD81:BJ81))</f>
        <v> </v>
      </c>
    </row>
    <row r="82" customFormat="false" ht="12.75" hidden="false" customHeight="false" outlineLevel="0" collapsed="false">
      <c r="A82" s="282" t="str">
        <f aca="false">IF(A81="N/A","N/A",IF(EDATE(A81,1)&gt;Inputs!$S$5,"N/A",EDATE(A81,1)))</f>
        <v>N/A</v>
      </c>
      <c r="B82" s="283" t="str">
        <f aca="false">IF(A82="N/A"," ",YEAR(A82))</f>
        <v> </v>
      </c>
      <c r="C82" s="284" t="str">
        <f aca="false">IF(A82="N/A"," ",VLOOKUP(A82,ScaledPrice,14))</f>
        <v> </v>
      </c>
      <c r="D82" s="285" t="str">
        <f aca="false">IF(A82="N/A"," ",(VLOOKUP(MONTH($A82),Hrtable,2))/1000)</f>
        <v> </v>
      </c>
      <c r="E82" s="286" t="str">
        <f aca="false">IF($A82="N/A"," ",(C82)*D82)</f>
        <v> </v>
      </c>
      <c r="F82" s="287" t="str">
        <f aca="false">IF(A82="N/A"," ",VOM*(1+VOMesc)^(YEAR(A82)-YEAR(Today)))</f>
        <v> </v>
      </c>
      <c r="G82" s="287" t="str">
        <f aca="false">IF(A82="N/A"," ",Perstart/VLOOKUP(Dayrun,'Pricing Inputs'!$AQ$4:$AS$14,3)/(CY82/CX82))</f>
        <v> </v>
      </c>
      <c r="H82" s="288" t="str">
        <f aca="false">IF(A82="N/A"," ",SUM(E82:G82))</f>
        <v> </v>
      </c>
      <c r="I82" s="289" t="str">
        <f aca="false">VLOOKUP($A82,ScaledPrice,6)</f>
        <v> </v>
      </c>
      <c r="J82" s="290" t="str">
        <f aca="false">VLOOKUP($A82,ScaledPrice,10)</f>
        <v> </v>
      </c>
      <c r="K82" s="290" t="str">
        <f aca="false">VLOOKUP($A82,ScaledPrice,13)</f>
        <v> </v>
      </c>
      <c r="L82" s="290" t="str">
        <f aca="false">VLOOKUP($A82,ScaledPrice,7)</f>
        <v> </v>
      </c>
      <c r="M82" s="290" t="str">
        <f aca="false">VLOOKUP($A82,ScaledPrice,11)</f>
        <v> </v>
      </c>
      <c r="N82" s="290" t="str">
        <f aca="false">VLOOKUP($A82,ScaledPrice,13)</f>
        <v> </v>
      </c>
      <c r="O82" s="290" t="str">
        <f aca="false">VLOOKUP($A82,ScaledPrice,8)</f>
        <v> </v>
      </c>
      <c r="P82" s="290" t="str">
        <f aca="false">VLOOKUP($A82,ScaledPrice,12)</f>
        <v> </v>
      </c>
      <c r="Q82" s="291" t="str">
        <f aca="false">VLOOKUP($A82,ScaledPrice,13)</f>
        <v> </v>
      </c>
      <c r="R82" s="292" t="str">
        <f aca="false">IF($A82="N/A"," ",IF(Dayrun&gt;=3,IF(Option=1,MAX($I82-$H82,0),IF(Option=2,MAX($H82-$I82,0),0)),0))</f>
        <v> </v>
      </c>
      <c r="S82" s="286" t="str">
        <f aca="false">IF($A82="N/A"," ",IF(Dayrun&gt;=6,IF(Option=1,MAX($J82-H82,0),IF(Option=2,MAX(H82-$J82,0),0)),0))</f>
        <v> </v>
      </c>
      <c r="T82" s="286" t="str">
        <f aca="false">IF($A82="N/A"," ",IF(OR(Dayrun&lt;=2,Dayrun&gt;=9),IF(Option=1,MAX($K82-$H82,0),IF(Option=2,MAX($H82-$K82,0),0)),0))</f>
        <v> </v>
      </c>
      <c r="U82" s="286" t="str">
        <f aca="false">IF($A82="N/A"," ",IF(OR(Dayrun=1,Dayrun=4,Dayrun=5,Dayrun=7,Dayrun=8,Dayrun=10,Dayrun=11),IF(Option=1,MAX($L82-H82,0),IF(Option=2,MAX(H82-$L82,0),0)),0))</f>
        <v> </v>
      </c>
      <c r="V82" s="286" t="str">
        <f aca="false">IF($A82="N/A"," ",IF(OR(Dayrun=1,Dayrun=7,Dayrun=8,Dayrun=10,Dayrun=11),IF(Option=1,MAX($M82-H82,0),IF(Option=2,MAX(H82-$M82,0),0)),0))</f>
        <v> </v>
      </c>
      <c r="W82" s="286" t="str">
        <f aca="false">IF($A82="N/A"," ",IF(OR(Dayrun&lt;=2,Dayrun&gt;=10),IF(Option=1,MAX($N82-$H82,0),IF(Option=2,MAX($H82-$N82,0),0)),0))</f>
        <v> </v>
      </c>
      <c r="X82" s="286" t="str">
        <f aca="false">IF($A82="N/A"," ",IF(OR(Dayrun=1,Dayrun=5,Dayrun=8,Dayrun=11),IF(Option=1,MAX($O82-H82,0),IF(Option=2,MAX(H82-$O82,0),0)),0))</f>
        <v> </v>
      </c>
      <c r="Y82" s="286" t="str">
        <f aca="false">IF($A82="N/A"," ",IF(OR(Dayrun=1,Dayrun=8,Dayrun=11),IF(Option=1,MAX($P82-H82,0),IF(Option=2,MAX(H82-$P82,0),0)),0))</f>
        <v> </v>
      </c>
      <c r="Z82" s="293" t="str">
        <f aca="false">IF($A82="N/A"," ",IF(OR(Dayrun&lt;=2,Dayrun&gt;=11),IF(Option=1,MAX($Q82-$H82,0),IF(Option=2,MAX($H82-$Q82,0),0)),0))</f>
        <v> </v>
      </c>
      <c r="AA82" s="289" t="str">
        <f aca="false">IF($A82="N/A"," ",IF(Dayrun&gt;=3,(MAX(0,(xSPRDOPT(I82,($E82-'Pricing Inputs'!$X117*$D82),$CV82,0,($CN82+IF(Smile=TRUE(),VLOOKUP(MAX(-5,$H82-I82),Volsmile,2),0)),$CT82,$CU82,($A82-DateToday)+15,ABS(Option-2),0)-R82))),0))</f>
        <v> </v>
      </c>
      <c r="AB82" s="290" t="str">
        <f aca="false">IF($A82="N/A"," ",IF(Dayrun&gt;=6,MAX(0,(xSPRDOPT(J82,($E82-'Pricing Inputs'!$X117*$D82),$CV82,0,($CN82+IF(Smile=TRUE(),VLOOKUP(MAX(-5,$H82-J82),Volsmile,2),0)),$CT82,$CU82,($A82-DateToday)+15,ABS(Option-2),0)-S82)),0))</f>
        <v> </v>
      </c>
      <c r="AC82" s="290" t="str">
        <f aca="false">IF($A82="N/A"," ",IF(OR(Dayrun&lt;=2,Dayrun&gt;=9),IF(OffPeakEx=TRUE(),MAX(0,(xSPRDOPT(K82,($E82-'Pricing Inputs'!$X117*$D82),$CV82,0,($CQ82+IF(Smile=TRUE(),VLOOKUP(MAX(-5,$H82-K82),Volsmile,2),0)),$CT82,$CU82,($A82-DateToday)+15,ABS(Option-2),0)-T82)),0),0))</f>
        <v> </v>
      </c>
      <c r="AD82" s="290" t="str">
        <f aca="false">IF($A82="N/A"," ",IF(OR(Dayrun=1,Dayrun=4,Dayrun=5,Dayrun=7,Dayrun=8,Dayrun=10,Dayrun=11),MAX(0,(xSPRDOPT(L82,($E82-'Pricing Inputs'!$X117*$D82),$CV82,0,($CQ82+IF(Smile=TRUE(),VLOOKUP(MAX(-5,$H82-L82),Volsmile,2),0)),$CT82,$CU82,($A82-DateToday)+15,ABS(Option-2),0)-U82)),0))</f>
        <v> </v>
      </c>
      <c r="AE82" s="290" t="str">
        <f aca="false">IF($A82="N/A"," ",IF(OR(Dayrun=1,Dayrun=7,Dayrun=8,Dayrun=10,Dayrun=11),MAX(0,(xSPRDOPT(M82,($E82-'Pricing Inputs'!$X117*$D82),$CV82,0,($CQ82+IF(Smile=TRUE(),VLOOKUP(MAX(-5,$H82-M82),Volsmile,2),0)),$CT82,$CU82,($A82-DateToday)+15,ABS(Option-2),0)-V82)),0))</f>
        <v> </v>
      </c>
      <c r="AF82" s="290" t="str">
        <f aca="false">IF($A82="N/A"," ",IF(OR(Dayrun&lt;=2,Dayrun&gt;=10),IF(OffPeakEx=TRUE(),MAX(0,(xSPRDOPT(N82,($E82-'Pricing Inputs'!$X117*$D82),$CV82,0,($CQ82+IF(Smile=TRUE(),VLOOKUP(MAX(-5,$H82-N82),Volsmile,2),0)),$CT82,$CU82,($A82-DateToday)+15,ABS(Option-2),0)-W82)),0),0))</f>
        <v> </v>
      </c>
      <c r="AG82" s="290" t="str">
        <f aca="false">IF($A82="N/A"," ",IF(OR(Dayrun=1,Dayrun=5,Dayrun=8,Dayrun=11),MAX(0,(xSPRDOPT(O82,($E82-'Pricing Inputs'!$X117*$D82),$CV82,0,($CQ82+IF(Smile=TRUE(),VLOOKUP(MAX(-5,$H82-O82),Volsmile,2),0)),$CT82,$CU82,($A82-DateToday)+15,ABS(Option-2),0)-X82)),0))</f>
        <v> </v>
      </c>
      <c r="AH82" s="290" t="str">
        <f aca="false">IF($A82="N/A"," ",IF(OR(Dayrun=1,Dayrun=8,Dayrun=11),MAX(0,(xSPRDOPT(P82,($E82-'Pricing Inputs'!$X117*$D82),$CV82,0,($CQ82+IF(Smile=TRUE(),VLOOKUP(MAX(-5,$H82-P82),Volsmile,2),0)),$CT82,$CU82,($A82-DateToday)+15,ABS(Option-2),0)-Y82)),0))</f>
        <v> </v>
      </c>
      <c r="AI82" s="290" t="str">
        <f aca="false">IF($A82="N/A"," ",IF(OR(Dayrun&lt;=2,Dayrun&gt;=11),IF(OffPeakEx=TRUE(),MAX(0,(xSPRDOPT(Q82,($E82-'Pricing Inputs'!$X117*$D82),$CV82,0,($CQ82+IF(Smile=TRUE(),VLOOKUP(MAX(-5,$H82-Q82),Volsmile,2),0)),$CT82,$CU82,($A82-DateToday)+15,ABS(Option-2),0)-Z82)),0),0))</f>
        <v> </v>
      </c>
      <c r="AJ82" s="294" t="str">
        <f aca="false">IF($A82="N/A"," ",IF(Dayrun&gt;=3,IF(Option=1,$I82-$H82,IF(Option=2,$H82-$I82)),0))</f>
        <v> </v>
      </c>
      <c r="AK82" s="295" t="str">
        <f aca="false">IF($A82="N/A"," ",IF(Dayrun&gt;=6,IF(Option=1,$J82-H82,IF(Option=2,H82-$J82)),0))</f>
        <v> </v>
      </c>
      <c r="AL82" s="295" t="str">
        <f aca="false">IF($A82="N/A"," ",IF(OR(Dayrun&lt;=2,Dayrun&gt;=9),IF(Option=1,$K82-$H82,IF(Option=2,$H82-$K82)),0))</f>
        <v> </v>
      </c>
      <c r="AM82" s="295" t="str">
        <f aca="false">IF($A82="N/A"," ",IF(OR(Dayrun=1,Dayrun=4,Dayrun=5,Dayrun=7,Dayrun=8,Dayrun=10,Dayrun=11),IF(Option=1,$L82-H82,IF(Option=2,H82-$L82)),0))</f>
        <v> </v>
      </c>
      <c r="AN82" s="295" t="str">
        <f aca="false">IF($A82="N/A"," ",IF(OR(Dayrun=1,Dayrun=7,Dayrun=8,Dayrun=10,Dayrun=11),IF(Option=1,$M82-H82,IF(Option=2,H82-$M82)),0))</f>
        <v> </v>
      </c>
      <c r="AO82" s="295" t="str">
        <f aca="false">IF($A82="N/A"," ",IF(OR(Dayrun&lt;=2,Dayrun&gt;=9),IF(Option=1,$N82-$H82,IF(Option=2,$H82-$N82)),0))</f>
        <v> </v>
      </c>
      <c r="AP82" s="295" t="str">
        <f aca="false">IF($A82="N/A"," ",IF(OR(Dayrun=1,Dayrun=5,Dayrun=8,Dayrun=11),IF(Option=1,$O82-H82,IF(Option=2,H82-$O82)),0))</f>
        <v> </v>
      </c>
      <c r="AQ82" s="295" t="str">
        <f aca="false">IF($A82="N/A"," ",IF(OR(Dayrun=1,Dayrun=8,Dayrun=11),IF(Option=1,$P82-H82,IF(Option=2,H82-$P82)),0))</f>
        <v> </v>
      </c>
      <c r="AR82" s="296" t="str">
        <f aca="false">IF($A82="N/A"," ",IF(OR(Dayrun&lt;=2,Dayrun&gt;=9),IF(Option=1,$Q82-H82,IF(Option=2,H82-$Q82)),0))</f>
        <v> </v>
      </c>
      <c r="AS82" s="297" t="str">
        <f aca="false">IF($A82="N/A"," ",IF(VLOOKUP(MONTH($A82),ManualTable,2)=1,IF(Dayrun&gt;=3,$DE82*8*$CY82,0),0))</f>
        <v> </v>
      </c>
      <c r="AT82" s="297" t="str">
        <f aca="false">IF($A82="N/A"," ",IF(VLOOKUP(MONTH($A82),ManualTable,3)=1,IF(Dayrun&gt;=6,$DE82*8*$CY82,0),0))</f>
        <v> </v>
      </c>
      <c r="AU82" s="297" t="str">
        <f aca="false">IF($A82="N/A"," ",IF(VLOOKUP(MONTH($A82),ManualTable,4)=1,IF(OR(Dayrun&lt;=2,Dayrun&gt;=9),$DE82*8*$CY82,0),0))</f>
        <v> </v>
      </c>
      <c r="AV82" s="297" t="str">
        <f aca="false">IF($A82="N/A"," ",IF(VLOOKUP(MONTH($A82),ManualTable,5)=1,IF(OR(Dayrun=1,Dayrun=4,Dayrun=5,Dayrun=7,Dayrun=8,Dayrun=10,Dayrun=11),$DF82*8*$CY82,0),0))</f>
        <v> </v>
      </c>
      <c r="AW82" s="297" t="str">
        <f aca="false">IF($A82="N/A"," ",IF(VLOOKUP(MONTH($A82),ManualTable,6)=1,IF(OR(Dayrun=1,Dayrun=7,Dayrun=8,Dayrun=10,Dayrun=11),$DF82*8*$CY82,0),0))</f>
        <v> </v>
      </c>
      <c r="AX82" s="297" t="str">
        <f aca="false">IF($A82="N/A"," ",IF(VLOOKUP(MONTH($A82),ManualTable,7)=1,IF(OR(Dayrun&lt;=2,Dayrun&gt;=9),$DF82*8*$CY82,0),0))</f>
        <v> </v>
      </c>
      <c r="AY82" s="297" t="str">
        <f aca="false">IF($A82="N/A"," ",IF(VLOOKUP(MONTH($A82),ManualTable,8)=1,IF(OR(Dayrun=1,Dayrun=5,Dayrun=8,Dayrun=11),$DG82*8*$CY82,0),0))</f>
        <v> </v>
      </c>
      <c r="AZ82" s="297" t="str">
        <f aca="false">IF($A82="N/A"," ",IF(VLOOKUP(MONTH($A82),ManualTable,9)=1,IF(OR(Dayrun=1,Dayrun=8,Dayrun=11),$DG82*8*$CY82,0),0))</f>
        <v> </v>
      </c>
      <c r="BA82" s="298" t="str">
        <f aca="false">IF($A82="N/A"," ",IF(VLOOKUP(MONTH($A82),ManualTable,10)=1,IF(OR(Dayrun&lt;=2,Dayrun&gt;=9),$DG82*8*$CY82,0),0))</f>
        <v> </v>
      </c>
      <c r="BB82" s="299" t="str">
        <f aca="false">IF($A82="N/A"," ",IF(Dayrun&gt;=3,(MAX(0,(xSPRDOPT(I82,($E82-'Pricing Inputs'!$X117*$D82),$CV82,0,($CN82+IF(Smile=TRUE(),VLOOKUP(MAX(-5,$H82-I82),Volsmile,2),0)),$CT82,$CU82,($A82-DateToday)+15,ABS(Option-2),1)*DE82*8))),0))</f>
        <v> </v>
      </c>
      <c r="BC82" s="300" t="str">
        <f aca="false">IF($A82="N/A"," ",IF(Dayrun&gt;=6,MAX(0,(xSPRDOPT(J82,($E82-'Pricing Inputs'!$X117*$D82),$CV82,0,($CN82+IF(Smile=TRUE(),VLOOKUP(MAX(-5,$H82-J82),Volsmile,2),0)),$CT82,$CU82,($A82-DateToday)+15,ABS(Option-2),1)*DE82*8)),0))</f>
        <v> </v>
      </c>
      <c r="BD82" s="300" t="str">
        <f aca="false">IF($A82="N/A"," ",IF(OR(Dayrun&lt;=2,Dayrun&gt;=9),IF(OffPeakEx=TRUE(),MAX(0,(xSPRDOPT(K82,($E82-'Pricing Inputs'!$X117*$D82),$CV82,0,($CQ82+IF(Smile=TRUE(),VLOOKUP(MAX(-5,$H82-K82),Volsmile,2),0)),$CT82,$CU82,($A82-DateToday)+15,ABS(Option-2),1)*DE82*8)),0),0))</f>
        <v> </v>
      </c>
      <c r="BE82" s="300" t="str">
        <f aca="false">IF($A82="N/A"," ",IF(OR(Dayrun=1,Dayrun=4,Dayrun=5,Dayrun=7,Dayrun=8,Dayrun=10,Dayrun=11),MAX(0,(xSPRDOPT(L82,($E82-'Pricing Inputs'!$X117*$D82),$CV82,0,($CQ82+IF(Smile=TRUE(),VLOOKUP(MAX(-5,$H82-L82),Volsmile,2),0)),$CT82,$CU82,($A82-DateToday)+15,ABS(Option-2),1)*DF82*8)),0))</f>
        <v> </v>
      </c>
      <c r="BF82" s="300" t="str">
        <f aca="false">IF($A82="N/A"," ",IF(OR(Dayrun=1,Dayrun=7,Dayrun=8,Dayrun=10,Dayrun=11),MAX(0,(xSPRDOPT(M82,($E82-'Pricing Inputs'!$X117*$D82),$CV82,0,($CQ82+IF(Smile=TRUE(),VLOOKUP(MAX(-5,$H82-M82),Volsmile,2),0)),$CT82,$CU82,($A82-DateToday)+15,ABS(Option-2),1)*DF82*8)),0))</f>
        <v> </v>
      </c>
      <c r="BG82" s="300" t="str">
        <f aca="false">IF($A82="N/A"," ",IF(OR(Dayrun&lt;=2,Dayrun&gt;=10),IF(OffPeakEx=TRUE(),MAX(0,(xSPRDOPT(N82,($E82-'Pricing Inputs'!$X117*$D82),$CV82,0,($CQ82+IF(Smile=TRUE(),VLOOKUP(MAX(-5,$H82-N82),Volsmile,2),0)),$CT82,$CU82,($A82-DateToday)+15,ABS(Option-2),1)*DF82*8)),0),0))</f>
        <v> </v>
      </c>
      <c r="BH82" s="300" t="str">
        <f aca="false">IF($A82="N/A"," ",IF(OR(Dayrun=1,Dayrun=5,Dayrun=8,Dayrun=11),MAX(0,(xSPRDOPT(O82,($E82-'Pricing Inputs'!$X117*$D82),$CV82,0,($CQ82+IF(Smile=TRUE(),VLOOKUP(MAX(-5,$H82-O82),Volsmile,2),0)),$CT82,$CU82,($A82-DateToday)+15,ABS(Option-2),1)*DG82*8)),0))</f>
        <v> </v>
      </c>
      <c r="BI82" s="300" t="str">
        <f aca="false">IF($A82="N/A"," ",IF(OR(Dayrun=1,Dayrun=8,Dayrun=11),MAX(0,(xSPRDOPT(P82,($E82-'Pricing Inputs'!$X117*$D82),$CV82,0,($CQ82+IF(Smile=TRUE(),VLOOKUP(MAX(-5,$H82-P82),Volsmile,2),0)),$CT82,$CU82,($A82-DateToday)+15,ABS(Option-2),1)*DG82*8)),0))</f>
        <v> </v>
      </c>
      <c r="BJ82" s="301" t="str">
        <f aca="false">IF($A82="N/A"," ",IF(OR(Dayrun&lt;=2,Dayrun&gt;=11),IF(OffPeakEx=TRUE(),MAX(0,(xSPRDOPT(Q82,($E82-'Pricing Inputs'!$X117*$D82),$CV82,0,($CQ82+IF(Smile=TRUE(),VLOOKUP(MAX(-5,$H82-Q82),Volsmile,2),0)),$CT82,$CU82,($A82-DateToday)+15,ABS(Option-2),1)*DG82*8)),0),0))</f>
        <v> </v>
      </c>
      <c r="BK82" s="302" t="str">
        <f aca="false">IF($A82="N/A"," ",R82*$AS82)</f>
        <v> </v>
      </c>
      <c r="BL82" s="303" t="str">
        <f aca="false">IF($A82="N/A"," ",S82*$AT82)</f>
        <v> </v>
      </c>
      <c r="BM82" s="303" t="str">
        <f aca="false">IF($A82="N/A"," ",T82*$AU82)</f>
        <v> </v>
      </c>
      <c r="BN82" s="303" t="str">
        <f aca="false">IF($A82="N/A"," ",U82*$AV82)</f>
        <v> </v>
      </c>
      <c r="BO82" s="303" t="str">
        <f aca="false">IF($A82="N/A"," ",V82*$AW82)</f>
        <v> </v>
      </c>
      <c r="BP82" s="303" t="str">
        <f aca="false">IF($A82="N/A"," ",W82*$AX82)</f>
        <v> </v>
      </c>
      <c r="BQ82" s="303" t="str">
        <f aca="false">IF($A82="N/A"," ",X82*$AY82)</f>
        <v> </v>
      </c>
      <c r="BR82" s="303" t="str">
        <f aca="false">IF($A82="N/A"," ",Y82*$AZ82)</f>
        <v> </v>
      </c>
      <c r="BS82" s="304" t="str">
        <f aca="false">IF($A82="N/A"," ",Z82*$BA82)</f>
        <v> </v>
      </c>
      <c r="BT82" s="305" t="str">
        <f aca="false">IF($A82="N/A"," ",AA82*$AS82)</f>
        <v> </v>
      </c>
      <c r="BU82" s="306" t="str">
        <f aca="false">IF($A82="N/A"," ",AB82*$AT82)</f>
        <v> </v>
      </c>
      <c r="BV82" s="306" t="str">
        <f aca="false">IF($A82="N/A"," ",AC82*$AU82)</f>
        <v> </v>
      </c>
      <c r="BW82" s="306" t="str">
        <f aca="false">IF($A82="N/A"," ",AD82*$AV82)</f>
        <v> </v>
      </c>
      <c r="BX82" s="306" t="str">
        <f aca="false">IF($A82="N/A"," ",AE82*$AW82)</f>
        <v> </v>
      </c>
      <c r="BY82" s="306" t="str">
        <f aca="false">IF($A82="N/A"," ",AF82*$AX82)</f>
        <v> </v>
      </c>
      <c r="BZ82" s="306" t="str">
        <f aca="false">IF($A82="N/A"," ",AG82*$AY82)</f>
        <v> </v>
      </c>
      <c r="CA82" s="306" t="str">
        <f aca="false">IF($A82="N/A"," ",AH82*$AZ82)</f>
        <v> </v>
      </c>
      <c r="CB82" s="307" t="str">
        <f aca="false">IF($A82="N/A"," ",AI82*$BA82)</f>
        <v> </v>
      </c>
      <c r="CC82" s="308" t="str">
        <f aca="false">IF($A82="N/A"," ",AJ82*$AS82)</f>
        <v> </v>
      </c>
      <c r="CD82" s="309" t="str">
        <f aca="false">IF($A82="N/A"," ",AK82*$AT82)</f>
        <v> </v>
      </c>
      <c r="CE82" s="309" t="str">
        <f aca="false">IF($A82="N/A"," ",AL82*$AU82)</f>
        <v> </v>
      </c>
      <c r="CF82" s="309" t="str">
        <f aca="false">IF($A82="N/A"," ",AM82*$AV82)</f>
        <v> </v>
      </c>
      <c r="CG82" s="309" t="str">
        <f aca="false">IF($A82="N/A"," ",AN82*$AW82)</f>
        <v> </v>
      </c>
      <c r="CH82" s="309" t="str">
        <f aca="false">IF($A82="N/A"," ",AO82*$AX82)</f>
        <v> </v>
      </c>
      <c r="CI82" s="309" t="str">
        <f aca="false">IF($A82="N/A"," ",AP82*$AY82)</f>
        <v> </v>
      </c>
      <c r="CJ82" s="309" t="str">
        <f aca="false">IF($A82="N/A"," ",AQ82*$AZ82)</f>
        <v> </v>
      </c>
      <c r="CK82" s="310" t="str">
        <f aca="false">IF($A82="N/A"," ",AR82*$BA82)</f>
        <v> </v>
      </c>
      <c r="CL82" s="311" t="str">
        <f aca="false">IF(A82="N/A"," ",(VLOOKUP(A82,PowerVolTable,(IF(VolBMO=2,7,IF(VolBMO=1,6,8))),FALSE())))</f>
        <v> </v>
      </c>
      <c r="CM82" s="312" t="str">
        <f aca="false">IF(A82="N/A"," ",(VLOOKUP(A82,IntraPowerVol,(IF(VolBMO=2,3,IF(VolBMO=1,2,4))),FALSE())*VLOOKUP(MONTH($A82),Volscale,2)))</f>
        <v> </v>
      </c>
      <c r="CN82" s="312" t="str">
        <f aca="false">IF($A82="N/A"," ",IF(VolType=1,CM82,CL82))</f>
        <v> </v>
      </c>
      <c r="CO82" s="312" t="str">
        <f aca="false">IF($A82="N/A"," ",(VLOOKUP($A82,OffPeakVol,(IF(VolBMO=2,7,IF(VolBMO=1,6,8))),FALSE())))</f>
        <v> </v>
      </c>
      <c r="CP82" s="312" t="str">
        <f aca="false">IF($A82="N/A"," ",(VLOOKUP($A82,OffPeakVol,(IF(VolBMO=2,3,IF(VolBMO=1,2,4))),FALSE())*VLOOKUP(MONTH($A82),Volscale,2)))</f>
        <v> </v>
      </c>
      <c r="CQ82" s="312" t="str">
        <f aca="false">IF($A82="N/A"," ",IF(VolType=1,CP82,CO82))</f>
        <v> </v>
      </c>
      <c r="CR82" s="312" t="str">
        <f aca="false">IF($A82="N/A"," ",(VLOOKUP($A82,GasVolTable,(IF(VolBMO=2,6,IF(VolBMO=1,7,5))),FALSE())))</f>
        <v> </v>
      </c>
      <c r="CS82" s="312" t="str">
        <f aca="false">IF($A82="N/A"," ",(VLOOKUP($A82,OmicronVol,(IF(VolBMO=2,3,IF(VolBMO=1,4,2))),FALSE())))</f>
        <v> </v>
      </c>
      <c r="CT82" s="312" t="str">
        <f aca="false">IF($A82="N/A"," ",(IF(DateToday&gt;$A82,$CS82,IF(VolType=1,((($CR82^2)*((($A82-1)-DateToday)/((EOMONTH($A82,0)+1)-DateToday-15)))+((($CS82)^2)*((15)/((EOMONTH($A82,0)+1)-DateToday-15))))^0.5,CR82))))</f>
        <v> </v>
      </c>
      <c r="CU82" s="312" t="str">
        <f aca="false">IF($A82="N/A"," ",IF('Pricing Inputs'!$AR$23=TRUE(),Inputs!$S$22,VLOOKUP($A82,CorrelationTable,2,FALSE())))</f>
        <v> </v>
      </c>
      <c r="CV82" s="313" t="str">
        <f aca="false">IF($A82="N/A"," ",F82+G82+(D82*('Pricing Inputs'!X117)))</f>
        <v> </v>
      </c>
      <c r="CW82" s="314" t="str">
        <f aca="false">IF($A82="N/A"," ",IF(PV=1,0,'Pricing Inputs'!Y117))</f>
        <v> </v>
      </c>
      <c r="CX82" s="315" t="str">
        <f aca="false">IF($A82="N/A"," ",(1+CW82/2)^(-2*((EOMONTH(A82,0)+20)-DateToday)/365.25))</f>
        <v> </v>
      </c>
      <c r="CY82" s="316" t="str">
        <f aca="false">IF($A82="N/A"," ",(IF(MONTH(A82)&gt;=4,IF(MONTH(A82)&lt;=10,Inputs!$S$26,Inputs!$S$27),Inputs!$S$27))*$CX82)</f>
        <v> </v>
      </c>
      <c r="CZ82" s="317" t="str">
        <f aca="false">IF($A82="N/A"," ",BK82+BL82+BN82+BO82+BQ82+BR82)</f>
        <v> </v>
      </c>
      <c r="DA82" s="318" t="str">
        <f aca="false">IF($A82="N/A"," ",BM82+BP82+BS82)</f>
        <v> </v>
      </c>
      <c r="DB82" s="319" t="str">
        <f aca="false">IF($A82="N/A"," ",BT82+BU82+BW82+BX82+BZ82+CA82)</f>
        <v> </v>
      </c>
      <c r="DC82" s="319" t="str">
        <f aca="false">IF($A82="N/A"," ",BV82+BY82+CB82)</f>
        <v> </v>
      </c>
      <c r="DD82" s="320" t="str">
        <f aca="false">IF($A82="N/A"," ",SUM(CC82:CK82))</f>
        <v> </v>
      </c>
      <c r="DE82" s="321" t="str">
        <f aca="false">IF($A82="N/A"," ",VLOOKUP($A82,NumberofDaysTable,2)*Availability)</f>
        <v> </v>
      </c>
      <c r="DF82" s="94" t="str">
        <f aca="false">IF($A82="N/A"," ",VLOOKUP($A82,NumberofDaysTable,3)*Availability)</f>
        <v> </v>
      </c>
      <c r="DG82" s="322" t="str">
        <f aca="false">IF($A82="N/A"," ",VLOOKUP($A82,NumberofDaysTable,4)*Availability)</f>
        <v> </v>
      </c>
      <c r="DH82" s="323" t="str">
        <f aca="false">IF($A82="N/A"," ",IF(Option=1,$D82*Inputs!$S$15*SUM(AS82:BA82),0))</f>
        <v> </v>
      </c>
      <c r="DI82" s="324" t="str">
        <f aca="false">IF($A82="N/A"," ",IF(Option=1,$D82*Inputs!$S$16*SUM(AS82:BA82),0))</f>
        <v> </v>
      </c>
      <c r="DJ82" s="325" t="str">
        <f aca="false">IF($A82="N/A"," ",SUM(AS82:AT82))</f>
        <v> </v>
      </c>
      <c r="DK82" s="325" t="str">
        <f aca="false">IF($A82="N/A"," ",SUM(AU82:BA82))</f>
        <v> </v>
      </c>
      <c r="DL82" s="325" t="str">
        <f aca="false">IF($A82="N/A"," ",SUM(BB82:BC82))</f>
        <v> </v>
      </c>
      <c r="DM82" s="325" t="str">
        <f aca="false">IF($A82="N/A"," ",SUM(BD82:BJ82))</f>
        <v> </v>
      </c>
    </row>
    <row r="83" customFormat="false" ht="12.75" hidden="false" customHeight="false" outlineLevel="0" collapsed="false">
      <c r="A83" s="282" t="str">
        <f aca="false">IF(A82="N/A","N/A",IF(EDATE(A82,1)&gt;Inputs!$S$5,"N/A",EDATE(A82,1)))</f>
        <v>N/A</v>
      </c>
      <c r="B83" s="283" t="str">
        <f aca="false">IF(A83="N/A"," ",YEAR(A83))</f>
        <v> </v>
      </c>
      <c r="C83" s="284" t="str">
        <f aca="false">IF(A83="N/A"," ",VLOOKUP(A83,ScaledPrice,14))</f>
        <v> </v>
      </c>
      <c r="D83" s="285" t="str">
        <f aca="false">IF(A83="N/A"," ",(VLOOKUP(MONTH($A83),Hrtable,2))/1000)</f>
        <v> </v>
      </c>
      <c r="E83" s="286" t="str">
        <f aca="false">IF($A83="N/A"," ",(C83)*D83)</f>
        <v> </v>
      </c>
      <c r="F83" s="287" t="str">
        <f aca="false">IF(A83="N/A"," ",VOM*(1+VOMesc)^(YEAR(A83)-YEAR(Today)))</f>
        <v> </v>
      </c>
      <c r="G83" s="287" t="str">
        <f aca="false">IF(A83="N/A"," ",Perstart/VLOOKUP(Dayrun,'Pricing Inputs'!$AQ$4:$AS$14,3)/(CY83/CX83))</f>
        <v> </v>
      </c>
      <c r="H83" s="288" t="str">
        <f aca="false">IF(A83="N/A"," ",SUM(E83:G83))</f>
        <v> </v>
      </c>
      <c r="I83" s="289" t="str">
        <f aca="false">VLOOKUP($A83,ScaledPrice,6)</f>
        <v> </v>
      </c>
      <c r="J83" s="290" t="str">
        <f aca="false">VLOOKUP($A83,ScaledPrice,10)</f>
        <v> </v>
      </c>
      <c r="K83" s="290" t="str">
        <f aca="false">VLOOKUP($A83,ScaledPrice,13)</f>
        <v> </v>
      </c>
      <c r="L83" s="290" t="str">
        <f aca="false">VLOOKUP($A83,ScaledPrice,7)</f>
        <v> </v>
      </c>
      <c r="M83" s="290" t="str">
        <f aca="false">VLOOKUP($A83,ScaledPrice,11)</f>
        <v> </v>
      </c>
      <c r="N83" s="290" t="str">
        <f aca="false">VLOOKUP($A83,ScaledPrice,13)</f>
        <v> </v>
      </c>
      <c r="O83" s="290" t="str">
        <f aca="false">VLOOKUP($A83,ScaledPrice,8)</f>
        <v> </v>
      </c>
      <c r="P83" s="290" t="str">
        <f aca="false">VLOOKUP($A83,ScaledPrice,12)</f>
        <v> </v>
      </c>
      <c r="Q83" s="291" t="str">
        <f aca="false">VLOOKUP($A83,ScaledPrice,13)</f>
        <v> </v>
      </c>
      <c r="R83" s="292" t="str">
        <f aca="false">IF($A83="N/A"," ",IF(Dayrun&gt;=3,IF(Option=1,MAX($I83-$H83,0),IF(Option=2,MAX($H83-$I83,0),0)),0))</f>
        <v> </v>
      </c>
      <c r="S83" s="286" t="str">
        <f aca="false">IF($A83="N/A"," ",IF(Dayrun&gt;=6,IF(Option=1,MAX($J83-H83,0),IF(Option=2,MAX(H83-$J83,0),0)),0))</f>
        <v> </v>
      </c>
      <c r="T83" s="286" t="str">
        <f aca="false">IF($A83="N/A"," ",IF(OR(Dayrun&lt;=2,Dayrun&gt;=9),IF(Option=1,MAX($K83-$H83,0),IF(Option=2,MAX($H83-$K83,0),0)),0))</f>
        <v> </v>
      </c>
      <c r="U83" s="286" t="str">
        <f aca="false">IF($A83="N/A"," ",IF(OR(Dayrun=1,Dayrun=4,Dayrun=5,Dayrun=7,Dayrun=8,Dayrun=10,Dayrun=11),IF(Option=1,MAX($L83-H83,0),IF(Option=2,MAX(H83-$L83,0),0)),0))</f>
        <v> </v>
      </c>
      <c r="V83" s="286" t="str">
        <f aca="false">IF($A83="N/A"," ",IF(OR(Dayrun=1,Dayrun=7,Dayrun=8,Dayrun=10,Dayrun=11),IF(Option=1,MAX($M83-H83,0),IF(Option=2,MAX(H83-$M83,0),0)),0))</f>
        <v> </v>
      </c>
      <c r="W83" s="286" t="str">
        <f aca="false">IF($A83="N/A"," ",IF(OR(Dayrun&lt;=2,Dayrun&gt;=10),IF(Option=1,MAX($N83-$H83,0),IF(Option=2,MAX($H83-$N83,0),0)),0))</f>
        <v> </v>
      </c>
      <c r="X83" s="286" t="str">
        <f aca="false">IF($A83="N/A"," ",IF(OR(Dayrun=1,Dayrun=5,Dayrun=8,Dayrun=11),IF(Option=1,MAX($O83-H83,0),IF(Option=2,MAX(H83-$O83,0),0)),0))</f>
        <v> </v>
      </c>
      <c r="Y83" s="286" t="str">
        <f aca="false">IF($A83="N/A"," ",IF(OR(Dayrun=1,Dayrun=8,Dayrun=11),IF(Option=1,MAX($P83-H83,0),IF(Option=2,MAX(H83-$P83,0),0)),0))</f>
        <v> </v>
      </c>
      <c r="Z83" s="293" t="str">
        <f aca="false">IF($A83="N/A"," ",IF(OR(Dayrun&lt;=2,Dayrun&gt;=11),IF(Option=1,MAX($Q83-$H83,0),IF(Option=2,MAX($H83-$Q83,0),0)),0))</f>
        <v> </v>
      </c>
      <c r="AA83" s="289" t="str">
        <f aca="false">IF($A83="N/A"," ",IF(Dayrun&gt;=3,(MAX(0,(xSPRDOPT(I83,($E83-'Pricing Inputs'!$X118*$D83),$CV83,0,($CN83+IF(Smile=TRUE(),VLOOKUP(MAX(-5,$H83-I83),Volsmile,2),0)),$CT83,$CU83,($A83-DateToday)+15,ABS(Option-2),0)-R83))),0))</f>
        <v> </v>
      </c>
      <c r="AB83" s="290" t="str">
        <f aca="false">IF($A83="N/A"," ",IF(Dayrun&gt;=6,MAX(0,(xSPRDOPT(J83,($E83-'Pricing Inputs'!$X118*$D83),$CV83,0,($CN83+IF(Smile=TRUE(),VLOOKUP(MAX(-5,$H83-J83),Volsmile,2),0)),$CT83,$CU83,($A83-DateToday)+15,ABS(Option-2),0)-S83)),0))</f>
        <v> </v>
      </c>
      <c r="AC83" s="290" t="str">
        <f aca="false">IF($A83="N/A"," ",IF(OR(Dayrun&lt;=2,Dayrun&gt;=9),IF(OffPeakEx=TRUE(),MAX(0,(xSPRDOPT(K83,($E83-'Pricing Inputs'!$X118*$D83),$CV83,0,($CQ83+IF(Smile=TRUE(),VLOOKUP(MAX(-5,$H83-K83),Volsmile,2),0)),$CT83,$CU83,($A83-DateToday)+15,ABS(Option-2),0)-T83)),0),0))</f>
        <v> </v>
      </c>
      <c r="AD83" s="290" t="str">
        <f aca="false">IF($A83="N/A"," ",IF(OR(Dayrun=1,Dayrun=4,Dayrun=5,Dayrun=7,Dayrun=8,Dayrun=10,Dayrun=11),MAX(0,(xSPRDOPT(L83,($E83-'Pricing Inputs'!$X118*$D83),$CV83,0,($CQ83+IF(Smile=TRUE(),VLOOKUP(MAX(-5,$H83-L83),Volsmile,2),0)),$CT83,$CU83,($A83-DateToday)+15,ABS(Option-2),0)-U83)),0))</f>
        <v> </v>
      </c>
      <c r="AE83" s="290" t="str">
        <f aca="false">IF($A83="N/A"," ",IF(OR(Dayrun=1,Dayrun=7,Dayrun=8,Dayrun=10,Dayrun=11),MAX(0,(xSPRDOPT(M83,($E83-'Pricing Inputs'!$X118*$D83),$CV83,0,($CQ83+IF(Smile=TRUE(),VLOOKUP(MAX(-5,$H83-M83),Volsmile,2),0)),$CT83,$CU83,($A83-DateToday)+15,ABS(Option-2),0)-V83)),0))</f>
        <v> </v>
      </c>
      <c r="AF83" s="290" t="str">
        <f aca="false">IF($A83="N/A"," ",IF(OR(Dayrun&lt;=2,Dayrun&gt;=10),IF(OffPeakEx=TRUE(),MAX(0,(xSPRDOPT(N83,($E83-'Pricing Inputs'!$X118*$D83),$CV83,0,($CQ83+IF(Smile=TRUE(),VLOOKUP(MAX(-5,$H83-N83),Volsmile,2),0)),$CT83,$CU83,($A83-DateToday)+15,ABS(Option-2),0)-W83)),0),0))</f>
        <v> </v>
      </c>
      <c r="AG83" s="290" t="str">
        <f aca="false">IF($A83="N/A"," ",IF(OR(Dayrun=1,Dayrun=5,Dayrun=8,Dayrun=11),MAX(0,(xSPRDOPT(O83,($E83-'Pricing Inputs'!$X118*$D83),$CV83,0,($CQ83+IF(Smile=TRUE(),VLOOKUP(MAX(-5,$H83-O83),Volsmile,2),0)),$CT83,$CU83,($A83-DateToday)+15,ABS(Option-2),0)-X83)),0))</f>
        <v> </v>
      </c>
      <c r="AH83" s="290" t="str">
        <f aca="false">IF($A83="N/A"," ",IF(OR(Dayrun=1,Dayrun=8,Dayrun=11),MAX(0,(xSPRDOPT(P83,($E83-'Pricing Inputs'!$X118*$D83),$CV83,0,($CQ83+IF(Smile=TRUE(),VLOOKUP(MAX(-5,$H83-P83),Volsmile,2),0)),$CT83,$CU83,($A83-DateToday)+15,ABS(Option-2),0)-Y83)),0))</f>
        <v> </v>
      </c>
      <c r="AI83" s="290" t="str">
        <f aca="false">IF($A83="N/A"," ",IF(OR(Dayrun&lt;=2,Dayrun&gt;=11),IF(OffPeakEx=TRUE(),MAX(0,(xSPRDOPT(Q83,($E83-'Pricing Inputs'!$X118*$D83),$CV83,0,($CQ83+IF(Smile=TRUE(),VLOOKUP(MAX(-5,$H83-Q83),Volsmile,2),0)),$CT83,$CU83,($A83-DateToday)+15,ABS(Option-2),0)-Z83)),0),0))</f>
        <v> </v>
      </c>
      <c r="AJ83" s="294" t="str">
        <f aca="false">IF($A83="N/A"," ",IF(Dayrun&gt;=3,IF(Option=1,$I83-$H83,IF(Option=2,$H83-$I83)),0))</f>
        <v> </v>
      </c>
      <c r="AK83" s="295" t="str">
        <f aca="false">IF($A83="N/A"," ",IF(Dayrun&gt;=6,IF(Option=1,$J83-H83,IF(Option=2,H83-$J83)),0))</f>
        <v> </v>
      </c>
      <c r="AL83" s="295" t="str">
        <f aca="false">IF($A83="N/A"," ",IF(OR(Dayrun&lt;=2,Dayrun&gt;=9),IF(Option=1,$K83-$H83,IF(Option=2,$H83-$K83)),0))</f>
        <v> </v>
      </c>
      <c r="AM83" s="295" t="str">
        <f aca="false">IF($A83="N/A"," ",IF(OR(Dayrun=1,Dayrun=4,Dayrun=5,Dayrun=7,Dayrun=8,Dayrun=10,Dayrun=11),IF(Option=1,$L83-H83,IF(Option=2,H83-$L83)),0))</f>
        <v> </v>
      </c>
      <c r="AN83" s="295" t="str">
        <f aca="false">IF($A83="N/A"," ",IF(OR(Dayrun=1,Dayrun=7,Dayrun=8,Dayrun=10,Dayrun=11),IF(Option=1,$M83-H83,IF(Option=2,H83-$M83)),0))</f>
        <v> </v>
      </c>
      <c r="AO83" s="295" t="str">
        <f aca="false">IF($A83="N/A"," ",IF(OR(Dayrun&lt;=2,Dayrun&gt;=9),IF(Option=1,$N83-$H83,IF(Option=2,$H83-$N83)),0))</f>
        <v> </v>
      </c>
      <c r="AP83" s="295" t="str">
        <f aca="false">IF($A83="N/A"," ",IF(OR(Dayrun=1,Dayrun=5,Dayrun=8,Dayrun=11),IF(Option=1,$O83-H83,IF(Option=2,H83-$O83)),0))</f>
        <v> </v>
      </c>
      <c r="AQ83" s="295" t="str">
        <f aca="false">IF($A83="N/A"," ",IF(OR(Dayrun=1,Dayrun=8,Dayrun=11),IF(Option=1,$P83-H83,IF(Option=2,H83-$P83)),0))</f>
        <v> </v>
      </c>
      <c r="AR83" s="296" t="str">
        <f aca="false">IF($A83="N/A"," ",IF(OR(Dayrun&lt;=2,Dayrun&gt;=9),IF(Option=1,$Q83-H83,IF(Option=2,H83-$Q83)),0))</f>
        <v> </v>
      </c>
      <c r="AS83" s="297" t="str">
        <f aca="false">IF($A83="N/A"," ",IF(VLOOKUP(MONTH($A83),ManualTable,2)=1,IF(Dayrun&gt;=3,$DE83*8*$CY83,0),0))</f>
        <v> </v>
      </c>
      <c r="AT83" s="297" t="str">
        <f aca="false">IF($A83="N/A"," ",IF(VLOOKUP(MONTH($A83),ManualTable,3)=1,IF(Dayrun&gt;=6,$DE83*8*$CY83,0),0))</f>
        <v> </v>
      </c>
      <c r="AU83" s="297" t="str">
        <f aca="false">IF($A83="N/A"," ",IF(VLOOKUP(MONTH($A83),ManualTable,4)=1,IF(OR(Dayrun&lt;=2,Dayrun&gt;=9),$DE83*8*$CY83,0),0))</f>
        <v> </v>
      </c>
      <c r="AV83" s="297" t="str">
        <f aca="false">IF($A83="N/A"," ",IF(VLOOKUP(MONTH($A83),ManualTable,5)=1,IF(OR(Dayrun=1,Dayrun=4,Dayrun=5,Dayrun=7,Dayrun=8,Dayrun=10,Dayrun=11),$DF83*8*$CY83,0),0))</f>
        <v> </v>
      </c>
      <c r="AW83" s="297" t="str">
        <f aca="false">IF($A83="N/A"," ",IF(VLOOKUP(MONTH($A83),ManualTable,6)=1,IF(OR(Dayrun=1,Dayrun=7,Dayrun=8,Dayrun=10,Dayrun=11),$DF83*8*$CY83,0),0))</f>
        <v> </v>
      </c>
      <c r="AX83" s="297" t="str">
        <f aca="false">IF($A83="N/A"," ",IF(VLOOKUP(MONTH($A83),ManualTable,7)=1,IF(OR(Dayrun&lt;=2,Dayrun&gt;=9),$DF83*8*$CY83,0),0))</f>
        <v> </v>
      </c>
      <c r="AY83" s="297" t="str">
        <f aca="false">IF($A83="N/A"," ",IF(VLOOKUP(MONTH($A83),ManualTable,8)=1,IF(OR(Dayrun=1,Dayrun=5,Dayrun=8,Dayrun=11),$DG83*8*$CY83,0),0))</f>
        <v> </v>
      </c>
      <c r="AZ83" s="297" t="str">
        <f aca="false">IF($A83="N/A"," ",IF(VLOOKUP(MONTH($A83),ManualTable,9)=1,IF(OR(Dayrun=1,Dayrun=8,Dayrun=11),$DG83*8*$CY83,0),0))</f>
        <v> </v>
      </c>
      <c r="BA83" s="298" t="str">
        <f aca="false">IF($A83="N/A"," ",IF(VLOOKUP(MONTH($A83),ManualTable,10)=1,IF(OR(Dayrun&lt;=2,Dayrun&gt;=9),$DG83*8*$CY83,0),0))</f>
        <v> </v>
      </c>
      <c r="BB83" s="299" t="str">
        <f aca="false">IF($A83="N/A"," ",IF(Dayrun&gt;=3,(MAX(0,(xSPRDOPT(I83,($E83-'Pricing Inputs'!$X118*$D83),$CV83,0,($CN83+IF(Smile=TRUE(),VLOOKUP(MAX(-5,$H83-I83),Volsmile,2),0)),$CT83,$CU83,($A83-DateToday)+15,ABS(Option-2),1)*DE83*8))),0))</f>
        <v> </v>
      </c>
      <c r="BC83" s="300" t="str">
        <f aca="false">IF($A83="N/A"," ",IF(Dayrun&gt;=6,MAX(0,(xSPRDOPT(J83,($E83-'Pricing Inputs'!$X118*$D83),$CV83,0,($CN83+IF(Smile=TRUE(),VLOOKUP(MAX(-5,$H83-J83),Volsmile,2),0)),$CT83,$CU83,($A83-DateToday)+15,ABS(Option-2),1)*DE83*8)),0))</f>
        <v> </v>
      </c>
      <c r="BD83" s="300" t="str">
        <f aca="false">IF($A83="N/A"," ",IF(OR(Dayrun&lt;=2,Dayrun&gt;=9),IF(OffPeakEx=TRUE(),MAX(0,(xSPRDOPT(K83,($E83-'Pricing Inputs'!$X118*$D83),$CV83,0,($CQ83+IF(Smile=TRUE(),VLOOKUP(MAX(-5,$H83-K83),Volsmile,2),0)),$CT83,$CU83,($A83-DateToday)+15,ABS(Option-2),1)*DE83*8)),0),0))</f>
        <v> </v>
      </c>
      <c r="BE83" s="300" t="str">
        <f aca="false">IF($A83="N/A"," ",IF(OR(Dayrun=1,Dayrun=4,Dayrun=5,Dayrun=7,Dayrun=8,Dayrun=10,Dayrun=11),MAX(0,(xSPRDOPT(L83,($E83-'Pricing Inputs'!$X118*$D83),$CV83,0,($CQ83+IF(Smile=TRUE(),VLOOKUP(MAX(-5,$H83-L83),Volsmile,2),0)),$CT83,$CU83,($A83-DateToday)+15,ABS(Option-2),1)*DF83*8)),0))</f>
        <v> </v>
      </c>
      <c r="BF83" s="300" t="str">
        <f aca="false">IF($A83="N/A"," ",IF(OR(Dayrun=1,Dayrun=7,Dayrun=8,Dayrun=10,Dayrun=11),MAX(0,(xSPRDOPT(M83,($E83-'Pricing Inputs'!$X118*$D83),$CV83,0,($CQ83+IF(Smile=TRUE(),VLOOKUP(MAX(-5,$H83-M83),Volsmile,2),0)),$CT83,$CU83,($A83-DateToday)+15,ABS(Option-2),1)*DF83*8)),0))</f>
        <v> </v>
      </c>
      <c r="BG83" s="300" t="str">
        <f aca="false">IF($A83="N/A"," ",IF(OR(Dayrun&lt;=2,Dayrun&gt;=10),IF(OffPeakEx=TRUE(),MAX(0,(xSPRDOPT(N83,($E83-'Pricing Inputs'!$X118*$D83),$CV83,0,($CQ83+IF(Smile=TRUE(),VLOOKUP(MAX(-5,$H83-N83),Volsmile,2),0)),$CT83,$CU83,($A83-DateToday)+15,ABS(Option-2),1)*DF83*8)),0),0))</f>
        <v> </v>
      </c>
      <c r="BH83" s="300" t="str">
        <f aca="false">IF($A83="N/A"," ",IF(OR(Dayrun=1,Dayrun=5,Dayrun=8,Dayrun=11),MAX(0,(xSPRDOPT(O83,($E83-'Pricing Inputs'!$X118*$D83),$CV83,0,($CQ83+IF(Smile=TRUE(),VLOOKUP(MAX(-5,$H83-O83),Volsmile,2),0)),$CT83,$CU83,($A83-DateToday)+15,ABS(Option-2),1)*DG83*8)),0))</f>
        <v> </v>
      </c>
      <c r="BI83" s="300" t="str">
        <f aca="false">IF($A83="N/A"," ",IF(OR(Dayrun=1,Dayrun=8,Dayrun=11),MAX(0,(xSPRDOPT(P83,($E83-'Pricing Inputs'!$X118*$D83),$CV83,0,($CQ83+IF(Smile=TRUE(),VLOOKUP(MAX(-5,$H83-P83),Volsmile,2),0)),$CT83,$CU83,($A83-DateToday)+15,ABS(Option-2),1)*DG83*8)),0))</f>
        <v> </v>
      </c>
      <c r="BJ83" s="301" t="str">
        <f aca="false">IF($A83="N/A"," ",IF(OR(Dayrun&lt;=2,Dayrun&gt;=11),IF(OffPeakEx=TRUE(),MAX(0,(xSPRDOPT(Q83,($E83-'Pricing Inputs'!$X118*$D83),$CV83,0,($CQ83+IF(Smile=TRUE(),VLOOKUP(MAX(-5,$H83-Q83),Volsmile,2),0)),$CT83,$CU83,($A83-DateToday)+15,ABS(Option-2),1)*DG83*8)),0),0))</f>
        <v> </v>
      </c>
      <c r="BK83" s="302" t="str">
        <f aca="false">IF($A83="N/A"," ",R83*$AS83)</f>
        <v> </v>
      </c>
      <c r="BL83" s="303" t="str">
        <f aca="false">IF($A83="N/A"," ",S83*$AT83)</f>
        <v> </v>
      </c>
      <c r="BM83" s="303" t="str">
        <f aca="false">IF($A83="N/A"," ",T83*$AU83)</f>
        <v> </v>
      </c>
      <c r="BN83" s="303" t="str">
        <f aca="false">IF($A83="N/A"," ",U83*$AV83)</f>
        <v> </v>
      </c>
      <c r="BO83" s="303" t="str">
        <f aca="false">IF($A83="N/A"," ",V83*$AW83)</f>
        <v> </v>
      </c>
      <c r="BP83" s="303" t="str">
        <f aca="false">IF($A83="N/A"," ",W83*$AX83)</f>
        <v> </v>
      </c>
      <c r="BQ83" s="303" t="str">
        <f aca="false">IF($A83="N/A"," ",X83*$AY83)</f>
        <v> </v>
      </c>
      <c r="BR83" s="303" t="str">
        <f aca="false">IF($A83="N/A"," ",Y83*$AZ83)</f>
        <v> </v>
      </c>
      <c r="BS83" s="304" t="str">
        <f aca="false">IF($A83="N/A"," ",Z83*$BA83)</f>
        <v> </v>
      </c>
      <c r="BT83" s="305" t="str">
        <f aca="false">IF($A83="N/A"," ",AA83*$AS83)</f>
        <v> </v>
      </c>
      <c r="BU83" s="306" t="str">
        <f aca="false">IF($A83="N/A"," ",AB83*$AT83)</f>
        <v> </v>
      </c>
      <c r="BV83" s="306" t="str">
        <f aca="false">IF($A83="N/A"," ",AC83*$AU83)</f>
        <v> </v>
      </c>
      <c r="BW83" s="306" t="str">
        <f aca="false">IF($A83="N/A"," ",AD83*$AV83)</f>
        <v> </v>
      </c>
      <c r="BX83" s="306" t="str">
        <f aca="false">IF($A83="N/A"," ",AE83*$AW83)</f>
        <v> </v>
      </c>
      <c r="BY83" s="306" t="str">
        <f aca="false">IF($A83="N/A"," ",AF83*$AX83)</f>
        <v> </v>
      </c>
      <c r="BZ83" s="306" t="str">
        <f aca="false">IF($A83="N/A"," ",AG83*$AY83)</f>
        <v> </v>
      </c>
      <c r="CA83" s="306" t="str">
        <f aca="false">IF($A83="N/A"," ",AH83*$AZ83)</f>
        <v> </v>
      </c>
      <c r="CB83" s="307" t="str">
        <f aca="false">IF($A83="N/A"," ",AI83*$BA83)</f>
        <v> </v>
      </c>
      <c r="CC83" s="308" t="str">
        <f aca="false">IF($A83="N/A"," ",AJ83*$AS83)</f>
        <v> </v>
      </c>
      <c r="CD83" s="309" t="str">
        <f aca="false">IF($A83="N/A"," ",AK83*$AT83)</f>
        <v> </v>
      </c>
      <c r="CE83" s="309" t="str">
        <f aca="false">IF($A83="N/A"," ",AL83*$AU83)</f>
        <v> </v>
      </c>
      <c r="CF83" s="309" t="str">
        <f aca="false">IF($A83="N/A"," ",AM83*$AV83)</f>
        <v> </v>
      </c>
      <c r="CG83" s="309" t="str">
        <f aca="false">IF($A83="N/A"," ",AN83*$AW83)</f>
        <v> </v>
      </c>
      <c r="CH83" s="309" t="str">
        <f aca="false">IF($A83="N/A"," ",AO83*$AX83)</f>
        <v> </v>
      </c>
      <c r="CI83" s="309" t="str">
        <f aca="false">IF($A83="N/A"," ",AP83*$AY83)</f>
        <v> </v>
      </c>
      <c r="CJ83" s="309" t="str">
        <f aca="false">IF($A83="N/A"," ",AQ83*$AZ83)</f>
        <v> </v>
      </c>
      <c r="CK83" s="310" t="str">
        <f aca="false">IF($A83="N/A"," ",AR83*$BA83)</f>
        <v> </v>
      </c>
      <c r="CL83" s="311" t="str">
        <f aca="false">IF(A83="N/A"," ",(VLOOKUP(A83,PowerVolTable,(IF(VolBMO=2,7,IF(VolBMO=1,6,8))),FALSE())))</f>
        <v> </v>
      </c>
      <c r="CM83" s="312" t="str">
        <f aca="false">IF(A83="N/A"," ",(VLOOKUP(A83,IntraPowerVol,(IF(VolBMO=2,3,IF(VolBMO=1,2,4))),FALSE())*VLOOKUP(MONTH($A83),Volscale,2)))</f>
        <v> </v>
      </c>
      <c r="CN83" s="312" t="str">
        <f aca="false">IF($A83="N/A"," ",IF(VolType=1,CM83,CL83))</f>
        <v> </v>
      </c>
      <c r="CO83" s="312" t="str">
        <f aca="false">IF($A83="N/A"," ",(VLOOKUP($A83,OffPeakVol,(IF(VolBMO=2,7,IF(VolBMO=1,6,8))),FALSE())))</f>
        <v> </v>
      </c>
      <c r="CP83" s="312" t="str">
        <f aca="false">IF($A83="N/A"," ",(VLOOKUP($A83,OffPeakVol,(IF(VolBMO=2,3,IF(VolBMO=1,2,4))),FALSE())*VLOOKUP(MONTH($A83),Volscale,2)))</f>
        <v> </v>
      </c>
      <c r="CQ83" s="312" t="str">
        <f aca="false">IF($A83="N/A"," ",IF(VolType=1,CP83,CO83))</f>
        <v> </v>
      </c>
      <c r="CR83" s="312" t="str">
        <f aca="false">IF($A83="N/A"," ",(VLOOKUP($A83,GasVolTable,(IF(VolBMO=2,6,IF(VolBMO=1,7,5))),FALSE())))</f>
        <v> </v>
      </c>
      <c r="CS83" s="312" t="str">
        <f aca="false">IF($A83="N/A"," ",(VLOOKUP($A83,OmicronVol,(IF(VolBMO=2,3,IF(VolBMO=1,4,2))),FALSE())))</f>
        <v> </v>
      </c>
      <c r="CT83" s="312" t="str">
        <f aca="false">IF($A83="N/A"," ",(IF(DateToday&gt;$A83,$CS83,IF(VolType=1,((($CR83^2)*((($A83-1)-DateToday)/((EOMONTH($A83,0)+1)-DateToday-15)))+((($CS83)^2)*((15)/((EOMONTH($A83,0)+1)-DateToday-15))))^0.5,CR83))))</f>
        <v> </v>
      </c>
      <c r="CU83" s="312" t="str">
        <f aca="false">IF($A83="N/A"," ",IF('Pricing Inputs'!$AR$23=TRUE(),Inputs!$S$22,VLOOKUP($A83,CorrelationTable,2,FALSE())))</f>
        <v> </v>
      </c>
      <c r="CV83" s="313" t="str">
        <f aca="false">IF($A83="N/A"," ",F83+G83+(D83*('Pricing Inputs'!X118)))</f>
        <v> </v>
      </c>
      <c r="CW83" s="314" t="str">
        <f aca="false">IF($A83="N/A"," ",IF(PV=1,0,'Pricing Inputs'!Y118))</f>
        <v> </v>
      </c>
      <c r="CX83" s="315" t="str">
        <f aca="false">IF($A83="N/A"," ",(1+CW83/2)^(-2*((EOMONTH(A83,0)+20)-DateToday)/365.25))</f>
        <v> </v>
      </c>
      <c r="CY83" s="316" t="str">
        <f aca="false">IF($A83="N/A"," ",(IF(MONTH(A83)&gt;=4,IF(MONTH(A83)&lt;=10,Inputs!$S$26,Inputs!$S$27),Inputs!$S$27))*$CX83)</f>
        <v> </v>
      </c>
      <c r="CZ83" s="317" t="str">
        <f aca="false">IF($A83="N/A"," ",BK83+BL83+BN83+BO83+BQ83+BR83)</f>
        <v> </v>
      </c>
      <c r="DA83" s="318" t="str">
        <f aca="false">IF($A83="N/A"," ",BM83+BP83+BS83)</f>
        <v> </v>
      </c>
      <c r="DB83" s="319" t="str">
        <f aca="false">IF($A83="N/A"," ",BT83+BU83+BW83+BX83+BZ83+CA83)</f>
        <v> </v>
      </c>
      <c r="DC83" s="319" t="str">
        <f aca="false">IF($A83="N/A"," ",BV83+BY83+CB83)</f>
        <v> </v>
      </c>
      <c r="DD83" s="320" t="str">
        <f aca="false">IF($A83="N/A"," ",SUM(CC83:CK83))</f>
        <v> </v>
      </c>
      <c r="DE83" s="321" t="str">
        <f aca="false">IF($A83="N/A"," ",VLOOKUP($A83,NumberofDaysTable,2)*Availability)</f>
        <v> </v>
      </c>
      <c r="DF83" s="94" t="str">
        <f aca="false">IF($A83="N/A"," ",VLOOKUP($A83,NumberofDaysTable,3)*Availability)</f>
        <v> </v>
      </c>
      <c r="DG83" s="322" t="str">
        <f aca="false">IF($A83="N/A"," ",VLOOKUP($A83,NumberofDaysTable,4)*Availability)</f>
        <v> </v>
      </c>
      <c r="DH83" s="323" t="str">
        <f aca="false">IF($A83="N/A"," ",IF(Option=1,$D83*Inputs!$S$15*SUM(AS83:BA83),0))</f>
        <v> </v>
      </c>
      <c r="DI83" s="324" t="str">
        <f aca="false">IF($A83="N/A"," ",IF(Option=1,$D83*Inputs!$S$16*SUM(AS83:BA83),0))</f>
        <v> </v>
      </c>
      <c r="DJ83" s="325" t="str">
        <f aca="false">IF($A83="N/A"," ",SUM(AS83:AT83))</f>
        <v> </v>
      </c>
      <c r="DK83" s="325" t="str">
        <f aca="false">IF($A83="N/A"," ",SUM(AU83:BA83))</f>
        <v> </v>
      </c>
      <c r="DL83" s="325" t="str">
        <f aca="false">IF($A83="N/A"," ",SUM(BB83:BC83))</f>
        <v> </v>
      </c>
      <c r="DM83" s="325" t="str">
        <f aca="false">IF($A83="N/A"," ",SUM(BD83:BJ83))</f>
        <v> </v>
      </c>
    </row>
    <row r="84" customFormat="false" ht="12.75" hidden="false" customHeight="false" outlineLevel="0" collapsed="false">
      <c r="A84" s="282" t="str">
        <f aca="false">IF(A83="N/A","N/A",IF(EDATE(A83,1)&gt;Inputs!$S$5,"N/A",EDATE(A83,1)))</f>
        <v>N/A</v>
      </c>
      <c r="B84" s="283" t="str">
        <f aca="false">IF(A84="N/A"," ",YEAR(A84))</f>
        <v> </v>
      </c>
      <c r="C84" s="284" t="str">
        <f aca="false">IF(A84="N/A"," ",VLOOKUP(A84,ScaledPrice,14))</f>
        <v> </v>
      </c>
      <c r="D84" s="285" t="str">
        <f aca="false">IF(A84="N/A"," ",(VLOOKUP(MONTH($A84),Hrtable,2))/1000)</f>
        <v> </v>
      </c>
      <c r="E84" s="286" t="str">
        <f aca="false">IF($A84="N/A"," ",(C84)*D84)</f>
        <v> </v>
      </c>
      <c r="F84" s="287" t="str">
        <f aca="false">IF(A84="N/A"," ",VOM*(1+VOMesc)^(YEAR(A84)-YEAR(Today)))</f>
        <v> </v>
      </c>
      <c r="G84" s="287" t="str">
        <f aca="false">IF(A84="N/A"," ",Perstart/VLOOKUP(Dayrun,'Pricing Inputs'!$AQ$4:$AS$14,3)/(CY84/CX84))</f>
        <v> </v>
      </c>
      <c r="H84" s="288" t="str">
        <f aca="false">IF(A84="N/A"," ",SUM(E84:G84))</f>
        <v> </v>
      </c>
      <c r="I84" s="289" t="str">
        <f aca="false">VLOOKUP($A84,ScaledPrice,6)</f>
        <v> </v>
      </c>
      <c r="J84" s="290" t="str">
        <f aca="false">VLOOKUP($A84,ScaledPrice,10)</f>
        <v> </v>
      </c>
      <c r="K84" s="290" t="str">
        <f aca="false">VLOOKUP($A84,ScaledPrice,13)</f>
        <v> </v>
      </c>
      <c r="L84" s="290" t="str">
        <f aca="false">VLOOKUP($A84,ScaledPrice,7)</f>
        <v> </v>
      </c>
      <c r="M84" s="290" t="str">
        <f aca="false">VLOOKUP($A84,ScaledPrice,11)</f>
        <v> </v>
      </c>
      <c r="N84" s="290" t="str">
        <f aca="false">VLOOKUP($A84,ScaledPrice,13)</f>
        <v> </v>
      </c>
      <c r="O84" s="290" t="str">
        <f aca="false">VLOOKUP($A84,ScaledPrice,8)</f>
        <v> </v>
      </c>
      <c r="P84" s="290" t="str">
        <f aca="false">VLOOKUP($A84,ScaledPrice,12)</f>
        <v> </v>
      </c>
      <c r="Q84" s="291" t="str">
        <f aca="false">VLOOKUP($A84,ScaledPrice,13)</f>
        <v> </v>
      </c>
      <c r="R84" s="292" t="str">
        <f aca="false">IF($A84="N/A"," ",IF(Dayrun&gt;=3,IF(Option=1,MAX($I84-$H84,0),IF(Option=2,MAX($H84-$I84,0),0)),0))</f>
        <v> </v>
      </c>
      <c r="S84" s="286" t="str">
        <f aca="false">IF($A84="N/A"," ",IF(Dayrun&gt;=6,IF(Option=1,MAX($J84-H84,0),IF(Option=2,MAX(H84-$J84,0),0)),0))</f>
        <v> </v>
      </c>
      <c r="T84" s="286" t="str">
        <f aca="false">IF($A84="N/A"," ",IF(OR(Dayrun&lt;=2,Dayrun&gt;=9),IF(Option=1,MAX($K84-$H84,0),IF(Option=2,MAX($H84-$K84,0),0)),0))</f>
        <v> </v>
      </c>
      <c r="U84" s="286" t="str">
        <f aca="false">IF($A84="N/A"," ",IF(OR(Dayrun=1,Dayrun=4,Dayrun=5,Dayrun=7,Dayrun=8,Dayrun=10,Dayrun=11),IF(Option=1,MAX($L84-H84,0),IF(Option=2,MAX(H84-$L84,0),0)),0))</f>
        <v> </v>
      </c>
      <c r="V84" s="286" t="str">
        <f aca="false">IF($A84="N/A"," ",IF(OR(Dayrun=1,Dayrun=7,Dayrun=8,Dayrun=10,Dayrun=11),IF(Option=1,MAX($M84-H84,0),IF(Option=2,MAX(H84-$M84,0),0)),0))</f>
        <v> </v>
      </c>
      <c r="W84" s="286" t="str">
        <f aca="false">IF($A84="N/A"," ",IF(OR(Dayrun&lt;=2,Dayrun&gt;=10),IF(Option=1,MAX($N84-$H84,0),IF(Option=2,MAX($H84-$N84,0),0)),0))</f>
        <v> </v>
      </c>
      <c r="X84" s="286" t="str">
        <f aca="false">IF($A84="N/A"," ",IF(OR(Dayrun=1,Dayrun=5,Dayrun=8,Dayrun=11),IF(Option=1,MAX($O84-H84,0),IF(Option=2,MAX(H84-$O84,0),0)),0))</f>
        <v> </v>
      </c>
      <c r="Y84" s="286" t="str">
        <f aca="false">IF($A84="N/A"," ",IF(OR(Dayrun=1,Dayrun=8,Dayrun=11),IF(Option=1,MAX($P84-H84,0),IF(Option=2,MAX(H84-$P84,0),0)),0))</f>
        <v> </v>
      </c>
      <c r="Z84" s="293" t="str">
        <f aca="false">IF($A84="N/A"," ",IF(OR(Dayrun&lt;=2,Dayrun&gt;=11),IF(Option=1,MAX($Q84-$H84,0),IF(Option=2,MAX($H84-$Q84,0),0)),0))</f>
        <v> </v>
      </c>
      <c r="AA84" s="289" t="str">
        <f aca="false">IF($A84="N/A"," ",IF(Dayrun&gt;=3,(MAX(0,(xSPRDOPT(I84,($E84-'Pricing Inputs'!$X119*$D84),$CV84,0,($CN84+IF(Smile=TRUE(),VLOOKUP(MAX(-5,$H84-I84),Volsmile,2),0)),$CT84,$CU84,($A84-DateToday)+15,ABS(Option-2),0)-R84))),0))</f>
        <v> </v>
      </c>
      <c r="AB84" s="290" t="str">
        <f aca="false">IF($A84="N/A"," ",IF(Dayrun&gt;=6,MAX(0,(xSPRDOPT(J84,($E84-'Pricing Inputs'!$X119*$D84),$CV84,0,($CN84+IF(Smile=TRUE(),VLOOKUP(MAX(-5,$H84-J84),Volsmile,2),0)),$CT84,$CU84,($A84-DateToday)+15,ABS(Option-2),0)-S84)),0))</f>
        <v> </v>
      </c>
      <c r="AC84" s="290" t="str">
        <f aca="false">IF($A84="N/A"," ",IF(OR(Dayrun&lt;=2,Dayrun&gt;=9),IF(OffPeakEx=TRUE(),MAX(0,(xSPRDOPT(K84,($E84-'Pricing Inputs'!$X119*$D84),$CV84,0,($CQ84+IF(Smile=TRUE(),VLOOKUP(MAX(-5,$H84-K84),Volsmile,2),0)),$CT84,$CU84,($A84-DateToday)+15,ABS(Option-2),0)-T84)),0),0))</f>
        <v> </v>
      </c>
      <c r="AD84" s="290" t="str">
        <f aca="false">IF($A84="N/A"," ",IF(OR(Dayrun=1,Dayrun=4,Dayrun=5,Dayrun=7,Dayrun=8,Dayrun=10,Dayrun=11),MAX(0,(xSPRDOPT(L84,($E84-'Pricing Inputs'!$X119*$D84),$CV84,0,($CQ84+IF(Smile=TRUE(),VLOOKUP(MAX(-5,$H84-L84),Volsmile,2),0)),$CT84,$CU84,($A84-DateToday)+15,ABS(Option-2),0)-U84)),0))</f>
        <v> </v>
      </c>
      <c r="AE84" s="290" t="str">
        <f aca="false">IF($A84="N/A"," ",IF(OR(Dayrun=1,Dayrun=7,Dayrun=8,Dayrun=10,Dayrun=11),MAX(0,(xSPRDOPT(M84,($E84-'Pricing Inputs'!$X119*$D84),$CV84,0,($CQ84+IF(Smile=TRUE(),VLOOKUP(MAX(-5,$H84-M84),Volsmile,2),0)),$CT84,$CU84,($A84-DateToday)+15,ABS(Option-2),0)-V84)),0))</f>
        <v> </v>
      </c>
      <c r="AF84" s="290" t="str">
        <f aca="false">IF($A84="N/A"," ",IF(OR(Dayrun&lt;=2,Dayrun&gt;=10),IF(OffPeakEx=TRUE(),MAX(0,(xSPRDOPT(N84,($E84-'Pricing Inputs'!$X119*$D84),$CV84,0,($CQ84+IF(Smile=TRUE(),VLOOKUP(MAX(-5,$H84-N84),Volsmile,2),0)),$CT84,$CU84,($A84-DateToday)+15,ABS(Option-2),0)-W84)),0),0))</f>
        <v> </v>
      </c>
      <c r="AG84" s="290" t="str">
        <f aca="false">IF($A84="N/A"," ",IF(OR(Dayrun=1,Dayrun=5,Dayrun=8,Dayrun=11),MAX(0,(xSPRDOPT(O84,($E84-'Pricing Inputs'!$X119*$D84),$CV84,0,($CQ84+IF(Smile=TRUE(),VLOOKUP(MAX(-5,$H84-O84),Volsmile,2),0)),$CT84,$CU84,($A84-DateToday)+15,ABS(Option-2),0)-X84)),0))</f>
        <v> </v>
      </c>
      <c r="AH84" s="290" t="str">
        <f aca="false">IF($A84="N/A"," ",IF(OR(Dayrun=1,Dayrun=8,Dayrun=11),MAX(0,(xSPRDOPT(P84,($E84-'Pricing Inputs'!$X119*$D84),$CV84,0,($CQ84+IF(Smile=TRUE(),VLOOKUP(MAX(-5,$H84-P84),Volsmile,2),0)),$CT84,$CU84,($A84-DateToday)+15,ABS(Option-2),0)-Y84)),0))</f>
        <v> </v>
      </c>
      <c r="AI84" s="290" t="str">
        <f aca="false">IF($A84="N/A"," ",IF(OR(Dayrun&lt;=2,Dayrun&gt;=11),IF(OffPeakEx=TRUE(),MAX(0,(xSPRDOPT(Q84,($E84-'Pricing Inputs'!$X119*$D84),$CV84,0,($CQ84+IF(Smile=TRUE(),VLOOKUP(MAX(-5,$H84-Q84),Volsmile,2),0)),$CT84,$CU84,($A84-DateToday)+15,ABS(Option-2),0)-Z84)),0),0))</f>
        <v> </v>
      </c>
      <c r="AJ84" s="294" t="str">
        <f aca="false">IF($A84="N/A"," ",IF(Dayrun&gt;=3,IF(Option=1,$I84-$H84,IF(Option=2,$H84-$I84)),0))</f>
        <v> </v>
      </c>
      <c r="AK84" s="295" t="str">
        <f aca="false">IF($A84="N/A"," ",IF(Dayrun&gt;=6,IF(Option=1,$J84-H84,IF(Option=2,H84-$J84)),0))</f>
        <v> </v>
      </c>
      <c r="AL84" s="295" t="str">
        <f aca="false">IF($A84="N/A"," ",IF(OR(Dayrun&lt;=2,Dayrun&gt;=9),IF(Option=1,$K84-$H84,IF(Option=2,$H84-$K84)),0))</f>
        <v> </v>
      </c>
      <c r="AM84" s="295" t="str">
        <f aca="false">IF($A84="N/A"," ",IF(OR(Dayrun=1,Dayrun=4,Dayrun=5,Dayrun=7,Dayrun=8,Dayrun=10,Dayrun=11),IF(Option=1,$L84-H84,IF(Option=2,H84-$L84)),0))</f>
        <v> </v>
      </c>
      <c r="AN84" s="295" t="str">
        <f aca="false">IF($A84="N/A"," ",IF(OR(Dayrun=1,Dayrun=7,Dayrun=8,Dayrun=10,Dayrun=11),IF(Option=1,$M84-H84,IF(Option=2,H84-$M84)),0))</f>
        <v> </v>
      </c>
      <c r="AO84" s="295" t="str">
        <f aca="false">IF($A84="N/A"," ",IF(OR(Dayrun&lt;=2,Dayrun&gt;=9),IF(Option=1,$N84-$H84,IF(Option=2,$H84-$N84)),0))</f>
        <v> </v>
      </c>
      <c r="AP84" s="295" t="str">
        <f aca="false">IF($A84="N/A"," ",IF(OR(Dayrun=1,Dayrun=5,Dayrun=8,Dayrun=11),IF(Option=1,$O84-H84,IF(Option=2,H84-$O84)),0))</f>
        <v> </v>
      </c>
      <c r="AQ84" s="295" t="str">
        <f aca="false">IF($A84="N/A"," ",IF(OR(Dayrun=1,Dayrun=8,Dayrun=11),IF(Option=1,$P84-H84,IF(Option=2,H84-$P84)),0))</f>
        <v> </v>
      </c>
      <c r="AR84" s="296" t="str">
        <f aca="false">IF($A84="N/A"," ",IF(OR(Dayrun&lt;=2,Dayrun&gt;=9),IF(Option=1,$Q84-H84,IF(Option=2,H84-$Q84)),0))</f>
        <v> </v>
      </c>
      <c r="AS84" s="297" t="str">
        <f aca="false">IF($A84="N/A"," ",IF(VLOOKUP(MONTH($A84),ManualTable,2)=1,IF(Dayrun&gt;=3,$DE84*8*$CY84,0),0))</f>
        <v> </v>
      </c>
      <c r="AT84" s="297" t="str">
        <f aca="false">IF($A84="N/A"," ",IF(VLOOKUP(MONTH($A84),ManualTable,3)=1,IF(Dayrun&gt;=6,$DE84*8*$CY84,0),0))</f>
        <v> </v>
      </c>
      <c r="AU84" s="297" t="str">
        <f aca="false">IF($A84="N/A"," ",IF(VLOOKUP(MONTH($A84),ManualTable,4)=1,IF(OR(Dayrun&lt;=2,Dayrun&gt;=9),$DE84*8*$CY84,0),0))</f>
        <v> </v>
      </c>
      <c r="AV84" s="297" t="str">
        <f aca="false">IF($A84="N/A"," ",IF(VLOOKUP(MONTH($A84),ManualTable,5)=1,IF(OR(Dayrun=1,Dayrun=4,Dayrun=5,Dayrun=7,Dayrun=8,Dayrun=10,Dayrun=11),$DF84*8*$CY84,0),0))</f>
        <v> </v>
      </c>
      <c r="AW84" s="297" t="str">
        <f aca="false">IF($A84="N/A"," ",IF(VLOOKUP(MONTH($A84),ManualTable,6)=1,IF(OR(Dayrun=1,Dayrun=7,Dayrun=8,Dayrun=10,Dayrun=11),$DF84*8*$CY84,0),0))</f>
        <v> </v>
      </c>
      <c r="AX84" s="297" t="str">
        <f aca="false">IF($A84="N/A"," ",IF(VLOOKUP(MONTH($A84),ManualTable,7)=1,IF(OR(Dayrun&lt;=2,Dayrun&gt;=9),$DF84*8*$CY84,0),0))</f>
        <v> </v>
      </c>
      <c r="AY84" s="297" t="str">
        <f aca="false">IF($A84="N/A"," ",IF(VLOOKUP(MONTH($A84),ManualTable,8)=1,IF(OR(Dayrun=1,Dayrun=5,Dayrun=8,Dayrun=11),$DG84*8*$CY84,0),0))</f>
        <v> </v>
      </c>
      <c r="AZ84" s="297" t="str">
        <f aca="false">IF($A84="N/A"," ",IF(VLOOKUP(MONTH($A84),ManualTable,9)=1,IF(OR(Dayrun=1,Dayrun=8,Dayrun=11),$DG84*8*$CY84,0),0))</f>
        <v> </v>
      </c>
      <c r="BA84" s="298" t="str">
        <f aca="false">IF($A84="N/A"," ",IF(VLOOKUP(MONTH($A84),ManualTable,10)=1,IF(OR(Dayrun&lt;=2,Dayrun&gt;=9),$DG84*8*$CY84,0),0))</f>
        <v> </v>
      </c>
      <c r="BB84" s="299" t="str">
        <f aca="false">IF($A84="N/A"," ",IF(Dayrun&gt;=3,(MAX(0,(xSPRDOPT(I84,($E84-'Pricing Inputs'!$X119*$D84),$CV84,0,($CN84+IF(Smile=TRUE(),VLOOKUP(MAX(-5,$H84-I84),Volsmile,2),0)),$CT84,$CU84,($A84-DateToday)+15,ABS(Option-2),1)*DE84*8))),0))</f>
        <v> </v>
      </c>
      <c r="BC84" s="300" t="str">
        <f aca="false">IF($A84="N/A"," ",IF(Dayrun&gt;=6,MAX(0,(xSPRDOPT(J84,($E84-'Pricing Inputs'!$X119*$D84),$CV84,0,($CN84+IF(Smile=TRUE(),VLOOKUP(MAX(-5,$H84-J84),Volsmile,2),0)),$CT84,$CU84,($A84-DateToday)+15,ABS(Option-2),1)*DE84*8)),0))</f>
        <v> </v>
      </c>
      <c r="BD84" s="300" t="str">
        <f aca="false">IF($A84="N/A"," ",IF(OR(Dayrun&lt;=2,Dayrun&gt;=9),IF(OffPeakEx=TRUE(),MAX(0,(xSPRDOPT(K84,($E84-'Pricing Inputs'!$X119*$D84),$CV84,0,($CQ84+IF(Smile=TRUE(),VLOOKUP(MAX(-5,$H84-K84),Volsmile,2),0)),$CT84,$CU84,($A84-DateToday)+15,ABS(Option-2),1)*DE84*8)),0),0))</f>
        <v> </v>
      </c>
      <c r="BE84" s="300" t="str">
        <f aca="false">IF($A84="N/A"," ",IF(OR(Dayrun=1,Dayrun=4,Dayrun=5,Dayrun=7,Dayrun=8,Dayrun=10,Dayrun=11),MAX(0,(xSPRDOPT(L84,($E84-'Pricing Inputs'!$X119*$D84),$CV84,0,($CQ84+IF(Smile=TRUE(),VLOOKUP(MAX(-5,$H84-L84),Volsmile,2),0)),$CT84,$CU84,($A84-DateToday)+15,ABS(Option-2),1)*DF84*8)),0))</f>
        <v> </v>
      </c>
      <c r="BF84" s="300" t="str">
        <f aca="false">IF($A84="N/A"," ",IF(OR(Dayrun=1,Dayrun=7,Dayrun=8,Dayrun=10,Dayrun=11),MAX(0,(xSPRDOPT(M84,($E84-'Pricing Inputs'!$X119*$D84),$CV84,0,($CQ84+IF(Smile=TRUE(),VLOOKUP(MAX(-5,$H84-M84),Volsmile,2),0)),$CT84,$CU84,($A84-DateToday)+15,ABS(Option-2),1)*DF84*8)),0))</f>
        <v> </v>
      </c>
      <c r="BG84" s="300" t="str">
        <f aca="false">IF($A84="N/A"," ",IF(OR(Dayrun&lt;=2,Dayrun&gt;=10),IF(OffPeakEx=TRUE(),MAX(0,(xSPRDOPT(N84,($E84-'Pricing Inputs'!$X119*$D84),$CV84,0,($CQ84+IF(Smile=TRUE(),VLOOKUP(MAX(-5,$H84-N84),Volsmile,2),0)),$CT84,$CU84,($A84-DateToday)+15,ABS(Option-2),1)*DF84*8)),0),0))</f>
        <v> </v>
      </c>
      <c r="BH84" s="300" t="str">
        <f aca="false">IF($A84="N/A"," ",IF(OR(Dayrun=1,Dayrun=5,Dayrun=8,Dayrun=11),MAX(0,(xSPRDOPT(O84,($E84-'Pricing Inputs'!$X119*$D84),$CV84,0,($CQ84+IF(Smile=TRUE(),VLOOKUP(MAX(-5,$H84-O84),Volsmile,2),0)),$CT84,$CU84,($A84-DateToday)+15,ABS(Option-2),1)*DG84*8)),0))</f>
        <v> </v>
      </c>
      <c r="BI84" s="300" t="str">
        <f aca="false">IF($A84="N/A"," ",IF(OR(Dayrun=1,Dayrun=8,Dayrun=11),MAX(0,(xSPRDOPT(P84,($E84-'Pricing Inputs'!$X119*$D84),$CV84,0,($CQ84+IF(Smile=TRUE(),VLOOKUP(MAX(-5,$H84-P84),Volsmile,2),0)),$CT84,$CU84,($A84-DateToday)+15,ABS(Option-2),1)*DG84*8)),0))</f>
        <v> </v>
      </c>
      <c r="BJ84" s="301" t="str">
        <f aca="false">IF($A84="N/A"," ",IF(OR(Dayrun&lt;=2,Dayrun&gt;=11),IF(OffPeakEx=TRUE(),MAX(0,(xSPRDOPT(Q84,($E84-'Pricing Inputs'!$X119*$D84),$CV84,0,($CQ84+IF(Smile=TRUE(),VLOOKUP(MAX(-5,$H84-Q84),Volsmile,2),0)),$CT84,$CU84,($A84-DateToday)+15,ABS(Option-2),1)*DG84*8)),0),0))</f>
        <v> </v>
      </c>
      <c r="BK84" s="302" t="str">
        <f aca="false">IF($A84="N/A"," ",R84*$AS84)</f>
        <v> </v>
      </c>
      <c r="BL84" s="303" t="str">
        <f aca="false">IF($A84="N/A"," ",S84*$AT84)</f>
        <v> </v>
      </c>
      <c r="BM84" s="303" t="str">
        <f aca="false">IF($A84="N/A"," ",T84*$AU84)</f>
        <v> </v>
      </c>
      <c r="BN84" s="303" t="str">
        <f aca="false">IF($A84="N/A"," ",U84*$AV84)</f>
        <v> </v>
      </c>
      <c r="BO84" s="303" t="str">
        <f aca="false">IF($A84="N/A"," ",V84*$AW84)</f>
        <v> </v>
      </c>
      <c r="BP84" s="303" t="str">
        <f aca="false">IF($A84="N/A"," ",W84*$AX84)</f>
        <v> </v>
      </c>
      <c r="BQ84" s="303" t="str">
        <f aca="false">IF($A84="N/A"," ",X84*$AY84)</f>
        <v> </v>
      </c>
      <c r="BR84" s="303" t="str">
        <f aca="false">IF($A84="N/A"," ",Y84*$AZ84)</f>
        <v> </v>
      </c>
      <c r="BS84" s="304" t="str">
        <f aca="false">IF($A84="N/A"," ",Z84*$BA84)</f>
        <v> </v>
      </c>
      <c r="BT84" s="305" t="str">
        <f aca="false">IF($A84="N/A"," ",AA84*$AS84)</f>
        <v> </v>
      </c>
      <c r="BU84" s="306" t="str">
        <f aca="false">IF($A84="N/A"," ",AB84*$AT84)</f>
        <v> </v>
      </c>
      <c r="BV84" s="306" t="str">
        <f aca="false">IF($A84="N/A"," ",AC84*$AU84)</f>
        <v> </v>
      </c>
      <c r="BW84" s="306" t="str">
        <f aca="false">IF($A84="N/A"," ",AD84*$AV84)</f>
        <v> </v>
      </c>
      <c r="BX84" s="306" t="str">
        <f aca="false">IF($A84="N/A"," ",AE84*$AW84)</f>
        <v> </v>
      </c>
      <c r="BY84" s="306" t="str">
        <f aca="false">IF($A84="N/A"," ",AF84*$AX84)</f>
        <v> </v>
      </c>
      <c r="BZ84" s="306" t="str">
        <f aca="false">IF($A84="N/A"," ",AG84*$AY84)</f>
        <v> </v>
      </c>
      <c r="CA84" s="306" t="str">
        <f aca="false">IF($A84="N/A"," ",AH84*$AZ84)</f>
        <v> </v>
      </c>
      <c r="CB84" s="307" t="str">
        <f aca="false">IF($A84="N/A"," ",AI84*$BA84)</f>
        <v> </v>
      </c>
      <c r="CC84" s="308" t="str">
        <f aca="false">IF($A84="N/A"," ",AJ84*$AS84)</f>
        <v> </v>
      </c>
      <c r="CD84" s="309" t="str">
        <f aca="false">IF($A84="N/A"," ",AK84*$AT84)</f>
        <v> </v>
      </c>
      <c r="CE84" s="309" t="str">
        <f aca="false">IF($A84="N/A"," ",AL84*$AU84)</f>
        <v> </v>
      </c>
      <c r="CF84" s="309" t="str">
        <f aca="false">IF($A84="N/A"," ",AM84*$AV84)</f>
        <v> </v>
      </c>
      <c r="CG84" s="309" t="str">
        <f aca="false">IF($A84="N/A"," ",AN84*$AW84)</f>
        <v> </v>
      </c>
      <c r="CH84" s="309" t="str">
        <f aca="false">IF($A84="N/A"," ",AO84*$AX84)</f>
        <v> </v>
      </c>
      <c r="CI84" s="309" t="str">
        <f aca="false">IF($A84="N/A"," ",AP84*$AY84)</f>
        <v> </v>
      </c>
      <c r="CJ84" s="309" t="str">
        <f aca="false">IF($A84="N/A"," ",AQ84*$AZ84)</f>
        <v> </v>
      </c>
      <c r="CK84" s="310" t="str">
        <f aca="false">IF($A84="N/A"," ",AR84*$BA84)</f>
        <v> </v>
      </c>
      <c r="CL84" s="311" t="str">
        <f aca="false">IF(A84="N/A"," ",(VLOOKUP(A84,PowerVolTable,(IF(VolBMO=2,7,IF(VolBMO=1,6,8))),FALSE())))</f>
        <v> </v>
      </c>
      <c r="CM84" s="312" t="str">
        <f aca="false">IF(A84="N/A"," ",(VLOOKUP(A84,IntraPowerVol,(IF(VolBMO=2,3,IF(VolBMO=1,2,4))),FALSE())*VLOOKUP(MONTH($A84),Volscale,2)))</f>
        <v> </v>
      </c>
      <c r="CN84" s="312" t="str">
        <f aca="false">IF($A84="N/A"," ",IF(VolType=1,CM84,CL84))</f>
        <v> </v>
      </c>
      <c r="CO84" s="312" t="str">
        <f aca="false">IF($A84="N/A"," ",(VLOOKUP($A84,OffPeakVol,(IF(VolBMO=2,7,IF(VolBMO=1,6,8))),FALSE())))</f>
        <v> </v>
      </c>
      <c r="CP84" s="312" t="str">
        <f aca="false">IF($A84="N/A"," ",(VLOOKUP($A84,OffPeakVol,(IF(VolBMO=2,3,IF(VolBMO=1,2,4))),FALSE())*VLOOKUP(MONTH($A84),Volscale,2)))</f>
        <v> </v>
      </c>
      <c r="CQ84" s="312" t="str">
        <f aca="false">IF($A84="N/A"," ",IF(VolType=1,CP84,CO84))</f>
        <v> </v>
      </c>
      <c r="CR84" s="312" t="str">
        <f aca="false">IF($A84="N/A"," ",(VLOOKUP($A84,GasVolTable,(IF(VolBMO=2,6,IF(VolBMO=1,7,5))),FALSE())))</f>
        <v> </v>
      </c>
      <c r="CS84" s="312" t="str">
        <f aca="false">IF($A84="N/A"," ",(VLOOKUP($A84,OmicronVol,(IF(VolBMO=2,3,IF(VolBMO=1,4,2))),FALSE())))</f>
        <v> </v>
      </c>
      <c r="CT84" s="312" t="str">
        <f aca="false">IF($A84="N/A"," ",(IF(DateToday&gt;$A84,$CS84,IF(VolType=1,((($CR84^2)*((($A84-1)-DateToday)/((EOMONTH($A84,0)+1)-DateToday-15)))+((($CS84)^2)*((15)/((EOMONTH($A84,0)+1)-DateToday-15))))^0.5,CR84))))</f>
        <v> </v>
      </c>
      <c r="CU84" s="312" t="str">
        <f aca="false">IF($A84="N/A"," ",IF('Pricing Inputs'!$AR$23=TRUE(),Inputs!$S$22,VLOOKUP($A84,CorrelationTable,2,FALSE())))</f>
        <v> </v>
      </c>
      <c r="CV84" s="313" t="str">
        <f aca="false">IF($A84="N/A"," ",F84+G84+(D84*('Pricing Inputs'!X119)))</f>
        <v> </v>
      </c>
      <c r="CW84" s="314" t="str">
        <f aca="false">IF($A84="N/A"," ",IF(PV=1,0,'Pricing Inputs'!Y119))</f>
        <v> </v>
      </c>
      <c r="CX84" s="315" t="str">
        <f aca="false">IF($A84="N/A"," ",(1+CW84/2)^(-2*((EOMONTH(A84,0)+20)-DateToday)/365.25))</f>
        <v> </v>
      </c>
      <c r="CY84" s="316" t="str">
        <f aca="false">IF($A84="N/A"," ",(IF(MONTH(A84)&gt;=4,IF(MONTH(A84)&lt;=10,Inputs!$S$26,Inputs!$S$27),Inputs!$S$27))*$CX84)</f>
        <v> </v>
      </c>
      <c r="CZ84" s="317" t="str">
        <f aca="false">IF($A84="N/A"," ",BK84+BL84+BN84+BO84+BQ84+BR84)</f>
        <v> </v>
      </c>
      <c r="DA84" s="318" t="str">
        <f aca="false">IF($A84="N/A"," ",BM84+BP84+BS84)</f>
        <v> </v>
      </c>
      <c r="DB84" s="319" t="str">
        <f aca="false">IF($A84="N/A"," ",BT84+BU84+BW84+BX84+BZ84+CA84)</f>
        <v> </v>
      </c>
      <c r="DC84" s="319" t="str">
        <f aca="false">IF($A84="N/A"," ",BV84+BY84+CB84)</f>
        <v> </v>
      </c>
      <c r="DD84" s="320" t="str">
        <f aca="false">IF($A84="N/A"," ",SUM(CC84:CK84))</f>
        <v> </v>
      </c>
      <c r="DE84" s="321" t="str">
        <f aca="false">IF($A84="N/A"," ",VLOOKUP($A84,NumberofDaysTable,2)*Availability)</f>
        <v> </v>
      </c>
      <c r="DF84" s="94" t="str">
        <f aca="false">IF($A84="N/A"," ",VLOOKUP($A84,NumberofDaysTable,3)*Availability)</f>
        <v> </v>
      </c>
      <c r="DG84" s="322" t="str">
        <f aca="false">IF($A84="N/A"," ",VLOOKUP($A84,NumberofDaysTable,4)*Availability)</f>
        <v> </v>
      </c>
      <c r="DH84" s="323" t="str">
        <f aca="false">IF($A84="N/A"," ",IF(Option=1,$D84*Inputs!$S$15*SUM(AS84:BA84),0))</f>
        <v> </v>
      </c>
      <c r="DI84" s="324" t="str">
        <f aca="false">IF($A84="N/A"," ",IF(Option=1,$D84*Inputs!$S$16*SUM(AS84:BA84),0))</f>
        <v> </v>
      </c>
      <c r="DJ84" s="325" t="str">
        <f aca="false">IF($A84="N/A"," ",SUM(AS84:AT84))</f>
        <v> </v>
      </c>
      <c r="DK84" s="325" t="str">
        <f aca="false">IF($A84="N/A"," ",SUM(AU84:BA84))</f>
        <v> </v>
      </c>
      <c r="DL84" s="325" t="str">
        <f aca="false">IF($A84="N/A"," ",SUM(BB84:BC84))</f>
        <v> </v>
      </c>
      <c r="DM84" s="325" t="str">
        <f aca="false">IF($A84="N/A"," ",SUM(BD84:BJ84))</f>
        <v> </v>
      </c>
    </row>
    <row r="85" customFormat="false" ht="12.75" hidden="false" customHeight="false" outlineLevel="0" collapsed="false">
      <c r="A85" s="282" t="str">
        <f aca="false">IF(A84="N/A","N/A",IF(EDATE(A84,1)&gt;Inputs!$S$5,"N/A",EDATE(A84,1)))</f>
        <v>N/A</v>
      </c>
      <c r="B85" s="283" t="str">
        <f aca="false">IF(A85="N/A"," ",YEAR(A85))</f>
        <v> </v>
      </c>
      <c r="C85" s="284" t="str">
        <f aca="false">IF(A85="N/A"," ",VLOOKUP(A85,ScaledPrice,14))</f>
        <v> </v>
      </c>
      <c r="D85" s="285" t="str">
        <f aca="false">IF(A85="N/A"," ",(VLOOKUP(MONTH($A85),Hrtable,2))/1000)</f>
        <v> </v>
      </c>
      <c r="E85" s="286" t="str">
        <f aca="false">IF($A85="N/A"," ",(C85)*D85)</f>
        <v> </v>
      </c>
      <c r="F85" s="287" t="str">
        <f aca="false">IF(A85="N/A"," ",VOM*(1+VOMesc)^(YEAR(A85)-YEAR(Today)))</f>
        <v> </v>
      </c>
      <c r="G85" s="287" t="str">
        <f aca="false">IF(A85="N/A"," ",Perstart/VLOOKUP(Dayrun,'Pricing Inputs'!$AQ$4:$AS$14,3)/(CY85/CX85))</f>
        <v> </v>
      </c>
      <c r="H85" s="288" t="str">
        <f aca="false">IF(A85="N/A"," ",SUM(E85:G85))</f>
        <v> </v>
      </c>
      <c r="I85" s="289" t="str">
        <f aca="false">VLOOKUP($A85,ScaledPrice,6)</f>
        <v> </v>
      </c>
      <c r="J85" s="290" t="str">
        <f aca="false">VLOOKUP($A85,ScaledPrice,10)</f>
        <v> </v>
      </c>
      <c r="K85" s="290" t="str">
        <f aca="false">VLOOKUP($A85,ScaledPrice,13)</f>
        <v> </v>
      </c>
      <c r="L85" s="290" t="str">
        <f aca="false">VLOOKUP($A85,ScaledPrice,7)</f>
        <v> </v>
      </c>
      <c r="M85" s="290" t="str">
        <f aca="false">VLOOKUP($A85,ScaledPrice,11)</f>
        <v> </v>
      </c>
      <c r="N85" s="290" t="str">
        <f aca="false">VLOOKUP($A85,ScaledPrice,13)</f>
        <v> </v>
      </c>
      <c r="O85" s="290" t="str">
        <f aca="false">VLOOKUP($A85,ScaledPrice,8)</f>
        <v> </v>
      </c>
      <c r="P85" s="290" t="str">
        <f aca="false">VLOOKUP($A85,ScaledPrice,12)</f>
        <v> </v>
      </c>
      <c r="Q85" s="291" t="str">
        <f aca="false">VLOOKUP($A85,ScaledPrice,13)</f>
        <v> </v>
      </c>
      <c r="R85" s="292" t="str">
        <f aca="false">IF($A85="N/A"," ",IF(Dayrun&gt;=3,IF(Option=1,MAX($I85-$H85,0),IF(Option=2,MAX($H85-$I85,0),0)),0))</f>
        <v> </v>
      </c>
      <c r="S85" s="286" t="str">
        <f aca="false">IF($A85="N/A"," ",IF(Dayrun&gt;=6,IF(Option=1,MAX($J85-H85,0),IF(Option=2,MAX(H85-$J85,0),0)),0))</f>
        <v> </v>
      </c>
      <c r="T85" s="286" t="str">
        <f aca="false">IF($A85="N/A"," ",IF(OR(Dayrun&lt;=2,Dayrun&gt;=9),IF(Option=1,MAX($K85-$H85,0),IF(Option=2,MAX($H85-$K85,0),0)),0))</f>
        <v> </v>
      </c>
      <c r="U85" s="286" t="str">
        <f aca="false">IF($A85="N/A"," ",IF(OR(Dayrun=1,Dayrun=4,Dayrun=5,Dayrun=7,Dayrun=8,Dayrun=10,Dayrun=11),IF(Option=1,MAX($L85-H85,0),IF(Option=2,MAX(H85-$L85,0),0)),0))</f>
        <v> </v>
      </c>
      <c r="V85" s="286" t="str">
        <f aca="false">IF($A85="N/A"," ",IF(OR(Dayrun=1,Dayrun=7,Dayrun=8,Dayrun=10,Dayrun=11),IF(Option=1,MAX($M85-H85,0),IF(Option=2,MAX(H85-$M85,0),0)),0))</f>
        <v> </v>
      </c>
      <c r="W85" s="286" t="str">
        <f aca="false">IF($A85="N/A"," ",IF(OR(Dayrun&lt;=2,Dayrun&gt;=10),IF(Option=1,MAX($N85-$H85,0),IF(Option=2,MAX($H85-$N85,0),0)),0))</f>
        <v> </v>
      </c>
      <c r="X85" s="286" t="str">
        <f aca="false">IF($A85="N/A"," ",IF(OR(Dayrun=1,Dayrun=5,Dayrun=8,Dayrun=11),IF(Option=1,MAX($O85-H85,0),IF(Option=2,MAX(H85-$O85,0),0)),0))</f>
        <v> </v>
      </c>
      <c r="Y85" s="286" t="str">
        <f aca="false">IF($A85="N/A"," ",IF(OR(Dayrun=1,Dayrun=8,Dayrun=11),IF(Option=1,MAX($P85-H85,0),IF(Option=2,MAX(H85-$P85,0),0)),0))</f>
        <v> </v>
      </c>
      <c r="Z85" s="293" t="str">
        <f aca="false">IF($A85="N/A"," ",IF(OR(Dayrun&lt;=2,Dayrun&gt;=11),IF(Option=1,MAX($Q85-$H85,0),IF(Option=2,MAX($H85-$Q85,0),0)),0))</f>
        <v> </v>
      </c>
      <c r="AA85" s="289" t="str">
        <f aca="false">IF($A85="N/A"," ",IF(Dayrun&gt;=3,(MAX(0,(xSPRDOPT(I85,($E85-'Pricing Inputs'!$X120*$D85),$CV85,0,($CN85+IF(Smile=TRUE(),VLOOKUP(MAX(-5,$H85-I85),Volsmile,2),0)),$CT85,$CU85,($A85-DateToday)+15,ABS(Option-2),0)-R85))),0))</f>
        <v> </v>
      </c>
      <c r="AB85" s="290" t="str">
        <f aca="false">IF($A85="N/A"," ",IF(Dayrun&gt;=6,MAX(0,(xSPRDOPT(J85,($E85-'Pricing Inputs'!$X120*$D85),$CV85,0,($CN85+IF(Smile=TRUE(),VLOOKUP(MAX(-5,$H85-J85),Volsmile,2),0)),$CT85,$CU85,($A85-DateToday)+15,ABS(Option-2),0)-S85)),0))</f>
        <v> </v>
      </c>
      <c r="AC85" s="290" t="str">
        <f aca="false">IF($A85="N/A"," ",IF(OR(Dayrun&lt;=2,Dayrun&gt;=9),IF(OffPeakEx=TRUE(),MAX(0,(xSPRDOPT(K85,($E85-'Pricing Inputs'!$X120*$D85),$CV85,0,($CQ85+IF(Smile=TRUE(),VLOOKUP(MAX(-5,$H85-K85),Volsmile,2),0)),$CT85,$CU85,($A85-DateToday)+15,ABS(Option-2),0)-T85)),0),0))</f>
        <v> </v>
      </c>
      <c r="AD85" s="290" t="str">
        <f aca="false">IF($A85="N/A"," ",IF(OR(Dayrun=1,Dayrun=4,Dayrun=5,Dayrun=7,Dayrun=8,Dayrun=10,Dayrun=11),MAX(0,(xSPRDOPT(L85,($E85-'Pricing Inputs'!$X120*$D85),$CV85,0,($CQ85+IF(Smile=TRUE(),VLOOKUP(MAX(-5,$H85-L85),Volsmile,2),0)),$CT85,$CU85,($A85-DateToday)+15,ABS(Option-2),0)-U85)),0))</f>
        <v> </v>
      </c>
      <c r="AE85" s="290" t="str">
        <f aca="false">IF($A85="N/A"," ",IF(OR(Dayrun=1,Dayrun=7,Dayrun=8,Dayrun=10,Dayrun=11),MAX(0,(xSPRDOPT(M85,($E85-'Pricing Inputs'!$X120*$D85),$CV85,0,($CQ85+IF(Smile=TRUE(),VLOOKUP(MAX(-5,$H85-M85),Volsmile,2),0)),$CT85,$CU85,($A85-DateToday)+15,ABS(Option-2),0)-V85)),0))</f>
        <v> </v>
      </c>
      <c r="AF85" s="290" t="str">
        <f aca="false">IF($A85="N/A"," ",IF(OR(Dayrun&lt;=2,Dayrun&gt;=10),IF(OffPeakEx=TRUE(),MAX(0,(xSPRDOPT(N85,($E85-'Pricing Inputs'!$X120*$D85),$CV85,0,($CQ85+IF(Smile=TRUE(),VLOOKUP(MAX(-5,$H85-N85),Volsmile,2),0)),$CT85,$CU85,($A85-DateToday)+15,ABS(Option-2),0)-W85)),0),0))</f>
        <v> </v>
      </c>
      <c r="AG85" s="290" t="str">
        <f aca="false">IF($A85="N/A"," ",IF(OR(Dayrun=1,Dayrun=5,Dayrun=8,Dayrun=11),MAX(0,(xSPRDOPT(O85,($E85-'Pricing Inputs'!$X120*$D85),$CV85,0,($CQ85+IF(Smile=TRUE(),VLOOKUP(MAX(-5,$H85-O85),Volsmile,2),0)),$CT85,$CU85,($A85-DateToday)+15,ABS(Option-2),0)-X85)),0))</f>
        <v> </v>
      </c>
      <c r="AH85" s="290" t="str">
        <f aca="false">IF($A85="N/A"," ",IF(OR(Dayrun=1,Dayrun=8,Dayrun=11),MAX(0,(xSPRDOPT(P85,($E85-'Pricing Inputs'!$X120*$D85),$CV85,0,($CQ85+IF(Smile=TRUE(),VLOOKUP(MAX(-5,$H85-P85),Volsmile,2),0)),$CT85,$CU85,($A85-DateToday)+15,ABS(Option-2),0)-Y85)),0))</f>
        <v> </v>
      </c>
      <c r="AI85" s="290" t="str">
        <f aca="false">IF($A85="N/A"," ",IF(OR(Dayrun&lt;=2,Dayrun&gt;=11),IF(OffPeakEx=TRUE(),MAX(0,(xSPRDOPT(Q85,($E85-'Pricing Inputs'!$X120*$D85),$CV85,0,($CQ85+IF(Smile=TRUE(),VLOOKUP(MAX(-5,$H85-Q85),Volsmile,2),0)),$CT85,$CU85,($A85-DateToday)+15,ABS(Option-2),0)-Z85)),0),0))</f>
        <v> </v>
      </c>
      <c r="AJ85" s="294" t="str">
        <f aca="false">IF($A85="N/A"," ",IF(Dayrun&gt;=3,IF(Option=1,$I85-$H85,IF(Option=2,$H85-$I85)),0))</f>
        <v> </v>
      </c>
      <c r="AK85" s="295" t="str">
        <f aca="false">IF($A85="N/A"," ",IF(Dayrun&gt;=6,IF(Option=1,$J85-H85,IF(Option=2,H85-$J85)),0))</f>
        <v> </v>
      </c>
      <c r="AL85" s="295" t="str">
        <f aca="false">IF($A85="N/A"," ",IF(OR(Dayrun&lt;=2,Dayrun&gt;=9),IF(Option=1,$K85-$H85,IF(Option=2,$H85-$K85)),0))</f>
        <v> </v>
      </c>
      <c r="AM85" s="295" t="str">
        <f aca="false">IF($A85="N/A"," ",IF(OR(Dayrun=1,Dayrun=4,Dayrun=5,Dayrun=7,Dayrun=8,Dayrun=10,Dayrun=11),IF(Option=1,$L85-H85,IF(Option=2,H85-$L85)),0))</f>
        <v> </v>
      </c>
      <c r="AN85" s="295" t="str">
        <f aca="false">IF($A85="N/A"," ",IF(OR(Dayrun=1,Dayrun=7,Dayrun=8,Dayrun=10,Dayrun=11),IF(Option=1,$M85-H85,IF(Option=2,H85-$M85)),0))</f>
        <v> </v>
      </c>
      <c r="AO85" s="295" t="str">
        <f aca="false">IF($A85="N/A"," ",IF(OR(Dayrun&lt;=2,Dayrun&gt;=9),IF(Option=1,$N85-$H85,IF(Option=2,$H85-$N85)),0))</f>
        <v> </v>
      </c>
      <c r="AP85" s="295" t="str">
        <f aca="false">IF($A85="N/A"," ",IF(OR(Dayrun=1,Dayrun=5,Dayrun=8,Dayrun=11),IF(Option=1,$O85-H85,IF(Option=2,H85-$O85)),0))</f>
        <v> </v>
      </c>
      <c r="AQ85" s="295" t="str">
        <f aca="false">IF($A85="N/A"," ",IF(OR(Dayrun=1,Dayrun=8,Dayrun=11),IF(Option=1,$P85-H85,IF(Option=2,H85-$P85)),0))</f>
        <v> </v>
      </c>
      <c r="AR85" s="296" t="str">
        <f aca="false">IF($A85="N/A"," ",IF(OR(Dayrun&lt;=2,Dayrun&gt;=9),IF(Option=1,$Q85-H85,IF(Option=2,H85-$Q85)),0))</f>
        <v> </v>
      </c>
      <c r="AS85" s="297" t="str">
        <f aca="false">IF($A85="N/A"," ",IF(VLOOKUP(MONTH($A85),ManualTable,2)=1,IF(Dayrun&gt;=3,$DE85*8*$CY85,0),0))</f>
        <v> </v>
      </c>
      <c r="AT85" s="297" t="str">
        <f aca="false">IF($A85="N/A"," ",IF(VLOOKUP(MONTH($A85),ManualTable,3)=1,IF(Dayrun&gt;=6,$DE85*8*$CY85,0),0))</f>
        <v> </v>
      </c>
      <c r="AU85" s="297" t="str">
        <f aca="false">IF($A85="N/A"," ",IF(VLOOKUP(MONTH($A85),ManualTable,4)=1,IF(OR(Dayrun&lt;=2,Dayrun&gt;=9),$DE85*8*$CY85,0),0))</f>
        <v> </v>
      </c>
      <c r="AV85" s="297" t="str">
        <f aca="false">IF($A85="N/A"," ",IF(VLOOKUP(MONTH($A85),ManualTable,5)=1,IF(OR(Dayrun=1,Dayrun=4,Dayrun=5,Dayrun=7,Dayrun=8,Dayrun=10,Dayrun=11),$DF85*8*$CY85,0),0))</f>
        <v> </v>
      </c>
      <c r="AW85" s="297" t="str">
        <f aca="false">IF($A85="N/A"," ",IF(VLOOKUP(MONTH($A85),ManualTable,6)=1,IF(OR(Dayrun=1,Dayrun=7,Dayrun=8,Dayrun=10,Dayrun=11),$DF85*8*$CY85,0),0))</f>
        <v> </v>
      </c>
      <c r="AX85" s="297" t="str">
        <f aca="false">IF($A85="N/A"," ",IF(VLOOKUP(MONTH($A85),ManualTable,7)=1,IF(OR(Dayrun&lt;=2,Dayrun&gt;=9),$DF85*8*$CY85,0),0))</f>
        <v> </v>
      </c>
      <c r="AY85" s="297" t="str">
        <f aca="false">IF($A85="N/A"," ",IF(VLOOKUP(MONTH($A85),ManualTable,8)=1,IF(OR(Dayrun=1,Dayrun=5,Dayrun=8,Dayrun=11),$DG85*8*$CY85,0),0))</f>
        <v> </v>
      </c>
      <c r="AZ85" s="297" t="str">
        <f aca="false">IF($A85="N/A"," ",IF(VLOOKUP(MONTH($A85),ManualTable,9)=1,IF(OR(Dayrun=1,Dayrun=8,Dayrun=11),$DG85*8*$CY85,0),0))</f>
        <v> </v>
      </c>
      <c r="BA85" s="298" t="str">
        <f aca="false">IF($A85="N/A"," ",IF(VLOOKUP(MONTH($A85),ManualTable,10)=1,IF(OR(Dayrun&lt;=2,Dayrun&gt;=9),$DG85*8*$CY85,0),0))</f>
        <v> </v>
      </c>
      <c r="BB85" s="299" t="str">
        <f aca="false">IF($A85="N/A"," ",IF(Dayrun&gt;=3,(MAX(0,(xSPRDOPT(I85,($E85-'Pricing Inputs'!$X120*$D85),$CV85,0,($CN85+IF(Smile=TRUE(),VLOOKUP(MAX(-5,$H85-I85),Volsmile,2),0)),$CT85,$CU85,($A85-DateToday)+15,ABS(Option-2),1)*DE85*8))),0))</f>
        <v> </v>
      </c>
      <c r="BC85" s="300" t="str">
        <f aca="false">IF($A85="N/A"," ",IF(Dayrun&gt;=6,MAX(0,(xSPRDOPT(J85,($E85-'Pricing Inputs'!$X120*$D85),$CV85,0,($CN85+IF(Smile=TRUE(),VLOOKUP(MAX(-5,$H85-J85),Volsmile,2),0)),$CT85,$CU85,($A85-DateToday)+15,ABS(Option-2),1)*DE85*8)),0))</f>
        <v> </v>
      </c>
      <c r="BD85" s="300" t="str">
        <f aca="false">IF($A85="N/A"," ",IF(OR(Dayrun&lt;=2,Dayrun&gt;=9),IF(OffPeakEx=TRUE(),MAX(0,(xSPRDOPT(K85,($E85-'Pricing Inputs'!$X120*$D85),$CV85,0,($CQ85+IF(Smile=TRUE(),VLOOKUP(MAX(-5,$H85-K85),Volsmile,2),0)),$CT85,$CU85,($A85-DateToday)+15,ABS(Option-2),1)*DE85*8)),0),0))</f>
        <v> </v>
      </c>
      <c r="BE85" s="300" t="str">
        <f aca="false">IF($A85="N/A"," ",IF(OR(Dayrun=1,Dayrun=4,Dayrun=5,Dayrun=7,Dayrun=8,Dayrun=10,Dayrun=11),MAX(0,(xSPRDOPT(L85,($E85-'Pricing Inputs'!$X120*$D85),$CV85,0,($CQ85+IF(Smile=TRUE(),VLOOKUP(MAX(-5,$H85-L85),Volsmile,2),0)),$CT85,$CU85,($A85-DateToday)+15,ABS(Option-2),1)*DF85*8)),0))</f>
        <v> </v>
      </c>
      <c r="BF85" s="300" t="str">
        <f aca="false">IF($A85="N/A"," ",IF(OR(Dayrun=1,Dayrun=7,Dayrun=8,Dayrun=10,Dayrun=11),MAX(0,(xSPRDOPT(M85,($E85-'Pricing Inputs'!$X120*$D85),$CV85,0,($CQ85+IF(Smile=TRUE(),VLOOKUP(MAX(-5,$H85-M85),Volsmile,2),0)),$CT85,$CU85,($A85-DateToday)+15,ABS(Option-2),1)*DF85*8)),0))</f>
        <v> </v>
      </c>
      <c r="BG85" s="300" t="str">
        <f aca="false">IF($A85="N/A"," ",IF(OR(Dayrun&lt;=2,Dayrun&gt;=10),IF(OffPeakEx=TRUE(),MAX(0,(xSPRDOPT(N85,($E85-'Pricing Inputs'!$X120*$D85),$CV85,0,($CQ85+IF(Smile=TRUE(),VLOOKUP(MAX(-5,$H85-N85),Volsmile,2),0)),$CT85,$CU85,($A85-DateToday)+15,ABS(Option-2),1)*DF85*8)),0),0))</f>
        <v> </v>
      </c>
      <c r="BH85" s="300" t="str">
        <f aca="false">IF($A85="N/A"," ",IF(OR(Dayrun=1,Dayrun=5,Dayrun=8,Dayrun=11),MAX(0,(xSPRDOPT(O85,($E85-'Pricing Inputs'!$X120*$D85),$CV85,0,($CQ85+IF(Smile=TRUE(),VLOOKUP(MAX(-5,$H85-O85),Volsmile,2),0)),$CT85,$CU85,($A85-DateToday)+15,ABS(Option-2),1)*DG85*8)),0))</f>
        <v> </v>
      </c>
      <c r="BI85" s="300" t="str">
        <f aca="false">IF($A85="N/A"," ",IF(OR(Dayrun=1,Dayrun=8,Dayrun=11),MAX(0,(xSPRDOPT(P85,($E85-'Pricing Inputs'!$X120*$D85),$CV85,0,($CQ85+IF(Smile=TRUE(),VLOOKUP(MAX(-5,$H85-P85),Volsmile,2),0)),$CT85,$CU85,($A85-DateToday)+15,ABS(Option-2),1)*DG85*8)),0))</f>
        <v> </v>
      </c>
      <c r="BJ85" s="301" t="str">
        <f aca="false">IF($A85="N/A"," ",IF(OR(Dayrun&lt;=2,Dayrun&gt;=11),IF(OffPeakEx=TRUE(),MAX(0,(xSPRDOPT(Q85,($E85-'Pricing Inputs'!$X120*$D85),$CV85,0,($CQ85+IF(Smile=TRUE(),VLOOKUP(MAX(-5,$H85-Q85),Volsmile,2),0)),$CT85,$CU85,($A85-DateToday)+15,ABS(Option-2),1)*DG85*8)),0),0))</f>
        <v> </v>
      </c>
      <c r="BK85" s="302" t="str">
        <f aca="false">IF($A85="N/A"," ",R85*$AS85)</f>
        <v> </v>
      </c>
      <c r="BL85" s="303" t="str">
        <f aca="false">IF($A85="N/A"," ",S85*$AT85)</f>
        <v> </v>
      </c>
      <c r="BM85" s="303" t="str">
        <f aca="false">IF($A85="N/A"," ",T85*$AU85)</f>
        <v> </v>
      </c>
      <c r="BN85" s="303" t="str">
        <f aca="false">IF($A85="N/A"," ",U85*$AV85)</f>
        <v> </v>
      </c>
      <c r="BO85" s="303" t="str">
        <f aca="false">IF($A85="N/A"," ",V85*$AW85)</f>
        <v> </v>
      </c>
      <c r="BP85" s="303" t="str">
        <f aca="false">IF($A85="N/A"," ",W85*$AX85)</f>
        <v> </v>
      </c>
      <c r="BQ85" s="303" t="str">
        <f aca="false">IF($A85="N/A"," ",X85*$AY85)</f>
        <v> </v>
      </c>
      <c r="BR85" s="303" t="str">
        <f aca="false">IF($A85="N/A"," ",Y85*$AZ85)</f>
        <v> </v>
      </c>
      <c r="BS85" s="304" t="str">
        <f aca="false">IF($A85="N/A"," ",Z85*$BA85)</f>
        <v> </v>
      </c>
      <c r="BT85" s="305" t="str">
        <f aca="false">IF($A85="N/A"," ",AA85*$AS85)</f>
        <v> </v>
      </c>
      <c r="BU85" s="306" t="str">
        <f aca="false">IF($A85="N/A"," ",AB85*$AT85)</f>
        <v> </v>
      </c>
      <c r="BV85" s="306" t="str">
        <f aca="false">IF($A85="N/A"," ",AC85*$AU85)</f>
        <v> </v>
      </c>
      <c r="BW85" s="306" t="str">
        <f aca="false">IF($A85="N/A"," ",AD85*$AV85)</f>
        <v> </v>
      </c>
      <c r="BX85" s="306" t="str">
        <f aca="false">IF($A85="N/A"," ",AE85*$AW85)</f>
        <v> </v>
      </c>
      <c r="BY85" s="306" t="str">
        <f aca="false">IF($A85="N/A"," ",AF85*$AX85)</f>
        <v> </v>
      </c>
      <c r="BZ85" s="306" t="str">
        <f aca="false">IF($A85="N/A"," ",AG85*$AY85)</f>
        <v> </v>
      </c>
      <c r="CA85" s="306" t="str">
        <f aca="false">IF($A85="N/A"," ",AH85*$AZ85)</f>
        <v> </v>
      </c>
      <c r="CB85" s="307" t="str">
        <f aca="false">IF($A85="N/A"," ",AI85*$BA85)</f>
        <v> </v>
      </c>
      <c r="CC85" s="308" t="str">
        <f aca="false">IF($A85="N/A"," ",AJ85*$AS85)</f>
        <v> </v>
      </c>
      <c r="CD85" s="309" t="str">
        <f aca="false">IF($A85="N/A"," ",AK85*$AT85)</f>
        <v> </v>
      </c>
      <c r="CE85" s="309" t="str">
        <f aca="false">IF($A85="N/A"," ",AL85*$AU85)</f>
        <v> </v>
      </c>
      <c r="CF85" s="309" t="str">
        <f aca="false">IF($A85="N/A"," ",AM85*$AV85)</f>
        <v> </v>
      </c>
      <c r="CG85" s="309" t="str">
        <f aca="false">IF($A85="N/A"," ",AN85*$AW85)</f>
        <v> </v>
      </c>
      <c r="CH85" s="309" t="str">
        <f aca="false">IF($A85="N/A"," ",AO85*$AX85)</f>
        <v> </v>
      </c>
      <c r="CI85" s="309" t="str">
        <f aca="false">IF($A85="N/A"," ",AP85*$AY85)</f>
        <v> </v>
      </c>
      <c r="CJ85" s="309" t="str">
        <f aca="false">IF($A85="N/A"," ",AQ85*$AZ85)</f>
        <v> </v>
      </c>
      <c r="CK85" s="310" t="str">
        <f aca="false">IF($A85="N/A"," ",AR85*$BA85)</f>
        <v> </v>
      </c>
      <c r="CL85" s="311" t="str">
        <f aca="false">IF(A85="N/A"," ",(VLOOKUP(A85,PowerVolTable,(IF(VolBMO=2,7,IF(VolBMO=1,6,8))),FALSE())))</f>
        <v> </v>
      </c>
      <c r="CM85" s="312" t="str">
        <f aca="false">IF(A85="N/A"," ",(VLOOKUP(A85,IntraPowerVol,(IF(VolBMO=2,3,IF(VolBMO=1,2,4))),FALSE())*VLOOKUP(MONTH($A85),Volscale,2)))</f>
        <v> </v>
      </c>
      <c r="CN85" s="312" t="str">
        <f aca="false">IF($A85="N/A"," ",IF(VolType=1,CM85,CL85))</f>
        <v> </v>
      </c>
      <c r="CO85" s="312" t="str">
        <f aca="false">IF($A85="N/A"," ",(VLOOKUP($A85,OffPeakVol,(IF(VolBMO=2,7,IF(VolBMO=1,6,8))),FALSE())))</f>
        <v> </v>
      </c>
      <c r="CP85" s="312" t="str">
        <f aca="false">IF($A85="N/A"," ",(VLOOKUP($A85,OffPeakVol,(IF(VolBMO=2,3,IF(VolBMO=1,2,4))),FALSE())*VLOOKUP(MONTH($A85),Volscale,2)))</f>
        <v> </v>
      </c>
      <c r="CQ85" s="312" t="str">
        <f aca="false">IF($A85="N/A"," ",IF(VolType=1,CP85,CO85))</f>
        <v> </v>
      </c>
      <c r="CR85" s="312" t="str">
        <f aca="false">IF($A85="N/A"," ",(VLOOKUP($A85,GasVolTable,(IF(VolBMO=2,6,IF(VolBMO=1,7,5))),FALSE())))</f>
        <v> </v>
      </c>
      <c r="CS85" s="312" t="str">
        <f aca="false">IF($A85="N/A"," ",(VLOOKUP($A85,OmicronVol,(IF(VolBMO=2,3,IF(VolBMO=1,4,2))),FALSE())))</f>
        <v> </v>
      </c>
      <c r="CT85" s="312" t="str">
        <f aca="false">IF($A85="N/A"," ",(IF(DateToday&gt;$A85,$CS85,IF(VolType=1,((($CR85^2)*((($A85-1)-DateToday)/((EOMONTH($A85,0)+1)-DateToday-15)))+((($CS85)^2)*((15)/((EOMONTH($A85,0)+1)-DateToday-15))))^0.5,CR85))))</f>
        <v> </v>
      </c>
      <c r="CU85" s="312" t="str">
        <f aca="false">IF($A85="N/A"," ",IF('Pricing Inputs'!$AR$23=TRUE(),Inputs!$S$22,VLOOKUP($A85,CorrelationTable,2,FALSE())))</f>
        <v> </v>
      </c>
      <c r="CV85" s="313" t="str">
        <f aca="false">IF($A85="N/A"," ",F85+G85+(D85*('Pricing Inputs'!X120)))</f>
        <v> </v>
      </c>
      <c r="CW85" s="314" t="str">
        <f aca="false">IF($A85="N/A"," ",IF(PV=1,0,'Pricing Inputs'!Y120))</f>
        <v> </v>
      </c>
      <c r="CX85" s="315" t="str">
        <f aca="false">IF($A85="N/A"," ",(1+CW85/2)^(-2*((EOMONTH(A85,0)+20)-DateToday)/365.25))</f>
        <v> </v>
      </c>
      <c r="CY85" s="316" t="str">
        <f aca="false">IF($A85="N/A"," ",(IF(MONTH(A85)&gt;=4,IF(MONTH(A85)&lt;=10,Inputs!$S$26,Inputs!$S$27),Inputs!$S$27))*$CX85)</f>
        <v> </v>
      </c>
      <c r="CZ85" s="317" t="str">
        <f aca="false">IF($A85="N/A"," ",BK85+BL85+BN85+BO85+BQ85+BR85)</f>
        <v> </v>
      </c>
      <c r="DA85" s="318" t="str">
        <f aca="false">IF($A85="N/A"," ",BM85+BP85+BS85)</f>
        <v> </v>
      </c>
      <c r="DB85" s="319" t="str">
        <f aca="false">IF($A85="N/A"," ",BT85+BU85+BW85+BX85+BZ85+CA85)</f>
        <v> </v>
      </c>
      <c r="DC85" s="319" t="str">
        <f aca="false">IF($A85="N/A"," ",BV85+BY85+CB85)</f>
        <v> </v>
      </c>
      <c r="DD85" s="320" t="str">
        <f aca="false">IF($A85="N/A"," ",SUM(CC85:CK85))</f>
        <v> </v>
      </c>
      <c r="DE85" s="321" t="str">
        <f aca="false">IF($A85="N/A"," ",VLOOKUP($A85,NumberofDaysTable,2)*Availability)</f>
        <v> </v>
      </c>
      <c r="DF85" s="94" t="str">
        <f aca="false">IF($A85="N/A"," ",VLOOKUP($A85,NumberofDaysTable,3)*Availability)</f>
        <v> </v>
      </c>
      <c r="DG85" s="322" t="str">
        <f aca="false">IF($A85="N/A"," ",VLOOKUP($A85,NumberofDaysTable,4)*Availability)</f>
        <v> </v>
      </c>
      <c r="DH85" s="323" t="str">
        <f aca="false">IF($A85="N/A"," ",IF(Option=1,$D85*Inputs!$S$15*SUM(AS85:BA85),0))</f>
        <v> </v>
      </c>
      <c r="DI85" s="324" t="str">
        <f aca="false">IF($A85="N/A"," ",IF(Option=1,$D85*Inputs!$S$16*SUM(AS85:BA85),0))</f>
        <v> </v>
      </c>
      <c r="DJ85" s="325" t="str">
        <f aca="false">IF($A85="N/A"," ",SUM(AS85:AT85))</f>
        <v> </v>
      </c>
      <c r="DK85" s="325" t="str">
        <f aca="false">IF($A85="N/A"," ",SUM(AU85:BA85))</f>
        <v> </v>
      </c>
      <c r="DL85" s="325" t="str">
        <f aca="false">IF($A85="N/A"," ",SUM(BB85:BC85))</f>
        <v> </v>
      </c>
      <c r="DM85" s="325" t="str">
        <f aca="false">IF($A85="N/A"," ",SUM(BD85:BJ85))</f>
        <v> </v>
      </c>
    </row>
    <row r="86" customFormat="false" ht="12.75" hidden="false" customHeight="false" outlineLevel="0" collapsed="false">
      <c r="A86" s="282" t="str">
        <f aca="false">IF(A85="N/A","N/A",IF(EDATE(A85,1)&gt;Inputs!$S$5,"N/A",EDATE(A85,1)))</f>
        <v>N/A</v>
      </c>
      <c r="B86" s="283" t="str">
        <f aca="false">IF(A86="N/A"," ",YEAR(A86))</f>
        <v> </v>
      </c>
      <c r="C86" s="284" t="str">
        <f aca="false">IF(A86="N/A"," ",VLOOKUP(A86,ScaledPrice,14))</f>
        <v> </v>
      </c>
      <c r="D86" s="285" t="str">
        <f aca="false">IF(A86="N/A"," ",(VLOOKUP(MONTH($A86),Hrtable,2))/1000)</f>
        <v> </v>
      </c>
      <c r="E86" s="286" t="str">
        <f aca="false">IF($A86="N/A"," ",(C86)*D86)</f>
        <v> </v>
      </c>
      <c r="F86" s="287" t="str">
        <f aca="false">IF(A86="N/A"," ",VOM*(1+VOMesc)^(YEAR(A86)-YEAR(Today)))</f>
        <v> </v>
      </c>
      <c r="G86" s="287" t="str">
        <f aca="false">IF(A86="N/A"," ",Perstart/VLOOKUP(Dayrun,'Pricing Inputs'!$AQ$4:$AS$14,3)/(CY86/CX86))</f>
        <v> </v>
      </c>
      <c r="H86" s="288" t="str">
        <f aca="false">IF(A86="N/A"," ",SUM(E86:G86))</f>
        <v> </v>
      </c>
      <c r="I86" s="289" t="str">
        <f aca="false">VLOOKUP($A86,ScaledPrice,6)</f>
        <v> </v>
      </c>
      <c r="J86" s="290" t="str">
        <f aca="false">VLOOKUP($A86,ScaledPrice,10)</f>
        <v> </v>
      </c>
      <c r="K86" s="290" t="str">
        <f aca="false">VLOOKUP($A86,ScaledPrice,13)</f>
        <v> </v>
      </c>
      <c r="L86" s="290" t="str">
        <f aca="false">VLOOKUP($A86,ScaledPrice,7)</f>
        <v> </v>
      </c>
      <c r="M86" s="290" t="str">
        <f aca="false">VLOOKUP($A86,ScaledPrice,11)</f>
        <v> </v>
      </c>
      <c r="N86" s="290" t="str">
        <f aca="false">VLOOKUP($A86,ScaledPrice,13)</f>
        <v> </v>
      </c>
      <c r="O86" s="290" t="str">
        <f aca="false">VLOOKUP($A86,ScaledPrice,8)</f>
        <v> </v>
      </c>
      <c r="P86" s="290" t="str">
        <f aca="false">VLOOKUP($A86,ScaledPrice,12)</f>
        <v> </v>
      </c>
      <c r="Q86" s="291" t="str">
        <f aca="false">VLOOKUP($A86,ScaledPrice,13)</f>
        <v> </v>
      </c>
      <c r="R86" s="292" t="str">
        <f aca="false">IF($A86="N/A"," ",IF(Dayrun&gt;=3,IF(Option=1,MAX($I86-$H86,0),IF(Option=2,MAX($H86-$I86,0),0)),0))</f>
        <v> </v>
      </c>
      <c r="S86" s="286" t="str">
        <f aca="false">IF($A86="N/A"," ",IF(Dayrun&gt;=6,IF(Option=1,MAX($J86-H86,0),IF(Option=2,MAX(H86-$J86,0),0)),0))</f>
        <v> </v>
      </c>
      <c r="T86" s="286" t="str">
        <f aca="false">IF($A86="N/A"," ",IF(OR(Dayrun&lt;=2,Dayrun&gt;=9),IF(Option=1,MAX($K86-$H86,0),IF(Option=2,MAX($H86-$K86,0),0)),0))</f>
        <v> </v>
      </c>
      <c r="U86" s="286" t="str">
        <f aca="false">IF($A86="N/A"," ",IF(OR(Dayrun=1,Dayrun=4,Dayrun=5,Dayrun=7,Dayrun=8,Dayrun=10,Dayrun=11),IF(Option=1,MAX($L86-H86,0),IF(Option=2,MAX(H86-$L86,0),0)),0))</f>
        <v> </v>
      </c>
      <c r="V86" s="286" t="str">
        <f aca="false">IF($A86="N/A"," ",IF(OR(Dayrun=1,Dayrun=7,Dayrun=8,Dayrun=10,Dayrun=11),IF(Option=1,MAX($M86-H86,0),IF(Option=2,MAX(H86-$M86,0),0)),0))</f>
        <v> </v>
      </c>
      <c r="W86" s="286" t="str">
        <f aca="false">IF($A86="N/A"," ",IF(OR(Dayrun&lt;=2,Dayrun&gt;=10),IF(Option=1,MAX($N86-$H86,0),IF(Option=2,MAX($H86-$N86,0),0)),0))</f>
        <v> </v>
      </c>
      <c r="X86" s="286" t="str">
        <f aca="false">IF($A86="N/A"," ",IF(OR(Dayrun=1,Dayrun=5,Dayrun=8,Dayrun=11),IF(Option=1,MAX($O86-H86,0),IF(Option=2,MAX(H86-$O86,0),0)),0))</f>
        <v> </v>
      </c>
      <c r="Y86" s="286" t="str">
        <f aca="false">IF($A86="N/A"," ",IF(OR(Dayrun=1,Dayrun=8,Dayrun=11),IF(Option=1,MAX($P86-H86,0),IF(Option=2,MAX(H86-$P86,0),0)),0))</f>
        <v> </v>
      </c>
      <c r="Z86" s="293" t="str">
        <f aca="false">IF($A86="N/A"," ",IF(OR(Dayrun&lt;=2,Dayrun&gt;=11),IF(Option=1,MAX($Q86-$H86,0),IF(Option=2,MAX($H86-$Q86,0),0)),0))</f>
        <v> </v>
      </c>
      <c r="AA86" s="289" t="str">
        <f aca="false">IF($A86="N/A"," ",IF(Dayrun&gt;=3,(MAX(0,(xSPRDOPT(I86,($E86-'Pricing Inputs'!$X121*$D86),$CV86,0,($CN86+IF(Smile=TRUE(),VLOOKUP(MAX(-5,$H86-I86),Volsmile,2),0)),$CT86,$CU86,($A86-DateToday)+15,ABS(Option-2),0)-R86))),0))</f>
        <v> </v>
      </c>
      <c r="AB86" s="290" t="str">
        <f aca="false">IF($A86="N/A"," ",IF(Dayrun&gt;=6,MAX(0,(xSPRDOPT(J86,($E86-'Pricing Inputs'!$X121*$D86),$CV86,0,($CN86+IF(Smile=TRUE(),VLOOKUP(MAX(-5,$H86-J86),Volsmile,2),0)),$CT86,$CU86,($A86-DateToday)+15,ABS(Option-2),0)-S86)),0))</f>
        <v> </v>
      </c>
      <c r="AC86" s="290" t="str">
        <f aca="false">IF($A86="N/A"," ",IF(OR(Dayrun&lt;=2,Dayrun&gt;=9),IF(OffPeakEx=TRUE(),MAX(0,(xSPRDOPT(K86,($E86-'Pricing Inputs'!$X121*$D86),$CV86,0,($CQ86+IF(Smile=TRUE(),VLOOKUP(MAX(-5,$H86-K86),Volsmile,2),0)),$CT86,$CU86,($A86-DateToday)+15,ABS(Option-2),0)-T86)),0),0))</f>
        <v> </v>
      </c>
      <c r="AD86" s="290" t="str">
        <f aca="false">IF($A86="N/A"," ",IF(OR(Dayrun=1,Dayrun=4,Dayrun=5,Dayrun=7,Dayrun=8,Dayrun=10,Dayrun=11),MAX(0,(xSPRDOPT(L86,($E86-'Pricing Inputs'!$X121*$D86),$CV86,0,($CQ86+IF(Smile=TRUE(),VLOOKUP(MAX(-5,$H86-L86),Volsmile,2),0)),$CT86,$CU86,($A86-DateToday)+15,ABS(Option-2),0)-U86)),0))</f>
        <v> </v>
      </c>
      <c r="AE86" s="290" t="str">
        <f aca="false">IF($A86="N/A"," ",IF(OR(Dayrun=1,Dayrun=7,Dayrun=8,Dayrun=10,Dayrun=11),MAX(0,(xSPRDOPT(M86,($E86-'Pricing Inputs'!$X121*$D86),$CV86,0,($CQ86+IF(Smile=TRUE(),VLOOKUP(MAX(-5,$H86-M86),Volsmile,2),0)),$CT86,$CU86,($A86-DateToday)+15,ABS(Option-2),0)-V86)),0))</f>
        <v> </v>
      </c>
      <c r="AF86" s="290" t="str">
        <f aca="false">IF($A86="N/A"," ",IF(OR(Dayrun&lt;=2,Dayrun&gt;=10),IF(OffPeakEx=TRUE(),MAX(0,(xSPRDOPT(N86,($E86-'Pricing Inputs'!$X121*$D86),$CV86,0,($CQ86+IF(Smile=TRUE(),VLOOKUP(MAX(-5,$H86-N86),Volsmile,2),0)),$CT86,$CU86,($A86-DateToday)+15,ABS(Option-2),0)-W86)),0),0))</f>
        <v> </v>
      </c>
      <c r="AG86" s="290" t="str">
        <f aca="false">IF($A86="N/A"," ",IF(OR(Dayrun=1,Dayrun=5,Dayrun=8,Dayrun=11),MAX(0,(xSPRDOPT(O86,($E86-'Pricing Inputs'!$X121*$D86),$CV86,0,($CQ86+IF(Smile=TRUE(),VLOOKUP(MAX(-5,$H86-O86),Volsmile,2),0)),$CT86,$CU86,($A86-DateToday)+15,ABS(Option-2),0)-X86)),0))</f>
        <v> </v>
      </c>
      <c r="AH86" s="290" t="str">
        <f aca="false">IF($A86="N/A"," ",IF(OR(Dayrun=1,Dayrun=8,Dayrun=11),MAX(0,(xSPRDOPT(P86,($E86-'Pricing Inputs'!$X121*$D86),$CV86,0,($CQ86+IF(Smile=TRUE(),VLOOKUP(MAX(-5,$H86-P86),Volsmile,2),0)),$CT86,$CU86,($A86-DateToday)+15,ABS(Option-2),0)-Y86)),0))</f>
        <v> </v>
      </c>
      <c r="AI86" s="290" t="str">
        <f aca="false">IF($A86="N/A"," ",IF(OR(Dayrun&lt;=2,Dayrun&gt;=11),IF(OffPeakEx=TRUE(),MAX(0,(xSPRDOPT(Q86,($E86-'Pricing Inputs'!$X121*$D86),$CV86,0,($CQ86+IF(Smile=TRUE(),VLOOKUP(MAX(-5,$H86-Q86),Volsmile,2),0)),$CT86,$CU86,($A86-DateToday)+15,ABS(Option-2),0)-Z86)),0),0))</f>
        <v> </v>
      </c>
      <c r="AJ86" s="294" t="str">
        <f aca="false">IF($A86="N/A"," ",IF(Dayrun&gt;=3,IF(Option=1,$I86-$H86,IF(Option=2,$H86-$I86)),0))</f>
        <v> </v>
      </c>
      <c r="AK86" s="295" t="str">
        <f aca="false">IF($A86="N/A"," ",IF(Dayrun&gt;=6,IF(Option=1,$J86-H86,IF(Option=2,H86-$J86)),0))</f>
        <v> </v>
      </c>
      <c r="AL86" s="295" t="str">
        <f aca="false">IF($A86="N/A"," ",IF(OR(Dayrun&lt;=2,Dayrun&gt;=9),IF(Option=1,$K86-$H86,IF(Option=2,$H86-$K86)),0))</f>
        <v> </v>
      </c>
      <c r="AM86" s="295" t="str">
        <f aca="false">IF($A86="N/A"," ",IF(OR(Dayrun=1,Dayrun=4,Dayrun=5,Dayrun=7,Dayrun=8,Dayrun=10,Dayrun=11),IF(Option=1,$L86-H86,IF(Option=2,H86-$L86)),0))</f>
        <v> </v>
      </c>
      <c r="AN86" s="295" t="str">
        <f aca="false">IF($A86="N/A"," ",IF(OR(Dayrun=1,Dayrun=7,Dayrun=8,Dayrun=10,Dayrun=11),IF(Option=1,$M86-H86,IF(Option=2,H86-$M86)),0))</f>
        <v> </v>
      </c>
      <c r="AO86" s="295" t="str">
        <f aca="false">IF($A86="N/A"," ",IF(OR(Dayrun&lt;=2,Dayrun&gt;=9),IF(Option=1,$N86-$H86,IF(Option=2,$H86-$N86)),0))</f>
        <v> </v>
      </c>
      <c r="AP86" s="295" t="str">
        <f aca="false">IF($A86="N/A"," ",IF(OR(Dayrun=1,Dayrun=5,Dayrun=8,Dayrun=11),IF(Option=1,$O86-H86,IF(Option=2,H86-$O86)),0))</f>
        <v> </v>
      </c>
      <c r="AQ86" s="295" t="str">
        <f aca="false">IF($A86="N/A"," ",IF(OR(Dayrun=1,Dayrun=8,Dayrun=11),IF(Option=1,$P86-H86,IF(Option=2,H86-$P86)),0))</f>
        <v> </v>
      </c>
      <c r="AR86" s="296" t="str">
        <f aca="false">IF($A86="N/A"," ",IF(OR(Dayrun&lt;=2,Dayrun&gt;=9),IF(Option=1,$Q86-H86,IF(Option=2,H86-$Q86)),0))</f>
        <v> </v>
      </c>
      <c r="AS86" s="297" t="str">
        <f aca="false">IF($A86="N/A"," ",IF(VLOOKUP(MONTH($A86),ManualTable,2)=1,IF(Dayrun&gt;=3,$DE86*8*$CY86,0),0))</f>
        <v> </v>
      </c>
      <c r="AT86" s="297" t="str">
        <f aca="false">IF($A86="N/A"," ",IF(VLOOKUP(MONTH($A86),ManualTable,3)=1,IF(Dayrun&gt;=6,$DE86*8*$CY86,0),0))</f>
        <v> </v>
      </c>
      <c r="AU86" s="297" t="str">
        <f aca="false">IF($A86="N/A"," ",IF(VLOOKUP(MONTH($A86),ManualTable,4)=1,IF(OR(Dayrun&lt;=2,Dayrun&gt;=9),$DE86*8*$CY86,0),0))</f>
        <v> </v>
      </c>
      <c r="AV86" s="297" t="str">
        <f aca="false">IF($A86="N/A"," ",IF(VLOOKUP(MONTH($A86),ManualTable,5)=1,IF(OR(Dayrun=1,Dayrun=4,Dayrun=5,Dayrun=7,Dayrun=8,Dayrun=10,Dayrun=11),$DF86*8*$CY86,0),0))</f>
        <v> </v>
      </c>
      <c r="AW86" s="297" t="str">
        <f aca="false">IF($A86="N/A"," ",IF(VLOOKUP(MONTH($A86),ManualTable,6)=1,IF(OR(Dayrun=1,Dayrun=7,Dayrun=8,Dayrun=10,Dayrun=11),$DF86*8*$CY86,0),0))</f>
        <v> </v>
      </c>
      <c r="AX86" s="297" t="str">
        <f aca="false">IF($A86="N/A"," ",IF(VLOOKUP(MONTH($A86),ManualTable,7)=1,IF(OR(Dayrun&lt;=2,Dayrun&gt;=9),$DF86*8*$CY86,0),0))</f>
        <v> </v>
      </c>
      <c r="AY86" s="297" t="str">
        <f aca="false">IF($A86="N/A"," ",IF(VLOOKUP(MONTH($A86),ManualTable,8)=1,IF(OR(Dayrun=1,Dayrun=5,Dayrun=8,Dayrun=11),$DG86*8*$CY86,0),0))</f>
        <v> </v>
      </c>
      <c r="AZ86" s="297" t="str">
        <f aca="false">IF($A86="N/A"," ",IF(VLOOKUP(MONTH($A86),ManualTable,9)=1,IF(OR(Dayrun=1,Dayrun=8,Dayrun=11),$DG86*8*$CY86,0),0))</f>
        <v> </v>
      </c>
      <c r="BA86" s="298" t="str">
        <f aca="false">IF($A86="N/A"," ",IF(VLOOKUP(MONTH($A86),ManualTable,10)=1,IF(OR(Dayrun&lt;=2,Dayrun&gt;=9),$DG86*8*$CY86,0),0))</f>
        <v> </v>
      </c>
      <c r="BB86" s="299" t="str">
        <f aca="false">IF($A86="N/A"," ",IF(Dayrun&gt;=3,(MAX(0,(xSPRDOPT(I86,($E86-'Pricing Inputs'!$X121*$D86),$CV86,0,($CN86+IF(Smile=TRUE(),VLOOKUP(MAX(-5,$H86-I86),Volsmile,2),0)),$CT86,$CU86,($A86-DateToday)+15,ABS(Option-2),1)*DE86*8))),0))</f>
        <v> </v>
      </c>
      <c r="BC86" s="300" t="str">
        <f aca="false">IF($A86="N/A"," ",IF(Dayrun&gt;=6,MAX(0,(xSPRDOPT(J86,($E86-'Pricing Inputs'!$X121*$D86),$CV86,0,($CN86+IF(Smile=TRUE(),VLOOKUP(MAX(-5,$H86-J86),Volsmile,2),0)),$CT86,$CU86,($A86-DateToday)+15,ABS(Option-2),1)*DE86*8)),0))</f>
        <v> </v>
      </c>
      <c r="BD86" s="300" t="str">
        <f aca="false">IF($A86="N/A"," ",IF(OR(Dayrun&lt;=2,Dayrun&gt;=9),IF(OffPeakEx=TRUE(),MAX(0,(xSPRDOPT(K86,($E86-'Pricing Inputs'!$X121*$D86),$CV86,0,($CQ86+IF(Smile=TRUE(),VLOOKUP(MAX(-5,$H86-K86),Volsmile,2),0)),$CT86,$CU86,($A86-DateToday)+15,ABS(Option-2),1)*DE86*8)),0),0))</f>
        <v> </v>
      </c>
      <c r="BE86" s="300" t="str">
        <f aca="false">IF($A86="N/A"," ",IF(OR(Dayrun=1,Dayrun=4,Dayrun=5,Dayrun=7,Dayrun=8,Dayrun=10,Dayrun=11),MAX(0,(xSPRDOPT(L86,($E86-'Pricing Inputs'!$X121*$D86),$CV86,0,($CQ86+IF(Smile=TRUE(),VLOOKUP(MAX(-5,$H86-L86),Volsmile,2),0)),$CT86,$CU86,($A86-DateToday)+15,ABS(Option-2),1)*DF86*8)),0))</f>
        <v> </v>
      </c>
      <c r="BF86" s="300" t="str">
        <f aca="false">IF($A86="N/A"," ",IF(OR(Dayrun=1,Dayrun=7,Dayrun=8,Dayrun=10,Dayrun=11),MAX(0,(xSPRDOPT(M86,($E86-'Pricing Inputs'!$X121*$D86),$CV86,0,($CQ86+IF(Smile=TRUE(),VLOOKUP(MAX(-5,$H86-M86),Volsmile,2),0)),$CT86,$CU86,($A86-DateToday)+15,ABS(Option-2),1)*DF86*8)),0))</f>
        <v> </v>
      </c>
      <c r="BG86" s="300" t="str">
        <f aca="false">IF($A86="N/A"," ",IF(OR(Dayrun&lt;=2,Dayrun&gt;=10),IF(OffPeakEx=TRUE(),MAX(0,(xSPRDOPT(N86,($E86-'Pricing Inputs'!$X121*$D86),$CV86,0,($CQ86+IF(Smile=TRUE(),VLOOKUP(MAX(-5,$H86-N86),Volsmile,2),0)),$CT86,$CU86,($A86-DateToday)+15,ABS(Option-2),1)*DF86*8)),0),0))</f>
        <v> </v>
      </c>
      <c r="BH86" s="300" t="str">
        <f aca="false">IF($A86="N/A"," ",IF(OR(Dayrun=1,Dayrun=5,Dayrun=8,Dayrun=11),MAX(0,(xSPRDOPT(O86,($E86-'Pricing Inputs'!$X121*$D86),$CV86,0,($CQ86+IF(Smile=TRUE(),VLOOKUP(MAX(-5,$H86-O86),Volsmile,2),0)),$CT86,$CU86,($A86-DateToday)+15,ABS(Option-2),1)*DG86*8)),0))</f>
        <v> </v>
      </c>
      <c r="BI86" s="300" t="str">
        <f aca="false">IF($A86="N/A"," ",IF(OR(Dayrun=1,Dayrun=8,Dayrun=11),MAX(0,(xSPRDOPT(P86,($E86-'Pricing Inputs'!$X121*$D86),$CV86,0,($CQ86+IF(Smile=TRUE(),VLOOKUP(MAX(-5,$H86-P86),Volsmile,2),0)),$CT86,$CU86,($A86-DateToday)+15,ABS(Option-2),1)*DG86*8)),0))</f>
        <v> </v>
      </c>
      <c r="BJ86" s="301" t="str">
        <f aca="false">IF($A86="N/A"," ",IF(OR(Dayrun&lt;=2,Dayrun&gt;=11),IF(OffPeakEx=TRUE(),MAX(0,(xSPRDOPT(Q86,($E86-'Pricing Inputs'!$X121*$D86),$CV86,0,($CQ86+IF(Smile=TRUE(),VLOOKUP(MAX(-5,$H86-Q86),Volsmile,2),0)),$CT86,$CU86,($A86-DateToday)+15,ABS(Option-2),1)*DG86*8)),0),0))</f>
        <v> </v>
      </c>
      <c r="BK86" s="302" t="str">
        <f aca="false">IF($A86="N/A"," ",R86*$AS86)</f>
        <v> </v>
      </c>
      <c r="BL86" s="303" t="str">
        <f aca="false">IF($A86="N/A"," ",S86*$AT86)</f>
        <v> </v>
      </c>
      <c r="BM86" s="303" t="str">
        <f aca="false">IF($A86="N/A"," ",T86*$AU86)</f>
        <v> </v>
      </c>
      <c r="BN86" s="303" t="str">
        <f aca="false">IF($A86="N/A"," ",U86*$AV86)</f>
        <v> </v>
      </c>
      <c r="BO86" s="303" t="str">
        <f aca="false">IF($A86="N/A"," ",V86*$AW86)</f>
        <v> </v>
      </c>
      <c r="BP86" s="303" t="str">
        <f aca="false">IF($A86="N/A"," ",W86*$AX86)</f>
        <v> </v>
      </c>
      <c r="BQ86" s="303" t="str">
        <f aca="false">IF($A86="N/A"," ",X86*$AY86)</f>
        <v> </v>
      </c>
      <c r="BR86" s="303" t="str">
        <f aca="false">IF($A86="N/A"," ",Y86*$AZ86)</f>
        <v> </v>
      </c>
      <c r="BS86" s="304" t="str">
        <f aca="false">IF($A86="N/A"," ",Z86*$BA86)</f>
        <v> </v>
      </c>
      <c r="BT86" s="305" t="str">
        <f aca="false">IF($A86="N/A"," ",AA86*$AS86)</f>
        <v> </v>
      </c>
      <c r="BU86" s="306" t="str">
        <f aca="false">IF($A86="N/A"," ",AB86*$AT86)</f>
        <v> </v>
      </c>
      <c r="BV86" s="306" t="str">
        <f aca="false">IF($A86="N/A"," ",AC86*$AU86)</f>
        <v> </v>
      </c>
      <c r="BW86" s="306" t="str">
        <f aca="false">IF($A86="N/A"," ",AD86*$AV86)</f>
        <v> </v>
      </c>
      <c r="BX86" s="306" t="str">
        <f aca="false">IF($A86="N/A"," ",AE86*$AW86)</f>
        <v> </v>
      </c>
      <c r="BY86" s="306" t="str">
        <f aca="false">IF($A86="N/A"," ",AF86*$AX86)</f>
        <v> </v>
      </c>
      <c r="BZ86" s="306" t="str">
        <f aca="false">IF($A86="N/A"," ",AG86*$AY86)</f>
        <v> </v>
      </c>
      <c r="CA86" s="306" t="str">
        <f aca="false">IF($A86="N/A"," ",AH86*$AZ86)</f>
        <v> </v>
      </c>
      <c r="CB86" s="307" t="str">
        <f aca="false">IF($A86="N/A"," ",AI86*$BA86)</f>
        <v> </v>
      </c>
      <c r="CC86" s="308" t="str">
        <f aca="false">IF($A86="N/A"," ",AJ86*$AS86)</f>
        <v> </v>
      </c>
      <c r="CD86" s="309" t="str">
        <f aca="false">IF($A86="N/A"," ",AK86*$AT86)</f>
        <v> </v>
      </c>
      <c r="CE86" s="309" t="str">
        <f aca="false">IF($A86="N/A"," ",AL86*$AU86)</f>
        <v> </v>
      </c>
      <c r="CF86" s="309" t="str">
        <f aca="false">IF($A86="N/A"," ",AM86*$AV86)</f>
        <v> </v>
      </c>
      <c r="CG86" s="309" t="str">
        <f aca="false">IF($A86="N/A"," ",AN86*$AW86)</f>
        <v> </v>
      </c>
      <c r="CH86" s="309" t="str">
        <f aca="false">IF($A86="N/A"," ",AO86*$AX86)</f>
        <v> </v>
      </c>
      <c r="CI86" s="309" t="str">
        <f aca="false">IF($A86="N/A"," ",AP86*$AY86)</f>
        <v> </v>
      </c>
      <c r="CJ86" s="309" t="str">
        <f aca="false">IF($A86="N/A"," ",AQ86*$AZ86)</f>
        <v> </v>
      </c>
      <c r="CK86" s="310" t="str">
        <f aca="false">IF($A86="N/A"," ",AR86*$BA86)</f>
        <v> </v>
      </c>
      <c r="CL86" s="311" t="str">
        <f aca="false">IF(A86="N/A"," ",(VLOOKUP(A86,PowerVolTable,(IF(VolBMO=2,7,IF(VolBMO=1,6,8))),FALSE())))</f>
        <v> </v>
      </c>
      <c r="CM86" s="312" t="str">
        <f aca="false">IF(A86="N/A"," ",(VLOOKUP(A86,IntraPowerVol,(IF(VolBMO=2,3,IF(VolBMO=1,2,4))),FALSE())*VLOOKUP(MONTH($A86),Volscale,2)))</f>
        <v> </v>
      </c>
      <c r="CN86" s="312" t="str">
        <f aca="false">IF($A86="N/A"," ",IF(VolType=1,CM86,CL86))</f>
        <v> </v>
      </c>
      <c r="CO86" s="312" t="str">
        <f aca="false">IF($A86="N/A"," ",(VLOOKUP($A86,OffPeakVol,(IF(VolBMO=2,7,IF(VolBMO=1,6,8))),FALSE())))</f>
        <v> </v>
      </c>
      <c r="CP86" s="312" t="str">
        <f aca="false">IF($A86="N/A"," ",(VLOOKUP($A86,OffPeakVol,(IF(VolBMO=2,3,IF(VolBMO=1,2,4))),FALSE())*VLOOKUP(MONTH($A86),Volscale,2)))</f>
        <v> </v>
      </c>
      <c r="CQ86" s="312" t="str">
        <f aca="false">IF($A86="N/A"," ",IF(VolType=1,CP86,CO86))</f>
        <v> </v>
      </c>
      <c r="CR86" s="312" t="str">
        <f aca="false">IF($A86="N/A"," ",(VLOOKUP($A86,GasVolTable,(IF(VolBMO=2,6,IF(VolBMO=1,7,5))),FALSE())))</f>
        <v> </v>
      </c>
      <c r="CS86" s="312" t="str">
        <f aca="false">IF($A86="N/A"," ",(VLOOKUP($A86,OmicronVol,(IF(VolBMO=2,3,IF(VolBMO=1,4,2))),FALSE())))</f>
        <v> </v>
      </c>
      <c r="CT86" s="312" t="str">
        <f aca="false">IF($A86="N/A"," ",(IF(DateToday&gt;$A86,$CS86,IF(VolType=1,((($CR86^2)*((($A86-1)-DateToday)/((EOMONTH($A86,0)+1)-DateToday-15)))+((($CS86)^2)*((15)/((EOMONTH($A86,0)+1)-DateToday-15))))^0.5,CR86))))</f>
        <v> </v>
      </c>
      <c r="CU86" s="312" t="str">
        <f aca="false">IF($A86="N/A"," ",IF('Pricing Inputs'!$AR$23=TRUE(),Inputs!$S$22,VLOOKUP($A86,CorrelationTable,2,FALSE())))</f>
        <v> </v>
      </c>
      <c r="CV86" s="313" t="str">
        <f aca="false">IF($A86="N/A"," ",F86+G86+(D86*('Pricing Inputs'!X121)))</f>
        <v> </v>
      </c>
      <c r="CW86" s="314" t="str">
        <f aca="false">IF($A86="N/A"," ",IF(PV=1,0,'Pricing Inputs'!Y121))</f>
        <v> </v>
      </c>
      <c r="CX86" s="315" t="str">
        <f aca="false">IF($A86="N/A"," ",(1+CW86/2)^(-2*((EOMONTH(A86,0)+20)-DateToday)/365.25))</f>
        <v> </v>
      </c>
      <c r="CY86" s="316" t="str">
        <f aca="false">IF($A86="N/A"," ",(IF(MONTH(A86)&gt;=4,IF(MONTH(A86)&lt;=10,Inputs!$S$26,Inputs!$S$27),Inputs!$S$27))*$CX86)</f>
        <v> </v>
      </c>
      <c r="CZ86" s="317" t="str">
        <f aca="false">IF($A86="N/A"," ",BK86+BL86+BN86+BO86+BQ86+BR86)</f>
        <v> </v>
      </c>
      <c r="DA86" s="318" t="str">
        <f aca="false">IF($A86="N/A"," ",BM86+BP86+BS86)</f>
        <v> </v>
      </c>
      <c r="DB86" s="319" t="str">
        <f aca="false">IF($A86="N/A"," ",BT86+BU86+BW86+BX86+BZ86+CA86)</f>
        <v> </v>
      </c>
      <c r="DC86" s="319" t="str">
        <f aca="false">IF($A86="N/A"," ",BV86+BY86+CB86)</f>
        <v> </v>
      </c>
      <c r="DD86" s="320" t="str">
        <f aca="false">IF($A86="N/A"," ",SUM(CC86:CK86))</f>
        <v> </v>
      </c>
      <c r="DE86" s="321" t="str">
        <f aca="false">IF($A86="N/A"," ",VLOOKUP($A86,NumberofDaysTable,2)*Availability)</f>
        <v> </v>
      </c>
      <c r="DF86" s="94" t="str">
        <f aca="false">IF($A86="N/A"," ",VLOOKUP($A86,NumberofDaysTable,3)*Availability)</f>
        <v> </v>
      </c>
      <c r="DG86" s="322" t="str">
        <f aca="false">IF($A86="N/A"," ",VLOOKUP($A86,NumberofDaysTable,4)*Availability)</f>
        <v> </v>
      </c>
      <c r="DH86" s="323" t="str">
        <f aca="false">IF($A86="N/A"," ",IF(Option=1,$D86*Inputs!$S$15*SUM(AS86:BA86),0))</f>
        <v> </v>
      </c>
      <c r="DI86" s="324" t="str">
        <f aca="false">IF($A86="N/A"," ",IF(Option=1,$D86*Inputs!$S$16*SUM(AS86:BA86),0))</f>
        <v> </v>
      </c>
      <c r="DJ86" s="325" t="str">
        <f aca="false">IF($A86="N/A"," ",SUM(AS86:AT86))</f>
        <v> </v>
      </c>
      <c r="DK86" s="325" t="str">
        <f aca="false">IF($A86="N/A"," ",SUM(AU86:BA86))</f>
        <v> </v>
      </c>
      <c r="DL86" s="325" t="str">
        <f aca="false">IF($A86="N/A"," ",SUM(BB86:BC86))</f>
        <v> </v>
      </c>
      <c r="DM86" s="325" t="str">
        <f aca="false">IF($A86="N/A"," ",SUM(BD86:BJ86))</f>
        <v> </v>
      </c>
    </row>
    <row r="87" customFormat="false" ht="12.75" hidden="false" customHeight="false" outlineLevel="0" collapsed="false">
      <c r="A87" s="282" t="str">
        <f aca="false">IF(A86="N/A","N/A",IF(EDATE(A86,1)&gt;Inputs!$S$5,"N/A",EDATE(A86,1)))</f>
        <v>N/A</v>
      </c>
      <c r="B87" s="283" t="str">
        <f aca="false">IF(A87="N/A"," ",YEAR(A87))</f>
        <v> </v>
      </c>
      <c r="C87" s="284" t="str">
        <f aca="false">IF(A87="N/A"," ",VLOOKUP(A87,ScaledPrice,14))</f>
        <v> </v>
      </c>
      <c r="D87" s="285" t="str">
        <f aca="false">IF(A87="N/A"," ",(VLOOKUP(MONTH($A87),Hrtable,2))/1000)</f>
        <v> </v>
      </c>
      <c r="E87" s="286" t="str">
        <f aca="false">IF($A87="N/A"," ",(C87)*D87)</f>
        <v> </v>
      </c>
      <c r="F87" s="287" t="str">
        <f aca="false">IF(A87="N/A"," ",VOM*(1+VOMesc)^(YEAR(A87)-YEAR(Today)))</f>
        <v> </v>
      </c>
      <c r="G87" s="287" t="str">
        <f aca="false">IF(A87="N/A"," ",Perstart/VLOOKUP(Dayrun,'Pricing Inputs'!$AQ$4:$AS$14,3)/(CY87/CX87))</f>
        <v> </v>
      </c>
      <c r="H87" s="288" t="str">
        <f aca="false">IF(A87="N/A"," ",SUM(E87:G87))</f>
        <v> </v>
      </c>
      <c r="I87" s="289" t="str">
        <f aca="false">VLOOKUP($A87,ScaledPrice,6)</f>
        <v> </v>
      </c>
      <c r="J87" s="290" t="str">
        <f aca="false">VLOOKUP($A87,ScaledPrice,10)</f>
        <v> </v>
      </c>
      <c r="K87" s="290" t="str">
        <f aca="false">VLOOKUP($A87,ScaledPrice,13)</f>
        <v> </v>
      </c>
      <c r="L87" s="290" t="str">
        <f aca="false">VLOOKUP($A87,ScaledPrice,7)</f>
        <v> </v>
      </c>
      <c r="M87" s="290" t="str">
        <f aca="false">VLOOKUP($A87,ScaledPrice,11)</f>
        <v> </v>
      </c>
      <c r="N87" s="290" t="str">
        <f aca="false">VLOOKUP($A87,ScaledPrice,13)</f>
        <v> </v>
      </c>
      <c r="O87" s="290" t="str">
        <f aca="false">VLOOKUP($A87,ScaledPrice,8)</f>
        <v> </v>
      </c>
      <c r="P87" s="290" t="str">
        <f aca="false">VLOOKUP($A87,ScaledPrice,12)</f>
        <v> </v>
      </c>
      <c r="Q87" s="291" t="str">
        <f aca="false">VLOOKUP($A87,ScaledPrice,13)</f>
        <v> </v>
      </c>
      <c r="R87" s="292" t="str">
        <f aca="false">IF($A87="N/A"," ",IF(Dayrun&gt;=3,IF(Option=1,MAX($I87-$H87,0),IF(Option=2,MAX($H87-$I87,0),0)),0))</f>
        <v> </v>
      </c>
      <c r="S87" s="286" t="str">
        <f aca="false">IF($A87="N/A"," ",IF(Dayrun&gt;=6,IF(Option=1,MAX($J87-H87,0),IF(Option=2,MAX(H87-$J87,0),0)),0))</f>
        <v> </v>
      </c>
      <c r="T87" s="286" t="str">
        <f aca="false">IF($A87="N/A"," ",IF(OR(Dayrun&lt;=2,Dayrun&gt;=9),IF(Option=1,MAX($K87-$H87,0),IF(Option=2,MAX($H87-$K87,0),0)),0))</f>
        <v> </v>
      </c>
      <c r="U87" s="286" t="str">
        <f aca="false">IF($A87="N/A"," ",IF(OR(Dayrun=1,Dayrun=4,Dayrun=5,Dayrun=7,Dayrun=8,Dayrun=10,Dayrun=11),IF(Option=1,MAX($L87-H87,0),IF(Option=2,MAX(H87-$L87,0),0)),0))</f>
        <v> </v>
      </c>
      <c r="V87" s="286" t="str">
        <f aca="false">IF($A87="N/A"," ",IF(OR(Dayrun=1,Dayrun=7,Dayrun=8,Dayrun=10,Dayrun=11),IF(Option=1,MAX($M87-H87,0),IF(Option=2,MAX(H87-$M87,0),0)),0))</f>
        <v> </v>
      </c>
      <c r="W87" s="286" t="str">
        <f aca="false">IF($A87="N/A"," ",IF(OR(Dayrun&lt;=2,Dayrun&gt;=10),IF(Option=1,MAX($N87-$H87,0),IF(Option=2,MAX($H87-$N87,0),0)),0))</f>
        <v> </v>
      </c>
      <c r="X87" s="286" t="str">
        <f aca="false">IF($A87="N/A"," ",IF(OR(Dayrun=1,Dayrun=5,Dayrun=8,Dayrun=11),IF(Option=1,MAX($O87-H87,0),IF(Option=2,MAX(H87-$O87,0),0)),0))</f>
        <v> </v>
      </c>
      <c r="Y87" s="286" t="str">
        <f aca="false">IF($A87="N/A"," ",IF(OR(Dayrun=1,Dayrun=8,Dayrun=11),IF(Option=1,MAX($P87-H87,0),IF(Option=2,MAX(H87-$P87,0),0)),0))</f>
        <v> </v>
      </c>
      <c r="Z87" s="293" t="str">
        <f aca="false">IF($A87="N/A"," ",IF(OR(Dayrun&lt;=2,Dayrun&gt;=11),IF(Option=1,MAX($Q87-$H87,0),IF(Option=2,MAX($H87-$Q87,0),0)),0))</f>
        <v> </v>
      </c>
      <c r="AA87" s="289" t="str">
        <f aca="false">IF($A87="N/A"," ",IF(Dayrun&gt;=3,(MAX(0,(xSPRDOPT(I87,($E87-'Pricing Inputs'!$X122*$D87),$CV87,0,($CN87+IF(Smile=TRUE(),VLOOKUP(MAX(-5,$H87-I87),Volsmile,2),0)),$CT87,$CU87,($A87-DateToday)+15,ABS(Option-2),0)-R87))),0))</f>
        <v> </v>
      </c>
      <c r="AB87" s="290" t="str">
        <f aca="false">IF($A87="N/A"," ",IF(Dayrun&gt;=6,MAX(0,(xSPRDOPT(J87,($E87-'Pricing Inputs'!$X122*$D87),$CV87,0,($CN87+IF(Smile=TRUE(),VLOOKUP(MAX(-5,$H87-J87),Volsmile,2),0)),$CT87,$CU87,($A87-DateToday)+15,ABS(Option-2),0)-S87)),0))</f>
        <v> </v>
      </c>
      <c r="AC87" s="290" t="str">
        <f aca="false">IF($A87="N/A"," ",IF(OR(Dayrun&lt;=2,Dayrun&gt;=9),IF(OffPeakEx=TRUE(),MAX(0,(xSPRDOPT(K87,($E87-'Pricing Inputs'!$X122*$D87),$CV87,0,($CQ87+IF(Smile=TRUE(),VLOOKUP(MAX(-5,$H87-K87),Volsmile,2),0)),$CT87,$CU87,($A87-DateToday)+15,ABS(Option-2),0)-T87)),0),0))</f>
        <v> </v>
      </c>
      <c r="AD87" s="290" t="str">
        <f aca="false">IF($A87="N/A"," ",IF(OR(Dayrun=1,Dayrun=4,Dayrun=5,Dayrun=7,Dayrun=8,Dayrun=10,Dayrun=11),MAX(0,(xSPRDOPT(L87,($E87-'Pricing Inputs'!$X122*$D87),$CV87,0,($CQ87+IF(Smile=TRUE(),VLOOKUP(MAX(-5,$H87-L87),Volsmile,2),0)),$CT87,$CU87,($A87-DateToday)+15,ABS(Option-2),0)-U87)),0))</f>
        <v> </v>
      </c>
      <c r="AE87" s="290" t="str">
        <f aca="false">IF($A87="N/A"," ",IF(OR(Dayrun=1,Dayrun=7,Dayrun=8,Dayrun=10,Dayrun=11),MAX(0,(xSPRDOPT(M87,($E87-'Pricing Inputs'!$X122*$D87),$CV87,0,($CQ87+IF(Smile=TRUE(),VLOOKUP(MAX(-5,$H87-M87),Volsmile,2),0)),$CT87,$CU87,($A87-DateToday)+15,ABS(Option-2),0)-V87)),0))</f>
        <v> </v>
      </c>
      <c r="AF87" s="290" t="str">
        <f aca="false">IF($A87="N/A"," ",IF(OR(Dayrun&lt;=2,Dayrun&gt;=10),IF(OffPeakEx=TRUE(),MAX(0,(xSPRDOPT(N87,($E87-'Pricing Inputs'!$X122*$D87),$CV87,0,($CQ87+IF(Smile=TRUE(),VLOOKUP(MAX(-5,$H87-N87),Volsmile,2),0)),$CT87,$CU87,($A87-DateToday)+15,ABS(Option-2),0)-W87)),0),0))</f>
        <v> </v>
      </c>
      <c r="AG87" s="290" t="str">
        <f aca="false">IF($A87="N/A"," ",IF(OR(Dayrun=1,Dayrun=5,Dayrun=8,Dayrun=11),MAX(0,(xSPRDOPT(O87,($E87-'Pricing Inputs'!$X122*$D87),$CV87,0,($CQ87+IF(Smile=TRUE(),VLOOKUP(MAX(-5,$H87-O87),Volsmile,2),0)),$CT87,$CU87,($A87-DateToday)+15,ABS(Option-2),0)-X87)),0))</f>
        <v> </v>
      </c>
      <c r="AH87" s="290" t="str">
        <f aca="false">IF($A87="N/A"," ",IF(OR(Dayrun=1,Dayrun=8,Dayrun=11),MAX(0,(xSPRDOPT(P87,($E87-'Pricing Inputs'!$X122*$D87),$CV87,0,($CQ87+IF(Smile=TRUE(),VLOOKUP(MAX(-5,$H87-P87),Volsmile,2),0)),$CT87,$CU87,($A87-DateToday)+15,ABS(Option-2),0)-Y87)),0))</f>
        <v> </v>
      </c>
      <c r="AI87" s="290" t="str">
        <f aca="false">IF($A87="N/A"," ",IF(OR(Dayrun&lt;=2,Dayrun&gt;=11),IF(OffPeakEx=TRUE(),MAX(0,(xSPRDOPT(Q87,($E87-'Pricing Inputs'!$X122*$D87),$CV87,0,($CQ87+IF(Smile=TRUE(),VLOOKUP(MAX(-5,$H87-Q87),Volsmile,2),0)),$CT87,$CU87,($A87-DateToday)+15,ABS(Option-2),0)-Z87)),0),0))</f>
        <v> </v>
      </c>
      <c r="AJ87" s="294" t="str">
        <f aca="false">IF($A87="N/A"," ",IF(Dayrun&gt;=3,IF(Option=1,$I87-$H87,IF(Option=2,$H87-$I87)),0))</f>
        <v> </v>
      </c>
      <c r="AK87" s="295" t="str">
        <f aca="false">IF($A87="N/A"," ",IF(Dayrun&gt;=6,IF(Option=1,$J87-H87,IF(Option=2,H87-$J87)),0))</f>
        <v> </v>
      </c>
      <c r="AL87" s="295" t="str">
        <f aca="false">IF($A87="N/A"," ",IF(OR(Dayrun&lt;=2,Dayrun&gt;=9),IF(Option=1,$K87-$H87,IF(Option=2,$H87-$K87)),0))</f>
        <v> </v>
      </c>
      <c r="AM87" s="295" t="str">
        <f aca="false">IF($A87="N/A"," ",IF(OR(Dayrun=1,Dayrun=4,Dayrun=5,Dayrun=7,Dayrun=8,Dayrun=10,Dayrun=11),IF(Option=1,$L87-H87,IF(Option=2,H87-$L87)),0))</f>
        <v> </v>
      </c>
      <c r="AN87" s="295" t="str">
        <f aca="false">IF($A87="N/A"," ",IF(OR(Dayrun=1,Dayrun=7,Dayrun=8,Dayrun=10,Dayrun=11),IF(Option=1,$M87-H87,IF(Option=2,H87-$M87)),0))</f>
        <v> </v>
      </c>
      <c r="AO87" s="295" t="str">
        <f aca="false">IF($A87="N/A"," ",IF(OR(Dayrun&lt;=2,Dayrun&gt;=9),IF(Option=1,$N87-$H87,IF(Option=2,$H87-$N87)),0))</f>
        <v> </v>
      </c>
      <c r="AP87" s="295" t="str">
        <f aca="false">IF($A87="N/A"," ",IF(OR(Dayrun=1,Dayrun=5,Dayrun=8,Dayrun=11),IF(Option=1,$O87-H87,IF(Option=2,H87-$O87)),0))</f>
        <v> </v>
      </c>
      <c r="AQ87" s="295" t="str">
        <f aca="false">IF($A87="N/A"," ",IF(OR(Dayrun=1,Dayrun=8,Dayrun=11),IF(Option=1,$P87-H87,IF(Option=2,H87-$P87)),0))</f>
        <v> </v>
      </c>
      <c r="AR87" s="296" t="str">
        <f aca="false">IF($A87="N/A"," ",IF(OR(Dayrun&lt;=2,Dayrun&gt;=9),IF(Option=1,$Q87-H87,IF(Option=2,H87-$Q87)),0))</f>
        <v> </v>
      </c>
      <c r="AS87" s="297" t="str">
        <f aca="false">IF($A87="N/A"," ",IF(VLOOKUP(MONTH($A87),ManualTable,2)=1,IF(Dayrun&gt;=3,$DE87*8*$CY87,0),0))</f>
        <v> </v>
      </c>
      <c r="AT87" s="297" t="str">
        <f aca="false">IF($A87="N/A"," ",IF(VLOOKUP(MONTH($A87),ManualTable,3)=1,IF(Dayrun&gt;=6,$DE87*8*$CY87,0),0))</f>
        <v> </v>
      </c>
      <c r="AU87" s="297" t="str">
        <f aca="false">IF($A87="N/A"," ",IF(VLOOKUP(MONTH($A87),ManualTable,4)=1,IF(OR(Dayrun&lt;=2,Dayrun&gt;=9),$DE87*8*$CY87,0),0))</f>
        <v> </v>
      </c>
      <c r="AV87" s="297" t="str">
        <f aca="false">IF($A87="N/A"," ",IF(VLOOKUP(MONTH($A87),ManualTable,5)=1,IF(OR(Dayrun=1,Dayrun=4,Dayrun=5,Dayrun=7,Dayrun=8,Dayrun=10,Dayrun=11),$DF87*8*$CY87,0),0))</f>
        <v> </v>
      </c>
      <c r="AW87" s="297" t="str">
        <f aca="false">IF($A87="N/A"," ",IF(VLOOKUP(MONTH($A87),ManualTable,6)=1,IF(OR(Dayrun=1,Dayrun=7,Dayrun=8,Dayrun=10,Dayrun=11),$DF87*8*$CY87,0),0))</f>
        <v> </v>
      </c>
      <c r="AX87" s="297" t="str">
        <f aca="false">IF($A87="N/A"," ",IF(VLOOKUP(MONTH($A87),ManualTable,7)=1,IF(OR(Dayrun&lt;=2,Dayrun&gt;=9),$DF87*8*$CY87,0),0))</f>
        <v> </v>
      </c>
      <c r="AY87" s="297" t="str">
        <f aca="false">IF($A87="N/A"," ",IF(VLOOKUP(MONTH($A87),ManualTable,8)=1,IF(OR(Dayrun=1,Dayrun=5,Dayrun=8,Dayrun=11),$DG87*8*$CY87,0),0))</f>
        <v> </v>
      </c>
      <c r="AZ87" s="297" t="str">
        <f aca="false">IF($A87="N/A"," ",IF(VLOOKUP(MONTH($A87),ManualTable,9)=1,IF(OR(Dayrun=1,Dayrun=8,Dayrun=11),$DG87*8*$CY87,0),0))</f>
        <v> </v>
      </c>
      <c r="BA87" s="298" t="str">
        <f aca="false">IF($A87="N/A"," ",IF(VLOOKUP(MONTH($A87),ManualTable,10)=1,IF(OR(Dayrun&lt;=2,Dayrun&gt;=9),$DG87*8*$CY87,0),0))</f>
        <v> </v>
      </c>
      <c r="BB87" s="299" t="str">
        <f aca="false">IF($A87="N/A"," ",IF(Dayrun&gt;=3,(MAX(0,(xSPRDOPT(I87,($E87-'Pricing Inputs'!$X122*$D87),$CV87,0,($CN87+IF(Smile=TRUE(),VLOOKUP(MAX(-5,$H87-I87),Volsmile,2),0)),$CT87,$CU87,($A87-DateToday)+15,ABS(Option-2),1)*DE87*8))),0))</f>
        <v> </v>
      </c>
      <c r="BC87" s="300" t="str">
        <f aca="false">IF($A87="N/A"," ",IF(Dayrun&gt;=6,MAX(0,(xSPRDOPT(J87,($E87-'Pricing Inputs'!$X122*$D87),$CV87,0,($CN87+IF(Smile=TRUE(),VLOOKUP(MAX(-5,$H87-J87),Volsmile,2),0)),$CT87,$CU87,($A87-DateToday)+15,ABS(Option-2),1)*DE87*8)),0))</f>
        <v> </v>
      </c>
      <c r="BD87" s="300" t="str">
        <f aca="false">IF($A87="N/A"," ",IF(OR(Dayrun&lt;=2,Dayrun&gt;=9),IF(OffPeakEx=TRUE(),MAX(0,(xSPRDOPT(K87,($E87-'Pricing Inputs'!$X122*$D87),$CV87,0,($CQ87+IF(Smile=TRUE(),VLOOKUP(MAX(-5,$H87-K87),Volsmile,2),0)),$CT87,$CU87,($A87-DateToday)+15,ABS(Option-2),1)*DE87*8)),0),0))</f>
        <v> </v>
      </c>
      <c r="BE87" s="300" t="str">
        <f aca="false">IF($A87="N/A"," ",IF(OR(Dayrun=1,Dayrun=4,Dayrun=5,Dayrun=7,Dayrun=8,Dayrun=10,Dayrun=11),MAX(0,(xSPRDOPT(L87,($E87-'Pricing Inputs'!$X122*$D87),$CV87,0,($CQ87+IF(Smile=TRUE(),VLOOKUP(MAX(-5,$H87-L87),Volsmile,2),0)),$CT87,$CU87,($A87-DateToday)+15,ABS(Option-2),1)*DF87*8)),0))</f>
        <v> </v>
      </c>
      <c r="BF87" s="300" t="str">
        <f aca="false">IF($A87="N/A"," ",IF(OR(Dayrun=1,Dayrun=7,Dayrun=8,Dayrun=10,Dayrun=11),MAX(0,(xSPRDOPT(M87,($E87-'Pricing Inputs'!$X122*$D87),$CV87,0,($CQ87+IF(Smile=TRUE(),VLOOKUP(MAX(-5,$H87-M87),Volsmile,2),0)),$CT87,$CU87,($A87-DateToday)+15,ABS(Option-2),1)*DF87*8)),0))</f>
        <v> </v>
      </c>
      <c r="BG87" s="300" t="str">
        <f aca="false">IF($A87="N/A"," ",IF(OR(Dayrun&lt;=2,Dayrun&gt;=10),IF(OffPeakEx=TRUE(),MAX(0,(xSPRDOPT(N87,($E87-'Pricing Inputs'!$X122*$D87),$CV87,0,($CQ87+IF(Smile=TRUE(),VLOOKUP(MAX(-5,$H87-N87),Volsmile,2),0)),$CT87,$CU87,($A87-DateToday)+15,ABS(Option-2),1)*DF87*8)),0),0))</f>
        <v> </v>
      </c>
      <c r="BH87" s="300" t="str">
        <f aca="false">IF($A87="N/A"," ",IF(OR(Dayrun=1,Dayrun=5,Dayrun=8,Dayrun=11),MAX(0,(xSPRDOPT(O87,($E87-'Pricing Inputs'!$X122*$D87),$CV87,0,($CQ87+IF(Smile=TRUE(),VLOOKUP(MAX(-5,$H87-O87),Volsmile,2),0)),$CT87,$CU87,($A87-DateToday)+15,ABS(Option-2),1)*DG87*8)),0))</f>
        <v> </v>
      </c>
      <c r="BI87" s="300" t="str">
        <f aca="false">IF($A87="N/A"," ",IF(OR(Dayrun=1,Dayrun=8,Dayrun=11),MAX(0,(xSPRDOPT(P87,($E87-'Pricing Inputs'!$X122*$D87),$CV87,0,($CQ87+IF(Smile=TRUE(),VLOOKUP(MAX(-5,$H87-P87),Volsmile,2),0)),$CT87,$CU87,($A87-DateToday)+15,ABS(Option-2),1)*DG87*8)),0))</f>
        <v> </v>
      </c>
      <c r="BJ87" s="301" t="str">
        <f aca="false">IF($A87="N/A"," ",IF(OR(Dayrun&lt;=2,Dayrun&gt;=11),IF(OffPeakEx=TRUE(),MAX(0,(xSPRDOPT(Q87,($E87-'Pricing Inputs'!$X122*$D87),$CV87,0,($CQ87+IF(Smile=TRUE(),VLOOKUP(MAX(-5,$H87-Q87),Volsmile,2),0)),$CT87,$CU87,($A87-DateToday)+15,ABS(Option-2),1)*DG87*8)),0),0))</f>
        <v> </v>
      </c>
      <c r="BK87" s="302" t="str">
        <f aca="false">IF($A87="N/A"," ",R87*$AS87)</f>
        <v> </v>
      </c>
      <c r="BL87" s="303" t="str">
        <f aca="false">IF($A87="N/A"," ",S87*$AT87)</f>
        <v> </v>
      </c>
      <c r="BM87" s="303" t="str">
        <f aca="false">IF($A87="N/A"," ",T87*$AU87)</f>
        <v> </v>
      </c>
      <c r="BN87" s="303" t="str">
        <f aca="false">IF($A87="N/A"," ",U87*$AV87)</f>
        <v> </v>
      </c>
      <c r="BO87" s="303" t="str">
        <f aca="false">IF($A87="N/A"," ",V87*$AW87)</f>
        <v> </v>
      </c>
      <c r="BP87" s="303" t="str">
        <f aca="false">IF($A87="N/A"," ",W87*$AX87)</f>
        <v> </v>
      </c>
      <c r="BQ87" s="303" t="str">
        <f aca="false">IF($A87="N/A"," ",X87*$AY87)</f>
        <v> </v>
      </c>
      <c r="BR87" s="303" t="str">
        <f aca="false">IF($A87="N/A"," ",Y87*$AZ87)</f>
        <v> </v>
      </c>
      <c r="BS87" s="304" t="str">
        <f aca="false">IF($A87="N/A"," ",Z87*$BA87)</f>
        <v> </v>
      </c>
      <c r="BT87" s="305" t="str">
        <f aca="false">IF($A87="N/A"," ",AA87*$AS87)</f>
        <v> </v>
      </c>
      <c r="BU87" s="306" t="str">
        <f aca="false">IF($A87="N/A"," ",AB87*$AT87)</f>
        <v> </v>
      </c>
      <c r="BV87" s="306" t="str">
        <f aca="false">IF($A87="N/A"," ",AC87*$AU87)</f>
        <v> </v>
      </c>
      <c r="BW87" s="306" t="str">
        <f aca="false">IF($A87="N/A"," ",AD87*$AV87)</f>
        <v> </v>
      </c>
      <c r="BX87" s="306" t="str">
        <f aca="false">IF($A87="N/A"," ",AE87*$AW87)</f>
        <v> </v>
      </c>
      <c r="BY87" s="306" t="str">
        <f aca="false">IF($A87="N/A"," ",AF87*$AX87)</f>
        <v> </v>
      </c>
      <c r="BZ87" s="306" t="str">
        <f aca="false">IF($A87="N/A"," ",AG87*$AY87)</f>
        <v> </v>
      </c>
      <c r="CA87" s="306" t="str">
        <f aca="false">IF($A87="N/A"," ",AH87*$AZ87)</f>
        <v> </v>
      </c>
      <c r="CB87" s="307" t="str">
        <f aca="false">IF($A87="N/A"," ",AI87*$BA87)</f>
        <v> </v>
      </c>
      <c r="CC87" s="308" t="str">
        <f aca="false">IF($A87="N/A"," ",AJ87*$AS87)</f>
        <v> </v>
      </c>
      <c r="CD87" s="309" t="str">
        <f aca="false">IF($A87="N/A"," ",AK87*$AT87)</f>
        <v> </v>
      </c>
      <c r="CE87" s="309" t="str">
        <f aca="false">IF($A87="N/A"," ",AL87*$AU87)</f>
        <v> </v>
      </c>
      <c r="CF87" s="309" t="str">
        <f aca="false">IF($A87="N/A"," ",AM87*$AV87)</f>
        <v> </v>
      </c>
      <c r="CG87" s="309" t="str">
        <f aca="false">IF($A87="N/A"," ",AN87*$AW87)</f>
        <v> </v>
      </c>
      <c r="CH87" s="309" t="str">
        <f aca="false">IF($A87="N/A"," ",AO87*$AX87)</f>
        <v> </v>
      </c>
      <c r="CI87" s="309" t="str">
        <f aca="false">IF($A87="N/A"," ",AP87*$AY87)</f>
        <v> </v>
      </c>
      <c r="CJ87" s="309" t="str">
        <f aca="false">IF($A87="N/A"," ",AQ87*$AZ87)</f>
        <v> </v>
      </c>
      <c r="CK87" s="310" t="str">
        <f aca="false">IF($A87="N/A"," ",AR87*$BA87)</f>
        <v> </v>
      </c>
      <c r="CL87" s="311" t="str">
        <f aca="false">IF(A87="N/A"," ",(VLOOKUP(A87,PowerVolTable,(IF(VolBMO=2,7,IF(VolBMO=1,6,8))),FALSE())))</f>
        <v> </v>
      </c>
      <c r="CM87" s="312" t="str">
        <f aca="false">IF(A87="N/A"," ",(VLOOKUP(A87,IntraPowerVol,(IF(VolBMO=2,3,IF(VolBMO=1,2,4))),FALSE())*VLOOKUP(MONTH($A87),Volscale,2)))</f>
        <v> </v>
      </c>
      <c r="CN87" s="312" t="str">
        <f aca="false">IF($A87="N/A"," ",IF(VolType=1,CM87,CL87))</f>
        <v> </v>
      </c>
      <c r="CO87" s="312" t="str">
        <f aca="false">IF($A87="N/A"," ",(VLOOKUP($A87,OffPeakVol,(IF(VolBMO=2,7,IF(VolBMO=1,6,8))),FALSE())))</f>
        <v> </v>
      </c>
      <c r="CP87" s="312" t="str">
        <f aca="false">IF($A87="N/A"," ",(VLOOKUP($A87,OffPeakVol,(IF(VolBMO=2,3,IF(VolBMO=1,2,4))),FALSE())*VLOOKUP(MONTH($A87),Volscale,2)))</f>
        <v> </v>
      </c>
      <c r="CQ87" s="312" t="str">
        <f aca="false">IF($A87="N/A"," ",IF(VolType=1,CP87,CO87))</f>
        <v> </v>
      </c>
      <c r="CR87" s="312" t="str">
        <f aca="false">IF($A87="N/A"," ",(VLOOKUP($A87,GasVolTable,(IF(VolBMO=2,6,IF(VolBMO=1,7,5))),FALSE())))</f>
        <v> </v>
      </c>
      <c r="CS87" s="312" t="str">
        <f aca="false">IF($A87="N/A"," ",(VLOOKUP($A87,OmicronVol,(IF(VolBMO=2,3,IF(VolBMO=1,4,2))),FALSE())))</f>
        <v> </v>
      </c>
      <c r="CT87" s="312" t="str">
        <f aca="false">IF($A87="N/A"," ",(IF(DateToday&gt;$A87,$CS87,IF(VolType=1,((($CR87^2)*((($A87-1)-DateToday)/((EOMONTH($A87,0)+1)-DateToday-15)))+((($CS87)^2)*((15)/((EOMONTH($A87,0)+1)-DateToday-15))))^0.5,CR87))))</f>
        <v> </v>
      </c>
      <c r="CU87" s="312" t="str">
        <f aca="false">IF($A87="N/A"," ",IF('Pricing Inputs'!$AR$23=TRUE(),Inputs!$S$22,VLOOKUP($A87,CorrelationTable,2,FALSE())))</f>
        <v> </v>
      </c>
      <c r="CV87" s="313" t="str">
        <f aca="false">IF($A87="N/A"," ",F87+G87+(D87*('Pricing Inputs'!X122)))</f>
        <v> </v>
      </c>
      <c r="CW87" s="314" t="str">
        <f aca="false">IF($A87="N/A"," ",IF(PV=1,0,'Pricing Inputs'!Y122))</f>
        <v> </v>
      </c>
      <c r="CX87" s="315" t="str">
        <f aca="false">IF($A87="N/A"," ",(1+CW87/2)^(-2*((EOMONTH(A87,0)+20)-DateToday)/365.25))</f>
        <v> </v>
      </c>
      <c r="CY87" s="316" t="str">
        <f aca="false">IF($A87="N/A"," ",(IF(MONTH(A87)&gt;=4,IF(MONTH(A87)&lt;=10,Inputs!$S$26,Inputs!$S$27),Inputs!$S$27))*$CX87)</f>
        <v> </v>
      </c>
      <c r="CZ87" s="317" t="str">
        <f aca="false">IF($A87="N/A"," ",BK87+BL87+BN87+BO87+BQ87+BR87)</f>
        <v> </v>
      </c>
      <c r="DA87" s="318" t="str">
        <f aca="false">IF($A87="N/A"," ",BM87+BP87+BS87)</f>
        <v> </v>
      </c>
      <c r="DB87" s="319" t="str">
        <f aca="false">IF($A87="N/A"," ",BT87+BU87+BW87+BX87+BZ87+CA87)</f>
        <v> </v>
      </c>
      <c r="DC87" s="319" t="str">
        <f aca="false">IF($A87="N/A"," ",BV87+BY87+CB87)</f>
        <v> </v>
      </c>
      <c r="DD87" s="320" t="str">
        <f aca="false">IF($A87="N/A"," ",SUM(CC87:CK87))</f>
        <v> </v>
      </c>
      <c r="DE87" s="321" t="str">
        <f aca="false">IF($A87="N/A"," ",VLOOKUP($A87,NumberofDaysTable,2)*Availability)</f>
        <v> </v>
      </c>
      <c r="DF87" s="94" t="str">
        <f aca="false">IF($A87="N/A"," ",VLOOKUP($A87,NumberofDaysTable,3)*Availability)</f>
        <v> </v>
      </c>
      <c r="DG87" s="322" t="str">
        <f aca="false">IF($A87="N/A"," ",VLOOKUP($A87,NumberofDaysTable,4)*Availability)</f>
        <v> </v>
      </c>
      <c r="DH87" s="323" t="str">
        <f aca="false">IF($A87="N/A"," ",IF(Option=1,$D87*Inputs!$S$15*SUM(AS87:BA87),0))</f>
        <v> </v>
      </c>
      <c r="DI87" s="324" t="str">
        <f aca="false">IF($A87="N/A"," ",IF(Option=1,$D87*Inputs!$S$16*SUM(AS87:BA87),0))</f>
        <v> </v>
      </c>
      <c r="DJ87" s="325" t="str">
        <f aca="false">IF($A87="N/A"," ",SUM(AS87:AT87))</f>
        <v> </v>
      </c>
      <c r="DK87" s="325" t="str">
        <f aca="false">IF($A87="N/A"," ",SUM(AU87:BA87))</f>
        <v> </v>
      </c>
      <c r="DL87" s="325" t="str">
        <f aca="false">IF($A87="N/A"," ",SUM(BB87:BC87))</f>
        <v> </v>
      </c>
      <c r="DM87" s="325" t="str">
        <f aca="false">IF($A87="N/A"," ",SUM(BD87:BJ87))</f>
        <v> </v>
      </c>
    </row>
    <row r="88" customFormat="false" ht="12.75" hidden="false" customHeight="false" outlineLevel="0" collapsed="false">
      <c r="A88" s="282" t="str">
        <f aca="false">IF(A87="N/A","N/A",IF(EDATE(A87,1)&gt;Inputs!$S$5,"N/A",EDATE(A87,1)))</f>
        <v>N/A</v>
      </c>
      <c r="B88" s="283" t="str">
        <f aca="false">IF(A88="N/A"," ",YEAR(A88))</f>
        <v> </v>
      </c>
      <c r="C88" s="284" t="str">
        <f aca="false">IF(A88="N/A"," ",VLOOKUP(A88,ScaledPrice,14))</f>
        <v> </v>
      </c>
      <c r="D88" s="285" t="str">
        <f aca="false">IF(A88="N/A"," ",(VLOOKUP(MONTH($A88),Hrtable,2))/1000)</f>
        <v> </v>
      </c>
      <c r="E88" s="286" t="str">
        <f aca="false">IF($A88="N/A"," ",(C88)*D88)</f>
        <v> </v>
      </c>
      <c r="F88" s="287" t="str">
        <f aca="false">IF(A88="N/A"," ",VOM*(1+VOMesc)^(YEAR(A88)-YEAR(Today)))</f>
        <v> </v>
      </c>
      <c r="G88" s="287" t="str">
        <f aca="false">IF(A88="N/A"," ",Perstart/VLOOKUP(Dayrun,'Pricing Inputs'!$AQ$4:$AS$14,3)/(CY88/CX88))</f>
        <v> </v>
      </c>
      <c r="H88" s="288" t="str">
        <f aca="false">IF(A88="N/A"," ",SUM(E88:G88))</f>
        <v> </v>
      </c>
      <c r="I88" s="289" t="str">
        <f aca="false">VLOOKUP($A88,ScaledPrice,6)</f>
        <v> </v>
      </c>
      <c r="J88" s="290" t="str">
        <f aca="false">VLOOKUP($A88,ScaledPrice,10)</f>
        <v> </v>
      </c>
      <c r="K88" s="290" t="str">
        <f aca="false">VLOOKUP($A88,ScaledPrice,13)</f>
        <v> </v>
      </c>
      <c r="L88" s="290" t="str">
        <f aca="false">VLOOKUP($A88,ScaledPrice,7)</f>
        <v> </v>
      </c>
      <c r="M88" s="290" t="str">
        <f aca="false">VLOOKUP($A88,ScaledPrice,11)</f>
        <v> </v>
      </c>
      <c r="N88" s="290" t="str">
        <f aca="false">VLOOKUP($A88,ScaledPrice,13)</f>
        <v> </v>
      </c>
      <c r="O88" s="290" t="str">
        <f aca="false">VLOOKUP($A88,ScaledPrice,8)</f>
        <v> </v>
      </c>
      <c r="P88" s="290" t="str">
        <f aca="false">VLOOKUP($A88,ScaledPrice,12)</f>
        <v> </v>
      </c>
      <c r="Q88" s="291" t="str">
        <f aca="false">VLOOKUP($A88,ScaledPrice,13)</f>
        <v> </v>
      </c>
      <c r="R88" s="292" t="str">
        <f aca="false">IF($A88="N/A"," ",IF(Dayrun&gt;=3,IF(Option=1,MAX($I88-$H88,0),IF(Option=2,MAX($H88-$I88,0),0)),0))</f>
        <v> </v>
      </c>
      <c r="S88" s="286" t="str">
        <f aca="false">IF($A88="N/A"," ",IF(Dayrun&gt;=6,IF(Option=1,MAX($J88-H88,0),IF(Option=2,MAX(H88-$J88,0),0)),0))</f>
        <v> </v>
      </c>
      <c r="T88" s="286" t="str">
        <f aca="false">IF($A88="N/A"," ",IF(OR(Dayrun&lt;=2,Dayrun&gt;=9),IF(Option=1,MAX($K88-$H88,0),IF(Option=2,MAX($H88-$K88,0),0)),0))</f>
        <v> </v>
      </c>
      <c r="U88" s="286" t="str">
        <f aca="false">IF($A88="N/A"," ",IF(OR(Dayrun=1,Dayrun=4,Dayrun=5,Dayrun=7,Dayrun=8,Dayrun=10,Dayrun=11),IF(Option=1,MAX($L88-H88,0),IF(Option=2,MAX(H88-$L88,0),0)),0))</f>
        <v> </v>
      </c>
      <c r="V88" s="286" t="str">
        <f aca="false">IF($A88="N/A"," ",IF(OR(Dayrun=1,Dayrun=7,Dayrun=8,Dayrun=10,Dayrun=11),IF(Option=1,MAX($M88-H88,0),IF(Option=2,MAX(H88-$M88,0),0)),0))</f>
        <v> </v>
      </c>
      <c r="W88" s="286" t="str">
        <f aca="false">IF($A88="N/A"," ",IF(OR(Dayrun&lt;=2,Dayrun&gt;=10),IF(Option=1,MAX($N88-$H88,0),IF(Option=2,MAX($H88-$N88,0),0)),0))</f>
        <v> </v>
      </c>
      <c r="X88" s="286" t="str">
        <f aca="false">IF($A88="N/A"," ",IF(OR(Dayrun=1,Dayrun=5,Dayrun=8,Dayrun=11),IF(Option=1,MAX($O88-H88,0),IF(Option=2,MAX(H88-$O88,0),0)),0))</f>
        <v> </v>
      </c>
      <c r="Y88" s="286" t="str">
        <f aca="false">IF($A88="N/A"," ",IF(OR(Dayrun=1,Dayrun=8,Dayrun=11),IF(Option=1,MAX($P88-H88,0),IF(Option=2,MAX(H88-$P88,0),0)),0))</f>
        <v> </v>
      </c>
      <c r="Z88" s="293" t="str">
        <f aca="false">IF($A88="N/A"," ",IF(OR(Dayrun&lt;=2,Dayrun&gt;=11),IF(Option=1,MAX($Q88-$H88,0),IF(Option=2,MAX($H88-$Q88,0),0)),0))</f>
        <v> </v>
      </c>
      <c r="AA88" s="289" t="str">
        <f aca="false">IF($A88="N/A"," ",IF(Dayrun&gt;=3,(MAX(0,(xSPRDOPT(I88,($E88-'Pricing Inputs'!$X123*$D88),$CV88,0,($CN88+IF(Smile=TRUE(),VLOOKUP(MAX(-5,$H88-I88),Volsmile,2),0)),$CT88,$CU88,($A88-DateToday)+15,ABS(Option-2),0)-R88))),0))</f>
        <v> </v>
      </c>
      <c r="AB88" s="290" t="str">
        <f aca="false">IF($A88="N/A"," ",IF(Dayrun&gt;=6,MAX(0,(xSPRDOPT(J88,($E88-'Pricing Inputs'!$X123*$D88),$CV88,0,($CN88+IF(Smile=TRUE(),VLOOKUP(MAX(-5,$H88-J88),Volsmile,2),0)),$CT88,$CU88,($A88-DateToday)+15,ABS(Option-2),0)-S88)),0))</f>
        <v> </v>
      </c>
      <c r="AC88" s="290" t="str">
        <f aca="false">IF($A88="N/A"," ",IF(OR(Dayrun&lt;=2,Dayrun&gt;=9),IF(OffPeakEx=TRUE(),MAX(0,(xSPRDOPT(K88,($E88-'Pricing Inputs'!$X123*$D88),$CV88,0,($CQ88+IF(Smile=TRUE(),VLOOKUP(MAX(-5,$H88-K88),Volsmile,2),0)),$CT88,$CU88,($A88-DateToday)+15,ABS(Option-2),0)-T88)),0),0))</f>
        <v> </v>
      </c>
      <c r="AD88" s="290" t="str">
        <f aca="false">IF($A88="N/A"," ",IF(OR(Dayrun=1,Dayrun=4,Dayrun=5,Dayrun=7,Dayrun=8,Dayrun=10,Dayrun=11),MAX(0,(xSPRDOPT(L88,($E88-'Pricing Inputs'!$X123*$D88),$CV88,0,($CQ88+IF(Smile=TRUE(),VLOOKUP(MAX(-5,$H88-L88),Volsmile,2),0)),$CT88,$CU88,($A88-DateToday)+15,ABS(Option-2),0)-U88)),0))</f>
        <v> </v>
      </c>
      <c r="AE88" s="290" t="str">
        <f aca="false">IF($A88="N/A"," ",IF(OR(Dayrun=1,Dayrun=7,Dayrun=8,Dayrun=10,Dayrun=11),MAX(0,(xSPRDOPT(M88,($E88-'Pricing Inputs'!$X123*$D88),$CV88,0,($CQ88+IF(Smile=TRUE(),VLOOKUP(MAX(-5,$H88-M88),Volsmile,2),0)),$CT88,$CU88,($A88-DateToday)+15,ABS(Option-2),0)-V88)),0))</f>
        <v> </v>
      </c>
      <c r="AF88" s="290" t="str">
        <f aca="false">IF($A88="N/A"," ",IF(OR(Dayrun&lt;=2,Dayrun&gt;=10),IF(OffPeakEx=TRUE(),MAX(0,(xSPRDOPT(N88,($E88-'Pricing Inputs'!$X123*$D88),$CV88,0,($CQ88+IF(Smile=TRUE(),VLOOKUP(MAX(-5,$H88-N88),Volsmile,2),0)),$CT88,$CU88,($A88-DateToday)+15,ABS(Option-2),0)-W88)),0),0))</f>
        <v> </v>
      </c>
      <c r="AG88" s="290" t="str">
        <f aca="false">IF($A88="N/A"," ",IF(OR(Dayrun=1,Dayrun=5,Dayrun=8,Dayrun=11),MAX(0,(xSPRDOPT(O88,($E88-'Pricing Inputs'!$X123*$D88),$CV88,0,($CQ88+IF(Smile=TRUE(),VLOOKUP(MAX(-5,$H88-O88),Volsmile,2),0)),$CT88,$CU88,($A88-DateToday)+15,ABS(Option-2),0)-X88)),0))</f>
        <v> </v>
      </c>
      <c r="AH88" s="290" t="str">
        <f aca="false">IF($A88="N/A"," ",IF(OR(Dayrun=1,Dayrun=8,Dayrun=11),MAX(0,(xSPRDOPT(P88,($E88-'Pricing Inputs'!$X123*$D88),$CV88,0,($CQ88+IF(Smile=TRUE(),VLOOKUP(MAX(-5,$H88-P88),Volsmile,2),0)),$CT88,$CU88,($A88-DateToday)+15,ABS(Option-2),0)-Y88)),0))</f>
        <v> </v>
      </c>
      <c r="AI88" s="290" t="str">
        <f aca="false">IF($A88="N/A"," ",IF(OR(Dayrun&lt;=2,Dayrun&gt;=11),IF(OffPeakEx=TRUE(),MAX(0,(xSPRDOPT(Q88,($E88-'Pricing Inputs'!$X123*$D88),$CV88,0,($CQ88+IF(Smile=TRUE(),VLOOKUP(MAX(-5,$H88-Q88),Volsmile,2),0)),$CT88,$CU88,($A88-DateToday)+15,ABS(Option-2),0)-Z88)),0),0))</f>
        <v> </v>
      </c>
      <c r="AJ88" s="294" t="str">
        <f aca="false">IF($A88="N/A"," ",IF(Dayrun&gt;=3,IF(Option=1,$I88-$H88,IF(Option=2,$H88-$I88)),0))</f>
        <v> </v>
      </c>
      <c r="AK88" s="295" t="str">
        <f aca="false">IF($A88="N/A"," ",IF(Dayrun&gt;=6,IF(Option=1,$J88-H88,IF(Option=2,H88-$J88)),0))</f>
        <v> </v>
      </c>
      <c r="AL88" s="295" t="str">
        <f aca="false">IF($A88="N/A"," ",IF(OR(Dayrun&lt;=2,Dayrun&gt;=9),IF(Option=1,$K88-$H88,IF(Option=2,$H88-$K88)),0))</f>
        <v> </v>
      </c>
      <c r="AM88" s="295" t="str">
        <f aca="false">IF($A88="N/A"," ",IF(OR(Dayrun=1,Dayrun=4,Dayrun=5,Dayrun=7,Dayrun=8,Dayrun=10,Dayrun=11),IF(Option=1,$L88-H88,IF(Option=2,H88-$L88)),0))</f>
        <v> </v>
      </c>
      <c r="AN88" s="295" t="str">
        <f aca="false">IF($A88="N/A"," ",IF(OR(Dayrun=1,Dayrun=7,Dayrun=8,Dayrun=10,Dayrun=11),IF(Option=1,$M88-H88,IF(Option=2,H88-$M88)),0))</f>
        <v> </v>
      </c>
      <c r="AO88" s="295" t="str">
        <f aca="false">IF($A88="N/A"," ",IF(OR(Dayrun&lt;=2,Dayrun&gt;=9),IF(Option=1,$N88-$H88,IF(Option=2,$H88-$N88)),0))</f>
        <v> </v>
      </c>
      <c r="AP88" s="295" t="str">
        <f aca="false">IF($A88="N/A"," ",IF(OR(Dayrun=1,Dayrun=5,Dayrun=8,Dayrun=11),IF(Option=1,$O88-H88,IF(Option=2,H88-$O88)),0))</f>
        <v> </v>
      </c>
      <c r="AQ88" s="295" t="str">
        <f aca="false">IF($A88="N/A"," ",IF(OR(Dayrun=1,Dayrun=8,Dayrun=11),IF(Option=1,$P88-H88,IF(Option=2,H88-$P88)),0))</f>
        <v> </v>
      </c>
      <c r="AR88" s="296" t="str">
        <f aca="false">IF($A88="N/A"," ",IF(OR(Dayrun&lt;=2,Dayrun&gt;=9),IF(Option=1,$Q88-H88,IF(Option=2,H88-$Q88)),0))</f>
        <v> </v>
      </c>
      <c r="AS88" s="297" t="str">
        <f aca="false">IF($A88="N/A"," ",IF(VLOOKUP(MONTH($A88),ManualTable,2)=1,IF(Dayrun&gt;=3,$DE88*8*$CY88,0),0))</f>
        <v> </v>
      </c>
      <c r="AT88" s="297" t="str">
        <f aca="false">IF($A88="N/A"," ",IF(VLOOKUP(MONTH($A88),ManualTable,3)=1,IF(Dayrun&gt;=6,$DE88*8*$CY88,0),0))</f>
        <v> </v>
      </c>
      <c r="AU88" s="297" t="str">
        <f aca="false">IF($A88="N/A"," ",IF(VLOOKUP(MONTH($A88),ManualTable,4)=1,IF(OR(Dayrun&lt;=2,Dayrun&gt;=9),$DE88*8*$CY88,0),0))</f>
        <v> </v>
      </c>
      <c r="AV88" s="297" t="str">
        <f aca="false">IF($A88="N/A"," ",IF(VLOOKUP(MONTH($A88),ManualTable,5)=1,IF(OR(Dayrun=1,Dayrun=4,Dayrun=5,Dayrun=7,Dayrun=8,Dayrun=10,Dayrun=11),$DF88*8*$CY88,0),0))</f>
        <v> </v>
      </c>
      <c r="AW88" s="297" t="str">
        <f aca="false">IF($A88="N/A"," ",IF(VLOOKUP(MONTH($A88),ManualTable,6)=1,IF(OR(Dayrun=1,Dayrun=7,Dayrun=8,Dayrun=10,Dayrun=11),$DF88*8*$CY88,0),0))</f>
        <v> </v>
      </c>
      <c r="AX88" s="297" t="str">
        <f aca="false">IF($A88="N/A"," ",IF(VLOOKUP(MONTH($A88),ManualTable,7)=1,IF(OR(Dayrun&lt;=2,Dayrun&gt;=9),$DF88*8*$CY88,0),0))</f>
        <v> </v>
      </c>
      <c r="AY88" s="297" t="str">
        <f aca="false">IF($A88="N/A"," ",IF(VLOOKUP(MONTH($A88),ManualTable,8)=1,IF(OR(Dayrun=1,Dayrun=5,Dayrun=8,Dayrun=11),$DG88*8*$CY88,0),0))</f>
        <v> </v>
      </c>
      <c r="AZ88" s="297" t="str">
        <f aca="false">IF($A88="N/A"," ",IF(VLOOKUP(MONTH($A88),ManualTable,9)=1,IF(OR(Dayrun=1,Dayrun=8,Dayrun=11),$DG88*8*$CY88,0),0))</f>
        <v> </v>
      </c>
      <c r="BA88" s="298" t="str">
        <f aca="false">IF($A88="N/A"," ",IF(VLOOKUP(MONTH($A88),ManualTable,10)=1,IF(OR(Dayrun&lt;=2,Dayrun&gt;=9),$DG88*8*$CY88,0),0))</f>
        <v> </v>
      </c>
      <c r="BB88" s="299" t="str">
        <f aca="false">IF($A88="N/A"," ",IF(Dayrun&gt;=3,(MAX(0,(xSPRDOPT(I88,($E88-'Pricing Inputs'!$X123*$D88),$CV88,0,($CN88+IF(Smile=TRUE(),VLOOKUP(MAX(-5,$H88-I88),Volsmile,2),0)),$CT88,$CU88,($A88-DateToday)+15,ABS(Option-2),1)*DE88*8))),0))</f>
        <v> </v>
      </c>
      <c r="BC88" s="300" t="str">
        <f aca="false">IF($A88="N/A"," ",IF(Dayrun&gt;=6,MAX(0,(xSPRDOPT(J88,($E88-'Pricing Inputs'!$X123*$D88),$CV88,0,($CN88+IF(Smile=TRUE(),VLOOKUP(MAX(-5,$H88-J88),Volsmile,2),0)),$CT88,$CU88,($A88-DateToday)+15,ABS(Option-2),1)*DE88*8)),0))</f>
        <v> </v>
      </c>
      <c r="BD88" s="300" t="str">
        <f aca="false">IF($A88="N/A"," ",IF(OR(Dayrun&lt;=2,Dayrun&gt;=9),IF(OffPeakEx=TRUE(),MAX(0,(xSPRDOPT(K88,($E88-'Pricing Inputs'!$X123*$D88),$CV88,0,($CQ88+IF(Smile=TRUE(),VLOOKUP(MAX(-5,$H88-K88),Volsmile,2),0)),$CT88,$CU88,($A88-DateToday)+15,ABS(Option-2),1)*DE88*8)),0),0))</f>
        <v> </v>
      </c>
      <c r="BE88" s="300" t="str">
        <f aca="false">IF($A88="N/A"," ",IF(OR(Dayrun=1,Dayrun=4,Dayrun=5,Dayrun=7,Dayrun=8,Dayrun=10,Dayrun=11),MAX(0,(xSPRDOPT(L88,($E88-'Pricing Inputs'!$X123*$D88),$CV88,0,($CQ88+IF(Smile=TRUE(),VLOOKUP(MAX(-5,$H88-L88),Volsmile,2),0)),$CT88,$CU88,($A88-DateToday)+15,ABS(Option-2),1)*DF88*8)),0))</f>
        <v> </v>
      </c>
      <c r="BF88" s="300" t="str">
        <f aca="false">IF($A88="N/A"," ",IF(OR(Dayrun=1,Dayrun=7,Dayrun=8,Dayrun=10,Dayrun=11),MAX(0,(xSPRDOPT(M88,($E88-'Pricing Inputs'!$X123*$D88),$CV88,0,($CQ88+IF(Smile=TRUE(),VLOOKUP(MAX(-5,$H88-M88),Volsmile,2),0)),$CT88,$CU88,($A88-DateToday)+15,ABS(Option-2),1)*DF88*8)),0))</f>
        <v> </v>
      </c>
      <c r="BG88" s="300" t="str">
        <f aca="false">IF($A88="N/A"," ",IF(OR(Dayrun&lt;=2,Dayrun&gt;=10),IF(OffPeakEx=TRUE(),MAX(0,(xSPRDOPT(N88,($E88-'Pricing Inputs'!$X123*$D88),$CV88,0,($CQ88+IF(Smile=TRUE(),VLOOKUP(MAX(-5,$H88-N88),Volsmile,2),0)),$CT88,$CU88,($A88-DateToday)+15,ABS(Option-2),1)*DF88*8)),0),0))</f>
        <v> </v>
      </c>
      <c r="BH88" s="300" t="str">
        <f aca="false">IF($A88="N/A"," ",IF(OR(Dayrun=1,Dayrun=5,Dayrun=8,Dayrun=11),MAX(0,(xSPRDOPT(O88,($E88-'Pricing Inputs'!$X123*$D88),$CV88,0,($CQ88+IF(Smile=TRUE(),VLOOKUP(MAX(-5,$H88-O88),Volsmile,2),0)),$CT88,$CU88,($A88-DateToday)+15,ABS(Option-2),1)*DG88*8)),0))</f>
        <v> </v>
      </c>
      <c r="BI88" s="300" t="str">
        <f aca="false">IF($A88="N/A"," ",IF(OR(Dayrun=1,Dayrun=8,Dayrun=11),MAX(0,(xSPRDOPT(P88,($E88-'Pricing Inputs'!$X123*$D88),$CV88,0,($CQ88+IF(Smile=TRUE(),VLOOKUP(MAX(-5,$H88-P88),Volsmile,2),0)),$CT88,$CU88,($A88-DateToday)+15,ABS(Option-2),1)*DG88*8)),0))</f>
        <v> </v>
      </c>
      <c r="BJ88" s="301" t="str">
        <f aca="false">IF($A88="N/A"," ",IF(OR(Dayrun&lt;=2,Dayrun&gt;=11),IF(OffPeakEx=TRUE(),MAX(0,(xSPRDOPT(Q88,($E88-'Pricing Inputs'!$X123*$D88),$CV88,0,($CQ88+IF(Smile=TRUE(),VLOOKUP(MAX(-5,$H88-Q88),Volsmile,2),0)),$CT88,$CU88,($A88-DateToday)+15,ABS(Option-2),1)*DG88*8)),0),0))</f>
        <v> </v>
      </c>
      <c r="BK88" s="302" t="str">
        <f aca="false">IF($A88="N/A"," ",R88*$AS88)</f>
        <v> </v>
      </c>
      <c r="BL88" s="303" t="str">
        <f aca="false">IF($A88="N/A"," ",S88*$AT88)</f>
        <v> </v>
      </c>
      <c r="BM88" s="303" t="str">
        <f aca="false">IF($A88="N/A"," ",T88*$AU88)</f>
        <v> </v>
      </c>
      <c r="BN88" s="303" t="str">
        <f aca="false">IF($A88="N/A"," ",U88*$AV88)</f>
        <v> </v>
      </c>
      <c r="BO88" s="303" t="str">
        <f aca="false">IF($A88="N/A"," ",V88*$AW88)</f>
        <v> </v>
      </c>
      <c r="BP88" s="303" t="str">
        <f aca="false">IF($A88="N/A"," ",W88*$AX88)</f>
        <v> </v>
      </c>
      <c r="BQ88" s="303" t="str">
        <f aca="false">IF($A88="N/A"," ",X88*$AY88)</f>
        <v> </v>
      </c>
      <c r="BR88" s="303" t="str">
        <f aca="false">IF($A88="N/A"," ",Y88*$AZ88)</f>
        <v> </v>
      </c>
      <c r="BS88" s="304" t="str">
        <f aca="false">IF($A88="N/A"," ",Z88*$BA88)</f>
        <v> </v>
      </c>
      <c r="BT88" s="305" t="str">
        <f aca="false">IF($A88="N/A"," ",AA88*$AS88)</f>
        <v> </v>
      </c>
      <c r="BU88" s="306" t="str">
        <f aca="false">IF($A88="N/A"," ",AB88*$AT88)</f>
        <v> </v>
      </c>
      <c r="BV88" s="306" t="str">
        <f aca="false">IF($A88="N/A"," ",AC88*$AU88)</f>
        <v> </v>
      </c>
      <c r="BW88" s="306" t="str">
        <f aca="false">IF($A88="N/A"," ",AD88*$AV88)</f>
        <v> </v>
      </c>
      <c r="BX88" s="306" t="str">
        <f aca="false">IF($A88="N/A"," ",AE88*$AW88)</f>
        <v> </v>
      </c>
      <c r="BY88" s="306" t="str">
        <f aca="false">IF($A88="N/A"," ",AF88*$AX88)</f>
        <v> </v>
      </c>
      <c r="BZ88" s="306" t="str">
        <f aca="false">IF($A88="N/A"," ",AG88*$AY88)</f>
        <v> </v>
      </c>
      <c r="CA88" s="306" t="str">
        <f aca="false">IF($A88="N/A"," ",AH88*$AZ88)</f>
        <v> </v>
      </c>
      <c r="CB88" s="307" t="str">
        <f aca="false">IF($A88="N/A"," ",AI88*$BA88)</f>
        <v> </v>
      </c>
      <c r="CC88" s="308" t="str">
        <f aca="false">IF($A88="N/A"," ",AJ88*$AS88)</f>
        <v> </v>
      </c>
      <c r="CD88" s="309" t="str">
        <f aca="false">IF($A88="N/A"," ",AK88*$AT88)</f>
        <v> </v>
      </c>
      <c r="CE88" s="309" t="str">
        <f aca="false">IF($A88="N/A"," ",AL88*$AU88)</f>
        <v> </v>
      </c>
      <c r="CF88" s="309" t="str">
        <f aca="false">IF($A88="N/A"," ",AM88*$AV88)</f>
        <v> </v>
      </c>
      <c r="CG88" s="309" t="str">
        <f aca="false">IF($A88="N/A"," ",AN88*$AW88)</f>
        <v> </v>
      </c>
      <c r="CH88" s="309" t="str">
        <f aca="false">IF($A88="N/A"," ",AO88*$AX88)</f>
        <v> </v>
      </c>
      <c r="CI88" s="309" t="str">
        <f aca="false">IF($A88="N/A"," ",AP88*$AY88)</f>
        <v> </v>
      </c>
      <c r="CJ88" s="309" t="str">
        <f aca="false">IF($A88="N/A"," ",AQ88*$AZ88)</f>
        <v> </v>
      </c>
      <c r="CK88" s="310" t="str">
        <f aca="false">IF($A88="N/A"," ",AR88*$BA88)</f>
        <v> </v>
      </c>
      <c r="CL88" s="311" t="str">
        <f aca="false">IF(A88="N/A"," ",(VLOOKUP(A88,PowerVolTable,(IF(VolBMO=2,7,IF(VolBMO=1,6,8))),FALSE())))</f>
        <v> </v>
      </c>
      <c r="CM88" s="312" t="str">
        <f aca="false">IF(A88="N/A"," ",(VLOOKUP(A88,IntraPowerVol,(IF(VolBMO=2,3,IF(VolBMO=1,2,4))),FALSE())*VLOOKUP(MONTH($A88),Volscale,2)))</f>
        <v> </v>
      </c>
      <c r="CN88" s="312" t="str">
        <f aca="false">IF($A88="N/A"," ",IF(VolType=1,CM88,CL88))</f>
        <v> </v>
      </c>
      <c r="CO88" s="312" t="str">
        <f aca="false">IF($A88="N/A"," ",(VLOOKUP($A88,OffPeakVol,(IF(VolBMO=2,7,IF(VolBMO=1,6,8))),FALSE())))</f>
        <v> </v>
      </c>
      <c r="CP88" s="312" t="str">
        <f aca="false">IF($A88="N/A"," ",(VLOOKUP($A88,OffPeakVol,(IF(VolBMO=2,3,IF(VolBMO=1,2,4))),FALSE())*VLOOKUP(MONTH($A88),Volscale,2)))</f>
        <v> </v>
      </c>
      <c r="CQ88" s="312" t="str">
        <f aca="false">IF($A88="N/A"," ",IF(VolType=1,CP88,CO88))</f>
        <v> </v>
      </c>
      <c r="CR88" s="312" t="str">
        <f aca="false">IF($A88="N/A"," ",(VLOOKUP($A88,GasVolTable,(IF(VolBMO=2,6,IF(VolBMO=1,7,5))),FALSE())))</f>
        <v> </v>
      </c>
      <c r="CS88" s="312" t="str">
        <f aca="false">IF($A88="N/A"," ",(VLOOKUP($A88,OmicronVol,(IF(VolBMO=2,3,IF(VolBMO=1,4,2))),FALSE())))</f>
        <v> </v>
      </c>
      <c r="CT88" s="312" t="str">
        <f aca="false">IF($A88="N/A"," ",(IF(DateToday&gt;$A88,$CS88,IF(VolType=1,((($CR88^2)*((($A88-1)-DateToday)/((EOMONTH($A88,0)+1)-DateToday-15)))+((($CS88)^2)*((15)/((EOMONTH($A88,0)+1)-DateToday-15))))^0.5,CR88))))</f>
        <v> </v>
      </c>
      <c r="CU88" s="312" t="str">
        <f aca="false">IF($A88="N/A"," ",IF('Pricing Inputs'!$AR$23=TRUE(),Inputs!$S$22,VLOOKUP($A88,CorrelationTable,2,FALSE())))</f>
        <v> </v>
      </c>
      <c r="CV88" s="313" t="str">
        <f aca="false">IF($A88="N/A"," ",F88+G88+(D88*('Pricing Inputs'!X123)))</f>
        <v> </v>
      </c>
      <c r="CW88" s="314" t="str">
        <f aca="false">IF($A88="N/A"," ",IF(PV=1,0,'Pricing Inputs'!Y123))</f>
        <v> </v>
      </c>
      <c r="CX88" s="315" t="str">
        <f aca="false">IF($A88="N/A"," ",(1+CW88/2)^(-2*((EOMONTH(A88,0)+20)-DateToday)/365.25))</f>
        <v> </v>
      </c>
      <c r="CY88" s="316" t="str">
        <f aca="false">IF($A88="N/A"," ",(IF(MONTH(A88)&gt;=4,IF(MONTH(A88)&lt;=10,Inputs!$S$26,Inputs!$S$27),Inputs!$S$27))*$CX88)</f>
        <v> </v>
      </c>
      <c r="CZ88" s="317" t="str">
        <f aca="false">IF($A88="N/A"," ",BK88+BL88+BN88+BO88+BQ88+BR88)</f>
        <v> </v>
      </c>
      <c r="DA88" s="318" t="str">
        <f aca="false">IF($A88="N/A"," ",BM88+BP88+BS88)</f>
        <v> </v>
      </c>
      <c r="DB88" s="319" t="str">
        <f aca="false">IF($A88="N/A"," ",BT88+BU88+BW88+BX88+BZ88+CA88)</f>
        <v> </v>
      </c>
      <c r="DC88" s="319" t="str">
        <f aca="false">IF($A88="N/A"," ",BV88+BY88+CB88)</f>
        <v> </v>
      </c>
      <c r="DD88" s="320" t="str">
        <f aca="false">IF($A88="N/A"," ",SUM(CC88:CK88))</f>
        <v> </v>
      </c>
      <c r="DE88" s="321" t="str">
        <f aca="false">IF($A88="N/A"," ",VLOOKUP($A88,NumberofDaysTable,2)*Availability)</f>
        <v> </v>
      </c>
      <c r="DF88" s="94" t="str">
        <f aca="false">IF($A88="N/A"," ",VLOOKUP($A88,NumberofDaysTable,3)*Availability)</f>
        <v> </v>
      </c>
      <c r="DG88" s="322" t="str">
        <f aca="false">IF($A88="N/A"," ",VLOOKUP($A88,NumberofDaysTable,4)*Availability)</f>
        <v> </v>
      </c>
      <c r="DH88" s="323" t="str">
        <f aca="false">IF($A88="N/A"," ",IF(Option=1,$D88*Inputs!$S$15*SUM(AS88:BA88),0))</f>
        <v> </v>
      </c>
      <c r="DI88" s="324" t="str">
        <f aca="false">IF($A88="N/A"," ",IF(Option=1,$D88*Inputs!$S$16*SUM(AS88:BA88),0))</f>
        <v> </v>
      </c>
      <c r="DJ88" s="325" t="str">
        <f aca="false">IF($A88="N/A"," ",SUM(AS88:AT88))</f>
        <v> </v>
      </c>
      <c r="DK88" s="325" t="str">
        <f aca="false">IF($A88="N/A"," ",SUM(AU88:BA88))</f>
        <v> </v>
      </c>
      <c r="DL88" s="325" t="str">
        <f aca="false">IF($A88="N/A"," ",SUM(BB88:BC88))</f>
        <v> </v>
      </c>
      <c r="DM88" s="325" t="str">
        <f aca="false">IF($A88="N/A"," ",SUM(BD88:BJ88))</f>
        <v> </v>
      </c>
    </row>
    <row r="89" customFormat="false" ht="12.75" hidden="false" customHeight="false" outlineLevel="0" collapsed="false">
      <c r="A89" s="282" t="str">
        <f aca="false">IF(A88="N/A","N/A",IF(EDATE(A88,1)&gt;Inputs!$S$5,"N/A",EDATE(A88,1)))</f>
        <v>N/A</v>
      </c>
      <c r="B89" s="283" t="str">
        <f aca="false">IF(A89="N/A"," ",YEAR(A89))</f>
        <v> </v>
      </c>
      <c r="C89" s="284" t="str">
        <f aca="false">IF(A89="N/A"," ",VLOOKUP(A89,ScaledPrice,14))</f>
        <v> </v>
      </c>
      <c r="D89" s="285" t="str">
        <f aca="false">IF(A89="N/A"," ",(VLOOKUP(MONTH($A89),Hrtable,2))/1000)</f>
        <v> </v>
      </c>
      <c r="E89" s="286" t="str">
        <f aca="false">IF($A89="N/A"," ",(C89)*D89)</f>
        <v> </v>
      </c>
      <c r="F89" s="287" t="str">
        <f aca="false">IF(A89="N/A"," ",VOM*(1+VOMesc)^(YEAR(A89)-YEAR(Today)))</f>
        <v> </v>
      </c>
      <c r="G89" s="287" t="str">
        <f aca="false">IF(A89="N/A"," ",Perstart/VLOOKUP(Dayrun,'Pricing Inputs'!$AQ$4:$AS$14,3)/(CY89/CX89))</f>
        <v> </v>
      </c>
      <c r="H89" s="288" t="str">
        <f aca="false">IF(A89="N/A"," ",SUM(E89:G89))</f>
        <v> </v>
      </c>
      <c r="I89" s="289" t="str">
        <f aca="false">VLOOKUP($A89,ScaledPrice,6)</f>
        <v> </v>
      </c>
      <c r="J89" s="290" t="str">
        <f aca="false">VLOOKUP($A89,ScaledPrice,10)</f>
        <v> </v>
      </c>
      <c r="K89" s="290" t="str">
        <f aca="false">VLOOKUP($A89,ScaledPrice,13)</f>
        <v> </v>
      </c>
      <c r="L89" s="290" t="str">
        <f aca="false">VLOOKUP($A89,ScaledPrice,7)</f>
        <v> </v>
      </c>
      <c r="M89" s="290" t="str">
        <f aca="false">VLOOKUP($A89,ScaledPrice,11)</f>
        <v> </v>
      </c>
      <c r="N89" s="290" t="str">
        <f aca="false">VLOOKUP($A89,ScaledPrice,13)</f>
        <v> </v>
      </c>
      <c r="O89" s="290" t="str">
        <f aca="false">VLOOKUP($A89,ScaledPrice,8)</f>
        <v> </v>
      </c>
      <c r="P89" s="290" t="str">
        <f aca="false">VLOOKUP($A89,ScaledPrice,12)</f>
        <v> </v>
      </c>
      <c r="Q89" s="291" t="str">
        <f aca="false">VLOOKUP($A89,ScaledPrice,13)</f>
        <v> </v>
      </c>
      <c r="R89" s="292" t="str">
        <f aca="false">IF($A89="N/A"," ",IF(Dayrun&gt;=3,IF(Option=1,MAX($I89-$H89,0),IF(Option=2,MAX($H89-$I89,0),0)),0))</f>
        <v> </v>
      </c>
      <c r="S89" s="286" t="str">
        <f aca="false">IF($A89="N/A"," ",IF(Dayrun&gt;=6,IF(Option=1,MAX($J89-H89,0),IF(Option=2,MAX(H89-$J89,0),0)),0))</f>
        <v> </v>
      </c>
      <c r="T89" s="286" t="str">
        <f aca="false">IF($A89="N/A"," ",IF(OR(Dayrun&lt;=2,Dayrun&gt;=9),IF(Option=1,MAX($K89-$H89,0),IF(Option=2,MAX($H89-$K89,0),0)),0))</f>
        <v> </v>
      </c>
      <c r="U89" s="286" t="str">
        <f aca="false">IF($A89="N/A"," ",IF(OR(Dayrun=1,Dayrun=4,Dayrun=5,Dayrun=7,Dayrun=8,Dayrun=10,Dayrun=11),IF(Option=1,MAX($L89-H89,0),IF(Option=2,MAX(H89-$L89,0),0)),0))</f>
        <v> </v>
      </c>
      <c r="V89" s="286" t="str">
        <f aca="false">IF($A89="N/A"," ",IF(OR(Dayrun=1,Dayrun=7,Dayrun=8,Dayrun=10,Dayrun=11),IF(Option=1,MAX($M89-H89,0),IF(Option=2,MAX(H89-$M89,0),0)),0))</f>
        <v> </v>
      </c>
      <c r="W89" s="286" t="str">
        <f aca="false">IF($A89="N/A"," ",IF(OR(Dayrun&lt;=2,Dayrun&gt;=10),IF(Option=1,MAX($N89-$H89,0),IF(Option=2,MAX($H89-$N89,0),0)),0))</f>
        <v> </v>
      </c>
      <c r="X89" s="286" t="str">
        <f aca="false">IF($A89="N/A"," ",IF(OR(Dayrun=1,Dayrun=5,Dayrun=8,Dayrun=11),IF(Option=1,MAX($O89-H89,0),IF(Option=2,MAX(H89-$O89,0),0)),0))</f>
        <v> </v>
      </c>
      <c r="Y89" s="286" t="str">
        <f aca="false">IF($A89="N/A"," ",IF(OR(Dayrun=1,Dayrun=8,Dayrun=11),IF(Option=1,MAX($P89-H89,0),IF(Option=2,MAX(H89-$P89,0),0)),0))</f>
        <v> </v>
      </c>
      <c r="Z89" s="293" t="str">
        <f aca="false">IF($A89="N/A"," ",IF(OR(Dayrun&lt;=2,Dayrun&gt;=11),IF(Option=1,MAX($Q89-$H89,0),IF(Option=2,MAX($H89-$Q89,0),0)),0))</f>
        <v> </v>
      </c>
      <c r="AA89" s="289" t="str">
        <f aca="false">IF($A89="N/A"," ",IF(Dayrun&gt;=3,(MAX(0,(xSPRDOPT(I89,($E89-'Pricing Inputs'!$X124*$D89),$CV89,0,($CN89+IF(Smile=TRUE(),VLOOKUP(MAX(-5,$H89-I89),Volsmile,2),0)),$CT89,$CU89,($A89-DateToday)+15,ABS(Option-2),0)-R89))),0))</f>
        <v> </v>
      </c>
      <c r="AB89" s="290" t="str">
        <f aca="false">IF($A89="N/A"," ",IF(Dayrun&gt;=6,MAX(0,(xSPRDOPT(J89,($E89-'Pricing Inputs'!$X124*$D89),$CV89,0,($CN89+IF(Smile=TRUE(),VLOOKUP(MAX(-5,$H89-J89),Volsmile,2),0)),$CT89,$CU89,($A89-DateToday)+15,ABS(Option-2),0)-S89)),0))</f>
        <v> </v>
      </c>
      <c r="AC89" s="290" t="str">
        <f aca="false">IF($A89="N/A"," ",IF(OR(Dayrun&lt;=2,Dayrun&gt;=9),IF(OffPeakEx=TRUE(),MAX(0,(xSPRDOPT(K89,($E89-'Pricing Inputs'!$X124*$D89),$CV89,0,($CQ89+IF(Smile=TRUE(),VLOOKUP(MAX(-5,$H89-K89),Volsmile,2),0)),$CT89,$CU89,($A89-DateToday)+15,ABS(Option-2),0)-T89)),0),0))</f>
        <v> </v>
      </c>
      <c r="AD89" s="290" t="str">
        <f aca="false">IF($A89="N/A"," ",IF(OR(Dayrun=1,Dayrun=4,Dayrun=5,Dayrun=7,Dayrun=8,Dayrun=10,Dayrun=11),MAX(0,(xSPRDOPT(L89,($E89-'Pricing Inputs'!$X124*$D89),$CV89,0,($CQ89+IF(Smile=TRUE(),VLOOKUP(MAX(-5,$H89-L89),Volsmile,2),0)),$CT89,$CU89,($A89-DateToday)+15,ABS(Option-2),0)-U89)),0))</f>
        <v> </v>
      </c>
      <c r="AE89" s="290" t="str">
        <f aca="false">IF($A89="N/A"," ",IF(OR(Dayrun=1,Dayrun=7,Dayrun=8,Dayrun=10,Dayrun=11),MAX(0,(xSPRDOPT(M89,($E89-'Pricing Inputs'!$X124*$D89),$CV89,0,($CQ89+IF(Smile=TRUE(),VLOOKUP(MAX(-5,$H89-M89),Volsmile,2),0)),$CT89,$CU89,($A89-DateToday)+15,ABS(Option-2),0)-V89)),0))</f>
        <v> </v>
      </c>
      <c r="AF89" s="290" t="str">
        <f aca="false">IF($A89="N/A"," ",IF(OR(Dayrun&lt;=2,Dayrun&gt;=10),IF(OffPeakEx=TRUE(),MAX(0,(xSPRDOPT(N89,($E89-'Pricing Inputs'!$X124*$D89),$CV89,0,($CQ89+IF(Smile=TRUE(),VLOOKUP(MAX(-5,$H89-N89),Volsmile,2),0)),$CT89,$CU89,($A89-DateToday)+15,ABS(Option-2),0)-W89)),0),0))</f>
        <v> </v>
      </c>
      <c r="AG89" s="290" t="str">
        <f aca="false">IF($A89="N/A"," ",IF(OR(Dayrun=1,Dayrun=5,Dayrun=8,Dayrun=11),MAX(0,(xSPRDOPT(O89,($E89-'Pricing Inputs'!$X124*$D89),$CV89,0,($CQ89+IF(Smile=TRUE(),VLOOKUP(MAX(-5,$H89-O89),Volsmile,2),0)),$CT89,$CU89,($A89-DateToday)+15,ABS(Option-2),0)-X89)),0))</f>
        <v> </v>
      </c>
      <c r="AH89" s="290" t="str">
        <f aca="false">IF($A89="N/A"," ",IF(OR(Dayrun=1,Dayrun=8,Dayrun=11),MAX(0,(xSPRDOPT(P89,($E89-'Pricing Inputs'!$X124*$D89),$CV89,0,($CQ89+IF(Smile=TRUE(),VLOOKUP(MAX(-5,$H89-P89),Volsmile,2),0)),$CT89,$CU89,($A89-DateToday)+15,ABS(Option-2),0)-Y89)),0))</f>
        <v> </v>
      </c>
      <c r="AI89" s="290" t="str">
        <f aca="false">IF($A89="N/A"," ",IF(OR(Dayrun&lt;=2,Dayrun&gt;=11),IF(OffPeakEx=TRUE(),MAX(0,(xSPRDOPT(Q89,($E89-'Pricing Inputs'!$X124*$D89),$CV89,0,($CQ89+IF(Smile=TRUE(),VLOOKUP(MAX(-5,$H89-Q89),Volsmile,2),0)),$CT89,$CU89,($A89-DateToday)+15,ABS(Option-2),0)-Z89)),0),0))</f>
        <v> </v>
      </c>
      <c r="AJ89" s="294" t="str">
        <f aca="false">IF($A89="N/A"," ",IF(Dayrun&gt;=3,IF(Option=1,$I89-$H89,IF(Option=2,$H89-$I89)),0))</f>
        <v> </v>
      </c>
      <c r="AK89" s="295" t="str">
        <f aca="false">IF($A89="N/A"," ",IF(Dayrun&gt;=6,IF(Option=1,$J89-H89,IF(Option=2,H89-$J89)),0))</f>
        <v> </v>
      </c>
      <c r="AL89" s="295" t="str">
        <f aca="false">IF($A89="N/A"," ",IF(OR(Dayrun&lt;=2,Dayrun&gt;=9),IF(Option=1,$K89-$H89,IF(Option=2,$H89-$K89)),0))</f>
        <v> </v>
      </c>
      <c r="AM89" s="295" t="str">
        <f aca="false">IF($A89="N/A"," ",IF(OR(Dayrun=1,Dayrun=4,Dayrun=5,Dayrun=7,Dayrun=8,Dayrun=10,Dayrun=11),IF(Option=1,$L89-H89,IF(Option=2,H89-$L89)),0))</f>
        <v> </v>
      </c>
      <c r="AN89" s="295" t="str">
        <f aca="false">IF($A89="N/A"," ",IF(OR(Dayrun=1,Dayrun=7,Dayrun=8,Dayrun=10,Dayrun=11),IF(Option=1,$M89-H89,IF(Option=2,H89-$M89)),0))</f>
        <v> </v>
      </c>
      <c r="AO89" s="295" t="str">
        <f aca="false">IF($A89="N/A"," ",IF(OR(Dayrun&lt;=2,Dayrun&gt;=9),IF(Option=1,$N89-$H89,IF(Option=2,$H89-$N89)),0))</f>
        <v> </v>
      </c>
      <c r="AP89" s="295" t="str">
        <f aca="false">IF($A89="N/A"," ",IF(OR(Dayrun=1,Dayrun=5,Dayrun=8,Dayrun=11),IF(Option=1,$O89-H89,IF(Option=2,H89-$O89)),0))</f>
        <v> </v>
      </c>
      <c r="AQ89" s="295" t="str">
        <f aca="false">IF($A89="N/A"," ",IF(OR(Dayrun=1,Dayrun=8,Dayrun=11),IF(Option=1,$P89-H89,IF(Option=2,H89-$P89)),0))</f>
        <v> </v>
      </c>
      <c r="AR89" s="296" t="str">
        <f aca="false">IF($A89="N/A"," ",IF(OR(Dayrun&lt;=2,Dayrun&gt;=9),IF(Option=1,$Q89-H89,IF(Option=2,H89-$Q89)),0))</f>
        <v> </v>
      </c>
      <c r="AS89" s="297" t="str">
        <f aca="false">IF($A89="N/A"," ",IF(VLOOKUP(MONTH($A89),ManualTable,2)=1,IF(Dayrun&gt;=3,$DE89*8*$CY89,0),0))</f>
        <v> </v>
      </c>
      <c r="AT89" s="297" t="str">
        <f aca="false">IF($A89="N/A"," ",IF(VLOOKUP(MONTH($A89),ManualTable,3)=1,IF(Dayrun&gt;=6,$DE89*8*$CY89,0),0))</f>
        <v> </v>
      </c>
      <c r="AU89" s="297" t="str">
        <f aca="false">IF($A89="N/A"," ",IF(VLOOKUP(MONTH($A89),ManualTable,4)=1,IF(OR(Dayrun&lt;=2,Dayrun&gt;=9),$DE89*8*$CY89,0),0))</f>
        <v> </v>
      </c>
      <c r="AV89" s="297" t="str">
        <f aca="false">IF($A89="N/A"," ",IF(VLOOKUP(MONTH($A89),ManualTable,5)=1,IF(OR(Dayrun=1,Dayrun=4,Dayrun=5,Dayrun=7,Dayrun=8,Dayrun=10,Dayrun=11),$DF89*8*$CY89,0),0))</f>
        <v> </v>
      </c>
      <c r="AW89" s="297" t="str">
        <f aca="false">IF($A89="N/A"," ",IF(VLOOKUP(MONTH($A89),ManualTable,6)=1,IF(OR(Dayrun=1,Dayrun=7,Dayrun=8,Dayrun=10,Dayrun=11),$DF89*8*$CY89,0),0))</f>
        <v> </v>
      </c>
      <c r="AX89" s="297" t="str">
        <f aca="false">IF($A89="N/A"," ",IF(VLOOKUP(MONTH($A89),ManualTable,7)=1,IF(OR(Dayrun&lt;=2,Dayrun&gt;=9),$DF89*8*$CY89,0),0))</f>
        <v> </v>
      </c>
      <c r="AY89" s="297" t="str">
        <f aca="false">IF($A89="N/A"," ",IF(VLOOKUP(MONTH($A89),ManualTable,8)=1,IF(OR(Dayrun=1,Dayrun=5,Dayrun=8,Dayrun=11),$DG89*8*$CY89,0),0))</f>
        <v> </v>
      </c>
      <c r="AZ89" s="297" t="str">
        <f aca="false">IF($A89="N/A"," ",IF(VLOOKUP(MONTH($A89),ManualTable,9)=1,IF(OR(Dayrun=1,Dayrun=8,Dayrun=11),$DG89*8*$CY89,0),0))</f>
        <v> </v>
      </c>
      <c r="BA89" s="298" t="str">
        <f aca="false">IF($A89="N/A"," ",IF(VLOOKUP(MONTH($A89),ManualTable,10)=1,IF(OR(Dayrun&lt;=2,Dayrun&gt;=9),$DG89*8*$CY89,0),0))</f>
        <v> </v>
      </c>
      <c r="BB89" s="299" t="str">
        <f aca="false">IF($A89="N/A"," ",IF(Dayrun&gt;=3,(MAX(0,(xSPRDOPT(I89,($E89-'Pricing Inputs'!$X124*$D89),$CV89,0,($CN89+IF(Smile=TRUE(),VLOOKUP(MAX(-5,$H89-I89),Volsmile,2),0)),$CT89,$CU89,($A89-DateToday)+15,ABS(Option-2),1)*DE89*8))),0))</f>
        <v> </v>
      </c>
      <c r="BC89" s="300" t="str">
        <f aca="false">IF($A89="N/A"," ",IF(Dayrun&gt;=6,MAX(0,(xSPRDOPT(J89,($E89-'Pricing Inputs'!$X124*$D89),$CV89,0,($CN89+IF(Smile=TRUE(),VLOOKUP(MAX(-5,$H89-J89),Volsmile,2),0)),$CT89,$CU89,($A89-DateToday)+15,ABS(Option-2),1)*DE89*8)),0))</f>
        <v> </v>
      </c>
      <c r="BD89" s="300" t="str">
        <f aca="false">IF($A89="N/A"," ",IF(OR(Dayrun&lt;=2,Dayrun&gt;=9),IF(OffPeakEx=TRUE(),MAX(0,(xSPRDOPT(K89,($E89-'Pricing Inputs'!$X124*$D89),$CV89,0,($CQ89+IF(Smile=TRUE(),VLOOKUP(MAX(-5,$H89-K89),Volsmile,2),0)),$CT89,$CU89,($A89-DateToday)+15,ABS(Option-2),1)*DE89*8)),0),0))</f>
        <v> </v>
      </c>
      <c r="BE89" s="300" t="str">
        <f aca="false">IF($A89="N/A"," ",IF(OR(Dayrun=1,Dayrun=4,Dayrun=5,Dayrun=7,Dayrun=8,Dayrun=10,Dayrun=11),MAX(0,(xSPRDOPT(L89,($E89-'Pricing Inputs'!$X124*$D89),$CV89,0,($CQ89+IF(Smile=TRUE(),VLOOKUP(MAX(-5,$H89-L89),Volsmile,2),0)),$CT89,$CU89,($A89-DateToday)+15,ABS(Option-2),1)*DF89*8)),0))</f>
        <v> </v>
      </c>
      <c r="BF89" s="300" t="str">
        <f aca="false">IF($A89="N/A"," ",IF(OR(Dayrun=1,Dayrun=7,Dayrun=8,Dayrun=10,Dayrun=11),MAX(0,(xSPRDOPT(M89,($E89-'Pricing Inputs'!$X124*$D89),$CV89,0,($CQ89+IF(Smile=TRUE(),VLOOKUP(MAX(-5,$H89-M89),Volsmile,2),0)),$CT89,$CU89,($A89-DateToday)+15,ABS(Option-2),1)*DF89*8)),0))</f>
        <v> </v>
      </c>
      <c r="BG89" s="300" t="str">
        <f aca="false">IF($A89="N/A"," ",IF(OR(Dayrun&lt;=2,Dayrun&gt;=10),IF(OffPeakEx=TRUE(),MAX(0,(xSPRDOPT(N89,($E89-'Pricing Inputs'!$X124*$D89),$CV89,0,($CQ89+IF(Smile=TRUE(),VLOOKUP(MAX(-5,$H89-N89),Volsmile,2),0)),$CT89,$CU89,($A89-DateToday)+15,ABS(Option-2),1)*DF89*8)),0),0))</f>
        <v> </v>
      </c>
      <c r="BH89" s="300" t="str">
        <f aca="false">IF($A89="N/A"," ",IF(OR(Dayrun=1,Dayrun=5,Dayrun=8,Dayrun=11),MAX(0,(xSPRDOPT(O89,($E89-'Pricing Inputs'!$X124*$D89),$CV89,0,($CQ89+IF(Smile=TRUE(),VLOOKUP(MAX(-5,$H89-O89),Volsmile,2),0)),$CT89,$CU89,($A89-DateToday)+15,ABS(Option-2),1)*DG89*8)),0))</f>
        <v> </v>
      </c>
      <c r="BI89" s="300" t="str">
        <f aca="false">IF($A89="N/A"," ",IF(OR(Dayrun=1,Dayrun=8,Dayrun=11),MAX(0,(xSPRDOPT(P89,($E89-'Pricing Inputs'!$X124*$D89),$CV89,0,($CQ89+IF(Smile=TRUE(),VLOOKUP(MAX(-5,$H89-P89),Volsmile,2),0)),$CT89,$CU89,($A89-DateToday)+15,ABS(Option-2),1)*DG89*8)),0))</f>
        <v> </v>
      </c>
      <c r="BJ89" s="301" t="str">
        <f aca="false">IF($A89="N/A"," ",IF(OR(Dayrun&lt;=2,Dayrun&gt;=11),IF(OffPeakEx=TRUE(),MAX(0,(xSPRDOPT(Q89,($E89-'Pricing Inputs'!$X124*$D89),$CV89,0,($CQ89+IF(Smile=TRUE(),VLOOKUP(MAX(-5,$H89-Q89),Volsmile,2),0)),$CT89,$CU89,($A89-DateToday)+15,ABS(Option-2),1)*DG89*8)),0),0))</f>
        <v> </v>
      </c>
      <c r="BK89" s="302" t="str">
        <f aca="false">IF($A89="N/A"," ",R89*$AS89)</f>
        <v> </v>
      </c>
      <c r="BL89" s="303" t="str">
        <f aca="false">IF($A89="N/A"," ",S89*$AT89)</f>
        <v> </v>
      </c>
      <c r="BM89" s="303" t="str">
        <f aca="false">IF($A89="N/A"," ",T89*$AU89)</f>
        <v> </v>
      </c>
      <c r="BN89" s="303" t="str">
        <f aca="false">IF($A89="N/A"," ",U89*$AV89)</f>
        <v> </v>
      </c>
      <c r="BO89" s="303" t="str">
        <f aca="false">IF($A89="N/A"," ",V89*$AW89)</f>
        <v> </v>
      </c>
      <c r="BP89" s="303" t="str">
        <f aca="false">IF($A89="N/A"," ",W89*$AX89)</f>
        <v> </v>
      </c>
      <c r="BQ89" s="303" t="str">
        <f aca="false">IF($A89="N/A"," ",X89*$AY89)</f>
        <v> </v>
      </c>
      <c r="BR89" s="303" t="str">
        <f aca="false">IF($A89="N/A"," ",Y89*$AZ89)</f>
        <v> </v>
      </c>
      <c r="BS89" s="304" t="str">
        <f aca="false">IF($A89="N/A"," ",Z89*$BA89)</f>
        <v> </v>
      </c>
      <c r="BT89" s="305" t="str">
        <f aca="false">IF($A89="N/A"," ",AA89*$AS89)</f>
        <v> </v>
      </c>
      <c r="BU89" s="306" t="str">
        <f aca="false">IF($A89="N/A"," ",AB89*$AT89)</f>
        <v> </v>
      </c>
      <c r="BV89" s="306" t="str">
        <f aca="false">IF($A89="N/A"," ",AC89*$AU89)</f>
        <v> </v>
      </c>
      <c r="BW89" s="306" t="str">
        <f aca="false">IF($A89="N/A"," ",AD89*$AV89)</f>
        <v> </v>
      </c>
      <c r="BX89" s="306" t="str">
        <f aca="false">IF($A89="N/A"," ",AE89*$AW89)</f>
        <v> </v>
      </c>
      <c r="BY89" s="306" t="str">
        <f aca="false">IF($A89="N/A"," ",AF89*$AX89)</f>
        <v> </v>
      </c>
      <c r="BZ89" s="306" t="str">
        <f aca="false">IF($A89="N/A"," ",AG89*$AY89)</f>
        <v> </v>
      </c>
      <c r="CA89" s="306" t="str">
        <f aca="false">IF($A89="N/A"," ",AH89*$AZ89)</f>
        <v> </v>
      </c>
      <c r="CB89" s="307" t="str">
        <f aca="false">IF($A89="N/A"," ",AI89*$BA89)</f>
        <v> </v>
      </c>
      <c r="CC89" s="308" t="str">
        <f aca="false">IF($A89="N/A"," ",AJ89*$AS89)</f>
        <v> </v>
      </c>
      <c r="CD89" s="309" t="str">
        <f aca="false">IF($A89="N/A"," ",AK89*$AT89)</f>
        <v> </v>
      </c>
      <c r="CE89" s="309" t="str">
        <f aca="false">IF($A89="N/A"," ",AL89*$AU89)</f>
        <v> </v>
      </c>
      <c r="CF89" s="309" t="str">
        <f aca="false">IF($A89="N/A"," ",AM89*$AV89)</f>
        <v> </v>
      </c>
      <c r="CG89" s="309" t="str">
        <f aca="false">IF($A89="N/A"," ",AN89*$AW89)</f>
        <v> </v>
      </c>
      <c r="CH89" s="309" t="str">
        <f aca="false">IF($A89="N/A"," ",AO89*$AX89)</f>
        <v> </v>
      </c>
      <c r="CI89" s="309" t="str">
        <f aca="false">IF($A89="N/A"," ",AP89*$AY89)</f>
        <v> </v>
      </c>
      <c r="CJ89" s="309" t="str">
        <f aca="false">IF($A89="N/A"," ",AQ89*$AZ89)</f>
        <v> </v>
      </c>
      <c r="CK89" s="310" t="str">
        <f aca="false">IF($A89="N/A"," ",AR89*$BA89)</f>
        <v> </v>
      </c>
      <c r="CL89" s="311" t="str">
        <f aca="false">IF(A89="N/A"," ",(VLOOKUP(A89,PowerVolTable,(IF(VolBMO=2,7,IF(VolBMO=1,6,8))),FALSE())))</f>
        <v> </v>
      </c>
      <c r="CM89" s="312" t="str">
        <f aca="false">IF(A89="N/A"," ",(VLOOKUP(A89,IntraPowerVol,(IF(VolBMO=2,3,IF(VolBMO=1,2,4))),FALSE())*VLOOKUP(MONTH($A89),Volscale,2)))</f>
        <v> </v>
      </c>
      <c r="CN89" s="312" t="str">
        <f aca="false">IF($A89="N/A"," ",IF(VolType=1,CM89,CL89))</f>
        <v> </v>
      </c>
      <c r="CO89" s="312" t="str">
        <f aca="false">IF($A89="N/A"," ",(VLOOKUP($A89,OffPeakVol,(IF(VolBMO=2,7,IF(VolBMO=1,6,8))),FALSE())))</f>
        <v> </v>
      </c>
      <c r="CP89" s="312" t="str">
        <f aca="false">IF($A89="N/A"," ",(VLOOKUP($A89,OffPeakVol,(IF(VolBMO=2,3,IF(VolBMO=1,2,4))),FALSE())*VLOOKUP(MONTH($A89),Volscale,2)))</f>
        <v> </v>
      </c>
      <c r="CQ89" s="312" t="str">
        <f aca="false">IF($A89="N/A"," ",IF(VolType=1,CP89,CO89))</f>
        <v> </v>
      </c>
      <c r="CR89" s="312" t="str">
        <f aca="false">IF($A89="N/A"," ",(VLOOKUP($A89,GasVolTable,(IF(VolBMO=2,6,IF(VolBMO=1,7,5))),FALSE())))</f>
        <v> </v>
      </c>
      <c r="CS89" s="312" t="str">
        <f aca="false">IF($A89="N/A"," ",(VLOOKUP($A89,OmicronVol,(IF(VolBMO=2,3,IF(VolBMO=1,4,2))),FALSE())))</f>
        <v> </v>
      </c>
      <c r="CT89" s="312" t="str">
        <f aca="false">IF($A89="N/A"," ",(IF(DateToday&gt;$A89,$CS89,IF(VolType=1,((($CR89^2)*((($A89-1)-DateToday)/((EOMONTH($A89,0)+1)-DateToday-15)))+((($CS89)^2)*((15)/((EOMONTH($A89,0)+1)-DateToday-15))))^0.5,CR89))))</f>
        <v> </v>
      </c>
      <c r="CU89" s="312" t="str">
        <f aca="false">IF($A89="N/A"," ",IF('Pricing Inputs'!$AR$23=TRUE(),Inputs!$S$22,VLOOKUP($A89,CorrelationTable,2,FALSE())))</f>
        <v> </v>
      </c>
      <c r="CV89" s="313" t="str">
        <f aca="false">IF($A89="N/A"," ",F89+G89+(D89*('Pricing Inputs'!X124)))</f>
        <v> </v>
      </c>
      <c r="CW89" s="314" t="str">
        <f aca="false">IF($A89="N/A"," ",IF(PV=1,0,'Pricing Inputs'!Y124))</f>
        <v> </v>
      </c>
      <c r="CX89" s="315" t="str">
        <f aca="false">IF($A89="N/A"," ",(1+CW89/2)^(-2*((EOMONTH(A89,0)+20)-DateToday)/365.25))</f>
        <v> </v>
      </c>
      <c r="CY89" s="316" t="str">
        <f aca="false">IF($A89="N/A"," ",(IF(MONTH(A89)&gt;=4,IF(MONTH(A89)&lt;=10,Inputs!$S$26,Inputs!$S$27),Inputs!$S$27))*$CX89)</f>
        <v> </v>
      </c>
      <c r="CZ89" s="317" t="str">
        <f aca="false">IF($A89="N/A"," ",BK89+BL89+BN89+BO89+BQ89+BR89)</f>
        <v> </v>
      </c>
      <c r="DA89" s="318" t="str">
        <f aca="false">IF($A89="N/A"," ",BM89+BP89+BS89)</f>
        <v> </v>
      </c>
      <c r="DB89" s="319" t="str">
        <f aca="false">IF($A89="N/A"," ",BT89+BU89+BW89+BX89+BZ89+CA89)</f>
        <v> </v>
      </c>
      <c r="DC89" s="319" t="str">
        <f aca="false">IF($A89="N/A"," ",BV89+BY89+CB89)</f>
        <v> </v>
      </c>
      <c r="DD89" s="320" t="str">
        <f aca="false">IF($A89="N/A"," ",SUM(CC89:CK89))</f>
        <v> </v>
      </c>
      <c r="DE89" s="321" t="str">
        <f aca="false">IF($A89="N/A"," ",VLOOKUP($A89,NumberofDaysTable,2)*Availability)</f>
        <v> </v>
      </c>
      <c r="DF89" s="94" t="str">
        <f aca="false">IF($A89="N/A"," ",VLOOKUP($A89,NumberofDaysTable,3)*Availability)</f>
        <v> </v>
      </c>
      <c r="DG89" s="322" t="str">
        <f aca="false">IF($A89="N/A"," ",VLOOKUP($A89,NumberofDaysTable,4)*Availability)</f>
        <v> </v>
      </c>
      <c r="DH89" s="323" t="str">
        <f aca="false">IF($A89="N/A"," ",IF(Option=1,$D89*Inputs!$S$15*SUM(AS89:BA89),0))</f>
        <v> </v>
      </c>
      <c r="DI89" s="324" t="str">
        <f aca="false">IF($A89="N/A"," ",IF(Option=1,$D89*Inputs!$S$16*SUM(AS89:BA89),0))</f>
        <v> </v>
      </c>
      <c r="DJ89" s="325" t="str">
        <f aca="false">IF($A89="N/A"," ",SUM(AS89:AT89))</f>
        <v> </v>
      </c>
      <c r="DK89" s="325" t="str">
        <f aca="false">IF($A89="N/A"," ",SUM(AU89:BA89))</f>
        <v> </v>
      </c>
      <c r="DL89" s="325" t="str">
        <f aca="false">IF($A89="N/A"," ",SUM(BB89:BC89))</f>
        <v> </v>
      </c>
      <c r="DM89" s="325" t="str">
        <f aca="false">IF($A89="N/A"," ",SUM(BD89:BJ89))</f>
        <v> </v>
      </c>
    </row>
    <row r="90" customFormat="false" ht="12.75" hidden="false" customHeight="false" outlineLevel="0" collapsed="false">
      <c r="A90" s="282" t="str">
        <f aca="false">IF(A89="N/A","N/A",IF(EDATE(A89,1)&gt;Inputs!$S$5,"N/A",EDATE(A89,1)))</f>
        <v>N/A</v>
      </c>
      <c r="B90" s="283" t="str">
        <f aca="false">IF(A90="N/A"," ",YEAR(A90))</f>
        <v> </v>
      </c>
      <c r="C90" s="284" t="str">
        <f aca="false">IF(A90="N/A"," ",VLOOKUP(A90,ScaledPrice,14))</f>
        <v> </v>
      </c>
      <c r="D90" s="285" t="str">
        <f aca="false">IF(A90="N/A"," ",(VLOOKUP(MONTH($A90),Hrtable,2))/1000)</f>
        <v> </v>
      </c>
      <c r="E90" s="286" t="str">
        <f aca="false">IF($A90="N/A"," ",(C90)*D90)</f>
        <v> </v>
      </c>
      <c r="F90" s="287" t="str">
        <f aca="false">IF(A90="N/A"," ",VOM*(1+VOMesc)^(YEAR(A90)-YEAR(Today)))</f>
        <v> </v>
      </c>
      <c r="G90" s="287" t="str">
        <f aca="false">IF(A90="N/A"," ",Perstart/VLOOKUP(Dayrun,'Pricing Inputs'!$AQ$4:$AS$14,3)/(CY90/CX90))</f>
        <v> </v>
      </c>
      <c r="H90" s="288" t="str">
        <f aca="false">IF(A90="N/A"," ",SUM(E90:G90))</f>
        <v> </v>
      </c>
      <c r="I90" s="289" t="str">
        <f aca="false">VLOOKUP($A90,ScaledPrice,6)</f>
        <v> </v>
      </c>
      <c r="J90" s="290" t="str">
        <f aca="false">VLOOKUP($A90,ScaledPrice,10)</f>
        <v> </v>
      </c>
      <c r="K90" s="290" t="str">
        <f aca="false">VLOOKUP($A90,ScaledPrice,13)</f>
        <v> </v>
      </c>
      <c r="L90" s="290" t="str">
        <f aca="false">VLOOKUP($A90,ScaledPrice,7)</f>
        <v> </v>
      </c>
      <c r="M90" s="290" t="str">
        <f aca="false">VLOOKUP($A90,ScaledPrice,11)</f>
        <v> </v>
      </c>
      <c r="N90" s="290" t="str">
        <f aca="false">VLOOKUP($A90,ScaledPrice,13)</f>
        <v> </v>
      </c>
      <c r="O90" s="290" t="str">
        <f aca="false">VLOOKUP($A90,ScaledPrice,8)</f>
        <v> </v>
      </c>
      <c r="P90" s="290" t="str">
        <f aca="false">VLOOKUP($A90,ScaledPrice,12)</f>
        <v> </v>
      </c>
      <c r="Q90" s="291" t="str">
        <f aca="false">VLOOKUP($A90,ScaledPrice,13)</f>
        <v> </v>
      </c>
      <c r="R90" s="292" t="str">
        <f aca="false">IF($A90="N/A"," ",IF(Dayrun&gt;=3,IF(Option=1,MAX($I90-$H90,0),IF(Option=2,MAX($H90-$I90,0),0)),0))</f>
        <v> </v>
      </c>
      <c r="S90" s="286" t="str">
        <f aca="false">IF($A90="N/A"," ",IF(Dayrun&gt;=6,IF(Option=1,MAX($J90-H90,0),IF(Option=2,MAX(H90-$J90,0),0)),0))</f>
        <v> </v>
      </c>
      <c r="T90" s="286" t="str">
        <f aca="false">IF($A90="N/A"," ",IF(OR(Dayrun&lt;=2,Dayrun&gt;=9),IF(Option=1,MAX($K90-$H90,0),IF(Option=2,MAX($H90-$K90,0),0)),0))</f>
        <v> </v>
      </c>
      <c r="U90" s="286" t="str">
        <f aca="false">IF($A90="N/A"," ",IF(OR(Dayrun=1,Dayrun=4,Dayrun=5,Dayrun=7,Dayrun=8,Dayrun=10,Dayrun=11),IF(Option=1,MAX($L90-H90,0),IF(Option=2,MAX(H90-$L90,0),0)),0))</f>
        <v> </v>
      </c>
      <c r="V90" s="286" t="str">
        <f aca="false">IF($A90="N/A"," ",IF(OR(Dayrun=1,Dayrun=7,Dayrun=8,Dayrun=10,Dayrun=11),IF(Option=1,MAX($M90-H90,0),IF(Option=2,MAX(H90-$M90,0),0)),0))</f>
        <v> </v>
      </c>
      <c r="W90" s="286" t="str">
        <f aca="false">IF($A90="N/A"," ",IF(OR(Dayrun&lt;=2,Dayrun&gt;=10),IF(Option=1,MAX($N90-$H90,0),IF(Option=2,MAX($H90-$N90,0),0)),0))</f>
        <v> </v>
      </c>
      <c r="X90" s="286" t="str">
        <f aca="false">IF($A90="N/A"," ",IF(OR(Dayrun=1,Dayrun=5,Dayrun=8,Dayrun=11),IF(Option=1,MAX($O90-H90,0),IF(Option=2,MAX(H90-$O90,0),0)),0))</f>
        <v> </v>
      </c>
      <c r="Y90" s="286" t="str">
        <f aca="false">IF($A90="N/A"," ",IF(OR(Dayrun=1,Dayrun=8,Dayrun=11),IF(Option=1,MAX($P90-H90,0),IF(Option=2,MAX(H90-$P90,0),0)),0))</f>
        <v> </v>
      </c>
      <c r="Z90" s="293" t="str">
        <f aca="false">IF($A90="N/A"," ",IF(OR(Dayrun&lt;=2,Dayrun&gt;=11),IF(Option=1,MAX($Q90-$H90,0),IF(Option=2,MAX($H90-$Q90,0),0)),0))</f>
        <v> </v>
      </c>
      <c r="AA90" s="289" t="str">
        <f aca="false">IF($A90="N/A"," ",IF(Dayrun&gt;=3,(MAX(0,(xSPRDOPT(I90,($E90-'Pricing Inputs'!$X125*$D90),$CV90,0,($CN90+IF(Smile=TRUE(),VLOOKUP(MAX(-5,$H90-I90),Volsmile,2),0)),$CT90,$CU90,($A90-DateToday)+15,ABS(Option-2),0)-R90))),0))</f>
        <v> </v>
      </c>
      <c r="AB90" s="290" t="str">
        <f aca="false">IF($A90="N/A"," ",IF(Dayrun&gt;=6,MAX(0,(xSPRDOPT(J90,($E90-'Pricing Inputs'!$X125*$D90),$CV90,0,($CN90+IF(Smile=TRUE(),VLOOKUP(MAX(-5,$H90-J90),Volsmile,2),0)),$CT90,$CU90,($A90-DateToday)+15,ABS(Option-2),0)-S90)),0))</f>
        <v> </v>
      </c>
      <c r="AC90" s="290" t="str">
        <f aca="false">IF($A90="N/A"," ",IF(OR(Dayrun&lt;=2,Dayrun&gt;=9),IF(OffPeakEx=TRUE(),MAX(0,(xSPRDOPT(K90,($E90-'Pricing Inputs'!$X125*$D90),$CV90,0,($CQ90+IF(Smile=TRUE(),VLOOKUP(MAX(-5,$H90-K90),Volsmile,2),0)),$CT90,$CU90,($A90-DateToday)+15,ABS(Option-2),0)-T90)),0),0))</f>
        <v> </v>
      </c>
      <c r="AD90" s="290" t="str">
        <f aca="false">IF($A90="N/A"," ",IF(OR(Dayrun=1,Dayrun=4,Dayrun=5,Dayrun=7,Dayrun=8,Dayrun=10,Dayrun=11),MAX(0,(xSPRDOPT(L90,($E90-'Pricing Inputs'!$X125*$D90),$CV90,0,($CQ90+IF(Smile=TRUE(),VLOOKUP(MAX(-5,$H90-L90),Volsmile,2),0)),$CT90,$CU90,($A90-DateToday)+15,ABS(Option-2),0)-U90)),0))</f>
        <v> </v>
      </c>
      <c r="AE90" s="290" t="str">
        <f aca="false">IF($A90="N/A"," ",IF(OR(Dayrun=1,Dayrun=7,Dayrun=8,Dayrun=10,Dayrun=11),MAX(0,(xSPRDOPT(M90,($E90-'Pricing Inputs'!$X125*$D90),$CV90,0,($CQ90+IF(Smile=TRUE(),VLOOKUP(MAX(-5,$H90-M90),Volsmile,2),0)),$CT90,$CU90,($A90-DateToday)+15,ABS(Option-2),0)-V90)),0))</f>
        <v> </v>
      </c>
      <c r="AF90" s="290" t="str">
        <f aca="false">IF($A90="N/A"," ",IF(OR(Dayrun&lt;=2,Dayrun&gt;=10),IF(OffPeakEx=TRUE(),MAX(0,(xSPRDOPT(N90,($E90-'Pricing Inputs'!$X125*$D90),$CV90,0,($CQ90+IF(Smile=TRUE(),VLOOKUP(MAX(-5,$H90-N90),Volsmile,2),0)),$CT90,$CU90,($A90-DateToday)+15,ABS(Option-2),0)-W90)),0),0))</f>
        <v> </v>
      </c>
      <c r="AG90" s="290" t="str">
        <f aca="false">IF($A90="N/A"," ",IF(OR(Dayrun=1,Dayrun=5,Dayrun=8,Dayrun=11),MAX(0,(xSPRDOPT(O90,($E90-'Pricing Inputs'!$X125*$D90),$CV90,0,($CQ90+IF(Smile=TRUE(),VLOOKUP(MAX(-5,$H90-O90),Volsmile,2),0)),$CT90,$CU90,($A90-DateToday)+15,ABS(Option-2),0)-X90)),0))</f>
        <v> </v>
      </c>
      <c r="AH90" s="290" t="str">
        <f aca="false">IF($A90="N/A"," ",IF(OR(Dayrun=1,Dayrun=8,Dayrun=11),MAX(0,(xSPRDOPT(P90,($E90-'Pricing Inputs'!$X125*$D90),$CV90,0,($CQ90+IF(Smile=TRUE(),VLOOKUP(MAX(-5,$H90-P90),Volsmile,2),0)),$CT90,$CU90,($A90-DateToday)+15,ABS(Option-2),0)-Y90)),0))</f>
        <v> </v>
      </c>
      <c r="AI90" s="290" t="str">
        <f aca="false">IF($A90="N/A"," ",IF(OR(Dayrun&lt;=2,Dayrun&gt;=11),IF(OffPeakEx=TRUE(),MAX(0,(xSPRDOPT(Q90,($E90-'Pricing Inputs'!$X125*$D90),$CV90,0,($CQ90+IF(Smile=TRUE(),VLOOKUP(MAX(-5,$H90-Q90),Volsmile,2),0)),$CT90,$CU90,($A90-DateToday)+15,ABS(Option-2),0)-Z90)),0),0))</f>
        <v> </v>
      </c>
      <c r="AJ90" s="294" t="str">
        <f aca="false">IF($A90="N/A"," ",IF(Dayrun&gt;=3,IF(Option=1,$I90-$H90,IF(Option=2,$H90-$I90)),0))</f>
        <v> </v>
      </c>
      <c r="AK90" s="295" t="str">
        <f aca="false">IF($A90="N/A"," ",IF(Dayrun&gt;=6,IF(Option=1,$J90-H90,IF(Option=2,H90-$J90)),0))</f>
        <v> </v>
      </c>
      <c r="AL90" s="295" t="str">
        <f aca="false">IF($A90="N/A"," ",IF(OR(Dayrun&lt;=2,Dayrun&gt;=9),IF(Option=1,$K90-$H90,IF(Option=2,$H90-$K90)),0))</f>
        <v> </v>
      </c>
      <c r="AM90" s="295" t="str">
        <f aca="false">IF($A90="N/A"," ",IF(OR(Dayrun=1,Dayrun=4,Dayrun=5,Dayrun=7,Dayrun=8,Dayrun=10,Dayrun=11),IF(Option=1,$L90-H90,IF(Option=2,H90-$L90)),0))</f>
        <v> </v>
      </c>
      <c r="AN90" s="295" t="str">
        <f aca="false">IF($A90="N/A"," ",IF(OR(Dayrun=1,Dayrun=7,Dayrun=8,Dayrun=10,Dayrun=11),IF(Option=1,$M90-H90,IF(Option=2,H90-$M90)),0))</f>
        <v> </v>
      </c>
      <c r="AO90" s="295" t="str">
        <f aca="false">IF($A90="N/A"," ",IF(OR(Dayrun&lt;=2,Dayrun&gt;=9),IF(Option=1,$N90-$H90,IF(Option=2,$H90-$N90)),0))</f>
        <v> </v>
      </c>
      <c r="AP90" s="295" t="str">
        <f aca="false">IF($A90="N/A"," ",IF(OR(Dayrun=1,Dayrun=5,Dayrun=8,Dayrun=11),IF(Option=1,$O90-H90,IF(Option=2,H90-$O90)),0))</f>
        <v> </v>
      </c>
      <c r="AQ90" s="295" t="str">
        <f aca="false">IF($A90="N/A"," ",IF(OR(Dayrun=1,Dayrun=8,Dayrun=11),IF(Option=1,$P90-H90,IF(Option=2,H90-$P90)),0))</f>
        <v> </v>
      </c>
      <c r="AR90" s="296" t="str">
        <f aca="false">IF($A90="N/A"," ",IF(OR(Dayrun&lt;=2,Dayrun&gt;=9),IF(Option=1,$Q90-H90,IF(Option=2,H90-$Q90)),0))</f>
        <v> </v>
      </c>
      <c r="AS90" s="297" t="str">
        <f aca="false">IF($A90="N/A"," ",IF(VLOOKUP(MONTH($A90),ManualTable,2)=1,IF(Dayrun&gt;=3,$DE90*8*$CY90,0),0))</f>
        <v> </v>
      </c>
      <c r="AT90" s="297" t="str">
        <f aca="false">IF($A90="N/A"," ",IF(VLOOKUP(MONTH($A90),ManualTable,3)=1,IF(Dayrun&gt;=6,$DE90*8*$CY90,0),0))</f>
        <v> </v>
      </c>
      <c r="AU90" s="297" t="str">
        <f aca="false">IF($A90="N/A"," ",IF(VLOOKUP(MONTH($A90),ManualTable,4)=1,IF(OR(Dayrun&lt;=2,Dayrun&gt;=9),$DE90*8*$CY90,0),0))</f>
        <v> </v>
      </c>
      <c r="AV90" s="297" t="str">
        <f aca="false">IF($A90="N/A"," ",IF(VLOOKUP(MONTH($A90),ManualTable,5)=1,IF(OR(Dayrun=1,Dayrun=4,Dayrun=5,Dayrun=7,Dayrun=8,Dayrun=10,Dayrun=11),$DF90*8*$CY90,0),0))</f>
        <v> </v>
      </c>
      <c r="AW90" s="297" t="str">
        <f aca="false">IF($A90="N/A"," ",IF(VLOOKUP(MONTH($A90),ManualTable,6)=1,IF(OR(Dayrun=1,Dayrun=7,Dayrun=8,Dayrun=10,Dayrun=11),$DF90*8*$CY90,0),0))</f>
        <v> </v>
      </c>
      <c r="AX90" s="297" t="str">
        <f aca="false">IF($A90="N/A"," ",IF(VLOOKUP(MONTH($A90),ManualTable,7)=1,IF(OR(Dayrun&lt;=2,Dayrun&gt;=9),$DF90*8*$CY90,0),0))</f>
        <v> </v>
      </c>
      <c r="AY90" s="297" t="str">
        <f aca="false">IF($A90="N/A"," ",IF(VLOOKUP(MONTH($A90),ManualTable,8)=1,IF(OR(Dayrun=1,Dayrun=5,Dayrun=8,Dayrun=11),$DG90*8*$CY90,0),0))</f>
        <v> </v>
      </c>
      <c r="AZ90" s="297" t="str">
        <f aca="false">IF($A90="N/A"," ",IF(VLOOKUP(MONTH($A90),ManualTable,9)=1,IF(OR(Dayrun=1,Dayrun=8,Dayrun=11),$DG90*8*$CY90,0),0))</f>
        <v> </v>
      </c>
      <c r="BA90" s="298" t="str">
        <f aca="false">IF($A90="N/A"," ",IF(VLOOKUP(MONTH($A90),ManualTable,10)=1,IF(OR(Dayrun&lt;=2,Dayrun&gt;=9),$DG90*8*$CY90,0),0))</f>
        <v> </v>
      </c>
      <c r="BB90" s="299" t="str">
        <f aca="false">IF($A90="N/A"," ",IF(Dayrun&gt;=3,(MAX(0,(xSPRDOPT(I90,($E90-'Pricing Inputs'!$X125*$D90),$CV90,0,($CN90+IF(Smile=TRUE(),VLOOKUP(MAX(-5,$H90-I90),Volsmile,2),0)),$CT90,$CU90,($A90-DateToday)+15,ABS(Option-2),1)*DE90*8))),0))</f>
        <v> </v>
      </c>
      <c r="BC90" s="300" t="str">
        <f aca="false">IF($A90="N/A"," ",IF(Dayrun&gt;=6,MAX(0,(xSPRDOPT(J90,($E90-'Pricing Inputs'!$X125*$D90),$CV90,0,($CN90+IF(Smile=TRUE(),VLOOKUP(MAX(-5,$H90-J90),Volsmile,2),0)),$CT90,$CU90,($A90-DateToday)+15,ABS(Option-2),1)*DE90*8)),0))</f>
        <v> </v>
      </c>
      <c r="BD90" s="300" t="str">
        <f aca="false">IF($A90="N/A"," ",IF(OR(Dayrun&lt;=2,Dayrun&gt;=9),IF(OffPeakEx=TRUE(),MAX(0,(xSPRDOPT(K90,($E90-'Pricing Inputs'!$X125*$D90),$CV90,0,($CQ90+IF(Smile=TRUE(),VLOOKUP(MAX(-5,$H90-K90),Volsmile,2),0)),$CT90,$CU90,($A90-DateToday)+15,ABS(Option-2),1)*DE90*8)),0),0))</f>
        <v> </v>
      </c>
      <c r="BE90" s="300" t="str">
        <f aca="false">IF($A90="N/A"," ",IF(OR(Dayrun=1,Dayrun=4,Dayrun=5,Dayrun=7,Dayrun=8,Dayrun=10,Dayrun=11),MAX(0,(xSPRDOPT(L90,($E90-'Pricing Inputs'!$X125*$D90),$CV90,0,($CQ90+IF(Smile=TRUE(),VLOOKUP(MAX(-5,$H90-L90),Volsmile,2),0)),$CT90,$CU90,($A90-DateToday)+15,ABS(Option-2),1)*DF90*8)),0))</f>
        <v> </v>
      </c>
      <c r="BF90" s="300" t="str">
        <f aca="false">IF($A90="N/A"," ",IF(OR(Dayrun=1,Dayrun=7,Dayrun=8,Dayrun=10,Dayrun=11),MAX(0,(xSPRDOPT(M90,($E90-'Pricing Inputs'!$X125*$D90),$CV90,0,($CQ90+IF(Smile=TRUE(),VLOOKUP(MAX(-5,$H90-M90),Volsmile,2),0)),$CT90,$CU90,($A90-DateToday)+15,ABS(Option-2),1)*DF90*8)),0))</f>
        <v> </v>
      </c>
      <c r="BG90" s="300" t="str">
        <f aca="false">IF($A90="N/A"," ",IF(OR(Dayrun&lt;=2,Dayrun&gt;=10),IF(OffPeakEx=TRUE(),MAX(0,(xSPRDOPT(N90,($E90-'Pricing Inputs'!$X125*$D90),$CV90,0,($CQ90+IF(Smile=TRUE(),VLOOKUP(MAX(-5,$H90-N90),Volsmile,2),0)),$CT90,$CU90,($A90-DateToday)+15,ABS(Option-2),1)*DF90*8)),0),0))</f>
        <v> </v>
      </c>
      <c r="BH90" s="300" t="str">
        <f aca="false">IF($A90="N/A"," ",IF(OR(Dayrun=1,Dayrun=5,Dayrun=8,Dayrun=11),MAX(0,(xSPRDOPT(O90,($E90-'Pricing Inputs'!$X125*$D90),$CV90,0,($CQ90+IF(Smile=TRUE(),VLOOKUP(MAX(-5,$H90-O90),Volsmile,2),0)),$CT90,$CU90,($A90-DateToday)+15,ABS(Option-2),1)*DG90*8)),0))</f>
        <v> </v>
      </c>
      <c r="BI90" s="300" t="str">
        <f aca="false">IF($A90="N/A"," ",IF(OR(Dayrun=1,Dayrun=8,Dayrun=11),MAX(0,(xSPRDOPT(P90,($E90-'Pricing Inputs'!$X125*$D90),$CV90,0,($CQ90+IF(Smile=TRUE(),VLOOKUP(MAX(-5,$H90-P90),Volsmile,2),0)),$CT90,$CU90,($A90-DateToday)+15,ABS(Option-2),1)*DG90*8)),0))</f>
        <v> </v>
      </c>
      <c r="BJ90" s="301" t="str">
        <f aca="false">IF($A90="N/A"," ",IF(OR(Dayrun&lt;=2,Dayrun&gt;=11),IF(OffPeakEx=TRUE(),MAX(0,(xSPRDOPT(Q90,($E90-'Pricing Inputs'!$X125*$D90),$CV90,0,($CQ90+IF(Smile=TRUE(),VLOOKUP(MAX(-5,$H90-Q90),Volsmile,2),0)),$CT90,$CU90,($A90-DateToday)+15,ABS(Option-2),1)*DG90*8)),0),0))</f>
        <v> </v>
      </c>
      <c r="BK90" s="302" t="str">
        <f aca="false">IF($A90="N/A"," ",R90*$AS90)</f>
        <v> </v>
      </c>
      <c r="BL90" s="303" t="str">
        <f aca="false">IF($A90="N/A"," ",S90*$AT90)</f>
        <v> </v>
      </c>
      <c r="BM90" s="303" t="str">
        <f aca="false">IF($A90="N/A"," ",T90*$AU90)</f>
        <v> </v>
      </c>
      <c r="BN90" s="303" t="str">
        <f aca="false">IF($A90="N/A"," ",U90*$AV90)</f>
        <v> </v>
      </c>
      <c r="BO90" s="303" t="str">
        <f aca="false">IF($A90="N/A"," ",V90*$AW90)</f>
        <v> </v>
      </c>
      <c r="BP90" s="303" t="str">
        <f aca="false">IF($A90="N/A"," ",W90*$AX90)</f>
        <v> </v>
      </c>
      <c r="BQ90" s="303" t="str">
        <f aca="false">IF($A90="N/A"," ",X90*$AY90)</f>
        <v> </v>
      </c>
      <c r="BR90" s="303" t="str">
        <f aca="false">IF($A90="N/A"," ",Y90*$AZ90)</f>
        <v> </v>
      </c>
      <c r="BS90" s="304" t="str">
        <f aca="false">IF($A90="N/A"," ",Z90*$BA90)</f>
        <v> </v>
      </c>
      <c r="BT90" s="305" t="str">
        <f aca="false">IF($A90="N/A"," ",AA90*$AS90)</f>
        <v> </v>
      </c>
      <c r="BU90" s="306" t="str">
        <f aca="false">IF($A90="N/A"," ",AB90*$AT90)</f>
        <v> </v>
      </c>
      <c r="BV90" s="306" t="str">
        <f aca="false">IF($A90="N/A"," ",AC90*$AU90)</f>
        <v> </v>
      </c>
      <c r="BW90" s="306" t="str">
        <f aca="false">IF($A90="N/A"," ",AD90*$AV90)</f>
        <v> </v>
      </c>
      <c r="BX90" s="306" t="str">
        <f aca="false">IF($A90="N/A"," ",AE90*$AW90)</f>
        <v> </v>
      </c>
      <c r="BY90" s="306" t="str">
        <f aca="false">IF($A90="N/A"," ",AF90*$AX90)</f>
        <v> </v>
      </c>
      <c r="BZ90" s="306" t="str">
        <f aca="false">IF($A90="N/A"," ",AG90*$AY90)</f>
        <v> </v>
      </c>
      <c r="CA90" s="306" t="str">
        <f aca="false">IF($A90="N/A"," ",AH90*$AZ90)</f>
        <v> </v>
      </c>
      <c r="CB90" s="307" t="str">
        <f aca="false">IF($A90="N/A"," ",AI90*$BA90)</f>
        <v> </v>
      </c>
      <c r="CC90" s="308" t="str">
        <f aca="false">IF($A90="N/A"," ",AJ90*$AS90)</f>
        <v> </v>
      </c>
      <c r="CD90" s="309" t="str">
        <f aca="false">IF($A90="N/A"," ",AK90*$AT90)</f>
        <v> </v>
      </c>
      <c r="CE90" s="309" t="str">
        <f aca="false">IF($A90="N/A"," ",AL90*$AU90)</f>
        <v> </v>
      </c>
      <c r="CF90" s="309" t="str">
        <f aca="false">IF($A90="N/A"," ",AM90*$AV90)</f>
        <v> </v>
      </c>
      <c r="CG90" s="309" t="str">
        <f aca="false">IF($A90="N/A"," ",AN90*$AW90)</f>
        <v> </v>
      </c>
      <c r="CH90" s="309" t="str">
        <f aca="false">IF($A90="N/A"," ",AO90*$AX90)</f>
        <v> </v>
      </c>
      <c r="CI90" s="309" t="str">
        <f aca="false">IF($A90="N/A"," ",AP90*$AY90)</f>
        <v> </v>
      </c>
      <c r="CJ90" s="309" t="str">
        <f aca="false">IF($A90="N/A"," ",AQ90*$AZ90)</f>
        <v> </v>
      </c>
      <c r="CK90" s="310" t="str">
        <f aca="false">IF($A90="N/A"," ",AR90*$BA90)</f>
        <v> </v>
      </c>
      <c r="CL90" s="311" t="str">
        <f aca="false">IF(A90="N/A"," ",(VLOOKUP(A90,PowerVolTable,(IF(VolBMO=2,7,IF(VolBMO=1,6,8))),FALSE())))</f>
        <v> </v>
      </c>
      <c r="CM90" s="312" t="str">
        <f aca="false">IF(A90="N/A"," ",(VLOOKUP(A90,IntraPowerVol,(IF(VolBMO=2,3,IF(VolBMO=1,2,4))),FALSE())*VLOOKUP(MONTH($A90),Volscale,2)))</f>
        <v> </v>
      </c>
      <c r="CN90" s="312" t="str">
        <f aca="false">IF($A90="N/A"," ",IF(VolType=1,CM90,CL90))</f>
        <v> </v>
      </c>
      <c r="CO90" s="312" t="str">
        <f aca="false">IF($A90="N/A"," ",(VLOOKUP($A90,OffPeakVol,(IF(VolBMO=2,7,IF(VolBMO=1,6,8))),FALSE())))</f>
        <v> </v>
      </c>
      <c r="CP90" s="312" t="str">
        <f aca="false">IF($A90="N/A"," ",(VLOOKUP($A90,OffPeakVol,(IF(VolBMO=2,3,IF(VolBMO=1,2,4))),FALSE())*VLOOKUP(MONTH($A90),Volscale,2)))</f>
        <v> </v>
      </c>
      <c r="CQ90" s="312" t="str">
        <f aca="false">IF($A90="N/A"," ",IF(VolType=1,CP90,CO90))</f>
        <v> </v>
      </c>
      <c r="CR90" s="312" t="str">
        <f aca="false">IF($A90="N/A"," ",(VLOOKUP($A90,GasVolTable,(IF(VolBMO=2,6,IF(VolBMO=1,7,5))),FALSE())))</f>
        <v> </v>
      </c>
      <c r="CS90" s="312" t="str">
        <f aca="false">IF($A90="N/A"," ",(VLOOKUP($A90,OmicronVol,(IF(VolBMO=2,3,IF(VolBMO=1,4,2))),FALSE())))</f>
        <v> </v>
      </c>
      <c r="CT90" s="312" t="str">
        <f aca="false">IF($A90="N/A"," ",(IF(DateToday&gt;$A90,$CS90,IF(VolType=1,((($CR90^2)*((($A90-1)-DateToday)/((EOMONTH($A90,0)+1)-DateToday-15)))+((($CS90)^2)*((15)/((EOMONTH($A90,0)+1)-DateToday-15))))^0.5,CR90))))</f>
        <v> </v>
      </c>
      <c r="CU90" s="312" t="str">
        <f aca="false">IF($A90="N/A"," ",IF('Pricing Inputs'!$AR$23=TRUE(),Inputs!$S$22,VLOOKUP($A90,CorrelationTable,2,FALSE())))</f>
        <v> </v>
      </c>
      <c r="CV90" s="313" t="str">
        <f aca="false">IF($A90="N/A"," ",F90+G90+(D90*('Pricing Inputs'!X125)))</f>
        <v> </v>
      </c>
      <c r="CW90" s="314" t="str">
        <f aca="false">IF($A90="N/A"," ",IF(PV=1,0,'Pricing Inputs'!Y125))</f>
        <v> </v>
      </c>
      <c r="CX90" s="315" t="str">
        <f aca="false">IF($A90="N/A"," ",(1+CW90/2)^(-2*((EOMONTH(A90,0)+20)-DateToday)/365.25))</f>
        <v> </v>
      </c>
      <c r="CY90" s="316" t="str">
        <f aca="false">IF($A90="N/A"," ",(IF(MONTH(A90)&gt;=4,IF(MONTH(A90)&lt;=10,Inputs!$S$26,Inputs!$S$27),Inputs!$S$27))*$CX90)</f>
        <v> </v>
      </c>
      <c r="CZ90" s="317" t="str">
        <f aca="false">IF($A90="N/A"," ",BK90+BL90+BN90+BO90+BQ90+BR90)</f>
        <v> </v>
      </c>
      <c r="DA90" s="318" t="str">
        <f aca="false">IF($A90="N/A"," ",BM90+BP90+BS90)</f>
        <v> </v>
      </c>
      <c r="DB90" s="319" t="str">
        <f aca="false">IF($A90="N/A"," ",BT90+BU90+BW90+BX90+BZ90+CA90)</f>
        <v> </v>
      </c>
      <c r="DC90" s="319" t="str">
        <f aca="false">IF($A90="N/A"," ",BV90+BY90+CB90)</f>
        <v> </v>
      </c>
      <c r="DD90" s="320" t="str">
        <f aca="false">IF($A90="N/A"," ",SUM(CC90:CK90))</f>
        <v> </v>
      </c>
      <c r="DE90" s="321" t="str">
        <f aca="false">IF($A90="N/A"," ",VLOOKUP($A90,NumberofDaysTable,2)*Availability)</f>
        <v> </v>
      </c>
      <c r="DF90" s="94" t="str">
        <f aca="false">IF($A90="N/A"," ",VLOOKUP($A90,NumberofDaysTable,3)*Availability)</f>
        <v> </v>
      </c>
      <c r="DG90" s="322" t="str">
        <f aca="false">IF($A90="N/A"," ",VLOOKUP($A90,NumberofDaysTable,4)*Availability)</f>
        <v> </v>
      </c>
      <c r="DH90" s="323" t="str">
        <f aca="false">IF($A90="N/A"," ",IF(Option=1,$D90*Inputs!$S$15*SUM(AS90:BA90),0))</f>
        <v> </v>
      </c>
      <c r="DI90" s="324" t="str">
        <f aca="false">IF($A90="N/A"," ",IF(Option=1,$D90*Inputs!$S$16*SUM(AS90:BA90),0))</f>
        <v> </v>
      </c>
      <c r="DJ90" s="325" t="str">
        <f aca="false">IF($A90="N/A"," ",SUM(AS90:AT90))</f>
        <v> </v>
      </c>
      <c r="DK90" s="325" t="str">
        <f aca="false">IF($A90="N/A"," ",SUM(AU90:BA90))</f>
        <v> </v>
      </c>
      <c r="DL90" s="325" t="str">
        <f aca="false">IF($A90="N/A"," ",SUM(BB90:BC90))</f>
        <v> </v>
      </c>
      <c r="DM90" s="325" t="str">
        <f aca="false">IF($A90="N/A"," ",SUM(BD90:BJ90))</f>
        <v> </v>
      </c>
    </row>
    <row r="91" customFormat="false" ht="12.75" hidden="false" customHeight="false" outlineLevel="0" collapsed="false">
      <c r="A91" s="282" t="str">
        <f aca="false">IF(A90="N/A","N/A",IF(EDATE(A90,1)&gt;Inputs!$S$5,"N/A",EDATE(A90,1)))</f>
        <v>N/A</v>
      </c>
      <c r="B91" s="283" t="str">
        <f aca="false">IF(A91="N/A"," ",YEAR(A91))</f>
        <v> </v>
      </c>
      <c r="C91" s="284" t="str">
        <f aca="false">IF(A91="N/A"," ",VLOOKUP(A91,ScaledPrice,14))</f>
        <v> </v>
      </c>
      <c r="D91" s="285" t="str">
        <f aca="false">IF(A91="N/A"," ",(VLOOKUP(MONTH($A91),Hrtable,2))/1000)</f>
        <v> </v>
      </c>
      <c r="E91" s="286" t="str">
        <f aca="false">IF($A91="N/A"," ",(C91)*D91)</f>
        <v> </v>
      </c>
      <c r="F91" s="287" t="str">
        <f aca="false">IF(A91="N/A"," ",VOM*(1+VOMesc)^(YEAR(A91)-YEAR(Today)))</f>
        <v> </v>
      </c>
      <c r="G91" s="287" t="str">
        <f aca="false">IF(A91="N/A"," ",Perstart/VLOOKUP(Dayrun,'Pricing Inputs'!$AQ$4:$AS$14,3)/(CY91/CX91))</f>
        <v> </v>
      </c>
      <c r="H91" s="288" t="str">
        <f aca="false">IF(A91="N/A"," ",SUM(E91:G91))</f>
        <v> </v>
      </c>
      <c r="I91" s="289" t="str">
        <f aca="false">VLOOKUP($A91,ScaledPrice,6)</f>
        <v> </v>
      </c>
      <c r="J91" s="290" t="str">
        <f aca="false">VLOOKUP($A91,ScaledPrice,10)</f>
        <v> </v>
      </c>
      <c r="K91" s="290" t="str">
        <f aca="false">VLOOKUP($A91,ScaledPrice,13)</f>
        <v> </v>
      </c>
      <c r="L91" s="290" t="str">
        <f aca="false">VLOOKUP($A91,ScaledPrice,7)</f>
        <v> </v>
      </c>
      <c r="M91" s="290" t="str">
        <f aca="false">VLOOKUP($A91,ScaledPrice,11)</f>
        <v> </v>
      </c>
      <c r="N91" s="290" t="str">
        <f aca="false">VLOOKUP($A91,ScaledPrice,13)</f>
        <v> </v>
      </c>
      <c r="O91" s="290" t="str">
        <f aca="false">VLOOKUP($A91,ScaledPrice,8)</f>
        <v> </v>
      </c>
      <c r="P91" s="290" t="str">
        <f aca="false">VLOOKUP($A91,ScaledPrice,12)</f>
        <v> </v>
      </c>
      <c r="Q91" s="291" t="str">
        <f aca="false">VLOOKUP($A91,ScaledPrice,13)</f>
        <v> </v>
      </c>
      <c r="R91" s="292" t="str">
        <f aca="false">IF($A91="N/A"," ",IF(Dayrun&gt;=3,IF(Option=1,MAX($I91-$H91,0),IF(Option=2,MAX($H91-$I91,0),0)),0))</f>
        <v> </v>
      </c>
      <c r="S91" s="286" t="str">
        <f aca="false">IF($A91="N/A"," ",IF(Dayrun&gt;=6,IF(Option=1,MAX($J91-H91,0),IF(Option=2,MAX(H91-$J91,0),0)),0))</f>
        <v> </v>
      </c>
      <c r="T91" s="286" t="str">
        <f aca="false">IF($A91="N/A"," ",IF(OR(Dayrun&lt;=2,Dayrun&gt;=9),IF(Option=1,MAX($K91-$H91,0),IF(Option=2,MAX($H91-$K91,0),0)),0))</f>
        <v> </v>
      </c>
      <c r="U91" s="286" t="str">
        <f aca="false">IF($A91="N/A"," ",IF(OR(Dayrun=1,Dayrun=4,Dayrun=5,Dayrun=7,Dayrun=8,Dayrun=10,Dayrun=11),IF(Option=1,MAX($L91-H91,0),IF(Option=2,MAX(H91-$L91,0),0)),0))</f>
        <v> </v>
      </c>
      <c r="V91" s="286" t="str">
        <f aca="false">IF($A91="N/A"," ",IF(OR(Dayrun=1,Dayrun=7,Dayrun=8,Dayrun=10,Dayrun=11),IF(Option=1,MAX($M91-H91,0),IF(Option=2,MAX(H91-$M91,0),0)),0))</f>
        <v> </v>
      </c>
      <c r="W91" s="286" t="str">
        <f aca="false">IF($A91="N/A"," ",IF(OR(Dayrun&lt;=2,Dayrun&gt;=10),IF(Option=1,MAX($N91-$H91,0),IF(Option=2,MAX($H91-$N91,0),0)),0))</f>
        <v> </v>
      </c>
      <c r="X91" s="286" t="str">
        <f aca="false">IF($A91="N/A"," ",IF(OR(Dayrun=1,Dayrun=5,Dayrun=8,Dayrun=11),IF(Option=1,MAX($O91-H91,0),IF(Option=2,MAX(H91-$O91,0),0)),0))</f>
        <v> </v>
      </c>
      <c r="Y91" s="286" t="str">
        <f aca="false">IF($A91="N/A"," ",IF(OR(Dayrun=1,Dayrun=8,Dayrun=11),IF(Option=1,MAX($P91-H91,0),IF(Option=2,MAX(H91-$P91,0),0)),0))</f>
        <v> </v>
      </c>
      <c r="Z91" s="293" t="str">
        <f aca="false">IF($A91="N/A"," ",IF(OR(Dayrun&lt;=2,Dayrun&gt;=11),IF(Option=1,MAX($Q91-$H91,0),IF(Option=2,MAX($H91-$Q91,0),0)),0))</f>
        <v> </v>
      </c>
      <c r="AA91" s="289" t="str">
        <f aca="false">IF($A91="N/A"," ",IF(Dayrun&gt;=3,(MAX(0,(xSPRDOPT(I91,($E91-'Pricing Inputs'!$X126*$D91),$CV91,0,($CN91+IF(Smile=TRUE(),VLOOKUP(MAX(-5,$H91-I91),Volsmile,2),0)),$CT91,$CU91,($A91-DateToday)+15,ABS(Option-2),0)-R91))),0))</f>
        <v> </v>
      </c>
      <c r="AB91" s="290" t="str">
        <f aca="false">IF($A91="N/A"," ",IF(Dayrun&gt;=6,MAX(0,(xSPRDOPT(J91,($E91-'Pricing Inputs'!$X126*$D91),$CV91,0,($CN91+IF(Smile=TRUE(),VLOOKUP(MAX(-5,$H91-J91),Volsmile,2),0)),$CT91,$CU91,($A91-DateToday)+15,ABS(Option-2),0)-S91)),0))</f>
        <v> </v>
      </c>
      <c r="AC91" s="290" t="str">
        <f aca="false">IF($A91="N/A"," ",IF(OR(Dayrun&lt;=2,Dayrun&gt;=9),IF(OffPeakEx=TRUE(),MAX(0,(xSPRDOPT(K91,($E91-'Pricing Inputs'!$X126*$D91),$CV91,0,($CQ91+IF(Smile=TRUE(),VLOOKUP(MAX(-5,$H91-K91),Volsmile,2),0)),$CT91,$CU91,($A91-DateToday)+15,ABS(Option-2),0)-T91)),0),0))</f>
        <v> </v>
      </c>
      <c r="AD91" s="290" t="str">
        <f aca="false">IF($A91="N/A"," ",IF(OR(Dayrun=1,Dayrun=4,Dayrun=5,Dayrun=7,Dayrun=8,Dayrun=10,Dayrun=11),MAX(0,(xSPRDOPT(L91,($E91-'Pricing Inputs'!$X126*$D91),$CV91,0,($CQ91+IF(Smile=TRUE(),VLOOKUP(MAX(-5,$H91-L91),Volsmile,2),0)),$CT91,$CU91,($A91-DateToday)+15,ABS(Option-2),0)-U91)),0))</f>
        <v> </v>
      </c>
      <c r="AE91" s="290" t="str">
        <f aca="false">IF($A91="N/A"," ",IF(OR(Dayrun=1,Dayrun=7,Dayrun=8,Dayrun=10,Dayrun=11),MAX(0,(xSPRDOPT(M91,($E91-'Pricing Inputs'!$X126*$D91),$CV91,0,($CQ91+IF(Smile=TRUE(),VLOOKUP(MAX(-5,$H91-M91),Volsmile,2),0)),$CT91,$CU91,($A91-DateToday)+15,ABS(Option-2),0)-V91)),0))</f>
        <v> </v>
      </c>
      <c r="AF91" s="290" t="str">
        <f aca="false">IF($A91="N/A"," ",IF(OR(Dayrun&lt;=2,Dayrun&gt;=10),IF(OffPeakEx=TRUE(),MAX(0,(xSPRDOPT(N91,($E91-'Pricing Inputs'!$X126*$D91),$CV91,0,($CQ91+IF(Smile=TRUE(),VLOOKUP(MAX(-5,$H91-N91),Volsmile,2),0)),$CT91,$CU91,($A91-DateToday)+15,ABS(Option-2),0)-W91)),0),0))</f>
        <v> </v>
      </c>
      <c r="AG91" s="290" t="str">
        <f aca="false">IF($A91="N/A"," ",IF(OR(Dayrun=1,Dayrun=5,Dayrun=8,Dayrun=11),MAX(0,(xSPRDOPT(O91,($E91-'Pricing Inputs'!$X126*$D91),$CV91,0,($CQ91+IF(Smile=TRUE(),VLOOKUP(MAX(-5,$H91-O91),Volsmile,2),0)),$CT91,$CU91,($A91-DateToday)+15,ABS(Option-2),0)-X91)),0))</f>
        <v> </v>
      </c>
      <c r="AH91" s="290" t="str">
        <f aca="false">IF($A91="N/A"," ",IF(OR(Dayrun=1,Dayrun=8,Dayrun=11),MAX(0,(xSPRDOPT(P91,($E91-'Pricing Inputs'!$X126*$D91),$CV91,0,($CQ91+IF(Smile=TRUE(),VLOOKUP(MAX(-5,$H91-P91),Volsmile,2),0)),$CT91,$CU91,($A91-DateToday)+15,ABS(Option-2),0)-Y91)),0))</f>
        <v> </v>
      </c>
      <c r="AI91" s="290" t="str">
        <f aca="false">IF($A91="N/A"," ",IF(OR(Dayrun&lt;=2,Dayrun&gt;=11),IF(OffPeakEx=TRUE(),MAX(0,(xSPRDOPT(Q91,($E91-'Pricing Inputs'!$X126*$D91),$CV91,0,($CQ91+IF(Smile=TRUE(),VLOOKUP(MAX(-5,$H91-Q91),Volsmile,2),0)),$CT91,$CU91,($A91-DateToday)+15,ABS(Option-2),0)-Z91)),0),0))</f>
        <v> </v>
      </c>
      <c r="AJ91" s="294" t="str">
        <f aca="false">IF($A91="N/A"," ",IF(Dayrun&gt;=3,IF(Option=1,$I91-$H91,IF(Option=2,$H91-$I91)),0))</f>
        <v> </v>
      </c>
      <c r="AK91" s="295" t="str">
        <f aca="false">IF($A91="N/A"," ",IF(Dayrun&gt;=6,IF(Option=1,$J91-H91,IF(Option=2,H91-$J91)),0))</f>
        <v> </v>
      </c>
      <c r="AL91" s="295" t="str">
        <f aca="false">IF($A91="N/A"," ",IF(OR(Dayrun&lt;=2,Dayrun&gt;=9),IF(Option=1,$K91-$H91,IF(Option=2,$H91-$K91)),0))</f>
        <v> </v>
      </c>
      <c r="AM91" s="295" t="str">
        <f aca="false">IF($A91="N/A"," ",IF(OR(Dayrun=1,Dayrun=4,Dayrun=5,Dayrun=7,Dayrun=8,Dayrun=10,Dayrun=11),IF(Option=1,$L91-H91,IF(Option=2,H91-$L91)),0))</f>
        <v> </v>
      </c>
      <c r="AN91" s="295" t="str">
        <f aca="false">IF($A91="N/A"," ",IF(OR(Dayrun=1,Dayrun=7,Dayrun=8,Dayrun=10,Dayrun=11),IF(Option=1,$M91-H91,IF(Option=2,H91-$M91)),0))</f>
        <v> </v>
      </c>
      <c r="AO91" s="295" t="str">
        <f aca="false">IF($A91="N/A"," ",IF(OR(Dayrun&lt;=2,Dayrun&gt;=9),IF(Option=1,$N91-$H91,IF(Option=2,$H91-$N91)),0))</f>
        <v> </v>
      </c>
      <c r="AP91" s="295" t="str">
        <f aca="false">IF($A91="N/A"," ",IF(OR(Dayrun=1,Dayrun=5,Dayrun=8,Dayrun=11),IF(Option=1,$O91-H91,IF(Option=2,H91-$O91)),0))</f>
        <v> </v>
      </c>
      <c r="AQ91" s="295" t="str">
        <f aca="false">IF($A91="N/A"," ",IF(OR(Dayrun=1,Dayrun=8,Dayrun=11),IF(Option=1,$P91-H91,IF(Option=2,H91-$P91)),0))</f>
        <v> </v>
      </c>
      <c r="AR91" s="296" t="str">
        <f aca="false">IF($A91="N/A"," ",IF(OR(Dayrun&lt;=2,Dayrun&gt;=9),IF(Option=1,$Q91-H91,IF(Option=2,H91-$Q91)),0))</f>
        <v> </v>
      </c>
      <c r="AS91" s="297" t="str">
        <f aca="false">IF($A91="N/A"," ",IF(VLOOKUP(MONTH($A91),ManualTable,2)=1,IF(Dayrun&gt;=3,$DE91*8*$CY91,0),0))</f>
        <v> </v>
      </c>
      <c r="AT91" s="297" t="str">
        <f aca="false">IF($A91="N/A"," ",IF(VLOOKUP(MONTH($A91),ManualTable,3)=1,IF(Dayrun&gt;=6,$DE91*8*$CY91,0),0))</f>
        <v> </v>
      </c>
      <c r="AU91" s="297" t="str">
        <f aca="false">IF($A91="N/A"," ",IF(VLOOKUP(MONTH($A91),ManualTable,4)=1,IF(OR(Dayrun&lt;=2,Dayrun&gt;=9),$DE91*8*$CY91,0),0))</f>
        <v> </v>
      </c>
      <c r="AV91" s="297" t="str">
        <f aca="false">IF($A91="N/A"," ",IF(VLOOKUP(MONTH($A91),ManualTable,5)=1,IF(OR(Dayrun=1,Dayrun=4,Dayrun=5,Dayrun=7,Dayrun=8,Dayrun=10,Dayrun=11),$DF91*8*$CY91,0),0))</f>
        <v> </v>
      </c>
      <c r="AW91" s="297" t="str">
        <f aca="false">IF($A91="N/A"," ",IF(VLOOKUP(MONTH($A91),ManualTable,6)=1,IF(OR(Dayrun=1,Dayrun=7,Dayrun=8,Dayrun=10,Dayrun=11),$DF91*8*$CY91,0),0))</f>
        <v> </v>
      </c>
      <c r="AX91" s="297" t="str">
        <f aca="false">IF($A91="N/A"," ",IF(VLOOKUP(MONTH($A91),ManualTable,7)=1,IF(OR(Dayrun&lt;=2,Dayrun&gt;=9),$DF91*8*$CY91,0),0))</f>
        <v> </v>
      </c>
      <c r="AY91" s="297" t="str">
        <f aca="false">IF($A91="N/A"," ",IF(VLOOKUP(MONTH($A91),ManualTable,8)=1,IF(OR(Dayrun=1,Dayrun=5,Dayrun=8,Dayrun=11),$DG91*8*$CY91,0),0))</f>
        <v> </v>
      </c>
      <c r="AZ91" s="297" t="str">
        <f aca="false">IF($A91="N/A"," ",IF(VLOOKUP(MONTH($A91),ManualTable,9)=1,IF(OR(Dayrun=1,Dayrun=8,Dayrun=11),$DG91*8*$CY91,0),0))</f>
        <v> </v>
      </c>
      <c r="BA91" s="298" t="str">
        <f aca="false">IF($A91="N/A"," ",IF(VLOOKUP(MONTH($A91),ManualTable,10)=1,IF(OR(Dayrun&lt;=2,Dayrun&gt;=9),$DG91*8*$CY91,0),0))</f>
        <v> </v>
      </c>
      <c r="BB91" s="299" t="str">
        <f aca="false">IF($A91="N/A"," ",IF(Dayrun&gt;=3,(MAX(0,(xSPRDOPT(I91,($E91-'Pricing Inputs'!$X126*$D91),$CV91,0,($CN91+IF(Smile=TRUE(),VLOOKUP(MAX(-5,$H91-I91),Volsmile,2),0)),$CT91,$CU91,($A91-DateToday)+15,ABS(Option-2),1)*DE91*8))),0))</f>
        <v> </v>
      </c>
      <c r="BC91" s="300" t="str">
        <f aca="false">IF($A91="N/A"," ",IF(Dayrun&gt;=6,MAX(0,(xSPRDOPT(J91,($E91-'Pricing Inputs'!$X126*$D91),$CV91,0,($CN91+IF(Smile=TRUE(),VLOOKUP(MAX(-5,$H91-J91),Volsmile,2),0)),$CT91,$CU91,($A91-DateToday)+15,ABS(Option-2),1)*DE91*8)),0))</f>
        <v> </v>
      </c>
      <c r="BD91" s="300" t="str">
        <f aca="false">IF($A91="N/A"," ",IF(OR(Dayrun&lt;=2,Dayrun&gt;=9),IF(OffPeakEx=TRUE(),MAX(0,(xSPRDOPT(K91,($E91-'Pricing Inputs'!$X126*$D91),$CV91,0,($CQ91+IF(Smile=TRUE(),VLOOKUP(MAX(-5,$H91-K91),Volsmile,2),0)),$CT91,$CU91,($A91-DateToday)+15,ABS(Option-2),1)*DE91*8)),0),0))</f>
        <v> </v>
      </c>
      <c r="BE91" s="300" t="str">
        <f aca="false">IF($A91="N/A"," ",IF(OR(Dayrun=1,Dayrun=4,Dayrun=5,Dayrun=7,Dayrun=8,Dayrun=10,Dayrun=11),MAX(0,(xSPRDOPT(L91,($E91-'Pricing Inputs'!$X126*$D91),$CV91,0,($CQ91+IF(Smile=TRUE(),VLOOKUP(MAX(-5,$H91-L91),Volsmile,2),0)),$CT91,$CU91,($A91-DateToday)+15,ABS(Option-2),1)*DF91*8)),0))</f>
        <v> </v>
      </c>
      <c r="BF91" s="300" t="str">
        <f aca="false">IF($A91="N/A"," ",IF(OR(Dayrun=1,Dayrun=7,Dayrun=8,Dayrun=10,Dayrun=11),MAX(0,(xSPRDOPT(M91,($E91-'Pricing Inputs'!$X126*$D91),$CV91,0,($CQ91+IF(Smile=TRUE(),VLOOKUP(MAX(-5,$H91-M91),Volsmile,2),0)),$CT91,$CU91,($A91-DateToday)+15,ABS(Option-2),1)*DF91*8)),0))</f>
        <v> </v>
      </c>
      <c r="BG91" s="300" t="str">
        <f aca="false">IF($A91="N/A"," ",IF(OR(Dayrun&lt;=2,Dayrun&gt;=10),IF(OffPeakEx=TRUE(),MAX(0,(xSPRDOPT(N91,($E91-'Pricing Inputs'!$X126*$D91),$CV91,0,($CQ91+IF(Smile=TRUE(),VLOOKUP(MAX(-5,$H91-N91),Volsmile,2),0)),$CT91,$CU91,($A91-DateToday)+15,ABS(Option-2),1)*DF91*8)),0),0))</f>
        <v> </v>
      </c>
      <c r="BH91" s="300" t="str">
        <f aca="false">IF($A91="N/A"," ",IF(OR(Dayrun=1,Dayrun=5,Dayrun=8,Dayrun=11),MAX(0,(xSPRDOPT(O91,($E91-'Pricing Inputs'!$X126*$D91),$CV91,0,($CQ91+IF(Smile=TRUE(),VLOOKUP(MAX(-5,$H91-O91),Volsmile,2),0)),$CT91,$CU91,($A91-DateToday)+15,ABS(Option-2),1)*DG91*8)),0))</f>
        <v> </v>
      </c>
      <c r="BI91" s="300" t="str">
        <f aca="false">IF($A91="N/A"," ",IF(OR(Dayrun=1,Dayrun=8,Dayrun=11),MAX(0,(xSPRDOPT(P91,($E91-'Pricing Inputs'!$X126*$D91),$CV91,0,($CQ91+IF(Smile=TRUE(),VLOOKUP(MAX(-5,$H91-P91),Volsmile,2),0)),$CT91,$CU91,($A91-DateToday)+15,ABS(Option-2),1)*DG91*8)),0))</f>
        <v> </v>
      </c>
      <c r="BJ91" s="301" t="str">
        <f aca="false">IF($A91="N/A"," ",IF(OR(Dayrun&lt;=2,Dayrun&gt;=11),IF(OffPeakEx=TRUE(),MAX(0,(xSPRDOPT(Q91,($E91-'Pricing Inputs'!$X126*$D91),$CV91,0,($CQ91+IF(Smile=TRUE(),VLOOKUP(MAX(-5,$H91-Q91),Volsmile,2),0)),$CT91,$CU91,($A91-DateToday)+15,ABS(Option-2),1)*DG91*8)),0),0))</f>
        <v> </v>
      </c>
      <c r="BK91" s="302" t="str">
        <f aca="false">IF($A91="N/A"," ",R91*$AS91)</f>
        <v> </v>
      </c>
      <c r="BL91" s="303" t="str">
        <f aca="false">IF($A91="N/A"," ",S91*$AT91)</f>
        <v> </v>
      </c>
      <c r="BM91" s="303" t="str">
        <f aca="false">IF($A91="N/A"," ",T91*$AU91)</f>
        <v> </v>
      </c>
      <c r="BN91" s="303" t="str">
        <f aca="false">IF($A91="N/A"," ",U91*$AV91)</f>
        <v> </v>
      </c>
      <c r="BO91" s="303" t="str">
        <f aca="false">IF($A91="N/A"," ",V91*$AW91)</f>
        <v> </v>
      </c>
      <c r="BP91" s="303" t="str">
        <f aca="false">IF($A91="N/A"," ",W91*$AX91)</f>
        <v> </v>
      </c>
      <c r="BQ91" s="303" t="str">
        <f aca="false">IF($A91="N/A"," ",X91*$AY91)</f>
        <v> </v>
      </c>
      <c r="BR91" s="303" t="str">
        <f aca="false">IF($A91="N/A"," ",Y91*$AZ91)</f>
        <v> </v>
      </c>
      <c r="BS91" s="304" t="str">
        <f aca="false">IF($A91="N/A"," ",Z91*$BA91)</f>
        <v> </v>
      </c>
      <c r="BT91" s="305" t="str">
        <f aca="false">IF($A91="N/A"," ",AA91*$AS91)</f>
        <v> </v>
      </c>
      <c r="BU91" s="306" t="str">
        <f aca="false">IF($A91="N/A"," ",AB91*$AT91)</f>
        <v> </v>
      </c>
      <c r="BV91" s="306" t="str">
        <f aca="false">IF($A91="N/A"," ",AC91*$AU91)</f>
        <v> </v>
      </c>
      <c r="BW91" s="306" t="str">
        <f aca="false">IF($A91="N/A"," ",AD91*$AV91)</f>
        <v> </v>
      </c>
      <c r="BX91" s="306" t="str">
        <f aca="false">IF($A91="N/A"," ",AE91*$AW91)</f>
        <v> </v>
      </c>
      <c r="BY91" s="306" t="str">
        <f aca="false">IF($A91="N/A"," ",AF91*$AX91)</f>
        <v> </v>
      </c>
      <c r="BZ91" s="306" t="str">
        <f aca="false">IF($A91="N/A"," ",AG91*$AY91)</f>
        <v> </v>
      </c>
      <c r="CA91" s="306" t="str">
        <f aca="false">IF($A91="N/A"," ",AH91*$AZ91)</f>
        <v> </v>
      </c>
      <c r="CB91" s="307" t="str">
        <f aca="false">IF($A91="N/A"," ",AI91*$BA91)</f>
        <v> </v>
      </c>
      <c r="CC91" s="308" t="str">
        <f aca="false">IF($A91="N/A"," ",AJ91*$AS91)</f>
        <v> </v>
      </c>
      <c r="CD91" s="309" t="str">
        <f aca="false">IF($A91="N/A"," ",AK91*$AT91)</f>
        <v> </v>
      </c>
      <c r="CE91" s="309" t="str">
        <f aca="false">IF($A91="N/A"," ",AL91*$AU91)</f>
        <v> </v>
      </c>
      <c r="CF91" s="309" t="str">
        <f aca="false">IF($A91="N/A"," ",AM91*$AV91)</f>
        <v> </v>
      </c>
      <c r="CG91" s="309" t="str">
        <f aca="false">IF($A91="N/A"," ",AN91*$AW91)</f>
        <v> </v>
      </c>
      <c r="CH91" s="309" t="str">
        <f aca="false">IF($A91="N/A"," ",AO91*$AX91)</f>
        <v> </v>
      </c>
      <c r="CI91" s="309" t="str">
        <f aca="false">IF($A91="N/A"," ",AP91*$AY91)</f>
        <v> </v>
      </c>
      <c r="CJ91" s="309" t="str">
        <f aca="false">IF($A91="N/A"," ",AQ91*$AZ91)</f>
        <v> </v>
      </c>
      <c r="CK91" s="310" t="str">
        <f aca="false">IF($A91="N/A"," ",AR91*$BA91)</f>
        <v> </v>
      </c>
      <c r="CL91" s="311" t="str">
        <f aca="false">IF(A91="N/A"," ",(VLOOKUP(A91,PowerVolTable,(IF(VolBMO=2,7,IF(VolBMO=1,6,8))),FALSE())))</f>
        <v> </v>
      </c>
      <c r="CM91" s="312" t="str">
        <f aca="false">IF(A91="N/A"," ",(VLOOKUP(A91,IntraPowerVol,(IF(VolBMO=2,3,IF(VolBMO=1,2,4))),FALSE())*VLOOKUP(MONTH($A91),Volscale,2)))</f>
        <v> </v>
      </c>
      <c r="CN91" s="312" t="str">
        <f aca="false">IF($A91="N/A"," ",IF(VolType=1,CM91,CL91))</f>
        <v> </v>
      </c>
      <c r="CO91" s="312" t="str">
        <f aca="false">IF($A91="N/A"," ",(VLOOKUP($A91,OffPeakVol,(IF(VolBMO=2,7,IF(VolBMO=1,6,8))),FALSE())))</f>
        <v> </v>
      </c>
      <c r="CP91" s="312" t="str">
        <f aca="false">IF($A91="N/A"," ",(VLOOKUP($A91,OffPeakVol,(IF(VolBMO=2,3,IF(VolBMO=1,2,4))),FALSE())*VLOOKUP(MONTH($A91),Volscale,2)))</f>
        <v> </v>
      </c>
      <c r="CQ91" s="312" t="str">
        <f aca="false">IF($A91="N/A"," ",IF(VolType=1,CP91,CO91))</f>
        <v> </v>
      </c>
      <c r="CR91" s="312" t="str">
        <f aca="false">IF($A91="N/A"," ",(VLOOKUP($A91,GasVolTable,(IF(VolBMO=2,6,IF(VolBMO=1,7,5))),FALSE())))</f>
        <v> </v>
      </c>
      <c r="CS91" s="312" t="str">
        <f aca="false">IF($A91="N/A"," ",(VLOOKUP($A91,OmicronVol,(IF(VolBMO=2,3,IF(VolBMO=1,4,2))),FALSE())))</f>
        <v> </v>
      </c>
      <c r="CT91" s="312" t="str">
        <f aca="false">IF($A91="N/A"," ",(IF(DateToday&gt;$A91,$CS91,IF(VolType=1,((($CR91^2)*((($A91-1)-DateToday)/((EOMONTH($A91,0)+1)-DateToday-15)))+((($CS91)^2)*((15)/((EOMONTH($A91,0)+1)-DateToday-15))))^0.5,CR91))))</f>
        <v> </v>
      </c>
      <c r="CU91" s="312" t="str">
        <f aca="false">IF($A91="N/A"," ",IF('Pricing Inputs'!$AR$23=TRUE(),Inputs!$S$22,VLOOKUP($A91,CorrelationTable,2,FALSE())))</f>
        <v> </v>
      </c>
      <c r="CV91" s="313" t="str">
        <f aca="false">IF($A91="N/A"," ",F91+G91+(D91*('Pricing Inputs'!X126)))</f>
        <v> </v>
      </c>
      <c r="CW91" s="314" t="str">
        <f aca="false">IF($A91="N/A"," ",IF(PV=1,0,'Pricing Inputs'!Y126))</f>
        <v> </v>
      </c>
      <c r="CX91" s="315" t="str">
        <f aca="false">IF($A91="N/A"," ",(1+CW91/2)^(-2*((EOMONTH(A91,0)+20)-DateToday)/365.25))</f>
        <v> </v>
      </c>
      <c r="CY91" s="316" t="str">
        <f aca="false">IF($A91="N/A"," ",(IF(MONTH(A91)&gt;=4,IF(MONTH(A91)&lt;=10,Inputs!$S$26,Inputs!$S$27),Inputs!$S$27))*$CX91)</f>
        <v> </v>
      </c>
      <c r="CZ91" s="317" t="str">
        <f aca="false">IF($A91="N/A"," ",BK91+BL91+BN91+BO91+BQ91+BR91)</f>
        <v> </v>
      </c>
      <c r="DA91" s="318" t="str">
        <f aca="false">IF($A91="N/A"," ",BM91+BP91+BS91)</f>
        <v> </v>
      </c>
      <c r="DB91" s="319" t="str">
        <f aca="false">IF($A91="N/A"," ",BT91+BU91+BW91+BX91+BZ91+CA91)</f>
        <v> </v>
      </c>
      <c r="DC91" s="319" t="str">
        <f aca="false">IF($A91="N/A"," ",BV91+BY91+CB91)</f>
        <v> </v>
      </c>
      <c r="DD91" s="320" t="str">
        <f aca="false">IF($A91="N/A"," ",SUM(CC91:CK91))</f>
        <v> </v>
      </c>
      <c r="DE91" s="321" t="str">
        <f aca="false">IF($A91="N/A"," ",VLOOKUP($A91,NumberofDaysTable,2)*Availability)</f>
        <v> </v>
      </c>
      <c r="DF91" s="94" t="str">
        <f aca="false">IF($A91="N/A"," ",VLOOKUP($A91,NumberofDaysTable,3)*Availability)</f>
        <v> </v>
      </c>
      <c r="DG91" s="322" t="str">
        <f aca="false">IF($A91="N/A"," ",VLOOKUP($A91,NumberofDaysTable,4)*Availability)</f>
        <v> </v>
      </c>
      <c r="DH91" s="323" t="str">
        <f aca="false">IF($A91="N/A"," ",IF(Option=1,$D91*Inputs!$S$15*SUM(AS91:BA91),0))</f>
        <v> </v>
      </c>
      <c r="DI91" s="324" t="str">
        <f aca="false">IF($A91="N/A"," ",IF(Option=1,$D91*Inputs!$S$16*SUM(AS91:BA91),0))</f>
        <v> </v>
      </c>
      <c r="DJ91" s="325" t="str">
        <f aca="false">IF($A91="N/A"," ",SUM(AS91:AT91))</f>
        <v> </v>
      </c>
      <c r="DK91" s="325" t="str">
        <f aca="false">IF($A91="N/A"," ",SUM(AU91:BA91))</f>
        <v> </v>
      </c>
      <c r="DL91" s="325" t="str">
        <f aca="false">IF($A91="N/A"," ",SUM(BB91:BC91))</f>
        <v> </v>
      </c>
      <c r="DM91" s="325" t="str">
        <f aca="false">IF($A91="N/A"," ",SUM(BD91:BJ91))</f>
        <v> </v>
      </c>
    </row>
    <row r="92" customFormat="false" ht="12.75" hidden="false" customHeight="false" outlineLevel="0" collapsed="false">
      <c r="A92" s="282" t="str">
        <f aca="false">IF(A91="N/A","N/A",IF(EDATE(A91,1)&gt;Inputs!$S$5,"N/A",EDATE(A91,1)))</f>
        <v>N/A</v>
      </c>
      <c r="B92" s="283" t="str">
        <f aca="false">IF(A92="N/A"," ",YEAR(A92))</f>
        <v> </v>
      </c>
      <c r="C92" s="284" t="str">
        <f aca="false">IF(A92="N/A"," ",VLOOKUP(A92,ScaledPrice,14))</f>
        <v> </v>
      </c>
      <c r="D92" s="285" t="str">
        <f aca="false">IF(A92="N/A"," ",(VLOOKUP(MONTH($A92),Hrtable,2))/1000)</f>
        <v> </v>
      </c>
      <c r="E92" s="286" t="str">
        <f aca="false">IF($A92="N/A"," ",(C92)*D92)</f>
        <v> </v>
      </c>
      <c r="F92" s="287" t="str">
        <f aca="false">IF(A92="N/A"," ",VOM*(1+VOMesc)^(YEAR(A92)-YEAR(Today)))</f>
        <v> </v>
      </c>
      <c r="G92" s="287" t="str">
        <f aca="false">IF(A92="N/A"," ",Perstart/VLOOKUP(Dayrun,'Pricing Inputs'!$AQ$4:$AS$14,3)/(CY92/CX92))</f>
        <v> </v>
      </c>
      <c r="H92" s="288" t="str">
        <f aca="false">IF(A92="N/A"," ",SUM(E92:G92))</f>
        <v> </v>
      </c>
      <c r="I92" s="289" t="str">
        <f aca="false">VLOOKUP($A92,ScaledPrice,6)</f>
        <v> </v>
      </c>
      <c r="J92" s="290" t="str">
        <f aca="false">VLOOKUP($A92,ScaledPrice,10)</f>
        <v> </v>
      </c>
      <c r="K92" s="290" t="str">
        <f aca="false">VLOOKUP($A92,ScaledPrice,13)</f>
        <v> </v>
      </c>
      <c r="L92" s="290" t="str">
        <f aca="false">VLOOKUP($A92,ScaledPrice,7)</f>
        <v> </v>
      </c>
      <c r="M92" s="290" t="str">
        <f aca="false">VLOOKUP($A92,ScaledPrice,11)</f>
        <v> </v>
      </c>
      <c r="N92" s="290" t="str">
        <f aca="false">VLOOKUP($A92,ScaledPrice,13)</f>
        <v> </v>
      </c>
      <c r="O92" s="290" t="str">
        <f aca="false">VLOOKUP($A92,ScaledPrice,8)</f>
        <v> </v>
      </c>
      <c r="P92" s="290" t="str">
        <f aca="false">VLOOKUP($A92,ScaledPrice,12)</f>
        <v> </v>
      </c>
      <c r="Q92" s="291" t="str">
        <f aca="false">VLOOKUP($A92,ScaledPrice,13)</f>
        <v> </v>
      </c>
      <c r="R92" s="292" t="str">
        <f aca="false">IF($A92="N/A"," ",IF(Dayrun&gt;=3,IF(Option=1,MAX($I92-$H92,0),IF(Option=2,MAX($H92-$I92,0),0)),0))</f>
        <v> </v>
      </c>
      <c r="S92" s="286" t="str">
        <f aca="false">IF($A92="N/A"," ",IF(Dayrun&gt;=6,IF(Option=1,MAX($J92-H92,0),IF(Option=2,MAX(H92-$J92,0),0)),0))</f>
        <v> </v>
      </c>
      <c r="T92" s="286" t="str">
        <f aca="false">IF($A92="N/A"," ",IF(OR(Dayrun&lt;=2,Dayrun&gt;=9),IF(Option=1,MAX($K92-$H92,0),IF(Option=2,MAX($H92-$K92,0),0)),0))</f>
        <v> </v>
      </c>
      <c r="U92" s="286" t="str">
        <f aca="false">IF($A92="N/A"," ",IF(OR(Dayrun=1,Dayrun=4,Dayrun=5,Dayrun=7,Dayrun=8,Dayrun=10,Dayrun=11),IF(Option=1,MAX($L92-H92,0),IF(Option=2,MAX(H92-$L92,0),0)),0))</f>
        <v> </v>
      </c>
      <c r="V92" s="286" t="str">
        <f aca="false">IF($A92="N/A"," ",IF(OR(Dayrun=1,Dayrun=7,Dayrun=8,Dayrun=10,Dayrun=11),IF(Option=1,MAX($M92-H92,0),IF(Option=2,MAX(H92-$M92,0),0)),0))</f>
        <v> </v>
      </c>
      <c r="W92" s="286" t="str">
        <f aca="false">IF($A92="N/A"," ",IF(OR(Dayrun&lt;=2,Dayrun&gt;=10),IF(Option=1,MAX($N92-$H92,0),IF(Option=2,MAX($H92-$N92,0),0)),0))</f>
        <v> </v>
      </c>
      <c r="X92" s="286" t="str">
        <f aca="false">IF($A92="N/A"," ",IF(OR(Dayrun=1,Dayrun=5,Dayrun=8,Dayrun=11),IF(Option=1,MAX($O92-H92,0),IF(Option=2,MAX(H92-$O92,0),0)),0))</f>
        <v> </v>
      </c>
      <c r="Y92" s="286" t="str">
        <f aca="false">IF($A92="N/A"," ",IF(OR(Dayrun=1,Dayrun=8,Dayrun=11),IF(Option=1,MAX($P92-H92,0),IF(Option=2,MAX(H92-$P92,0),0)),0))</f>
        <v> </v>
      </c>
      <c r="Z92" s="293" t="str">
        <f aca="false">IF($A92="N/A"," ",IF(OR(Dayrun&lt;=2,Dayrun&gt;=11),IF(Option=1,MAX($Q92-$H92,0),IF(Option=2,MAX($H92-$Q92,0),0)),0))</f>
        <v> </v>
      </c>
      <c r="AA92" s="289" t="str">
        <f aca="false">IF($A92="N/A"," ",IF(Dayrun&gt;=3,(MAX(0,(xSPRDOPT(I92,($E92-'Pricing Inputs'!$X127*$D92),$CV92,0,($CN92+IF(Smile=TRUE(),VLOOKUP(MAX(-5,$H92-I92),Volsmile,2),0)),$CT92,$CU92,($A92-DateToday)+15,ABS(Option-2),0)-R92))),0))</f>
        <v> </v>
      </c>
      <c r="AB92" s="290" t="str">
        <f aca="false">IF($A92="N/A"," ",IF(Dayrun&gt;=6,MAX(0,(xSPRDOPT(J92,($E92-'Pricing Inputs'!$X127*$D92),$CV92,0,($CN92+IF(Smile=TRUE(),VLOOKUP(MAX(-5,$H92-J92),Volsmile,2),0)),$CT92,$CU92,($A92-DateToday)+15,ABS(Option-2),0)-S92)),0))</f>
        <v> </v>
      </c>
      <c r="AC92" s="290" t="str">
        <f aca="false">IF($A92="N/A"," ",IF(OR(Dayrun&lt;=2,Dayrun&gt;=9),IF(OffPeakEx=TRUE(),MAX(0,(xSPRDOPT(K92,($E92-'Pricing Inputs'!$X127*$D92),$CV92,0,($CQ92+IF(Smile=TRUE(),VLOOKUP(MAX(-5,$H92-K92),Volsmile,2),0)),$CT92,$CU92,($A92-DateToday)+15,ABS(Option-2),0)-T92)),0),0))</f>
        <v> </v>
      </c>
      <c r="AD92" s="290" t="str">
        <f aca="false">IF($A92="N/A"," ",IF(OR(Dayrun=1,Dayrun=4,Dayrun=5,Dayrun=7,Dayrun=8,Dayrun=10,Dayrun=11),MAX(0,(xSPRDOPT(L92,($E92-'Pricing Inputs'!$X127*$D92),$CV92,0,($CQ92+IF(Smile=TRUE(),VLOOKUP(MAX(-5,$H92-L92),Volsmile,2),0)),$CT92,$CU92,($A92-DateToday)+15,ABS(Option-2),0)-U92)),0))</f>
        <v> </v>
      </c>
      <c r="AE92" s="290" t="str">
        <f aca="false">IF($A92="N/A"," ",IF(OR(Dayrun=1,Dayrun=7,Dayrun=8,Dayrun=10,Dayrun=11),MAX(0,(xSPRDOPT(M92,($E92-'Pricing Inputs'!$X127*$D92),$CV92,0,($CQ92+IF(Smile=TRUE(),VLOOKUP(MAX(-5,$H92-M92),Volsmile,2),0)),$CT92,$CU92,($A92-DateToday)+15,ABS(Option-2),0)-V92)),0))</f>
        <v> </v>
      </c>
      <c r="AF92" s="290" t="str">
        <f aca="false">IF($A92="N/A"," ",IF(OR(Dayrun&lt;=2,Dayrun&gt;=10),IF(OffPeakEx=TRUE(),MAX(0,(xSPRDOPT(N92,($E92-'Pricing Inputs'!$X127*$D92),$CV92,0,($CQ92+IF(Smile=TRUE(),VLOOKUP(MAX(-5,$H92-N92),Volsmile,2),0)),$CT92,$CU92,($A92-DateToday)+15,ABS(Option-2),0)-W92)),0),0))</f>
        <v> </v>
      </c>
      <c r="AG92" s="290" t="str">
        <f aca="false">IF($A92="N/A"," ",IF(OR(Dayrun=1,Dayrun=5,Dayrun=8,Dayrun=11),MAX(0,(xSPRDOPT(O92,($E92-'Pricing Inputs'!$X127*$D92),$CV92,0,($CQ92+IF(Smile=TRUE(),VLOOKUP(MAX(-5,$H92-O92),Volsmile,2),0)),$CT92,$CU92,($A92-DateToday)+15,ABS(Option-2),0)-X92)),0))</f>
        <v> </v>
      </c>
      <c r="AH92" s="290" t="str">
        <f aca="false">IF($A92="N/A"," ",IF(OR(Dayrun=1,Dayrun=8,Dayrun=11),MAX(0,(xSPRDOPT(P92,($E92-'Pricing Inputs'!$X127*$D92),$CV92,0,($CQ92+IF(Smile=TRUE(),VLOOKUP(MAX(-5,$H92-P92),Volsmile,2),0)),$CT92,$CU92,($A92-DateToday)+15,ABS(Option-2),0)-Y92)),0))</f>
        <v> </v>
      </c>
      <c r="AI92" s="290" t="str">
        <f aca="false">IF($A92="N/A"," ",IF(OR(Dayrun&lt;=2,Dayrun&gt;=11),IF(OffPeakEx=TRUE(),MAX(0,(xSPRDOPT(Q92,($E92-'Pricing Inputs'!$X127*$D92),$CV92,0,($CQ92+IF(Smile=TRUE(),VLOOKUP(MAX(-5,$H92-Q92),Volsmile,2),0)),$CT92,$CU92,($A92-DateToday)+15,ABS(Option-2),0)-Z92)),0),0))</f>
        <v> </v>
      </c>
      <c r="AJ92" s="294" t="str">
        <f aca="false">IF($A92="N/A"," ",IF(Dayrun&gt;=3,IF(Option=1,$I92-$H92,IF(Option=2,$H92-$I92)),0))</f>
        <v> </v>
      </c>
      <c r="AK92" s="295" t="str">
        <f aca="false">IF($A92="N/A"," ",IF(Dayrun&gt;=6,IF(Option=1,$J92-H92,IF(Option=2,H92-$J92)),0))</f>
        <v> </v>
      </c>
      <c r="AL92" s="295" t="str">
        <f aca="false">IF($A92="N/A"," ",IF(OR(Dayrun&lt;=2,Dayrun&gt;=9),IF(Option=1,$K92-$H92,IF(Option=2,$H92-$K92)),0))</f>
        <v> </v>
      </c>
      <c r="AM92" s="295" t="str">
        <f aca="false">IF($A92="N/A"," ",IF(OR(Dayrun=1,Dayrun=4,Dayrun=5,Dayrun=7,Dayrun=8,Dayrun=10,Dayrun=11),IF(Option=1,$L92-H92,IF(Option=2,H92-$L92)),0))</f>
        <v> </v>
      </c>
      <c r="AN92" s="295" t="str">
        <f aca="false">IF($A92="N/A"," ",IF(OR(Dayrun=1,Dayrun=7,Dayrun=8,Dayrun=10,Dayrun=11),IF(Option=1,$M92-H92,IF(Option=2,H92-$M92)),0))</f>
        <v> </v>
      </c>
      <c r="AO92" s="295" t="str">
        <f aca="false">IF($A92="N/A"," ",IF(OR(Dayrun&lt;=2,Dayrun&gt;=9),IF(Option=1,$N92-$H92,IF(Option=2,$H92-$N92)),0))</f>
        <v> </v>
      </c>
      <c r="AP92" s="295" t="str">
        <f aca="false">IF($A92="N/A"," ",IF(OR(Dayrun=1,Dayrun=5,Dayrun=8,Dayrun=11),IF(Option=1,$O92-H92,IF(Option=2,H92-$O92)),0))</f>
        <v> </v>
      </c>
      <c r="AQ92" s="295" t="str">
        <f aca="false">IF($A92="N/A"," ",IF(OR(Dayrun=1,Dayrun=8,Dayrun=11),IF(Option=1,$P92-H92,IF(Option=2,H92-$P92)),0))</f>
        <v> </v>
      </c>
      <c r="AR92" s="296" t="str">
        <f aca="false">IF($A92="N/A"," ",IF(OR(Dayrun&lt;=2,Dayrun&gt;=9),IF(Option=1,$Q92-H92,IF(Option=2,H92-$Q92)),0))</f>
        <v> </v>
      </c>
      <c r="AS92" s="297" t="str">
        <f aca="false">IF($A92="N/A"," ",IF(VLOOKUP(MONTH($A92),ManualTable,2)=1,IF(Dayrun&gt;=3,$DE92*8*$CY92,0),0))</f>
        <v> </v>
      </c>
      <c r="AT92" s="297" t="str">
        <f aca="false">IF($A92="N/A"," ",IF(VLOOKUP(MONTH($A92),ManualTable,3)=1,IF(Dayrun&gt;=6,$DE92*8*$CY92,0),0))</f>
        <v> </v>
      </c>
      <c r="AU92" s="297" t="str">
        <f aca="false">IF($A92="N/A"," ",IF(VLOOKUP(MONTH($A92),ManualTable,4)=1,IF(OR(Dayrun&lt;=2,Dayrun&gt;=9),$DE92*8*$CY92,0),0))</f>
        <v> </v>
      </c>
      <c r="AV92" s="297" t="str">
        <f aca="false">IF($A92="N/A"," ",IF(VLOOKUP(MONTH($A92),ManualTable,5)=1,IF(OR(Dayrun=1,Dayrun=4,Dayrun=5,Dayrun=7,Dayrun=8,Dayrun=10,Dayrun=11),$DF92*8*$CY92,0),0))</f>
        <v> </v>
      </c>
      <c r="AW92" s="297" t="str">
        <f aca="false">IF($A92="N/A"," ",IF(VLOOKUP(MONTH($A92),ManualTable,6)=1,IF(OR(Dayrun=1,Dayrun=7,Dayrun=8,Dayrun=10,Dayrun=11),$DF92*8*$CY92,0),0))</f>
        <v> </v>
      </c>
      <c r="AX92" s="297" t="str">
        <f aca="false">IF($A92="N/A"," ",IF(VLOOKUP(MONTH($A92),ManualTable,7)=1,IF(OR(Dayrun&lt;=2,Dayrun&gt;=9),$DF92*8*$CY92,0),0))</f>
        <v> </v>
      </c>
      <c r="AY92" s="297" t="str">
        <f aca="false">IF($A92="N/A"," ",IF(VLOOKUP(MONTH($A92),ManualTable,8)=1,IF(OR(Dayrun=1,Dayrun=5,Dayrun=8,Dayrun=11),$DG92*8*$CY92,0),0))</f>
        <v> </v>
      </c>
      <c r="AZ92" s="297" t="str">
        <f aca="false">IF($A92="N/A"," ",IF(VLOOKUP(MONTH($A92),ManualTable,9)=1,IF(OR(Dayrun=1,Dayrun=8,Dayrun=11),$DG92*8*$CY92,0),0))</f>
        <v> </v>
      </c>
      <c r="BA92" s="298" t="str">
        <f aca="false">IF($A92="N/A"," ",IF(VLOOKUP(MONTH($A92),ManualTable,10)=1,IF(OR(Dayrun&lt;=2,Dayrun&gt;=9),$DG92*8*$CY92,0),0))</f>
        <v> </v>
      </c>
      <c r="BB92" s="299" t="str">
        <f aca="false">IF($A92="N/A"," ",IF(Dayrun&gt;=3,(MAX(0,(xSPRDOPT(I92,($E92-'Pricing Inputs'!$X127*$D92),$CV92,0,($CN92+IF(Smile=TRUE(),VLOOKUP(MAX(-5,$H92-I92),Volsmile,2),0)),$CT92,$CU92,($A92-DateToday)+15,ABS(Option-2),1)*DE92*8))),0))</f>
        <v> </v>
      </c>
      <c r="BC92" s="300" t="str">
        <f aca="false">IF($A92="N/A"," ",IF(Dayrun&gt;=6,MAX(0,(xSPRDOPT(J92,($E92-'Pricing Inputs'!$X127*$D92),$CV92,0,($CN92+IF(Smile=TRUE(),VLOOKUP(MAX(-5,$H92-J92),Volsmile,2),0)),$CT92,$CU92,($A92-DateToday)+15,ABS(Option-2),1)*DE92*8)),0))</f>
        <v> </v>
      </c>
      <c r="BD92" s="300" t="str">
        <f aca="false">IF($A92="N/A"," ",IF(OR(Dayrun&lt;=2,Dayrun&gt;=9),IF(OffPeakEx=TRUE(),MAX(0,(xSPRDOPT(K92,($E92-'Pricing Inputs'!$X127*$D92),$CV92,0,($CQ92+IF(Smile=TRUE(),VLOOKUP(MAX(-5,$H92-K92),Volsmile,2),0)),$CT92,$CU92,($A92-DateToday)+15,ABS(Option-2),1)*DE92*8)),0),0))</f>
        <v> </v>
      </c>
      <c r="BE92" s="300" t="str">
        <f aca="false">IF($A92="N/A"," ",IF(OR(Dayrun=1,Dayrun=4,Dayrun=5,Dayrun=7,Dayrun=8,Dayrun=10,Dayrun=11),MAX(0,(xSPRDOPT(L92,($E92-'Pricing Inputs'!$X127*$D92),$CV92,0,($CQ92+IF(Smile=TRUE(),VLOOKUP(MAX(-5,$H92-L92),Volsmile,2),0)),$CT92,$CU92,($A92-DateToday)+15,ABS(Option-2),1)*DF92*8)),0))</f>
        <v> </v>
      </c>
      <c r="BF92" s="300" t="str">
        <f aca="false">IF($A92="N/A"," ",IF(OR(Dayrun=1,Dayrun=7,Dayrun=8,Dayrun=10,Dayrun=11),MAX(0,(xSPRDOPT(M92,($E92-'Pricing Inputs'!$X127*$D92),$CV92,0,($CQ92+IF(Smile=TRUE(),VLOOKUP(MAX(-5,$H92-M92),Volsmile,2),0)),$CT92,$CU92,($A92-DateToday)+15,ABS(Option-2),1)*DF92*8)),0))</f>
        <v> </v>
      </c>
      <c r="BG92" s="300" t="str">
        <f aca="false">IF($A92="N/A"," ",IF(OR(Dayrun&lt;=2,Dayrun&gt;=10),IF(OffPeakEx=TRUE(),MAX(0,(xSPRDOPT(N92,($E92-'Pricing Inputs'!$X127*$D92),$CV92,0,($CQ92+IF(Smile=TRUE(),VLOOKUP(MAX(-5,$H92-N92),Volsmile,2),0)),$CT92,$CU92,($A92-DateToday)+15,ABS(Option-2),1)*DF92*8)),0),0))</f>
        <v> </v>
      </c>
      <c r="BH92" s="300" t="str">
        <f aca="false">IF($A92="N/A"," ",IF(OR(Dayrun=1,Dayrun=5,Dayrun=8,Dayrun=11),MAX(0,(xSPRDOPT(O92,($E92-'Pricing Inputs'!$X127*$D92),$CV92,0,($CQ92+IF(Smile=TRUE(),VLOOKUP(MAX(-5,$H92-O92),Volsmile,2),0)),$CT92,$CU92,($A92-DateToday)+15,ABS(Option-2),1)*DG92*8)),0))</f>
        <v> </v>
      </c>
      <c r="BI92" s="300" t="str">
        <f aca="false">IF($A92="N/A"," ",IF(OR(Dayrun=1,Dayrun=8,Dayrun=11),MAX(0,(xSPRDOPT(P92,($E92-'Pricing Inputs'!$X127*$D92),$CV92,0,($CQ92+IF(Smile=TRUE(),VLOOKUP(MAX(-5,$H92-P92),Volsmile,2),0)),$CT92,$CU92,($A92-DateToday)+15,ABS(Option-2),1)*DG92*8)),0))</f>
        <v> </v>
      </c>
      <c r="BJ92" s="301" t="str">
        <f aca="false">IF($A92="N/A"," ",IF(OR(Dayrun&lt;=2,Dayrun&gt;=11),IF(OffPeakEx=TRUE(),MAX(0,(xSPRDOPT(Q92,($E92-'Pricing Inputs'!$X127*$D92),$CV92,0,($CQ92+IF(Smile=TRUE(),VLOOKUP(MAX(-5,$H92-Q92),Volsmile,2),0)),$CT92,$CU92,($A92-DateToday)+15,ABS(Option-2),1)*DG92*8)),0),0))</f>
        <v> </v>
      </c>
      <c r="BK92" s="302" t="str">
        <f aca="false">IF($A92="N/A"," ",R92*$AS92)</f>
        <v> </v>
      </c>
      <c r="BL92" s="303" t="str">
        <f aca="false">IF($A92="N/A"," ",S92*$AT92)</f>
        <v> </v>
      </c>
      <c r="BM92" s="303" t="str">
        <f aca="false">IF($A92="N/A"," ",T92*$AU92)</f>
        <v> </v>
      </c>
      <c r="BN92" s="303" t="str">
        <f aca="false">IF($A92="N/A"," ",U92*$AV92)</f>
        <v> </v>
      </c>
      <c r="BO92" s="303" t="str">
        <f aca="false">IF($A92="N/A"," ",V92*$AW92)</f>
        <v> </v>
      </c>
      <c r="BP92" s="303" t="str">
        <f aca="false">IF($A92="N/A"," ",W92*$AX92)</f>
        <v> </v>
      </c>
      <c r="BQ92" s="303" t="str">
        <f aca="false">IF($A92="N/A"," ",X92*$AY92)</f>
        <v> </v>
      </c>
      <c r="BR92" s="303" t="str">
        <f aca="false">IF($A92="N/A"," ",Y92*$AZ92)</f>
        <v> </v>
      </c>
      <c r="BS92" s="304" t="str">
        <f aca="false">IF($A92="N/A"," ",Z92*$BA92)</f>
        <v> </v>
      </c>
      <c r="BT92" s="305" t="str">
        <f aca="false">IF($A92="N/A"," ",AA92*$AS92)</f>
        <v> </v>
      </c>
      <c r="BU92" s="306" t="str">
        <f aca="false">IF($A92="N/A"," ",AB92*$AT92)</f>
        <v> </v>
      </c>
      <c r="BV92" s="306" t="str">
        <f aca="false">IF($A92="N/A"," ",AC92*$AU92)</f>
        <v> </v>
      </c>
      <c r="BW92" s="306" t="str">
        <f aca="false">IF($A92="N/A"," ",AD92*$AV92)</f>
        <v> </v>
      </c>
      <c r="BX92" s="306" t="str">
        <f aca="false">IF($A92="N/A"," ",AE92*$AW92)</f>
        <v> </v>
      </c>
      <c r="BY92" s="306" t="str">
        <f aca="false">IF($A92="N/A"," ",AF92*$AX92)</f>
        <v> </v>
      </c>
      <c r="BZ92" s="306" t="str">
        <f aca="false">IF($A92="N/A"," ",AG92*$AY92)</f>
        <v> </v>
      </c>
      <c r="CA92" s="306" t="str">
        <f aca="false">IF($A92="N/A"," ",AH92*$AZ92)</f>
        <v> </v>
      </c>
      <c r="CB92" s="307" t="str">
        <f aca="false">IF($A92="N/A"," ",AI92*$BA92)</f>
        <v> </v>
      </c>
      <c r="CC92" s="308" t="str">
        <f aca="false">IF($A92="N/A"," ",AJ92*$AS92)</f>
        <v> </v>
      </c>
      <c r="CD92" s="309" t="str">
        <f aca="false">IF($A92="N/A"," ",AK92*$AT92)</f>
        <v> </v>
      </c>
      <c r="CE92" s="309" t="str">
        <f aca="false">IF($A92="N/A"," ",AL92*$AU92)</f>
        <v> </v>
      </c>
      <c r="CF92" s="309" t="str">
        <f aca="false">IF($A92="N/A"," ",AM92*$AV92)</f>
        <v> </v>
      </c>
      <c r="CG92" s="309" t="str">
        <f aca="false">IF($A92="N/A"," ",AN92*$AW92)</f>
        <v> </v>
      </c>
      <c r="CH92" s="309" t="str">
        <f aca="false">IF($A92="N/A"," ",AO92*$AX92)</f>
        <v> </v>
      </c>
      <c r="CI92" s="309" t="str">
        <f aca="false">IF($A92="N/A"," ",AP92*$AY92)</f>
        <v> </v>
      </c>
      <c r="CJ92" s="309" t="str">
        <f aca="false">IF($A92="N/A"," ",AQ92*$AZ92)</f>
        <v> </v>
      </c>
      <c r="CK92" s="310" t="str">
        <f aca="false">IF($A92="N/A"," ",AR92*$BA92)</f>
        <v> </v>
      </c>
      <c r="CL92" s="311" t="str">
        <f aca="false">IF(A92="N/A"," ",(VLOOKUP(A92,PowerVolTable,(IF(VolBMO=2,7,IF(VolBMO=1,6,8))),FALSE())))</f>
        <v> </v>
      </c>
      <c r="CM92" s="312" t="str">
        <f aca="false">IF(A92="N/A"," ",(VLOOKUP(A92,IntraPowerVol,(IF(VolBMO=2,3,IF(VolBMO=1,2,4))),FALSE())*VLOOKUP(MONTH($A92),Volscale,2)))</f>
        <v> </v>
      </c>
      <c r="CN92" s="312" t="str">
        <f aca="false">IF($A92="N/A"," ",IF(VolType=1,CM92,CL92))</f>
        <v> </v>
      </c>
      <c r="CO92" s="312" t="str">
        <f aca="false">IF($A92="N/A"," ",(VLOOKUP($A92,OffPeakVol,(IF(VolBMO=2,7,IF(VolBMO=1,6,8))),FALSE())))</f>
        <v> </v>
      </c>
      <c r="CP92" s="312" t="str">
        <f aca="false">IF($A92="N/A"," ",(VLOOKUP($A92,OffPeakVol,(IF(VolBMO=2,3,IF(VolBMO=1,2,4))),FALSE())*VLOOKUP(MONTH($A92),Volscale,2)))</f>
        <v> </v>
      </c>
      <c r="CQ92" s="312" t="str">
        <f aca="false">IF($A92="N/A"," ",IF(VolType=1,CP92,CO92))</f>
        <v> </v>
      </c>
      <c r="CR92" s="312" t="str">
        <f aca="false">IF($A92="N/A"," ",(VLOOKUP($A92,GasVolTable,(IF(VolBMO=2,6,IF(VolBMO=1,7,5))),FALSE())))</f>
        <v> </v>
      </c>
      <c r="CS92" s="312" t="str">
        <f aca="false">IF($A92="N/A"," ",(VLOOKUP($A92,OmicronVol,(IF(VolBMO=2,3,IF(VolBMO=1,4,2))),FALSE())))</f>
        <v> </v>
      </c>
      <c r="CT92" s="312" t="str">
        <f aca="false">IF($A92="N/A"," ",(IF(DateToday&gt;$A92,$CS92,IF(VolType=1,((($CR92^2)*((($A92-1)-DateToday)/((EOMONTH($A92,0)+1)-DateToday-15)))+((($CS92)^2)*((15)/((EOMONTH($A92,0)+1)-DateToday-15))))^0.5,CR92))))</f>
        <v> </v>
      </c>
      <c r="CU92" s="312" t="str">
        <f aca="false">IF($A92="N/A"," ",IF('Pricing Inputs'!$AR$23=TRUE(),Inputs!$S$22,VLOOKUP($A92,CorrelationTable,2,FALSE())))</f>
        <v> </v>
      </c>
      <c r="CV92" s="313" t="str">
        <f aca="false">IF($A92="N/A"," ",F92+G92+(D92*('Pricing Inputs'!X127)))</f>
        <v> </v>
      </c>
      <c r="CW92" s="314" t="str">
        <f aca="false">IF($A92="N/A"," ",IF(PV=1,0,'Pricing Inputs'!Y127))</f>
        <v> </v>
      </c>
      <c r="CX92" s="315" t="str">
        <f aca="false">IF($A92="N/A"," ",(1+CW92/2)^(-2*((EOMONTH(A92,0)+20)-DateToday)/365.25))</f>
        <v> </v>
      </c>
      <c r="CY92" s="316" t="str">
        <f aca="false">IF($A92="N/A"," ",(IF(MONTH(A92)&gt;=4,IF(MONTH(A92)&lt;=10,Inputs!$S$26,Inputs!$S$27),Inputs!$S$27))*$CX92)</f>
        <v> </v>
      </c>
      <c r="CZ92" s="317" t="str">
        <f aca="false">IF($A92="N/A"," ",BK92+BL92+BN92+BO92+BQ92+BR92)</f>
        <v> </v>
      </c>
      <c r="DA92" s="318" t="str">
        <f aca="false">IF($A92="N/A"," ",BM92+BP92+BS92)</f>
        <v> </v>
      </c>
      <c r="DB92" s="319" t="str">
        <f aca="false">IF($A92="N/A"," ",BT92+BU92+BW92+BX92+BZ92+CA92)</f>
        <v> </v>
      </c>
      <c r="DC92" s="319" t="str">
        <f aca="false">IF($A92="N/A"," ",BV92+BY92+CB92)</f>
        <v> </v>
      </c>
      <c r="DD92" s="320" t="str">
        <f aca="false">IF($A92="N/A"," ",SUM(CC92:CK92))</f>
        <v> </v>
      </c>
      <c r="DE92" s="321" t="str">
        <f aca="false">IF($A92="N/A"," ",VLOOKUP($A92,NumberofDaysTable,2)*Availability)</f>
        <v> </v>
      </c>
      <c r="DF92" s="94" t="str">
        <f aca="false">IF($A92="N/A"," ",VLOOKUP($A92,NumberofDaysTable,3)*Availability)</f>
        <v> </v>
      </c>
      <c r="DG92" s="322" t="str">
        <f aca="false">IF($A92="N/A"," ",VLOOKUP($A92,NumberofDaysTable,4)*Availability)</f>
        <v> </v>
      </c>
      <c r="DH92" s="323" t="str">
        <f aca="false">IF($A92="N/A"," ",IF(Option=1,$D92*Inputs!$S$15*SUM(AS92:BA92),0))</f>
        <v> </v>
      </c>
      <c r="DI92" s="324" t="str">
        <f aca="false">IF($A92="N/A"," ",IF(Option=1,$D92*Inputs!$S$16*SUM(AS92:BA92),0))</f>
        <v> </v>
      </c>
      <c r="DJ92" s="325" t="str">
        <f aca="false">IF($A92="N/A"," ",SUM(AS92:AT92))</f>
        <v> </v>
      </c>
      <c r="DK92" s="325" t="str">
        <f aca="false">IF($A92="N/A"," ",SUM(AU92:BA92))</f>
        <v> </v>
      </c>
      <c r="DL92" s="325" t="str">
        <f aca="false">IF($A92="N/A"," ",SUM(BB92:BC92))</f>
        <v> </v>
      </c>
      <c r="DM92" s="325" t="str">
        <f aca="false">IF($A92="N/A"," ",SUM(BD92:BJ92))</f>
        <v> </v>
      </c>
    </row>
    <row r="93" customFormat="false" ht="12.75" hidden="false" customHeight="false" outlineLevel="0" collapsed="false">
      <c r="A93" s="282" t="str">
        <f aca="false">IF(A92="N/A","N/A",IF(EDATE(A92,1)&gt;Inputs!$S$5,"N/A",EDATE(A92,1)))</f>
        <v>N/A</v>
      </c>
      <c r="B93" s="283" t="str">
        <f aca="false">IF(A93="N/A"," ",YEAR(A93))</f>
        <v> </v>
      </c>
      <c r="C93" s="284" t="str">
        <f aca="false">IF(A93="N/A"," ",VLOOKUP(A93,ScaledPrice,14))</f>
        <v> </v>
      </c>
      <c r="D93" s="285" t="str">
        <f aca="false">IF(A93="N/A"," ",(VLOOKUP(MONTH($A93),Hrtable,2))/1000)</f>
        <v> </v>
      </c>
      <c r="E93" s="286" t="str">
        <f aca="false">IF($A93="N/A"," ",(C93)*D93)</f>
        <v> </v>
      </c>
      <c r="F93" s="287" t="str">
        <f aca="false">IF(A93="N/A"," ",VOM*(1+VOMesc)^(YEAR(A93)-YEAR(Today)))</f>
        <v> </v>
      </c>
      <c r="G93" s="287" t="str">
        <f aca="false">IF(A93="N/A"," ",Perstart/VLOOKUP(Dayrun,'Pricing Inputs'!$AQ$4:$AS$14,3)/(CY93/CX93))</f>
        <v> </v>
      </c>
      <c r="H93" s="288" t="str">
        <f aca="false">IF(A93="N/A"," ",SUM(E93:G93))</f>
        <v> </v>
      </c>
      <c r="I93" s="289" t="str">
        <f aca="false">VLOOKUP($A93,ScaledPrice,6)</f>
        <v> </v>
      </c>
      <c r="J93" s="290" t="str">
        <f aca="false">VLOOKUP($A93,ScaledPrice,10)</f>
        <v> </v>
      </c>
      <c r="K93" s="290" t="str">
        <f aca="false">VLOOKUP($A93,ScaledPrice,13)</f>
        <v> </v>
      </c>
      <c r="L93" s="290" t="str">
        <f aca="false">VLOOKUP($A93,ScaledPrice,7)</f>
        <v> </v>
      </c>
      <c r="M93" s="290" t="str">
        <f aca="false">VLOOKUP($A93,ScaledPrice,11)</f>
        <v> </v>
      </c>
      <c r="N93" s="290" t="str">
        <f aca="false">VLOOKUP($A93,ScaledPrice,13)</f>
        <v> </v>
      </c>
      <c r="O93" s="290" t="str">
        <f aca="false">VLOOKUP($A93,ScaledPrice,8)</f>
        <v> </v>
      </c>
      <c r="P93" s="290" t="str">
        <f aca="false">VLOOKUP($A93,ScaledPrice,12)</f>
        <v> </v>
      </c>
      <c r="Q93" s="291" t="str">
        <f aca="false">VLOOKUP($A93,ScaledPrice,13)</f>
        <v> </v>
      </c>
      <c r="R93" s="292" t="str">
        <f aca="false">IF($A93="N/A"," ",IF(Dayrun&gt;=3,IF(Option=1,MAX($I93-$H93,0),IF(Option=2,MAX($H93-$I93,0),0)),0))</f>
        <v> </v>
      </c>
      <c r="S93" s="286" t="str">
        <f aca="false">IF($A93="N/A"," ",IF(Dayrun&gt;=6,IF(Option=1,MAX($J93-H93,0),IF(Option=2,MAX(H93-$J93,0),0)),0))</f>
        <v> </v>
      </c>
      <c r="T93" s="286" t="str">
        <f aca="false">IF($A93="N/A"," ",IF(OR(Dayrun&lt;=2,Dayrun&gt;=9),IF(Option=1,MAX($K93-$H93,0),IF(Option=2,MAX($H93-$K93,0),0)),0))</f>
        <v> </v>
      </c>
      <c r="U93" s="286" t="str">
        <f aca="false">IF($A93="N/A"," ",IF(OR(Dayrun=1,Dayrun=4,Dayrun=5,Dayrun=7,Dayrun=8,Dayrun=10,Dayrun=11),IF(Option=1,MAX($L93-H93,0),IF(Option=2,MAX(H93-$L93,0),0)),0))</f>
        <v> </v>
      </c>
      <c r="V93" s="286" t="str">
        <f aca="false">IF($A93="N/A"," ",IF(OR(Dayrun=1,Dayrun=7,Dayrun=8,Dayrun=10,Dayrun=11),IF(Option=1,MAX($M93-H93,0),IF(Option=2,MAX(H93-$M93,0),0)),0))</f>
        <v> </v>
      </c>
      <c r="W93" s="286" t="str">
        <f aca="false">IF($A93="N/A"," ",IF(OR(Dayrun&lt;=2,Dayrun&gt;=10),IF(Option=1,MAX($N93-$H93,0),IF(Option=2,MAX($H93-$N93,0),0)),0))</f>
        <v> </v>
      </c>
      <c r="X93" s="286" t="str">
        <f aca="false">IF($A93="N/A"," ",IF(OR(Dayrun=1,Dayrun=5,Dayrun=8,Dayrun=11),IF(Option=1,MAX($O93-H93,0),IF(Option=2,MAX(H93-$O93,0),0)),0))</f>
        <v> </v>
      </c>
      <c r="Y93" s="286" t="str">
        <f aca="false">IF($A93="N/A"," ",IF(OR(Dayrun=1,Dayrun=8,Dayrun=11),IF(Option=1,MAX($P93-H93,0),IF(Option=2,MAX(H93-$P93,0),0)),0))</f>
        <v> </v>
      </c>
      <c r="Z93" s="293" t="str">
        <f aca="false">IF($A93="N/A"," ",IF(OR(Dayrun&lt;=2,Dayrun&gt;=11),IF(Option=1,MAX($Q93-$H93,0),IF(Option=2,MAX($H93-$Q93,0),0)),0))</f>
        <v> </v>
      </c>
      <c r="AA93" s="289" t="str">
        <f aca="false">IF($A93="N/A"," ",IF(Dayrun&gt;=3,(MAX(0,(xSPRDOPT(I93,($E93-'Pricing Inputs'!$X128*$D93),$CV93,0,($CN93+IF(Smile=TRUE(),VLOOKUP(MAX(-5,$H93-I93),Volsmile,2),0)),$CT93,$CU93,($A93-DateToday)+15,ABS(Option-2),0)-R93))),0))</f>
        <v> </v>
      </c>
      <c r="AB93" s="290" t="str">
        <f aca="false">IF($A93="N/A"," ",IF(Dayrun&gt;=6,MAX(0,(xSPRDOPT(J93,($E93-'Pricing Inputs'!$X128*$D93),$CV93,0,($CN93+IF(Smile=TRUE(),VLOOKUP(MAX(-5,$H93-J93),Volsmile,2),0)),$CT93,$CU93,($A93-DateToday)+15,ABS(Option-2),0)-S93)),0))</f>
        <v> </v>
      </c>
      <c r="AC93" s="290" t="str">
        <f aca="false">IF($A93="N/A"," ",IF(OR(Dayrun&lt;=2,Dayrun&gt;=9),IF(OffPeakEx=TRUE(),MAX(0,(xSPRDOPT(K93,($E93-'Pricing Inputs'!$X128*$D93),$CV93,0,($CQ93+IF(Smile=TRUE(),VLOOKUP(MAX(-5,$H93-K93),Volsmile,2),0)),$CT93,$CU93,($A93-DateToday)+15,ABS(Option-2),0)-T93)),0),0))</f>
        <v> </v>
      </c>
      <c r="AD93" s="290" t="str">
        <f aca="false">IF($A93="N/A"," ",IF(OR(Dayrun=1,Dayrun=4,Dayrun=5,Dayrun=7,Dayrun=8,Dayrun=10,Dayrun=11),MAX(0,(xSPRDOPT(L93,($E93-'Pricing Inputs'!$X128*$D93),$CV93,0,($CQ93+IF(Smile=TRUE(),VLOOKUP(MAX(-5,$H93-L93),Volsmile,2),0)),$CT93,$CU93,($A93-DateToday)+15,ABS(Option-2),0)-U93)),0))</f>
        <v> </v>
      </c>
      <c r="AE93" s="290" t="str">
        <f aca="false">IF($A93="N/A"," ",IF(OR(Dayrun=1,Dayrun=7,Dayrun=8,Dayrun=10,Dayrun=11),MAX(0,(xSPRDOPT(M93,($E93-'Pricing Inputs'!$X128*$D93),$CV93,0,($CQ93+IF(Smile=TRUE(),VLOOKUP(MAX(-5,$H93-M93),Volsmile,2),0)),$CT93,$CU93,($A93-DateToday)+15,ABS(Option-2),0)-V93)),0))</f>
        <v> </v>
      </c>
      <c r="AF93" s="290" t="str">
        <f aca="false">IF($A93="N/A"," ",IF(OR(Dayrun&lt;=2,Dayrun&gt;=10),IF(OffPeakEx=TRUE(),MAX(0,(xSPRDOPT(N93,($E93-'Pricing Inputs'!$X128*$D93),$CV93,0,($CQ93+IF(Smile=TRUE(),VLOOKUP(MAX(-5,$H93-N93),Volsmile,2),0)),$CT93,$CU93,($A93-DateToday)+15,ABS(Option-2),0)-W93)),0),0))</f>
        <v> </v>
      </c>
      <c r="AG93" s="290" t="str">
        <f aca="false">IF($A93="N/A"," ",IF(OR(Dayrun=1,Dayrun=5,Dayrun=8,Dayrun=11),MAX(0,(xSPRDOPT(O93,($E93-'Pricing Inputs'!$X128*$D93),$CV93,0,($CQ93+IF(Smile=TRUE(),VLOOKUP(MAX(-5,$H93-O93),Volsmile,2),0)),$CT93,$CU93,($A93-DateToday)+15,ABS(Option-2),0)-X93)),0))</f>
        <v> </v>
      </c>
      <c r="AH93" s="290" t="str">
        <f aca="false">IF($A93="N/A"," ",IF(OR(Dayrun=1,Dayrun=8,Dayrun=11),MAX(0,(xSPRDOPT(P93,($E93-'Pricing Inputs'!$X128*$D93),$CV93,0,($CQ93+IF(Smile=TRUE(),VLOOKUP(MAX(-5,$H93-P93),Volsmile,2),0)),$CT93,$CU93,($A93-DateToday)+15,ABS(Option-2),0)-Y93)),0))</f>
        <v> </v>
      </c>
      <c r="AI93" s="290" t="str">
        <f aca="false">IF($A93="N/A"," ",IF(OR(Dayrun&lt;=2,Dayrun&gt;=11),IF(OffPeakEx=TRUE(),MAX(0,(xSPRDOPT(Q93,($E93-'Pricing Inputs'!$X128*$D93),$CV93,0,($CQ93+IF(Smile=TRUE(),VLOOKUP(MAX(-5,$H93-Q93),Volsmile,2),0)),$CT93,$CU93,($A93-DateToday)+15,ABS(Option-2),0)-Z93)),0),0))</f>
        <v> </v>
      </c>
      <c r="AJ93" s="294" t="str">
        <f aca="false">IF($A93="N/A"," ",IF(Dayrun&gt;=3,IF(Option=1,$I93-$H93,IF(Option=2,$H93-$I93)),0))</f>
        <v> </v>
      </c>
      <c r="AK93" s="295" t="str">
        <f aca="false">IF($A93="N/A"," ",IF(Dayrun&gt;=6,IF(Option=1,$J93-H93,IF(Option=2,H93-$J93)),0))</f>
        <v> </v>
      </c>
      <c r="AL93" s="295" t="str">
        <f aca="false">IF($A93="N/A"," ",IF(OR(Dayrun&lt;=2,Dayrun&gt;=9),IF(Option=1,$K93-$H93,IF(Option=2,$H93-$K93)),0))</f>
        <v> </v>
      </c>
      <c r="AM93" s="295" t="str">
        <f aca="false">IF($A93="N/A"," ",IF(OR(Dayrun=1,Dayrun=4,Dayrun=5,Dayrun=7,Dayrun=8,Dayrun=10,Dayrun=11),IF(Option=1,$L93-H93,IF(Option=2,H93-$L93)),0))</f>
        <v> </v>
      </c>
      <c r="AN93" s="295" t="str">
        <f aca="false">IF($A93="N/A"," ",IF(OR(Dayrun=1,Dayrun=7,Dayrun=8,Dayrun=10,Dayrun=11),IF(Option=1,$M93-H93,IF(Option=2,H93-$M93)),0))</f>
        <v> </v>
      </c>
      <c r="AO93" s="295" t="str">
        <f aca="false">IF($A93="N/A"," ",IF(OR(Dayrun&lt;=2,Dayrun&gt;=9),IF(Option=1,$N93-$H93,IF(Option=2,$H93-$N93)),0))</f>
        <v> </v>
      </c>
      <c r="AP93" s="295" t="str">
        <f aca="false">IF($A93="N/A"," ",IF(OR(Dayrun=1,Dayrun=5,Dayrun=8,Dayrun=11),IF(Option=1,$O93-H93,IF(Option=2,H93-$O93)),0))</f>
        <v> </v>
      </c>
      <c r="AQ93" s="295" t="str">
        <f aca="false">IF($A93="N/A"," ",IF(OR(Dayrun=1,Dayrun=8,Dayrun=11),IF(Option=1,$P93-H93,IF(Option=2,H93-$P93)),0))</f>
        <v> </v>
      </c>
      <c r="AR93" s="296" t="str">
        <f aca="false">IF($A93="N/A"," ",IF(OR(Dayrun&lt;=2,Dayrun&gt;=9),IF(Option=1,$Q93-H93,IF(Option=2,H93-$Q93)),0))</f>
        <v> </v>
      </c>
      <c r="AS93" s="297" t="str">
        <f aca="false">IF($A93="N/A"," ",IF(VLOOKUP(MONTH($A93),ManualTable,2)=1,IF(Dayrun&gt;=3,$DE93*8*$CY93,0),0))</f>
        <v> </v>
      </c>
      <c r="AT93" s="297" t="str">
        <f aca="false">IF($A93="N/A"," ",IF(VLOOKUP(MONTH($A93),ManualTable,3)=1,IF(Dayrun&gt;=6,$DE93*8*$CY93,0),0))</f>
        <v> </v>
      </c>
      <c r="AU93" s="297" t="str">
        <f aca="false">IF($A93="N/A"," ",IF(VLOOKUP(MONTH($A93),ManualTable,4)=1,IF(OR(Dayrun&lt;=2,Dayrun&gt;=9),$DE93*8*$CY93,0),0))</f>
        <v> </v>
      </c>
      <c r="AV93" s="297" t="str">
        <f aca="false">IF($A93="N/A"," ",IF(VLOOKUP(MONTH($A93),ManualTable,5)=1,IF(OR(Dayrun=1,Dayrun=4,Dayrun=5,Dayrun=7,Dayrun=8,Dayrun=10,Dayrun=11),$DF93*8*$CY93,0),0))</f>
        <v> </v>
      </c>
      <c r="AW93" s="297" t="str">
        <f aca="false">IF($A93="N/A"," ",IF(VLOOKUP(MONTH($A93),ManualTable,6)=1,IF(OR(Dayrun=1,Dayrun=7,Dayrun=8,Dayrun=10,Dayrun=11),$DF93*8*$CY93,0),0))</f>
        <v> </v>
      </c>
      <c r="AX93" s="297" t="str">
        <f aca="false">IF($A93="N/A"," ",IF(VLOOKUP(MONTH($A93),ManualTable,7)=1,IF(OR(Dayrun&lt;=2,Dayrun&gt;=9),$DF93*8*$CY93,0),0))</f>
        <v> </v>
      </c>
      <c r="AY93" s="297" t="str">
        <f aca="false">IF($A93="N/A"," ",IF(VLOOKUP(MONTH($A93),ManualTable,8)=1,IF(OR(Dayrun=1,Dayrun=5,Dayrun=8,Dayrun=11),$DG93*8*$CY93,0),0))</f>
        <v> </v>
      </c>
      <c r="AZ93" s="297" t="str">
        <f aca="false">IF($A93="N/A"," ",IF(VLOOKUP(MONTH($A93),ManualTable,9)=1,IF(OR(Dayrun=1,Dayrun=8,Dayrun=11),$DG93*8*$CY93,0),0))</f>
        <v> </v>
      </c>
      <c r="BA93" s="298" t="str">
        <f aca="false">IF($A93="N/A"," ",IF(VLOOKUP(MONTH($A93),ManualTable,10)=1,IF(OR(Dayrun&lt;=2,Dayrun&gt;=9),$DG93*8*$CY93,0),0))</f>
        <v> </v>
      </c>
      <c r="BB93" s="299" t="str">
        <f aca="false">IF($A93="N/A"," ",IF(Dayrun&gt;=3,(MAX(0,(xSPRDOPT(I93,($E93-'Pricing Inputs'!$X128*$D93),$CV93,0,($CN93+IF(Smile=TRUE(),VLOOKUP(MAX(-5,$H93-I93),Volsmile,2),0)),$CT93,$CU93,($A93-DateToday)+15,ABS(Option-2),1)*DE93*8))),0))</f>
        <v> </v>
      </c>
      <c r="BC93" s="300" t="str">
        <f aca="false">IF($A93="N/A"," ",IF(Dayrun&gt;=6,MAX(0,(xSPRDOPT(J93,($E93-'Pricing Inputs'!$X128*$D93),$CV93,0,($CN93+IF(Smile=TRUE(),VLOOKUP(MAX(-5,$H93-J93),Volsmile,2),0)),$CT93,$CU93,($A93-DateToday)+15,ABS(Option-2),1)*DE93*8)),0))</f>
        <v> </v>
      </c>
      <c r="BD93" s="300" t="str">
        <f aca="false">IF($A93="N/A"," ",IF(OR(Dayrun&lt;=2,Dayrun&gt;=9),IF(OffPeakEx=TRUE(),MAX(0,(xSPRDOPT(K93,($E93-'Pricing Inputs'!$X128*$D93),$CV93,0,($CQ93+IF(Smile=TRUE(),VLOOKUP(MAX(-5,$H93-K93),Volsmile,2),0)),$CT93,$CU93,($A93-DateToday)+15,ABS(Option-2),1)*DE93*8)),0),0))</f>
        <v> </v>
      </c>
      <c r="BE93" s="300" t="str">
        <f aca="false">IF($A93="N/A"," ",IF(OR(Dayrun=1,Dayrun=4,Dayrun=5,Dayrun=7,Dayrun=8,Dayrun=10,Dayrun=11),MAX(0,(xSPRDOPT(L93,($E93-'Pricing Inputs'!$X128*$D93),$CV93,0,($CQ93+IF(Smile=TRUE(),VLOOKUP(MAX(-5,$H93-L93),Volsmile,2),0)),$CT93,$CU93,($A93-DateToday)+15,ABS(Option-2),1)*DF93*8)),0))</f>
        <v> </v>
      </c>
      <c r="BF93" s="300" t="str">
        <f aca="false">IF($A93="N/A"," ",IF(OR(Dayrun=1,Dayrun=7,Dayrun=8,Dayrun=10,Dayrun=11),MAX(0,(xSPRDOPT(M93,($E93-'Pricing Inputs'!$X128*$D93),$CV93,0,($CQ93+IF(Smile=TRUE(),VLOOKUP(MAX(-5,$H93-M93),Volsmile,2),0)),$CT93,$CU93,($A93-DateToday)+15,ABS(Option-2),1)*DF93*8)),0))</f>
        <v> </v>
      </c>
      <c r="BG93" s="300" t="str">
        <f aca="false">IF($A93="N/A"," ",IF(OR(Dayrun&lt;=2,Dayrun&gt;=10),IF(OffPeakEx=TRUE(),MAX(0,(xSPRDOPT(N93,($E93-'Pricing Inputs'!$X128*$D93),$CV93,0,($CQ93+IF(Smile=TRUE(),VLOOKUP(MAX(-5,$H93-N93),Volsmile,2),0)),$CT93,$CU93,($A93-DateToday)+15,ABS(Option-2),1)*DF93*8)),0),0))</f>
        <v> </v>
      </c>
      <c r="BH93" s="300" t="str">
        <f aca="false">IF($A93="N/A"," ",IF(OR(Dayrun=1,Dayrun=5,Dayrun=8,Dayrun=11),MAX(0,(xSPRDOPT(O93,($E93-'Pricing Inputs'!$X128*$D93),$CV93,0,($CQ93+IF(Smile=TRUE(),VLOOKUP(MAX(-5,$H93-O93),Volsmile,2),0)),$CT93,$CU93,($A93-DateToday)+15,ABS(Option-2),1)*DG93*8)),0))</f>
        <v> </v>
      </c>
      <c r="BI93" s="300" t="str">
        <f aca="false">IF($A93="N/A"," ",IF(OR(Dayrun=1,Dayrun=8,Dayrun=11),MAX(0,(xSPRDOPT(P93,($E93-'Pricing Inputs'!$X128*$D93),$CV93,0,($CQ93+IF(Smile=TRUE(),VLOOKUP(MAX(-5,$H93-P93),Volsmile,2),0)),$CT93,$CU93,($A93-DateToday)+15,ABS(Option-2),1)*DG93*8)),0))</f>
        <v> </v>
      </c>
      <c r="BJ93" s="301" t="str">
        <f aca="false">IF($A93="N/A"," ",IF(OR(Dayrun&lt;=2,Dayrun&gt;=11),IF(OffPeakEx=TRUE(),MAX(0,(xSPRDOPT(Q93,($E93-'Pricing Inputs'!$X128*$D93),$CV93,0,($CQ93+IF(Smile=TRUE(),VLOOKUP(MAX(-5,$H93-Q93),Volsmile,2),0)),$CT93,$CU93,($A93-DateToday)+15,ABS(Option-2),1)*DG93*8)),0),0))</f>
        <v> </v>
      </c>
      <c r="BK93" s="302" t="str">
        <f aca="false">IF($A93="N/A"," ",R93*$AS93)</f>
        <v> </v>
      </c>
      <c r="BL93" s="303" t="str">
        <f aca="false">IF($A93="N/A"," ",S93*$AT93)</f>
        <v> </v>
      </c>
      <c r="BM93" s="303" t="str">
        <f aca="false">IF($A93="N/A"," ",T93*$AU93)</f>
        <v> </v>
      </c>
      <c r="BN93" s="303" t="str">
        <f aca="false">IF($A93="N/A"," ",U93*$AV93)</f>
        <v> </v>
      </c>
      <c r="BO93" s="303" t="str">
        <f aca="false">IF($A93="N/A"," ",V93*$AW93)</f>
        <v> </v>
      </c>
      <c r="BP93" s="303" t="str">
        <f aca="false">IF($A93="N/A"," ",W93*$AX93)</f>
        <v> </v>
      </c>
      <c r="BQ93" s="303" t="str">
        <f aca="false">IF($A93="N/A"," ",X93*$AY93)</f>
        <v> </v>
      </c>
      <c r="BR93" s="303" t="str">
        <f aca="false">IF($A93="N/A"," ",Y93*$AZ93)</f>
        <v> </v>
      </c>
      <c r="BS93" s="304" t="str">
        <f aca="false">IF($A93="N/A"," ",Z93*$BA93)</f>
        <v> </v>
      </c>
      <c r="BT93" s="305" t="str">
        <f aca="false">IF($A93="N/A"," ",AA93*$AS93)</f>
        <v> </v>
      </c>
      <c r="BU93" s="306" t="str">
        <f aca="false">IF($A93="N/A"," ",AB93*$AT93)</f>
        <v> </v>
      </c>
      <c r="BV93" s="306" t="str">
        <f aca="false">IF($A93="N/A"," ",AC93*$AU93)</f>
        <v> </v>
      </c>
      <c r="BW93" s="306" t="str">
        <f aca="false">IF($A93="N/A"," ",AD93*$AV93)</f>
        <v> </v>
      </c>
      <c r="BX93" s="306" t="str">
        <f aca="false">IF($A93="N/A"," ",AE93*$AW93)</f>
        <v> </v>
      </c>
      <c r="BY93" s="306" t="str">
        <f aca="false">IF($A93="N/A"," ",AF93*$AX93)</f>
        <v> </v>
      </c>
      <c r="BZ93" s="306" t="str">
        <f aca="false">IF($A93="N/A"," ",AG93*$AY93)</f>
        <v> </v>
      </c>
      <c r="CA93" s="306" t="str">
        <f aca="false">IF($A93="N/A"," ",AH93*$AZ93)</f>
        <v> </v>
      </c>
      <c r="CB93" s="307" t="str">
        <f aca="false">IF($A93="N/A"," ",AI93*$BA93)</f>
        <v> </v>
      </c>
      <c r="CC93" s="308" t="str">
        <f aca="false">IF($A93="N/A"," ",AJ93*$AS93)</f>
        <v> </v>
      </c>
      <c r="CD93" s="309" t="str">
        <f aca="false">IF($A93="N/A"," ",AK93*$AT93)</f>
        <v> </v>
      </c>
      <c r="CE93" s="309" t="str">
        <f aca="false">IF($A93="N/A"," ",AL93*$AU93)</f>
        <v> </v>
      </c>
      <c r="CF93" s="309" t="str">
        <f aca="false">IF($A93="N/A"," ",AM93*$AV93)</f>
        <v> </v>
      </c>
      <c r="CG93" s="309" t="str">
        <f aca="false">IF($A93="N/A"," ",AN93*$AW93)</f>
        <v> </v>
      </c>
      <c r="CH93" s="309" t="str">
        <f aca="false">IF($A93="N/A"," ",AO93*$AX93)</f>
        <v> </v>
      </c>
      <c r="CI93" s="309" t="str">
        <f aca="false">IF($A93="N/A"," ",AP93*$AY93)</f>
        <v> </v>
      </c>
      <c r="CJ93" s="309" t="str">
        <f aca="false">IF($A93="N/A"," ",AQ93*$AZ93)</f>
        <v> </v>
      </c>
      <c r="CK93" s="310" t="str">
        <f aca="false">IF($A93="N/A"," ",AR93*$BA93)</f>
        <v> </v>
      </c>
      <c r="CL93" s="311" t="str">
        <f aca="false">IF(A93="N/A"," ",(VLOOKUP(A93,PowerVolTable,(IF(VolBMO=2,7,IF(VolBMO=1,6,8))),FALSE())))</f>
        <v> </v>
      </c>
      <c r="CM93" s="312" t="str">
        <f aca="false">IF(A93="N/A"," ",(VLOOKUP(A93,IntraPowerVol,(IF(VolBMO=2,3,IF(VolBMO=1,2,4))),FALSE())*VLOOKUP(MONTH($A93),Volscale,2)))</f>
        <v> </v>
      </c>
      <c r="CN93" s="312" t="str">
        <f aca="false">IF($A93="N/A"," ",IF(VolType=1,CM93,CL93))</f>
        <v> </v>
      </c>
      <c r="CO93" s="312" t="str">
        <f aca="false">IF($A93="N/A"," ",(VLOOKUP($A93,OffPeakVol,(IF(VolBMO=2,7,IF(VolBMO=1,6,8))),FALSE())))</f>
        <v> </v>
      </c>
      <c r="CP93" s="312" t="str">
        <f aca="false">IF($A93="N/A"," ",(VLOOKUP($A93,OffPeakVol,(IF(VolBMO=2,3,IF(VolBMO=1,2,4))),FALSE())*VLOOKUP(MONTH($A93),Volscale,2)))</f>
        <v> </v>
      </c>
      <c r="CQ93" s="312" t="str">
        <f aca="false">IF($A93="N/A"," ",IF(VolType=1,CP93,CO93))</f>
        <v> </v>
      </c>
      <c r="CR93" s="312" t="str">
        <f aca="false">IF($A93="N/A"," ",(VLOOKUP($A93,GasVolTable,(IF(VolBMO=2,6,IF(VolBMO=1,7,5))),FALSE())))</f>
        <v> </v>
      </c>
      <c r="CS93" s="312" t="str">
        <f aca="false">IF($A93="N/A"," ",(VLOOKUP($A93,OmicronVol,(IF(VolBMO=2,3,IF(VolBMO=1,4,2))),FALSE())))</f>
        <v> </v>
      </c>
      <c r="CT93" s="312" t="str">
        <f aca="false">IF($A93="N/A"," ",(IF(DateToday&gt;$A93,$CS93,IF(VolType=1,((($CR93^2)*((($A93-1)-DateToday)/((EOMONTH($A93,0)+1)-DateToday-15)))+((($CS93)^2)*((15)/((EOMONTH($A93,0)+1)-DateToday-15))))^0.5,CR93))))</f>
        <v> </v>
      </c>
      <c r="CU93" s="312" t="str">
        <f aca="false">IF($A93="N/A"," ",IF('Pricing Inputs'!$AR$23=TRUE(),Inputs!$S$22,VLOOKUP($A93,CorrelationTable,2,FALSE())))</f>
        <v> </v>
      </c>
      <c r="CV93" s="313" t="str">
        <f aca="false">IF($A93="N/A"," ",F93+G93+(D93*('Pricing Inputs'!X128)))</f>
        <v> </v>
      </c>
      <c r="CW93" s="314" t="str">
        <f aca="false">IF($A93="N/A"," ",IF(PV=1,0,'Pricing Inputs'!Y128))</f>
        <v> </v>
      </c>
      <c r="CX93" s="315" t="str">
        <f aca="false">IF($A93="N/A"," ",(1+CW93/2)^(-2*((EOMONTH(A93,0)+20)-DateToday)/365.25))</f>
        <v> </v>
      </c>
      <c r="CY93" s="316" t="str">
        <f aca="false">IF($A93="N/A"," ",(IF(MONTH(A93)&gt;=4,IF(MONTH(A93)&lt;=10,Inputs!$S$26,Inputs!$S$27),Inputs!$S$27))*$CX93)</f>
        <v> </v>
      </c>
      <c r="CZ93" s="317" t="str">
        <f aca="false">IF($A93="N/A"," ",BK93+BL93+BN93+BO93+BQ93+BR93)</f>
        <v> </v>
      </c>
      <c r="DA93" s="318" t="str">
        <f aca="false">IF($A93="N/A"," ",BM93+BP93+BS93)</f>
        <v> </v>
      </c>
      <c r="DB93" s="319" t="str">
        <f aca="false">IF($A93="N/A"," ",BT93+BU93+BW93+BX93+BZ93+CA93)</f>
        <v> </v>
      </c>
      <c r="DC93" s="319" t="str">
        <f aca="false">IF($A93="N/A"," ",BV93+BY93+CB93)</f>
        <v> </v>
      </c>
      <c r="DD93" s="320" t="str">
        <f aca="false">IF($A93="N/A"," ",SUM(CC93:CK93))</f>
        <v> </v>
      </c>
      <c r="DE93" s="321" t="str">
        <f aca="false">IF($A93="N/A"," ",VLOOKUP($A93,NumberofDaysTable,2)*Availability)</f>
        <v> </v>
      </c>
      <c r="DF93" s="94" t="str">
        <f aca="false">IF($A93="N/A"," ",VLOOKUP($A93,NumberofDaysTable,3)*Availability)</f>
        <v> </v>
      </c>
      <c r="DG93" s="322" t="str">
        <f aca="false">IF($A93="N/A"," ",VLOOKUP($A93,NumberofDaysTable,4)*Availability)</f>
        <v> </v>
      </c>
      <c r="DH93" s="323" t="str">
        <f aca="false">IF($A93="N/A"," ",IF(Option=1,$D93*Inputs!$S$15*SUM(AS93:BA93),0))</f>
        <v> </v>
      </c>
      <c r="DI93" s="324" t="str">
        <f aca="false">IF($A93="N/A"," ",IF(Option=1,$D93*Inputs!$S$16*SUM(AS93:BA93),0))</f>
        <v> </v>
      </c>
      <c r="DJ93" s="325" t="str">
        <f aca="false">IF($A93="N/A"," ",SUM(AS93:AT93))</f>
        <v> </v>
      </c>
      <c r="DK93" s="325" t="str">
        <f aca="false">IF($A93="N/A"," ",SUM(AU93:BA93))</f>
        <v> </v>
      </c>
      <c r="DL93" s="325" t="str">
        <f aca="false">IF($A93="N/A"," ",SUM(BB93:BC93))</f>
        <v> </v>
      </c>
      <c r="DM93" s="325" t="str">
        <f aca="false">IF($A93="N/A"," ",SUM(BD93:BJ93))</f>
        <v> </v>
      </c>
    </row>
    <row r="94" customFormat="false" ht="12.75" hidden="false" customHeight="false" outlineLevel="0" collapsed="false">
      <c r="A94" s="282" t="str">
        <f aca="false">IF(A93="N/A","N/A",IF(EDATE(A93,1)&gt;Inputs!$S$5,"N/A",EDATE(A93,1)))</f>
        <v>N/A</v>
      </c>
      <c r="B94" s="283" t="str">
        <f aca="false">IF(A94="N/A"," ",YEAR(A94))</f>
        <v> </v>
      </c>
      <c r="C94" s="284" t="str">
        <f aca="false">IF(A94="N/A"," ",VLOOKUP(A94,ScaledPrice,14))</f>
        <v> </v>
      </c>
      <c r="D94" s="285" t="str">
        <f aca="false">IF(A94="N/A"," ",(VLOOKUP(MONTH($A94),Hrtable,2))/1000)</f>
        <v> </v>
      </c>
      <c r="E94" s="286" t="str">
        <f aca="false">IF($A94="N/A"," ",(C94)*D94)</f>
        <v> </v>
      </c>
      <c r="F94" s="287" t="str">
        <f aca="false">IF(A94="N/A"," ",VOM*(1+VOMesc)^(YEAR(A94)-YEAR(Today)))</f>
        <v> </v>
      </c>
      <c r="G94" s="287" t="str">
        <f aca="false">IF(A94="N/A"," ",Perstart/VLOOKUP(Dayrun,'Pricing Inputs'!$AQ$4:$AS$14,3)/(CY94/CX94))</f>
        <v> </v>
      </c>
      <c r="H94" s="288" t="str">
        <f aca="false">IF(A94="N/A"," ",SUM(E94:G94))</f>
        <v> </v>
      </c>
      <c r="I94" s="289" t="str">
        <f aca="false">VLOOKUP($A94,ScaledPrice,6)</f>
        <v> </v>
      </c>
      <c r="J94" s="290" t="str">
        <f aca="false">VLOOKUP($A94,ScaledPrice,10)</f>
        <v> </v>
      </c>
      <c r="K94" s="290" t="str">
        <f aca="false">VLOOKUP($A94,ScaledPrice,13)</f>
        <v> </v>
      </c>
      <c r="L94" s="290" t="str">
        <f aca="false">VLOOKUP($A94,ScaledPrice,7)</f>
        <v> </v>
      </c>
      <c r="M94" s="290" t="str">
        <f aca="false">VLOOKUP($A94,ScaledPrice,11)</f>
        <v> </v>
      </c>
      <c r="N94" s="290" t="str">
        <f aca="false">VLOOKUP($A94,ScaledPrice,13)</f>
        <v> </v>
      </c>
      <c r="O94" s="290" t="str">
        <f aca="false">VLOOKUP($A94,ScaledPrice,8)</f>
        <v> </v>
      </c>
      <c r="P94" s="290" t="str">
        <f aca="false">VLOOKUP($A94,ScaledPrice,12)</f>
        <v> </v>
      </c>
      <c r="Q94" s="291" t="str">
        <f aca="false">VLOOKUP($A94,ScaledPrice,13)</f>
        <v> </v>
      </c>
      <c r="R94" s="292" t="str">
        <f aca="false">IF($A94="N/A"," ",IF(Dayrun&gt;=3,IF(Option=1,MAX($I94-$H94,0),IF(Option=2,MAX($H94-$I94,0),0)),0))</f>
        <v> </v>
      </c>
      <c r="S94" s="286" t="str">
        <f aca="false">IF($A94="N/A"," ",IF(Dayrun&gt;=6,IF(Option=1,MAX($J94-H94,0),IF(Option=2,MAX(H94-$J94,0),0)),0))</f>
        <v> </v>
      </c>
      <c r="T94" s="286" t="str">
        <f aca="false">IF($A94="N/A"," ",IF(OR(Dayrun&lt;=2,Dayrun&gt;=9),IF(Option=1,MAX($K94-$H94,0),IF(Option=2,MAX($H94-$K94,0),0)),0))</f>
        <v> </v>
      </c>
      <c r="U94" s="286" t="str">
        <f aca="false">IF($A94="N/A"," ",IF(OR(Dayrun=1,Dayrun=4,Dayrun=5,Dayrun=7,Dayrun=8,Dayrun=10,Dayrun=11),IF(Option=1,MAX($L94-H94,0),IF(Option=2,MAX(H94-$L94,0),0)),0))</f>
        <v> </v>
      </c>
      <c r="V94" s="286" t="str">
        <f aca="false">IF($A94="N/A"," ",IF(OR(Dayrun=1,Dayrun=7,Dayrun=8,Dayrun=10,Dayrun=11),IF(Option=1,MAX($M94-H94,0),IF(Option=2,MAX(H94-$M94,0),0)),0))</f>
        <v> </v>
      </c>
      <c r="W94" s="286" t="str">
        <f aca="false">IF($A94="N/A"," ",IF(OR(Dayrun&lt;=2,Dayrun&gt;=10),IF(Option=1,MAX($N94-$H94,0),IF(Option=2,MAX($H94-$N94,0),0)),0))</f>
        <v> </v>
      </c>
      <c r="X94" s="286" t="str">
        <f aca="false">IF($A94="N/A"," ",IF(OR(Dayrun=1,Dayrun=5,Dayrun=8,Dayrun=11),IF(Option=1,MAX($O94-H94,0),IF(Option=2,MAX(H94-$O94,0),0)),0))</f>
        <v> </v>
      </c>
      <c r="Y94" s="286" t="str">
        <f aca="false">IF($A94="N/A"," ",IF(OR(Dayrun=1,Dayrun=8,Dayrun=11),IF(Option=1,MAX($P94-H94,0),IF(Option=2,MAX(H94-$P94,0),0)),0))</f>
        <v> </v>
      </c>
      <c r="Z94" s="293" t="str">
        <f aca="false">IF($A94="N/A"," ",IF(OR(Dayrun&lt;=2,Dayrun&gt;=11),IF(Option=1,MAX($Q94-$H94,0),IF(Option=2,MAX($H94-$Q94,0),0)),0))</f>
        <v> </v>
      </c>
      <c r="AA94" s="289" t="str">
        <f aca="false">IF($A94="N/A"," ",IF(Dayrun&gt;=3,(MAX(0,(xSPRDOPT(I94,($E94-'Pricing Inputs'!$X129*$D94),$CV94,0,($CN94+IF(Smile=TRUE(),VLOOKUP(MAX(-5,$H94-I94),Volsmile,2),0)),$CT94,$CU94,($A94-DateToday)+15,ABS(Option-2),0)-R94))),0))</f>
        <v> </v>
      </c>
      <c r="AB94" s="290" t="str">
        <f aca="false">IF($A94="N/A"," ",IF(Dayrun&gt;=6,MAX(0,(xSPRDOPT(J94,($E94-'Pricing Inputs'!$X129*$D94),$CV94,0,($CN94+IF(Smile=TRUE(),VLOOKUP(MAX(-5,$H94-J94),Volsmile,2),0)),$CT94,$CU94,($A94-DateToday)+15,ABS(Option-2),0)-S94)),0))</f>
        <v> </v>
      </c>
      <c r="AC94" s="290" t="str">
        <f aca="false">IF($A94="N/A"," ",IF(OR(Dayrun&lt;=2,Dayrun&gt;=9),IF(OffPeakEx=TRUE(),MAX(0,(xSPRDOPT(K94,($E94-'Pricing Inputs'!$X129*$D94),$CV94,0,($CQ94+IF(Smile=TRUE(),VLOOKUP(MAX(-5,$H94-K94),Volsmile,2),0)),$CT94,$CU94,($A94-DateToday)+15,ABS(Option-2),0)-T94)),0),0))</f>
        <v> </v>
      </c>
      <c r="AD94" s="290" t="str">
        <f aca="false">IF($A94="N/A"," ",IF(OR(Dayrun=1,Dayrun=4,Dayrun=5,Dayrun=7,Dayrun=8,Dayrun=10,Dayrun=11),MAX(0,(xSPRDOPT(L94,($E94-'Pricing Inputs'!$X129*$D94),$CV94,0,($CQ94+IF(Smile=TRUE(),VLOOKUP(MAX(-5,$H94-L94),Volsmile,2),0)),$CT94,$CU94,($A94-DateToday)+15,ABS(Option-2),0)-U94)),0))</f>
        <v> </v>
      </c>
      <c r="AE94" s="290" t="str">
        <f aca="false">IF($A94="N/A"," ",IF(OR(Dayrun=1,Dayrun=7,Dayrun=8,Dayrun=10,Dayrun=11),MAX(0,(xSPRDOPT(M94,($E94-'Pricing Inputs'!$X129*$D94),$CV94,0,($CQ94+IF(Smile=TRUE(),VLOOKUP(MAX(-5,$H94-M94),Volsmile,2),0)),$CT94,$CU94,($A94-DateToday)+15,ABS(Option-2),0)-V94)),0))</f>
        <v> </v>
      </c>
      <c r="AF94" s="290" t="str">
        <f aca="false">IF($A94="N/A"," ",IF(OR(Dayrun&lt;=2,Dayrun&gt;=10),IF(OffPeakEx=TRUE(),MAX(0,(xSPRDOPT(N94,($E94-'Pricing Inputs'!$X129*$D94),$CV94,0,($CQ94+IF(Smile=TRUE(),VLOOKUP(MAX(-5,$H94-N94),Volsmile,2),0)),$CT94,$CU94,($A94-DateToday)+15,ABS(Option-2),0)-W94)),0),0))</f>
        <v> </v>
      </c>
      <c r="AG94" s="290" t="str">
        <f aca="false">IF($A94="N/A"," ",IF(OR(Dayrun=1,Dayrun=5,Dayrun=8,Dayrun=11),MAX(0,(xSPRDOPT(O94,($E94-'Pricing Inputs'!$X129*$D94),$CV94,0,($CQ94+IF(Smile=TRUE(),VLOOKUP(MAX(-5,$H94-O94),Volsmile,2),0)),$CT94,$CU94,($A94-DateToday)+15,ABS(Option-2),0)-X94)),0))</f>
        <v> </v>
      </c>
      <c r="AH94" s="290" t="str">
        <f aca="false">IF($A94="N/A"," ",IF(OR(Dayrun=1,Dayrun=8,Dayrun=11),MAX(0,(xSPRDOPT(P94,($E94-'Pricing Inputs'!$X129*$D94),$CV94,0,($CQ94+IF(Smile=TRUE(),VLOOKUP(MAX(-5,$H94-P94),Volsmile,2),0)),$CT94,$CU94,($A94-DateToday)+15,ABS(Option-2),0)-Y94)),0))</f>
        <v> </v>
      </c>
      <c r="AI94" s="290" t="str">
        <f aca="false">IF($A94="N/A"," ",IF(OR(Dayrun&lt;=2,Dayrun&gt;=11),IF(OffPeakEx=TRUE(),MAX(0,(xSPRDOPT(Q94,($E94-'Pricing Inputs'!$X129*$D94),$CV94,0,($CQ94+IF(Smile=TRUE(),VLOOKUP(MAX(-5,$H94-Q94),Volsmile,2),0)),$CT94,$CU94,($A94-DateToday)+15,ABS(Option-2),0)-Z94)),0),0))</f>
        <v> </v>
      </c>
      <c r="AJ94" s="294" t="str">
        <f aca="false">IF($A94="N/A"," ",IF(Dayrun&gt;=3,IF(Option=1,$I94-$H94,IF(Option=2,$H94-$I94)),0))</f>
        <v> </v>
      </c>
      <c r="AK94" s="295" t="str">
        <f aca="false">IF($A94="N/A"," ",IF(Dayrun&gt;=6,IF(Option=1,$J94-H94,IF(Option=2,H94-$J94)),0))</f>
        <v> </v>
      </c>
      <c r="AL94" s="295" t="str">
        <f aca="false">IF($A94="N/A"," ",IF(OR(Dayrun&lt;=2,Dayrun&gt;=9),IF(Option=1,$K94-$H94,IF(Option=2,$H94-$K94)),0))</f>
        <v> </v>
      </c>
      <c r="AM94" s="295" t="str">
        <f aca="false">IF($A94="N/A"," ",IF(OR(Dayrun=1,Dayrun=4,Dayrun=5,Dayrun=7,Dayrun=8,Dayrun=10,Dayrun=11),IF(Option=1,$L94-H94,IF(Option=2,H94-$L94)),0))</f>
        <v> </v>
      </c>
      <c r="AN94" s="295" t="str">
        <f aca="false">IF($A94="N/A"," ",IF(OR(Dayrun=1,Dayrun=7,Dayrun=8,Dayrun=10,Dayrun=11),IF(Option=1,$M94-H94,IF(Option=2,H94-$M94)),0))</f>
        <v> </v>
      </c>
      <c r="AO94" s="295" t="str">
        <f aca="false">IF($A94="N/A"," ",IF(OR(Dayrun&lt;=2,Dayrun&gt;=9),IF(Option=1,$N94-$H94,IF(Option=2,$H94-$N94)),0))</f>
        <v> </v>
      </c>
      <c r="AP94" s="295" t="str">
        <f aca="false">IF($A94="N/A"," ",IF(OR(Dayrun=1,Dayrun=5,Dayrun=8,Dayrun=11),IF(Option=1,$O94-H94,IF(Option=2,H94-$O94)),0))</f>
        <v> </v>
      </c>
      <c r="AQ94" s="295" t="str">
        <f aca="false">IF($A94="N/A"," ",IF(OR(Dayrun=1,Dayrun=8,Dayrun=11),IF(Option=1,$P94-H94,IF(Option=2,H94-$P94)),0))</f>
        <v> </v>
      </c>
      <c r="AR94" s="296" t="str">
        <f aca="false">IF($A94="N/A"," ",IF(OR(Dayrun&lt;=2,Dayrun&gt;=9),IF(Option=1,$Q94-H94,IF(Option=2,H94-$Q94)),0))</f>
        <v> </v>
      </c>
      <c r="AS94" s="297" t="str">
        <f aca="false">IF($A94="N/A"," ",IF(VLOOKUP(MONTH($A94),ManualTable,2)=1,IF(Dayrun&gt;=3,$DE94*8*$CY94,0),0))</f>
        <v> </v>
      </c>
      <c r="AT94" s="297" t="str">
        <f aca="false">IF($A94="N/A"," ",IF(VLOOKUP(MONTH($A94),ManualTable,3)=1,IF(Dayrun&gt;=6,$DE94*8*$CY94,0),0))</f>
        <v> </v>
      </c>
      <c r="AU94" s="297" t="str">
        <f aca="false">IF($A94="N/A"," ",IF(VLOOKUP(MONTH($A94),ManualTable,4)=1,IF(OR(Dayrun&lt;=2,Dayrun&gt;=9),$DE94*8*$CY94,0),0))</f>
        <v> </v>
      </c>
      <c r="AV94" s="297" t="str">
        <f aca="false">IF($A94="N/A"," ",IF(VLOOKUP(MONTH($A94),ManualTable,5)=1,IF(OR(Dayrun=1,Dayrun=4,Dayrun=5,Dayrun=7,Dayrun=8,Dayrun=10,Dayrun=11),$DF94*8*$CY94,0),0))</f>
        <v> </v>
      </c>
      <c r="AW94" s="297" t="str">
        <f aca="false">IF($A94="N/A"," ",IF(VLOOKUP(MONTH($A94),ManualTable,6)=1,IF(OR(Dayrun=1,Dayrun=7,Dayrun=8,Dayrun=10,Dayrun=11),$DF94*8*$CY94,0),0))</f>
        <v> </v>
      </c>
      <c r="AX94" s="297" t="str">
        <f aca="false">IF($A94="N/A"," ",IF(VLOOKUP(MONTH($A94),ManualTable,7)=1,IF(OR(Dayrun&lt;=2,Dayrun&gt;=9),$DF94*8*$CY94,0),0))</f>
        <v> </v>
      </c>
      <c r="AY94" s="297" t="str">
        <f aca="false">IF($A94="N/A"," ",IF(VLOOKUP(MONTH($A94),ManualTable,8)=1,IF(OR(Dayrun=1,Dayrun=5,Dayrun=8,Dayrun=11),$DG94*8*$CY94,0),0))</f>
        <v> </v>
      </c>
      <c r="AZ94" s="297" t="str">
        <f aca="false">IF($A94="N/A"," ",IF(VLOOKUP(MONTH($A94),ManualTable,9)=1,IF(OR(Dayrun=1,Dayrun=8,Dayrun=11),$DG94*8*$CY94,0),0))</f>
        <v> </v>
      </c>
      <c r="BA94" s="298" t="str">
        <f aca="false">IF($A94="N/A"," ",IF(VLOOKUP(MONTH($A94),ManualTable,10)=1,IF(OR(Dayrun&lt;=2,Dayrun&gt;=9),$DG94*8*$CY94,0),0))</f>
        <v> </v>
      </c>
      <c r="BB94" s="299" t="str">
        <f aca="false">IF($A94="N/A"," ",IF(Dayrun&gt;=3,(MAX(0,(xSPRDOPT(I94,($E94-'Pricing Inputs'!$X129*$D94),$CV94,0,($CN94+IF(Smile=TRUE(),VLOOKUP(MAX(-5,$H94-I94),Volsmile,2),0)),$CT94,$CU94,($A94-DateToday)+15,ABS(Option-2),1)*DE94*8))),0))</f>
        <v> </v>
      </c>
      <c r="BC94" s="300" t="str">
        <f aca="false">IF($A94="N/A"," ",IF(Dayrun&gt;=6,MAX(0,(xSPRDOPT(J94,($E94-'Pricing Inputs'!$X129*$D94),$CV94,0,($CN94+IF(Smile=TRUE(),VLOOKUP(MAX(-5,$H94-J94),Volsmile,2),0)),$CT94,$CU94,($A94-DateToday)+15,ABS(Option-2),1)*DE94*8)),0))</f>
        <v> </v>
      </c>
      <c r="BD94" s="300" t="str">
        <f aca="false">IF($A94="N/A"," ",IF(OR(Dayrun&lt;=2,Dayrun&gt;=9),IF(OffPeakEx=TRUE(),MAX(0,(xSPRDOPT(K94,($E94-'Pricing Inputs'!$X129*$D94),$CV94,0,($CQ94+IF(Smile=TRUE(),VLOOKUP(MAX(-5,$H94-K94),Volsmile,2),0)),$CT94,$CU94,($A94-DateToday)+15,ABS(Option-2),1)*DE94*8)),0),0))</f>
        <v> </v>
      </c>
      <c r="BE94" s="300" t="str">
        <f aca="false">IF($A94="N/A"," ",IF(OR(Dayrun=1,Dayrun=4,Dayrun=5,Dayrun=7,Dayrun=8,Dayrun=10,Dayrun=11),MAX(0,(xSPRDOPT(L94,($E94-'Pricing Inputs'!$X129*$D94),$CV94,0,($CQ94+IF(Smile=TRUE(),VLOOKUP(MAX(-5,$H94-L94),Volsmile,2),0)),$CT94,$CU94,($A94-DateToday)+15,ABS(Option-2),1)*DF94*8)),0))</f>
        <v> </v>
      </c>
      <c r="BF94" s="300" t="str">
        <f aca="false">IF($A94="N/A"," ",IF(OR(Dayrun=1,Dayrun=7,Dayrun=8,Dayrun=10,Dayrun=11),MAX(0,(xSPRDOPT(M94,($E94-'Pricing Inputs'!$X129*$D94),$CV94,0,($CQ94+IF(Smile=TRUE(),VLOOKUP(MAX(-5,$H94-M94),Volsmile,2),0)),$CT94,$CU94,($A94-DateToday)+15,ABS(Option-2),1)*DF94*8)),0))</f>
        <v> </v>
      </c>
      <c r="BG94" s="300" t="str">
        <f aca="false">IF($A94="N/A"," ",IF(OR(Dayrun&lt;=2,Dayrun&gt;=10),IF(OffPeakEx=TRUE(),MAX(0,(xSPRDOPT(N94,($E94-'Pricing Inputs'!$X129*$D94),$CV94,0,($CQ94+IF(Smile=TRUE(),VLOOKUP(MAX(-5,$H94-N94),Volsmile,2),0)),$CT94,$CU94,($A94-DateToday)+15,ABS(Option-2),1)*DF94*8)),0),0))</f>
        <v> </v>
      </c>
      <c r="BH94" s="300" t="str">
        <f aca="false">IF($A94="N/A"," ",IF(OR(Dayrun=1,Dayrun=5,Dayrun=8,Dayrun=11),MAX(0,(xSPRDOPT(O94,($E94-'Pricing Inputs'!$X129*$D94),$CV94,0,($CQ94+IF(Smile=TRUE(),VLOOKUP(MAX(-5,$H94-O94),Volsmile,2),0)),$CT94,$CU94,($A94-DateToday)+15,ABS(Option-2),1)*DG94*8)),0))</f>
        <v> </v>
      </c>
      <c r="BI94" s="300" t="str">
        <f aca="false">IF($A94="N/A"," ",IF(OR(Dayrun=1,Dayrun=8,Dayrun=11),MAX(0,(xSPRDOPT(P94,($E94-'Pricing Inputs'!$X129*$D94),$CV94,0,($CQ94+IF(Smile=TRUE(),VLOOKUP(MAX(-5,$H94-P94),Volsmile,2),0)),$CT94,$CU94,($A94-DateToday)+15,ABS(Option-2),1)*DG94*8)),0))</f>
        <v> </v>
      </c>
      <c r="BJ94" s="301" t="str">
        <f aca="false">IF($A94="N/A"," ",IF(OR(Dayrun&lt;=2,Dayrun&gt;=11),IF(OffPeakEx=TRUE(),MAX(0,(xSPRDOPT(Q94,($E94-'Pricing Inputs'!$X129*$D94),$CV94,0,($CQ94+IF(Smile=TRUE(),VLOOKUP(MAX(-5,$H94-Q94),Volsmile,2),0)),$CT94,$CU94,($A94-DateToday)+15,ABS(Option-2),1)*DG94*8)),0),0))</f>
        <v> </v>
      </c>
      <c r="BK94" s="302" t="str">
        <f aca="false">IF($A94="N/A"," ",R94*$AS94)</f>
        <v> </v>
      </c>
      <c r="BL94" s="303" t="str">
        <f aca="false">IF($A94="N/A"," ",S94*$AT94)</f>
        <v> </v>
      </c>
      <c r="BM94" s="303" t="str">
        <f aca="false">IF($A94="N/A"," ",T94*$AU94)</f>
        <v> </v>
      </c>
      <c r="BN94" s="303" t="str">
        <f aca="false">IF($A94="N/A"," ",U94*$AV94)</f>
        <v> </v>
      </c>
      <c r="BO94" s="303" t="str">
        <f aca="false">IF($A94="N/A"," ",V94*$AW94)</f>
        <v> </v>
      </c>
      <c r="BP94" s="303" t="str">
        <f aca="false">IF($A94="N/A"," ",W94*$AX94)</f>
        <v> </v>
      </c>
      <c r="BQ94" s="303" t="str">
        <f aca="false">IF($A94="N/A"," ",X94*$AY94)</f>
        <v> </v>
      </c>
      <c r="BR94" s="303" t="str">
        <f aca="false">IF($A94="N/A"," ",Y94*$AZ94)</f>
        <v> </v>
      </c>
      <c r="BS94" s="304" t="str">
        <f aca="false">IF($A94="N/A"," ",Z94*$BA94)</f>
        <v> </v>
      </c>
      <c r="BT94" s="305" t="str">
        <f aca="false">IF($A94="N/A"," ",AA94*$AS94)</f>
        <v> </v>
      </c>
      <c r="BU94" s="306" t="str">
        <f aca="false">IF($A94="N/A"," ",AB94*$AT94)</f>
        <v> </v>
      </c>
      <c r="BV94" s="306" t="str">
        <f aca="false">IF($A94="N/A"," ",AC94*$AU94)</f>
        <v> </v>
      </c>
      <c r="BW94" s="306" t="str">
        <f aca="false">IF($A94="N/A"," ",AD94*$AV94)</f>
        <v> </v>
      </c>
      <c r="BX94" s="306" t="str">
        <f aca="false">IF($A94="N/A"," ",AE94*$AW94)</f>
        <v> </v>
      </c>
      <c r="BY94" s="306" t="str">
        <f aca="false">IF($A94="N/A"," ",AF94*$AX94)</f>
        <v> </v>
      </c>
      <c r="BZ94" s="306" t="str">
        <f aca="false">IF($A94="N/A"," ",AG94*$AY94)</f>
        <v> </v>
      </c>
      <c r="CA94" s="306" t="str">
        <f aca="false">IF($A94="N/A"," ",AH94*$AZ94)</f>
        <v> </v>
      </c>
      <c r="CB94" s="307" t="str">
        <f aca="false">IF($A94="N/A"," ",AI94*$BA94)</f>
        <v> </v>
      </c>
      <c r="CC94" s="308" t="str">
        <f aca="false">IF($A94="N/A"," ",AJ94*$AS94)</f>
        <v> </v>
      </c>
      <c r="CD94" s="309" t="str">
        <f aca="false">IF($A94="N/A"," ",AK94*$AT94)</f>
        <v> </v>
      </c>
      <c r="CE94" s="309" t="str">
        <f aca="false">IF($A94="N/A"," ",AL94*$AU94)</f>
        <v> </v>
      </c>
      <c r="CF94" s="309" t="str">
        <f aca="false">IF($A94="N/A"," ",AM94*$AV94)</f>
        <v> </v>
      </c>
      <c r="CG94" s="309" t="str">
        <f aca="false">IF($A94="N/A"," ",AN94*$AW94)</f>
        <v> </v>
      </c>
      <c r="CH94" s="309" t="str">
        <f aca="false">IF($A94="N/A"," ",AO94*$AX94)</f>
        <v> </v>
      </c>
      <c r="CI94" s="309" t="str">
        <f aca="false">IF($A94="N/A"," ",AP94*$AY94)</f>
        <v> </v>
      </c>
      <c r="CJ94" s="309" t="str">
        <f aca="false">IF($A94="N/A"," ",AQ94*$AZ94)</f>
        <v> </v>
      </c>
      <c r="CK94" s="310" t="str">
        <f aca="false">IF($A94="N/A"," ",AR94*$BA94)</f>
        <v> </v>
      </c>
      <c r="CL94" s="311" t="str">
        <f aca="false">IF(A94="N/A"," ",(VLOOKUP(A94,PowerVolTable,(IF(VolBMO=2,7,IF(VolBMO=1,6,8))),FALSE())))</f>
        <v> </v>
      </c>
      <c r="CM94" s="312" t="str">
        <f aca="false">IF(A94="N/A"," ",(VLOOKUP(A94,IntraPowerVol,(IF(VolBMO=2,3,IF(VolBMO=1,2,4))),FALSE())*VLOOKUP(MONTH($A94),Volscale,2)))</f>
        <v> </v>
      </c>
      <c r="CN94" s="312" t="str">
        <f aca="false">IF($A94="N/A"," ",IF(VolType=1,CM94,CL94))</f>
        <v> </v>
      </c>
      <c r="CO94" s="312" t="str">
        <f aca="false">IF($A94="N/A"," ",(VLOOKUP($A94,OffPeakVol,(IF(VolBMO=2,7,IF(VolBMO=1,6,8))),FALSE())))</f>
        <v> </v>
      </c>
      <c r="CP94" s="312" t="str">
        <f aca="false">IF($A94="N/A"," ",(VLOOKUP($A94,OffPeakVol,(IF(VolBMO=2,3,IF(VolBMO=1,2,4))),FALSE())*VLOOKUP(MONTH($A94),Volscale,2)))</f>
        <v> </v>
      </c>
      <c r="CQ94" s="312" t="str">
        <f aca="false">IF($A94="N/A"," ",IF(VolType=1,CP94,CO94))</f>
        <v> </v>
      </c>
      <c r="CR94" s="312" t="str">
        <f aca="false">IF($A94="N/A"," ",(VLOOKUP($A94,GasVolTable,(IF(VolBMO=2,6,IF(VolBMO=1,7,5))),FALSE())))</f>
        <v> </v>
      </c>
      <c r="CS94" s="312" t="str">
        <f aca="false">IF($A94="N/A"," ",(VLOOKUP($A94,OmicronVol,(IF(VolBMO=2,3,IF(VolBMO=1,4,2))),FALSE())))</f>
        <v> </v>
      </c>
      <c r="CT94" s="312" t="str">
        <f aca="false">IF($A94="N/A"," ",(IF(DateToday&gt;$A94,$CS94,IF(VolType=1,((($CR94^2)*((($A94-1)-DateToday)/((EOMONTH($A94,0)+1)-DateToday-15)))+((($CS94)^2)*((15)/((EOMONTH($A94,0)+1)-DateToday-15))))^0.5,CR94))))</f>
        <v> </v>
      </c>
      <c r="CU94" s="312" t="str">
        <f aca="false">IF($A94="N/A"," ",IF('Pricing Inputs'!$AR$23=TRUE(),Inputs!$S$22,VLOOKUP($A94,CorrelationTable,2,FALSE())))</f>
        <v> </v>
      </c>
      <c r="CV94" s="313" t="str">
        <f aca="false">IF($A94="N/A"," ",F94+G94+(D94*('Pricing Inputs'!X129)))</f>
        <v> </v>
      </c>
      <c r="CW94" s="314" t="str">
        <f aca="false">IF($A94="N/A"," ",IF(PV=1,0,'Pricing Inputs'!Y129))</f>
        <v> </v>
      </c>
      <c r="CX94" s="315" t="str">
        <f aca="false">IF($A94="N/A"," ",(1+CW94/2)^(-2*((EOMONTH(A94,0)+20)-DateToday)/365.25))</f>
        <v> </v>
      </c>
      <c r="CY94" s="316" t="str">
        <f aca="false">IF($A94="N/A"," ",(IF(MONTH(A94)&gt;=4,IF(MONTH(A94)&lt;=10,Inputs!$S$26,Inputs!$S$27),Inputs!$S$27))*$CX94)</f>
        <v> </v>
      </c>
      <c r="CZ94" s="317" t="str">
        <f aca="false">IF($A94="N/A"," ",BK94+BL94+BN94+BO94+BQ94+BR94)</f>
        <v> </v>
      </c>
      <c r="DA94" s="318" t="str">
        <f aca="false">IF($A94="N/A"," ",BM94+BP94+BS94)</f>
        <v> </v>
      </c>
      <c r="DB94" s="319" t="str">
        <f aca="false">IF($A94="N/A"," ",BT94+BU94+BW94+BX94+BZ94+CA94)</f>
        <v> </v>
      </c>
      <c r="DC94" s="319" t="str">
        <f aca="false">IF($A94="N/A"," ",BV94+BY94+CB94)</f>
        <v> </v>
      </c>
      <c r="DD94" s="320" t="str">
        <f aca="false">IF($A94="N/A"," ",SUM(CC94:CK94))</f>
        <v> </v>
      </c>
      <c r="DE94" s="321" t="str">
        <f aca="false">IF($A94="N/A"," ",VLOOKUP($A94,NumberofDaysTable,2)*Availability)</f>
        <v> </v>
      </c>
      <c r="DF94" s="94" t="str">
        <f aca="false">IF($A94="N/A"," ",VLOOKUP($A94,NumberofDaysTable,3)*Availability)</f>
        <v> </v>
      </c>
      <c r="DG94" s="322" t="str">
        <f aca="false">IF($A94="N/A"," ",VLOOKUP($A94,NumberofDaysTable,4)*Availability)</f>
        <v> </v>
      </c>
      <c r="DH94" s="323" t="str">
        <f aca="false">IF($A94="N/A"," ",IF(Option=1,$D94*Inputs!$S$15*SUM(AS94:BA94),0))</f>
        <v> </v>
      </c>
      <c r="DI94" s="324" t="str">
        <f aca="false">IF($A94="N/A"," ",IF(Option=1,$D94*Inputs!$S$16*SUM(AS94:BA94),0))</f>
        <v> </v>
      </c>
      <c r="DJ94" s="325" t="str">
        <f aca="false">IF($A94="N/A"," ",SUM(AS94:AT94))</f>
        <v> </v>
      </c>
      <c r="DK94" s="325" t="str">
        <f aca="false">IF($A94="N/A"," ",SUM(AU94:BA94))</f>
        <v> </v>
      </c>
      <c r="DL94" s="325" t="str">
        <f aca="false">IF($A94="N/A"," ",SUM(BB94:BC94))</f>
        <v> </v>
      </c>
      <c r="DM94" s="325" t="str">
        <f aca="false">IF($A94="N/A"," ",SUM(BD94:BJ94))</f>
        <v> </v>
      </c>
    </row>
    <row r="95" customFormat="false" ht="12.75" hidden="false" customHeight="false" outlineLevel="0" collapsed="false">
      <c r="A95" s="282" t="str">
        <f aca="false">IF(A94="N/A","N/A",IF(EDATE(A94,1)&gt;Inputs!$S$5,"N/A",EDATE(A94,1)))</f>
        <v>N/A</v>
      </c>
      <c r="B95" s="283" t="str">
        <f aca="false">IF(A95="N/A"," ",YEAR(A95))</f>
        <v> </v>
      </c>
      <c r="C95" s="284" t="str">
        <f aca="false">IF(A95="N/A"," ",VLOOKUP(A95,ScaledPrice,14))</f>
        <v> </v>
      </c>
      <c r="D95" s="285" t="str">
        <f aca="false">IF(A95="N/A"," ",(VLOOKUP(MONTH($A95),Hrtable,2))/1000)</f>
        <v> </v>
      </c>
      <c r="E95" s="286" t="str">
        <f aca="false">IF($A95="N/A"," ",(C95)*D95)</f>
        <v> </v>
      </c>
      <c r="F95" s="287" t="str">
        <f aca="false">IF(A95="N/A"," ",VOM*(1+VOMesc)^(YEAR(A95)-YEAR(Today)))</f>
        <v> </v>
      </c>
      <c r="G95" s="287" t="str">
        <f aca="false">IF(A95="N/A"," ",Perstart/VLOOKUP(Dayrun,'Pricing Inputs'!$AQ$4:$AS$14,3)/(CY95/CX95))</f>
        <v> </v>
      </c>
      <c r="H95" s="288" t="str">
        <f aca="false">IF(A95="N/A"," ",SUM(E95:G95))</f>
        <v> </v>
      </c>
      <c r="I95" s="289" t="str">
        <f aca="false">VLOOKUP($A95,ScaledPrice,6)</f>
        <v> </v>
      </c>
      <c r="J95" s="290" t="str">
        <f aca="false">VLOOKUP($A95,ScaledPrice,10)</f>
        <v> </v>
      </c>
      <c r="K95" s="290" t="str">
        <f aca="false">VLOOKUP($A95,ScaledPrice,13)</f>
        <v> </v>
      </c>
      <c r="L95" s="290" t="str">
        <f aca="false">VLOOKUP($A95,ScaledPrice,7)</f>
        <v> </v>
      </c>
      <c r="M95" s="290" t="str">
        <f aca="false">VLOOKUP($A95,ScaledPrice,11)</f>
        <v> </v>
      </c>
      <c r="N95" s="290" t="str">
        <f aca="false">VLOOKUP($A95,ScaledPrice,13)</f>
        <v> </v>
      </c>
      <c r="O95" s="290" t="str">
        <f aca="false">VLOOKUP($A95,ScaledPrice,8)</f>
        <v> </v>
      </c>
      <c r="P95" s="290" t="str">
        <f aca="false">VLOOKUP($A95,ScaledPrice,12)</f>
        <v> </v>
      </c>
      <c r="Q95" s="291" t="str">
        <f aca="false">VLOOKUP($A95,ScaledPrice,13)</f>
        <v> </v>
      </c>
      <c r="R95" s="292" t="str">
        <f aca="false">IF($A95="N/A"," ",IF(Dayrun&gt;=3,IF(Option=1,MAX($I95-$H95,0),IF(Option=2,MAX($H95-$I95,0),0)),0))</f>
        <v> </v>
      </c>
      <c r="S95" s="286" t="str">
        <f aca="false">IF($A95="N/A"," ",IF(Dayrun&gt;=6,IF(Option=1,MAX($J95-H95,0),IF(Option=2,MAX(H95-$J95,0),0)),0))</f>
        <v> </v>
      </c>
      <c r="T95" s="286" t="str">
        <f aca="false">IF($A95="N/A"," ",IF(OR(Dayrun&lt;=2,Dayrun&gt;=9),IF(Option=1,MAX($K95-$H95,0),IF(Option=2,MAX($H95-$K95,0),0)),0))</f>
        <v> </v>
      </c>
      <c r="U95" s="286" t="str">
        <f aca="false">IF($A95="N/A"," ",IF(OR(Dayrun=1,Dayrun=4,Dayrun=5,Dayrun=7,Dayrun=8,Dayrun=10,Dayrun=11),IF(Option=1,MAX($L95-H95,0),IF(Option=2,MAX(H95-$L95,0),0)),0))</f>
        <v> </v>
      </c>
      <c r="V95" s="286" t="str">
        <f aca="false">IF($A95="N/A"," ",IF(OR(Dayrun=1,Dayrun=7,Dayrun=8,Dayrun=10,Dayrun=11),IF(Option=1,MAX($M95-H95,0),IF(Option=2,MAX(H95-$M95,0),0)),0))</f>
        <v> </v>
      </c>
      <c r="W95" s="286" t="str">
        <f aca="false">IF($A95="N/A"," ",IF(OR(Dayrun&lt;=2,Dayrun&gt;=10),IF(Option=1,MAX($N95-$H95,0),IF(Option=2,MAX($H95-$N95,0),0)),0))</f>
        <v> </v>
      </c>
      <c r="X95" s="286" t="str">
        <f aca="false">IF($A95="N/A"," ",IF(OR(Dayrun=1,Dayrun=5,Dayrun=8,Dayrun=11),IF(Option=1,MAX($O95-H95,0),IF(Option=2,MAX(H95-$O95,0),0)),0))</f>
        <v> </v>
      </c>
      <c r="Y95" s="286" t="str">
        <f aca="false">IF($A95="N/A"," ",IF(OR(Dayrun=1,Dayrun=8,Dayrun=11),IF(Option=1,MAX($P95-H95,0),IF(Option=2,MAX(H95-$P95,0),0)),0))</f>
        <v> </v>
      </c>
      <c r="Z95" s="293" t="str">
        <f aca="false">IF($A95="N/A"," ",IF(OR(Dayrun&lt;=2,Dayrun&gt;=11),IF(Option=1,MAX($Q95-$H95,0),IF(Option=2,MAX($H95-$Q95,0),0)),0))</f>
        <v> </v>
      </c>
      <c r="AA95" s="289" t="str">
        <f aca="false">IF($A95="N/A"," ",IF(Dayrun&gt;=3,(MAX(0,(xSPRDOPT(I95,($E95-'Pricing Inputs'!$X130*$D95),$CV95,0,($CN95+IF(Smile=TRUE(),VLOOKUP(MAX(-5,$H95-I95),Volsmile,2),0)),$CT95,$CU95,($A95-DateToday)+15,ABS(Option-2),0)-R95))),0))</f>
        <v> </v>
      </c>
      <c r="AB95" s="290" t="str">
        <f aca="false">IF($A95="N/A"," ",IF(Dayrun&gt;=6,MAX(0,(xSPRDOPT(J95,($E95-'Pricing Inputs'!$X130*$D95),$CV95,0,($CN95+IF(Smile=TRUE(),VLOOKUP(MAX(-5,$H95-J95),Volsmile,2),0)),$CT95,$CU95,($A95-DateToday)+15,ABS(Option-2),0)-S95)),0))</f>
        <v> </v>
      </c>
      <c r="AC95" s="290" t="str">
        <f aca="false">IF($A95="N/A"," ",IF(OR(Dayrun&lt;=2,Dayrun&gt;=9),IF(OffPeakEx=TRUE(),MAX(0,(xSPRDOPT(K95,($E95-'Pricing Inputs'!$X130*$D95),$CV95,0,($CQ95+IF(Smile=TRUE(),VLOOKUP(MAX(-5,$H95-K95),Volsmile,2),0)),$CT95,$CU95,($A95-DateToday)+15,ABS(Option-2),0)-T95)),0),0))</f>
        <v> </v>
      </c>
      <c r="AD95" s="290" t="str">
        <f aca="false">IF($A95="N/A"," ",IF(OR(Dayrun=1,Dayrun=4,Dayrun=5,Dayrun=7,Dayrun=8,Dayrun=10,Dayrun=11),MAX(0,(xSPRDOPT(L95,($E95-'Pricing Inputs'!$X130*$D95),$CV95,0,($CQ95+IF(Smile=TRUE(),VLOOKUP(MAX(-5,$H95-L95),Volsmile,2),0)),$CT95,$CU95,($A95-DateToday)+15,ABS(Option-2),0)-U95)),0))</f>
        <v> </v>
      </c>
      <c r="AE95" s="290" t="str">
        <f aca="false">IF($A95="N/A"," ",IF(OR(Dayrun=1,Dayrun=7,Dayrun=8,Dayrun=10,Dayrun=11),MAX(0,(xSPRDOPT(M95,($E95-'Pricing Inputs'!$X130*$D95),$CV95,0,($CQ95+IF(Smile=TRUE(),VLOOKUP(MAX(-5,$H95-M95),Volsmile,2),0)),$CT95,$CU95,($A95-DateToday)+15,ABS(Option-2),0)-V95)),0))</f>
        <v> </v>
      </c>
      <c r="AF95" s="290" t="str">
        <f aca="false">IF($A95="N/A"," ",IF(OR(Dayrun&lt;=2,Dayrun&gt;=10),IF(OffPeakEx=TRUE(),MAX(0,(xSPRDOPT(N95,($E95-'Pricing Inputs'!$X130*$D95),$CV95,0,($CQ95+IF(Smile=TRUE(),VLOOKUP(MAX(-5,$H95-N95),Volsmile,2),0)),$CT95,$CU95,($A95-DateToday)+15,ABS(Option-2),0)-W95)),0),0))</f>
        <v> </v>
      </c>
      <c r="AG95" s="290" t="str">
        <f aca="false">IF($A95="N/A"," ",IF(OR(Dayrun=1,Dayrun=5,Dayrun=8,Dayrun=11),MAX(0,(xSPRDOPT(O95,($E95-'Pricing Inputs'!$X130*$D95),$CV95,0,($CQ95+IF(Smile=TRUE(),VLOOKUP(MAX(-5,$H95-O95),Volsmile,2),0)),$CT95,$CU95,($A95-DateToday)+15,ABS(Option-2),0)-X95)),0))</f>
        <v> </v>
      </c>
      <c r="AH95" s="290" t="str">
        <f aca="false">IF($A95="N/A"," ",IF(OR(Dayrun=1,Dayrun=8,Dayrun=11),MAX(0,(xSPRDOPT(P95,($E95-'Pricing Inputs'!$X130*$D95),$CV95,0,($CQ95+IF(Smile=TRUE(),VLOOKUP(MAX(-5,$H95-P95),Volsmile,2),0)),$CT95,$CU95,($A95-DateToday)+15,ABS(Option-2),0)-Y95)),0))</f>
        <v> </v>
      </c>
      <c r="AI95" s="290" t="str">
        <f aca="false">IF($A95="N/A"," ",IF(OR(Dayrun&lt;=2,Dayrun&gt;=11),IF(OffPeakEx=TRUE(),MAX(0,(xSPRDOPT(Q95,($E95-'Pricing Inputs'!$X130*$D95),$CV95,0,($CQ95+IF(Smile=TRUE(),VLOOKUP(MAX(-5,$H95-Q95),Volsmile,2),0)),$CT95,$CU95,($A95-DateToday)+15,ABS(Option-2),0)-Z95)),0),0))</f>
        <v> </v>
      </c>
      <c r="AJ95" s="294" t="str">
        <f aca="false">IF($A95="N/A"," ",IF(Dayrun&gt;=3,IF(Option=1,$I95-$H95,IF(Option=2,$H95-$I95)),0))</f>
        <v> </v>
      </c>
      <c r="AK95" s="295" t="str">
        <f aca="false">IF($A95="N/A"," ",IF(Dayrun&gt;=6,IF(Option=1,$J95-H95,IF(Option=2,H95-$J95)),0))</f>
        <v> </v>
      </c>
      <c r="AL95" s="295" t="str">
        <f aca="false">IF($A95="N/A"," ",IF(OR(Dayrun&lt;=2,Dayrun&gt;=9),IF(Option=1,$K95-$H95,IF(Option=2,$H95-$K95)),0))</f>
        <v> </v>
      </c>
      <c r="AM95" s="295" t="str">
        <f aca="false">IF($A95="N/A"," ",IF(OR(Dayrun=1,Dayrun=4,Dayrun=5,Dayrun=7,Dayrun=8,Dayrun=10,Dayrun=11),IF(Option=1,$L95-H95,IF(Option=2,H95-$L95)),0))</f>
        <v> </v>
      </c>
      <c r="AN95" s="295" t="str">
        <f aca="false">IF($A95="N/A"," ",IF(OR(Dayrun=1,Dayrun=7,Dayrun=8,Dayrun=10,Dayrun=11),IF(Option=1,$M95-H95,IF(Option=2,H95-$M95)),0))</f>
        <v> </v>
      </c>
      <c r="AO95" s="295" t="str">
        <f aca="false">IF($A95="N/A"," ",IF(OR(Dayrun&lt;=2,Dayrun&gt;=9),IF(Option=1,$N95-$H95,IF(Option=2,$H95-$N95)),0))</f>
        <v> </v>
      </c>
      <c r="AP95" s="295" t="str">
        <f aca="false">IF($A95="N/A"," ",IF(OR(Dayrun=1,Dayrun=5,Dayrun=8,Dayrun=11),IF(Option=1,$O95-H95,IF(Option=2,H95-$O95)),0))</f>
        <v> </v>
      </c>
      <c r="AQ95" s="295" t="str">
        <f aca="false">IF($A95="N/A"," ",IF(OR(Dayrun=1,Dayrun=8,Dayrun=11),IF(Option=1,$P95-H95,IF(Option=2,H95-$P95)),0))</f>
        <v> </v>
      </c>
      <c r="AR95" s="296" t="str">
        <f aca="false">IF($A95="N/A"," ",IF(OR(Dayrun&lt;=2,Dayrun&gt;=9),IF(Option=1,$Q95-H95,IF(Option=2,H95-$Q95)),0))</f>
        <v> </v>
      </c>
      <c r="AS95" s="297" t="str">
        <f aca="false">IF($A95="N/A"," ",IF(VLOOKUP(MONTH($A95),ManualTable,2)=1,IF(Dayrun&gt;=3,$DE95*8*$CY95,0),0))</f>
        <v> </v>
      </c>
      <c r="AT95" s="297" t="str">
        <f aca="false">IF($A95="N/A"," ",IF(VLOOKUP(MONTH($A95),ManualTable,3)=1,IF(Dayrun&gt;=6,$DE95*8*$CY95,0),0))</f>
        <v> </v>
      </c>
      <c r="AU95" s="297" t="str">
        <f aca="false">IF($A95="N/A"," ",IF(VLOOKUP(MONTH($A95),ManualTable,4)=1,IF(OR(Dayrun&lt;=2,Dayrun&gt;=9),$DE95*8*$CY95,0),0))</f>
        <v> </v>
      </c>
      <c r="AV95" s="297" t="str">
        <f aca="false">IF($A95="N/A"," ",IF(VLOOKUP(MONTH($A95),ManualTable,5)=1,IF(OR(Dayrun=1,Dayrun=4,Dayrun=5,Dayrun=7,Dayrun=8,Dayrun=10,Dayrun=11),$DF95*8*$CY95,0),0))</f>
        <v> </v>
      </c>
      <c r="AW95" s="297" t="str">
        <f aca="false">IF($A95="N/A"," ",IF(VLOOKUP(MONTH($A95),ManualTable,6)=1,IF(OR(Dayrun=1,Dayrun=7,Dayrun=8,Dayrun=10,Dayrun=11),$DF95*8*$CY95,0),0))</f>
        <v> </v>
      </c>
      <c r="AX95" s="297" t="str">
        <f aca="false">IF($A95="N/A"," ",IF(VLOOKUP(MONTH($A95),ManualTable,7)=1,IF(OR(Dayrun&lt;=2,Dayrun&gt;=9),$DF95*8*$CY95,0),0))</f>
        <v> </v>
      </c>
      <c r="AY95" s="297" t="str">
        <f aca="false">IF($A95="N/A"," ",IF(VLOOKUP(MONTH($A95),ManualTable,8)=1,IF(OR(Dayrun=1,Dayrun=5,Dayrun=8,Dayrun=11),$DG95*8*$CY95,0),0))</f>
        <v> </v>
      </c>
      <c r="AZ95" s="297" t="str">
        <f aca="false">IF($A95="N/A"," ",IF(VLOOKUP(MONTH($A95),ManualTable,9)=1,IF(OR(Dayrun=1,Dayrun=8,Dayrun=11),$DG95*8*$CY95,0),0))</f>
        <v> </v>
      </c>
      <c r="BA95" s="298" t="str">
        <f aca="false">IF($A95="N/A"," ",IF(VLOOKUP(MONTH($A95),ManualTable,10)=1,IF(OR(Dayrun&lt;=2,Dayrun&gt;=9),$DG95*8*$CY95,0),0))</f>
        <v> </v>
      </c>
      <c r="BB95" s="299" t="str">
        <f aca="false">IF($A95="N/A"," ",IF(Dayrun&gt;=3,(MAX(0,(xSPRDOPT(I95,($E95-'Pricing Inputs'!$X130*$D95),$CV95,0,($CN95+IF(Smile=TRUE(),VLOOKUP(MAX(-5,$H95-I95),Volsmile,2),0)),$CT95,$CU95,($A95-DateToday)+15,ABS(Option-2),1)*DE95*8))),0))</f>
        <v> </v>
      </c>
      <c r="BC95" s="300" t="str">
        <f aca="false">IF($A95="N/A"," ",IF(Dayrun&gt;=6,MAX(0,(xSPRDOPT(J95,($E95-'Pricing Inputs'!$X130*$D95),$CV95,0,($CN95+IF(Smile=TRUE(),VLOOKUP(MAX(-5,$H95-J95),Volsmile,2),0)),$CT95,$CU95,($A95-DateToday)+15,ABS(Option-2),1)*DE95*8)),0))</f>
        <v> </v>
      </c>
      <c r="BD95" s="300" t="str">
        <f aca="false">IF($A95="N/A"," ",IF(OR(Dayrun&lt;=2,Dayrun&gt;=9),IF(OffPeakEx=TRUE(),MAX(0,(xSPRDOPT(K95,($E95-'Pricing Inputs'!$X130*$D95),$CV95,0,($CQ95+IF(Smile=TRUE(),VLOOKUP(MAX(-5,$H95-K95),Volsmile,2),0)),$CT95,$CU95,($A95-DateToday)+15,ABS(Option-2),1)*DE95*8)),0),0))</f>
        <v> </v>
      </c>
      <c r="BE95" s="300" t="str">
        <f aca="false">IF($A95="N/A"," ",IF(OR(Dayrun=1,Dayrun=4,Dayrun=5,Dayrun=7,Dayrun=8,Dayrun=10,Dayrun=11),MAX(0,(xSPRDOPT(L95,($E95-'Pricing Inputs'!$X130*$D95),$CV95,0,($CQ95+IF(Smile=TRUE(),VLOOKUP(MAX(-5,$H95-L95),Volsmile,2),0)),$CT95,$CU95,($A95-DateToday)+15,ABS(Option-2),1)*DF95*8)),0))</f>
        <v> </v>
      </c>
      <c r="BF95" s="300" t="str">
        <f aca="false">IF($A95="N/A"," ",IF(OR(Dayrun=1,Dayrun=7,Dayrun=8,Dayrun=10,Dayrun=11),MAX(0,(xSPRDOPT(M95,($E95-'Pricing Inputs'!$X130*$D95),$CV95,0,($CQ95+IF(Smile=TRUE(),VLOOKUP(MAX(-5,$H95-M95),Volsmile,2),0)),$CT95,$CU95,($A95-DateToday)+15,ABS(Option-2),1)*DF95*8)),0))</f>
        <v> </v>
      </c>
      <c r="BG95" s="300" t="str">
        <f aca="false">IF($A95="N/A"," ",IF(OR(Dayrun&lt;=2,Dayrun&gt;=10),IF(OffPeakEx=TRUE(),MAX(0,(xSPRDOPT(N95,($E95-'Pricing Inputs'!$X130*$D95),$CV95,0,($CQ95+IF(Smile=TRUE(),VLOOKUP(MAX(-5,$H95-N95),Volsmile,2),0)),$CT95,$CU95,($A95-DateToday)+15,ABS(Option-2),1)*DF95*8)),0),0))</f>
        <v> </v>
      </c>
      <c r="BH95" s="300" t="str">
        <f aca="false">IF($A95="N/A"," ",IF(OR(Dayrun=1,Dayrun=5,Dayrun=8,Dayrun=11),MAX(0,(xSPRDOPT(O95,($E95-'Pricing Inputs'!$X130*$D95),$CV95,0,($CQ95+IF(Smile=TRUE(),VLOOKUP(MAX(-5,$H95-O95),Volsmile,2),0)),$CT95,$CU95,($A95-DateToday)+15,ABS(Option-2),1)*DG95*8)),0))</f>
        <v> </v>
      </c>
      <c r="BI95" s="300" t="str">
        <f aca="false">IF($A95="N/A"," ",IF(OR(Dayrun=1,Dayrun=8,Dayrun=11),MAX(0,(xSPRDOPT(P95,($E95-'Pricing Inputs'!$X130*$D95),$CV95,0,($CQ95+IF(Smile=TRUE(),VLOOKUP(MAX(-5,$H95-P95),Volsmile,2),0)),$CT95,$CU95,($A95-DateToday)+15,ABS(Option-2),1)*DG95*8)),0))</f>
        <v> </v>
      </c>
      <c r="BJ95" s="301" t="str">
        <f aca="false">IF($A95="N/A"," ",IF(OR(Dayrun&lt;=2,Dayrun&gt;=11),IF(OffPeakEx=TRUE(),MAX(0,(xSPRDOPT(Q95,($E95-'Pricing Inputs'!$X130*$D95),$CV95,0,($CQ95+IF(Smile=TRUE(),VLOOKUP(MAX(-5,$H95-Q95),Volsmile,2),0)),$CT95,$CU95,($A95-DateToday)+15,ABS(Option-2),1)*DG95*8)),0),0))</f>
        <v> </v>
      </c>
      <c r="BK95" s="302" t="str">
        <f aca="false">IF($A95="N/A"," ",R95*$AS95)</f>
        <v> </v>
      </c>
      <c r="BL95" s="303" t="str">
        <f aca="false">IF($A95="N/A"," ",S95*$AT95)</f>
        <v> </v>
      </c>
      <c r="BM95" s="303" t="str">
        <f aca="false">IF($A95="N/A"," ",T95*$AU95)</f>
        <v> </v>
      </c>
      <c r="BN95" s="303" t="str">
        <f aca="false">IF($A95="N/A"," ",U95*$AV95)</f>
        <v> </v>
      </c>
      <c r="BO95" s="303" t="str">
        <f aca="false">IF($A95="N/A"," ",V95*$AW95)</f>
        <v> </v>
      </c>
      <c r="BP95" s="303" t="str">
        <f aca="false">IF($A95="N/A"," ",W95*$AX95)</f>
        <v> </v>
      </c>
      <c r="BQ95" s="303" t="str">
        <f aca="false">IF($A95="N/A"," ",X95*$AY95)</f>
        <v> </v>
      </c>
      <c r="BR95" s="303" t="str">
        <f aca="false">IF($A95="N/A"," ",Y95*$AZ95)</f>
        <v> </v>
      </c>
      <c r="BS95" s="304" t="str">
        <f aca="false">IF($A95="N/A"," ",Z95*$BA95)</f>
        <v> </v>
      </c>
      <c r="BT95" s="305" t="str">
        <f aca="false">IF($A95="N/A"," ",AA95*$AS95)</f>
        <v> </v>
      </c>
      <c r="BU95" s="306" t="str">
        <f aca="false">IF($A95="N/A"," ",AB95*$AT95)</f>
        <v> </v>
      </c>
      <c r="BV95" s="306" t="str">
        <f aca="false">IF($A95="N/A"," ",AC95*$AU95)</f>
        <v> </v>
      </c>
      <c r="BW95" s="306" t="str">
        <f aca="false">IF($A95="N/A"," ",AD95*$AV95)</f>
        <v> </v>
      </c>
      <c r="BX95" s="306" t="str">
        <f aca="false">IF($A95="N/A"," ",AE95*$AW95)</f>
        <v> </v>
      </c>
      <c r="BY95" s="306" t="str">
        <f aca="false">IF($A95="N/A"," ",AF95*$AX95)</f>
        <v> </v>
      </c>
      <c r="BZ95" s="306" t="str">
        <f aca="false">IF($A95="N/A"," ",AG95*$AY95)</f>
        <v> </v>
      </c>
      <c r="CA95" s="306" t="str">
        <f aca="false">IF($A95="N/A"," ",AH95*$AZ95)</f>
        <v> </v>
      </c>
      <c r="CB95" s="307" t="str">
        <f aca="false">IF($A95="N/A"," ",AI95*$BA95)</f>
        <v> </v>
      </c>
      <c r="CC95" s="308" t="str">
        <f aca="false">IF($A95="N/A"," ",AJ95*$AS95)</f>
        <v> </v>
      </c>
      <c r="CD95" s="309" t="str">
        <f aca="false">IF($A95="N/A"," ",AK95*$AT95)</f>
        <v> </v>
      </c>
      <c r="CE95" s="309" t="str">
        <f aca="false">IF($A95="N/A"," ",AL95*$AU95)</f>
        <v> </v>
      </c>
      <c r="CF95" s="309" t="str">
        <f aca="false">IF($A95="N/A"," ",AM95*$AV95)</f>
        <v> </v>
      </c>
      <c r="CG95" s="309" t="str">
        <f aca="false">IF($A95="N/A"," ",AN95*$AW95)</f>
        <v> </v>
      </c>
      <c r="CH95" s="309" t="str">
        <f aca="false">IF($A95="N/A"," ",AO95*$AX95)</f>
        <v> </v>
      </c>
      <c r="CI95" s="309" t="str">
        <f aca="false">IF($A95="N/A"," ",AP95*$AY95)</f>
        <v> </v>
      </c>
      <c r="CJ95" s="309" t="str">
        <f aca="false">IF($A95="N/A"," ",AQ95*$AZ95)</f>
        <v> </v>
      </c>
      <c r="CK95" s="310" t="str">
        <f aca="false">IF($A95="N/A"," ",AR95*$BA95)</f>
        <v> </v>
      </c>
      <c r="CL95" s="311" t="str">
        <f aca="false">IF(A95="N/A"," ",(VLOOKUP(A95,PowerVolTable,(IF(VolBMO=2,7,IF(VolBMO=1,6,8))),FALSE())))</f>
        <v> </v>
      </c>
      <c r="CM95" s="312" t="str">
        <f aca="false">IF(A95="N/A"," ",(VLOOKUP(A95,IntraPowerVol,(IF(VolBMO=2,3,IF(VolBMO=1,2,4))),FALSE())*VLOOKUP(MONTH($A95),Volscale,2)))</f>
        <v> </v>
      </c>
      <c r="CN95" s="312" t="str">
        <f aca="false">IF($A95="N/A"," ",IF(VolType=1,CM95,CL95))</f>
        <v> </v>
      </c>
      <c r="CO95" s="312" t="str">
        <f aca="false">IF($A95="N/A"," ",(VLOOKUP($A95,OffPeakVol,(IF(VolBMO=2,7,IF(VolBMO=1,6,8))),FALSE())))</f>
        <v> </v>
      </c>
      <c r="CP95" s="312" t="str">
        <f aca="false">IF($A95="N/A"," ",(VLOOKUP($A95,OffPeakVol,(IF(VolBMO=2,3,IF(VolBMO=1,2,4))),FALSE())*VLOOKUP(MONTH($A95),Volscale,2)))</f>
        <v> </v>
      </c>
      <c r="CQ95" s="312" t="str">
        <f aca="false">IF($A95="N/A"," ",IF(VolType=1,CP95,CO95))</f>
        <v> </v>
      </c>
      <c r="CR95" s="312" t="str">
        <f aca="false">IF($A95="N/A"," ",(VLOOKUP($A95,GasVolTable,(IF(VolBMO=2,6,IF(VolBMO=1,7,5))),FALSE())))</f>
        <v> </v>
      </c>
      <c r="CS95" s="312" t="str">
        <f aca="false">IF($A95="N/A"," ",(VLOOKUP($A95,OmicronVol,(IF(VolBMO=2,3,IF(VolBMO=1,4,2))),FALSE())))</f>
        <v> </v>
      </c>
      <c r="CT95" s="312" t="str">
        <f aca="false">IF($A95="N/A"," ",(IF(DateToday&gt;$A95,$CS95,IF(VolType=1,((($CR95^2)*((($A95-1)-DateToday)/((EOMONTH($A95,0)+1)-DateToday-15)))+((($CS95)^2)*((15)/((EOMONTH($A95,0)+1)-DateToday-15))))^0.5,CR95))))</f>
        <v> </v>
      </c>
      <c r="CU95" s="312" t="str">
        <f aca="false">IF($A95="N/A"," ",IF('Pricing Inputs'!$AR$23=TRUE(),Inputs!$S$22,VLOOKUP($A95,CorrelationTable,2,FALSE())))</f>
        <v> </v>
      </c>
      <c r="CV95" s="313" t="str">
        <f aca="false">IF($A95="N/A"," ",F95+G95+(D95*('Pricing Inputs'!X130)))</f>
        <v> </v>
      </c>
      <c r="CW95" s="314" t="str">
        <f aca="false">IF($A95="N/A"," ",IF(PV=1,0,'Pricing Inputs'!Y130))</f>
        <v> </v>
      </c>
      <c r="CX95" s="315" t="str">
        <f aca="false">IF($A95="N/A"," ",(1+CW95/2)^(-2*((EOMONTH(A95,0)+20)-DateToday)/365.25))</f>
        <v> </v>
      </c>
      <c r="CY95" s="316" t="str">
        <f aca="false">IF($A95="N/A"," ",(IF(MONTH(A95)&gt;=4,IF(MONTH(A95)&lt;=10,Inputs!$S$26,Inputs!$S$27),Inputs!$S$27))*$CX95)</f>
        <v> </v>
      </c>
      <c r="CZ95" s="317" t="str">
        <f aca="false">IF($A95="N/A"," ",BK95+BL95+BN95+BO95+BQ95+BR95)</f>
        <v> </v>
      </c>
      <c r="DA95" s="318" t="str">
        <f aca="false">IF($A95="N/A"," ",BM95+BP95+BS95)</f>
        <v> </v>
      </c>
      <c r="DB95" s="319" t="str">
        <f aca="false">IF($A95="N/A"," ",BT95+BU95+BW95+BX95+BZ95+CA95)</f>
        <v> </v>
      </c>
      <c r="DC95" s="319" t="str">
        <f aca="false">IF($A95="N/A"," ",BV95+BY95+CB95)</f>
        <v> </v>
      </c>
      <c r="DD95" s="320" t="str">
        <f aca="false">IF($A95="N/A"," ",SUM(CC95:CK95))</f>
        <v> </v>
      </c>
      <c r="DE95" s="321" t="str">
        <f aca="false">IF($A95="N/A"," ",VLOOKUP($A95,NumberofDaysTable,2)*Availability)</f>
        <v> </v>
      </c>
      <c r="DF95" s="94" t="str">
        <f aca="false">IF($A95="N/A"," ",VLOOKUP($A95,NumberofDaysTable,3)*Availability)</f>
        <v> </v>
      </c>
      <c r="DG95" s="322" t="str">
        <f aca="false">IF($A95="N/A"," ",VLOOKUP($A95,NumberofDaysTable,4)*Availability)</f>
        <v> </v>
      </c>
      <c r="DH95" s="323" t="str">
        <f aca="false">IF($A95="N/A"," ",IF(Option=1,$D95*Inputs!$S$15*SUM(AS95:BA95),0))</f>
        <v> </v>
      </c>
      <c r="DI95" s="324" t="str">
        <f aca="false">IF($A95="N/A"," ",IF(Option=1,$D95*Inputs!$S$16*SUM(AS95:BA95),0))</f>
        <v> </v>
      </c>
      <c r="DJ95" s="325" t="str">
        <f aca="false">IF($A95="N/A"," ",SUM(AS95:AT95))</f>
        <v> </v>
      </c>
      <c r="DK95" s="325" t="str">
        <f aca="false">IF($A95="N/A"," ",SUM(AU95:BA95))</f>
        <v> </v>
      </c>
      <c r="DL95" s="325" t="str">
        <f aca="false">IF($A95="N/A"," ",SUM(BB95:BC95))</f>
        <v> </v>
      </c>
      <c r="DM95" s="325" t="str">
        <f aca="false">IF($A95="N/A"," ",SUM(BD95:BJ95))</f>
        <v> </v>
      </c>
    </row>
    <row r="96" customFormat="false" ht="12.75" hidden="false" customHeight="false" outlineLevel="0" collapsed="false">
      <c r="A96" s="282" t="str">
        <f aca="false">IF(A95="N/A","N/A",IF(EDATE(A95,1)&gt;Inputs!$S$5,"N/A",EDATE(A95,1)))</f>
        <v>N/A</v>
      </c>
      <c r="B96" s="283" t="str">
        <f aca="false">IF(A96="N/A"," ",YEAR(A96))</f>
        <v> </v>
      </c>
      <c r="C96" s="284" t="str">
        <f aca="false">IF(A96="N/A"," ",VLOOKUP(A96,ScaledPrice,14))</f>
        <v> </v>
      </c>
      <c r="D96" s="285" t="str">
        <f aca="false">IF(A96="N/A"," ",(VLOOKUP(MONTH($A96),Hrtable,2))/1000)</f>
        <v> </v>
      </c>
      <c r="E96" s="286" t="str">
        <f aca="false">IF($A96="N/A"," ",(C96)*D96)</f>
        <v> </v>
      </c>
      <c r="F96" s="287" t="str">
        <f aca="false">IF(A96="N/A"," ",VOM*(1+VOMesc)^(YEAR(A96)-YEAR(Today)))</f>
        <v> </v>
      </c>
      <c r="G96" s="287" t="str">
        <f aca="false">IF(A96="N/A"," ",Perstart/VLOOKUP(Dayrun,'Pricing Inputs'!$AQ$4:$AS$14,3)/(CY96/CX96))</f>
        <v> </v>
      </c>
      <c r="H96" s="288" t="str">
        <f aca="false">IF(A96="N/A"," ",SUM(E96:G96))</f>
        <v> </v>
      </c>
      <c r="I96" s="289" t="str">
        <f aca="false">VLOOKUP($A96,ScaledPrice,6)</f>
        <v> </v>
      </c>
      <c r="J96" s="290" t="str">
        <f aca="false">VLOOKUP($A96,ScaledPrice,10)</f>
        <v> </v>
      </c>
      <c r="K96" s="290" t="str">
        <f aca="false">VLOOKUP($A96,ScaledPrice,13)</f>
        <v> </v>
      </c>
      <c r="L96" s="290" t="str">
        <f aca="false">VLOOKUP($A96,ScaledPrice,7)</f>
        <v> </v>
      </c>
      <c r="M96" s="290" t="str">
        <f aca="false">VLOOKUP($A96,ScaledPrice,11)</f>
        <v> </v>
      </c>
      <c r="N96" s="290" t="str">
        <f aca="false">VLOOKUP($A96,ScaledPrice,13)</f>
        <v> </v>
      </c>
      <c r="O96" s="290" t="str">
        <f aca="false">VLOOKUP($A96,ScaledPrice,8)</f>
        <v> </v>
      </c>
      <c r="P96" s="290" t="str">
        <f aca="false">VLOOKUP($A96,ScaledPrice,12)</f>
        <v> </v>
      </c>
      <c r="Q96" s="291" t="str">
        <f aca="false">VLOOKUP($A96,ScaledPrice,13)</f>
        <v> </v>
      </c>
      <c r="R96" s="292" t="str">
        <f aca="false">IF($A96="N/A"," ",IF(Dayrun&gt;=3,IF(Option=1,MAX($I96-$H96,0),IF(Option=2,MAX($H96-$I96,0),0)),0))</f>
        <v> </v>
      </c>
      <c r="S96" s="286" t="str">
        <f aca="false">IF($A96="N/A"," ",IF(Dayrun&gt;=6,IF(Option=1,MAX($J96-H96,0),IF(Option=2,MAX(H96-$J96,0),0)),0))</f>
        <v> </v>
      </c>
      <c r="T96" s="286" t="str">
        <f aca="false">IF($A96="N/A"," ",IF(OR(Dayrun&lt;=2,Dayrun&gt;=9),IF(Option=1,MAX($K96-$H96,0),IF(Option=2,MAX($H96-$K96,0),0)),0))</f>
        <v> </v>
      </c>
      <c r="U96" s="286" t="str">
        <f aca="false">IF($A96="N/A"," ",IF(OR(Dayrun=1,Dayrun=4,Dayrun=5,Dayrun=7,Dayrun=8,Dayrun=10,Dayrun=11),IF(Option=1,MAX($L96-H96,0),IF(Option=2,MAX(H96-$L96,0),0)),0))</f>
        <v> </v>
      </c>
      <c r="V96" s="286" t="str">
        <f aca="false">IF($A96="N/A"," ",IF(OR(Dayrun=1,Dayrun=7,Dayrun=8,Dayrun=10,Dayrun=11),IF(Option=1,MAX($M96-H96,0),IF(Option=2,MAX(H96-$M96,0),0)),0))</f>
        <v> </v>
      </c>
      <c r="W96" s="286" t="str">
        <f aca="false">IF($A96="N/A"," ",IF(OR(Dayrun&lt;=2,Dayrun&gt;=10),IF(Option=1,MAX($N96-$H96,0),IF(Option=2,MAX($H96-$N96,0),0)),0))</f>
        <v> </v>
      </c>
      <c r="X96" s="286" t="str">
        <f aca="false">IF($A96="N/A"," ",IF(OR(Dayrun=1,Dayrun=5,Dayrun=8,Dayrun=11),IF(Option=1,MAX($O96-H96,0),IF(Option=2,MAX(H96-$O96,0),0)),0))</f>
        <v> </v>
      </c>
      <c r="Y96" s="286" t="str">
        <f aca="false">IF($A96="N/A"," ",IF(OR(Dayrun=1,Dayrun=8,Dayrun=11),IF(Option=1,MAX($P96-H96,0),IF(Option=2,MAX(H96-$P96,0),0)),0))</f>
        <v> </v>
      </c>
      <c r="Z96" s="293" t="str">
        <f aca="false">IF($A96="N/A"," ",IF(OR(Dayrun&lt;=2,Dayrun&gt;=11),IF(Option=1,MAX($Q96-$H96,0),IF(Option=2,MAX($H96-$Q96,0),0)),0))</f>
        <v> </v>
      </c>
      <c r="AA96" s="289" t="str">
        <f aca="false">IF($A96="N/A"," ",IF(Dayrun&gt;=3,(MAX(0,(xSPRDOPT(I96,($E96-'Pricing Inputs'!$X131*$D96),$CV96,0,($CN96+IF(Smile=TRUE(),VLOOKUP(MAX(-5,$H96-I96),Volsmile,2),0)),$CT96,$CU96,($A96-DateToday)+15,ABS(Option-2),0)-R96))),0))</f>
        <v> </v>
      </c>
      <c r="AB96" s="290" t="str">
        <f aca="false">IF($A96="N/A"," ",IF(Dayrun&gt;=6,MAX(0,(xSPRDOPT(J96,($E96-'Pricing Inputs'!$X131*$D96),$CV96,0,($CN96+IF(Smile=TRUE(),VLOOKUP(MAX(-5,$H96-J96),Volsmile,2),0)),$CT96,$CU96,($A96-DateToday)+15,ABS(Option-2),0)-S96)),0))</f>
        <v> </v>
      </c>
      <c r="AC96" s="290" t="str">
        <f aca="false">IF($A96="N/A"," ",IF(OR(Dayrun&lt;=2,Dayrun&gt;=9),IF(OffPeakEx=TRUE(),MAX(0,(xSPRDOPT(K96,($E96-'Pricing Inputs'!$X131*$D96),$CV96,0,($CQ96+IF(Smile=TRUE(),VLOOKUP(MAX(-5,$H96-K96),Volsmile,2),0)),$CT96,$CU96,($A96-DateToday)+15,ABS(Option-2),0)-T96)),0),0))</f>
        <v> </v>
      </c>
      <c r="AD96" s="290" t="str">
        <f aca="false">IF($A96="N/A"," ",IF(OR(Dayrun=1,Dayrun=4,Dayrun=5,Dayrun=7,Dayrun=8,Dayrun=10,Dayrun=11),MAX(0,(xSPRDOPT(L96,($E96-'Pricing Inputs'!$X131*$D96),$CV96,0,($CQ96+IF(Smile=TRUE(),VLOOKUP(MAX(-5,$H96-L96),Volsmile,2),0)),$CT96,$CU96,($A96-DateToday)+15,ABS(Option-2),0)-U96)),0))</f>
        <v> </v>
      </c>
      <c r="AE96" s="290" t="str">
        <f aca="false">IF($A96="N/A"," ",IF(OR(Dayrun=1,Dayrun=7,Dayrun=8,Dayrun=10,Dayrun=11),MAX(0,(xSPRDOPT(M96,($E96-'Pricing Inputs'!$X131*$D96),$CV96,0,($CQ96+IF(Smile=TRUE(),VLOOKUP(MAX(-5,$H96-M96),Volsmile,2),0)),$CT96,$CU96,($A96-DateToday)+15,ABS(Option-2),0)-V96)),0))</f>
        <v> </v>
      </c>
      <c r="AF96" s="290" t="str">
        <f aca="false">IF($A96="N/A"," ",IF(OR(Dayrun&lt;=2,Dayrun&gt;=10),IF(OffPeakEx=TRUE(),MAX(0,(xSPRDOPT(N96,($E96-'Pricing Inputs'!$X131*$D96),$CV96,0,($CQ96+IF(Smile=TRUE(),VLOOKUP(MAX(-5,$H96-N96),Volsmile,2),0)),$CT96,$CU96,($A96-DateToday)+15,ABS(Option-2),0)-W96)),0),0))</f>
        <v> </v>
      </c>
      <c r="AG96" s="290" t="str">
        <f aca="false">IF($A96="N/A"," ",IF(OR(Dayrun=1,Dayrun=5,Dayrun=8,Dayrun=11),MAX(0,(xSPRDOPT(O96,($E96-'Pricing Inputs'!$X131*$D96),$CV96,0,($CQ96+IF(Smile=TRUE(),VLOOKUP(MAX(-5,$H96-O96),Volsmile,2),0)),$CT96,$CU96,($A96-DateToday)+15,ABS(Option-2),0)-X96)),0))</f>
        <v> </v>
      </c>
      <c r="AH96" s="290" t="str">
        <f aca="false">IF($A96="N/A"," ",IF(OR(Dayrun=1,Dayrun=8,Dayrun=11),MAX(0,(xSPRDOPT(P96,($E96-'Pricing Inputs'!$X131*$D96),$CV96,0,($CQ96+IF(Smile=TRUE(),VLOOKUP(MAX(-5,$H96-P96),Volsmile,2),0)),$CT96,$CU96,($A96-DateToday)+15,ABS(Option-2),0)-Y96)),0))</f>
        <v> </v>
      </c>
      <c r="AI96" s="290" t="str">
        <f aca="false">IF($A96="N/A"," ",IF(OR(Dayrun&lt;=2,Dayrun&gt;=11),IF(OffPeakEx=TRUE(),MAX(0,(xSPRDOPT(Q96,($E96-'Pricing Inputs'!$X131*$D96),$CV96,0,($CQ96+IF(Smile=TRUE(),VLOOKUP(MAX(-5,$H96-Q96),Volsmile,2),0)),$CT96,$CU96,($A96-DateToday)+15,ABS(Option-2),0)-Z96)),0),0))</f>
        <v> </v>
      </c>
      <c r="AJ96" s="294" t="str">
        <f aca="false">IF($A96="N/A"," ",IF(Dayrun&gt;=3,IF(Option=1,$I96-$H96,IF(Option=2,$H96-$I96)),0))</f>
        <v> </v>
      </c>
      <c r="AK96" s="295" t="str">
        <f aca="false">IF($A96="N/A"," ",IF(Dayrun&gt;=6,IF(Option=1,$J96-H96,IF(Option=2,H96-$J96)),0))</f>
        <v> </v>
      </c>
      <c r="AL96" s="295" t="str">
        <f aca="false">IF($A96="N/A"," ",IF(OR(Dayrun&lt;=2,Dayrun&gt;=9),IF(Option=1,$K96-$H96,IF(Option=2,$H96-$K96)),0))</f>
        <v> </v>
      </c>
      <c r="AM96" s="295" t="str">
        <f aca="false">IF($A96="N/A"," ",IF(OR(Dayrun=1,Dayrun=4,Dayrun=5,Dayrun=7,Dayrun=8,Dayrun=10,Dayrun=11),IF(Option=1,$L96-H96,IF(Option=2,H96-$L96)),0))</f>
        <v> </v>
      </c>
      <c r="AN96" s="295" t="str">
        <f aca="false">IF($A96="N/A"," ",IF(OR(Dayrun=1,Dayrun=7,Dayrun=8,Dayrun=10,Dayrun=11),IF(Option=1,$M96-H96,IF(Option=2,H96-$M96)),0))</f>
        <v> </v>
      </c>
      <c r="AO96" s="295" t="str">
        <f aca="false">IF($A96="N/A"," ",IF(OR(Dayrun&lt;=2,Dayrun&gt;=9),IF(Option=1,$N96-$H96,IF(Option=2,$H96-$N96)),0))</f>
        <v> </v>
      </c>
      <c r="AP96" s="295" t="str">
        <f aca="false">IF($A96="N/A"," ",IF(OR(Dayrun=1,Dayrun=5,Dayrun=8,Dayrun=11),IF(Option=1,$O96-H96,IF(Option=2,H96-$O96)),0))</f>
        <v> </v>
      </c>
      <c r="AQ96" s="295" t="str">
        <f aca="false">IF($A96="N/A"," ",IF(OR(Dayrun=1,Dayrun=8,Dayrun=11),IF(Option=1,$P96-H96,IF(Option=2,H96-$P96)),0))</f>
        <v> </v>
      </c>
      <c r="AR96" s="296" t="str">
        <f aca="false">IF($A96="N/A"," ",IF(OR(Dayrun&lt;=2,Dayrun&gt;=9),IF(Option=1,$Q96-H96,IF(Option=2,H96-$Q96)),0))</f>
        <v> </v>
      </c>
      <c r="AS96" s="297" t="str">
        <f aca="false">IF($A96="N/A"," ",IF(VLOOKUP(MONTH($A96),ManualTable,2)=1,IF(Dayrun&gt;=3,$DE96*8*$CY96,0),0))</f>
        <v> </v>
      </c>
      <c r="AT96" s="297" t="str">
        <f aca="false">IF($A96="N/A"," ",IF(VLOOKUP(MONTH($A96),ManualTable,3)=1,IF(Dayrun&gt;=6,$DE96*8*$CY96,0),0))</f>
        <v> </v>
      </c>
      <c r="AU96" s="297" t="str">
        <f aca="false">IF($A96="N/A"," ",IF(VLOOKUP(MONTH($A96),ManualTable,4)=1,IF(OR(Dayrun&lt;=2,Dayrun&gt;=9),$DE96*8*$CY96,0),0))</f>
        <v> </v>
      </c>
      <c r="AV96" s="297" t="str">
        <f aca="false">IF($A96="N/A"," ",IF(VLOOKUP(MONTH($A96),ManualTable,5)=1,IF(OR(Dayrun=1,Dayrun=4,Dayrun=5,Dayrun=7,Dayrun=8,Dayrun=10,Dayrun=11),$DF96*8*$CY96,0),0))</f>
        <v> </v>
      </c>
      <c r="AW96" s="297" t="str">
        <f aca="false">IF($A96="N/A"," ",IF(VLOOKUP(MONTH($A96),ManualTable,6)=1,IF(OR(Dayrun=1,Dayrun=7,Dayrun=8,Dayrun=10,Dayrun=11),$DF96*8*$CY96,0),0))</f>
        <v> </v>
      </c>
      <c r="AX96" s="297" t="str">
        <f aca="false">IF($A96="N/A"," ",IF(VLOOKUP(MONTH($A96),ManualTable,7)=1,IF(OR(Dayrun&lt;=2,Dayrun&gt;=9),$DF96*8*$CY96,0),0))</f>
        <v> </v>
      </c>
      <c r="AY96" s="297" t="str">
        <f aca="false">IF($A96="N/A"," ",IF(VLOOKUP(MONTH($A96),ManualTable,8)=1,IF(OR(Dayrun=1,Dayrun=5,Dayrun=8,Dayrun=11),$DG96*8*$CY96,0),0))</f>
        <v> </v>
      </c>
      <c r="AZ96" s="297" t="str">
        <f aca="false">IF($A96="N/A"," ",IF(VLOOKUP(MONTH($A96),ManualTable,9)=1,IF(OR(Dayrun=1,Dayrun=8,Dayrun=11),$DG96*8*$CY96,0),0))</f>
        <v> </v>
      </c>
      <c r="BA96" s="298" t="str">
        <f aca="false">IF($A96="N/A"," ",IF(VLOOKUP(MONTH($A96),ManualTable,10)=1,IF(OR(Dayrun&lt;=2,Dayrun&gt;=9),$DG96*8*$CY96,0),0))</f>
        <v> </v>
      </c>
      <c r="BB96" s="299" t="str">
        <f aca="false">IF($A96="N/A"," ",IF(Dayrun&gt;=3,(MAX(0,(xSPRDOPT(I96,($E96-'Pricing Inputs'!$X131*$D96),$CV96,0,($CN96+IF(Smile=TRUE(),VLOOKUP(MAX(-5,$H96-I96),Volsmile,2),0)),$CT96,$CU96,($A96-DateToday)+15,ABS(Option-2),1)*DE96*8))),0))</f>
        <v> </v>
      </c>
      <c r="BC96" s="300" t="str">
        <f aca="false">IF($A96="N/A"," ",IF(Dayrun&gt;=6,MAX(0,(xSPRDOPT(J96,($E96-'Pricing Inputs'!$X131*$D96),$CV96,0,($CN96+IF(Smile=TRUE(),VLOOKUP(MAX(-5,$H96-J96),Volsmile,2),0)),$CT96,$CU96,($A96-DateToday)+15,ABS(Option-2),1)*DE96*8)),0))</f>
        <v> </v>
      </c>
      <c r="BD96" s="300" t="str">
        <f aca="false">IF($A96="N/A"," ",IF(OR(Dayrun&lt;=2,Dayrun&gt;=9),IF(OffPeakEx=TRUE(),MAX(0,(xSPRDOPT(K96,($E96-'Pricing Inputs'!$X131*$D96),$CV96,0,($CQ96+IF(Smile=TRUE(),VLOOKUP(MAX(-5,$H96-K96),Volsmile,2),0)),$CT96,$CU96,($A96-DateToday)+15,ABS(Option-2),1)*DE96*8)),0),0))</f>
        <v> </v>
      </c>
      <c r="BE96" s="300" t="str">
        <f aca="false">IF($A96="N/A"," ",IF(OR(Dayrun=1,Dayrun=4,Dayrun=5,Dayrun=7,Dayrun=8,Dayrun=10,Dayrun=11),MAX(0,(xSPRDOPT(L96,($E96-'Pricing Inputs'!$X131*$D96),$CV96,0,($CQ96+IF(Smile=TRUE(),VLOOKUP(MAX(-5,$H96-L96),Volsmile,2),0)),$CT96,$CU96,($A96-DateToday)+15,ABS(Option-2),1)*DF96*8)),0))</f>
        <v> </v>
      </c>
      <c r="BF96" s="300" t="str">
        <f aca="false">IF($A96="N/A"," ",IF(OR(Dayrun=1,Dayrun=7,Dayrun=8,Dayrun=10,Dayrun=11),MAX(0,(xSPRDOPT(M96,($E96-'Pricing Inputs'!$X131*$D96),$CV96,0,($CQ96+IF(Smile=TRUE(),VLOOKUP(MAX(-5,$H96-M96),Volsmile,2),0)),$CT96,$CU96,($A96-DateToday)+15,ABS(Option-2),1)*DF96*8)),0))</f>
        <v> </v>
      </c>
      <c r="BG96" s="300" t="str">
        <f aca="false">IF($A96="N/A"," ",IF(OR(Dayrun&lt;=2,Dayrun&gt;=10),IF(OffPeakEx=TRUE(),MAX(0,(xSPRDOPT(N96,($E96-'Pricing Inputs'!$X131*$D96),$CV96,0,($CQ96+IF(Smile=TRUE(),VLOOKUP(MAX(-5,$H96-N96),Volsmile,2),0)),$CT96,$CU96,($A96-DateToday)+15,ABS(Option-2),1)*DF96*8)),0),0))</f>
        <v> </v>
      </c>
      <c r="BH96" s="300" t="str">
        <f aca="false">IF($A96="N/A"," ",IF(OR(Dayrun=1,Dayrun=5,Dayrun=8,Dayrun=11),MAX(0,(xSPRDOPT(O96,($E96-'Pricing Inputs'!$X131*$D96),$CV96,0,($CQ96+IF(Smile=TRUE(),VLOOKUP(MAX(-5,$H96-O96),Volsmile,2),0)),$CT96,$CU96,($A96-DateToday)+15,ABS(Option-2),1)*DG96*8)),0))</f>
        <v> </v>
      </c>
      <c r="BI96" s="300" t="str">
        <f aca="false">IF($A96="N/A"," ",IF(OR(Dayrun=1,Dayrun=8,Dayrun=11),MAX(0,(xSPRDOPT(P96,($E96-'Pricing Inputs'!$X131*$D96),$CV96,0,($CQ96+IF(Smile=TRUE(),VLOOKUP(MAX(-5,$H96-P96),Volsmile,2),0)),$CT96,$CU96,($A96-DateToday)+15,ABS(Option-2),1)*DG96*8)),0))</f>
        <v> </v>
      </c>
      <c r="BJ96" s="301" t="str">
        <f aca="false">IF($A96="N/A"," ",IF(OR(Dayrun&lt;=2,Dayrun&gt;=11),IF(OffPeakEx=TRUE(),MAX(0,(xSPRDOPT(Q96,($E96-'Pricing Inputs'!$X131*$D96),$CV96,0,($CQ96+IF(Smile=TRUE(),VLOOKUP(MAX(-5,$H96-Q96),Volsmile,2),0)),$CT96,$CU96,($A96-DateToday)+15,ABS(Option-2),1)*DG96*8)),0),0))</f>
        <v> </v>
      </c>
      <c r="BK96" s="302" t="str">
        <f aca="false">IF($A96="N/A"," ",R96*$AS96)</f>
        <v> </v>
      </c>
      <c r="BL96" s="303" t="str">
        <f aca="false">IF($A96="N/A"," ",S96*$AT96)</f>
        <v> </v>
      </c>
      <c r="BM96" s="303" t="str">
        <f aca="false">IF($A96="N/A"," ",T96*$AU96)</f>
        <v> </v>
      </c>
      <c r="BN96" s="303" t="str">
        <f aca="false">IF($A96="N/A"," ",U96*$AV96)</f>
        <v> </v>
      </c>
      <c r="BO96" s="303" t="str">
        <f aca="false">IF($A96="N/A"," ",V96*$AW96)</f>
        <v> </v>
      </c>
      <c r="BP96" s="303" t="str">
        <f aca="false">IF($A96="N/A"," ",W96*$AX96)</f>
        <v> </v>
      </c>
      <c r="BQ96" s="303" t="str">
        <f aca="false">IF($A96="N/A"," ",X96*$AY96)</f>
        <v> </v>
      </c>
      <c r="BR96" s="303" t="str">
        <f aca="false">IF($A96="N/A"," ",Y96*$AZ96)</f>
        <v> </v>
      </c>
      <c r="BS96" s="304" t="str">
        <f aca="false">IF($A96="N/A"," ",Z96*$BA96)</f>
        <v> </v>
      </c>
      <c r="BT96" s="305" t="str">
        <f aca="false">IF($A96="N/A"," ",AA96*$AS96)</f>
        <v> </v>
      </c>
      <c r="BU96" s="306" t="str">
        <f aca="false">IF($A96="N/A"," ",AB96*$AT96)</f>
        <v> </v>
      </c>
      <c r="BV96" s="306" t="str">
        <f aca="false">IF($A96="N/A"," ",AC96*$AU96)</f>
        <v> </v>
      </c>
      <c r="BW96" s="306" t="str">
        <f aca="false">IF($A96="N/A"," ",AD96*$AV96)</f>
        <v> </v>
      </c>
      <c r="BX96" s="306" t="str">
        <f aca="false">IF($A96="N/A"," ",AE96*$AW96)</f>
        <v> </v>
      </c>
      <c r="BY96" s="306" t="str">
        <f aca="false">IF($A96="N/A"," ",AF96*$AX96)</f>
        <v> </v>
      </c>
      <c r="BZ96" s="306" t="str">
        <f aca="false">IF($A96="N/A"," ",AG96*$AY96)</f>
        <v> </v>
      </c>
      <c r="CA96" s="306" t="str">
        <f aca="false">IF($A96="N/A"," ",AH96*$AZ96)</f>
        <v> </v>
      </c>
      <c r="CB96" s="307" t="str">
        <f aca="false">IF($A96="N/A"," ",AI96*$BA96)</f>
        <v> </v>
      </c>
      <c r="CC96" s="308" t="str">
        <f aca="false">IF($A96="N/A"," ",AJ96*$AS96)</f>
        <v> </v>
      </c>
      <c r="CD96" s="309" t="str">
        <f aca="false">IF($A96="N/A"," ",AK96*$AT96)</f>
        <v> </v>
      </c>
      <c r="CE96" s="309" t="str">
        <f aca="false">IF($A96="N/A"," ",AL96*$AU96)</f>
        <v> </v>
      </c>
      <c r="CF96" s="309" t="str">
        <f aca="false">IF($A96="N/A"," ",AM96*$AV96)</f>
        <v> </v>
      </c>
      <c r="CG96" s="309" t="str">
        <f aca="false">IF($A96="N/A"," ",AN96*$AW96)</f>
        <v> </v>
      </c>
      <c r="CH96" s="309" t="str">
        <f aca="false">IF($A96="N/A"," ",AO96*$AX96)</f>
        <v> </v>
      </c>
      <c r="CI96" s="309" t="str">
        <f aca="false">IF($A96="N/A"," ",AP96*$AY96)</f>
        <v> </v>
      </c>
      <c r="CJ96" s="309" t="str">
        <f aca="false">IF($A96="N/A"," ",AQ96*$AZ96)</f>
        <v> </v>
      </c>
      <c r="CK96" s="310" t="str">
        <f aca="false">IF($A96="N/A"," ",AR96*$BA96)</f>
        <v> </v>
      </c>
      <c r="CL96" s="311" t="str">
        <f aca="false">IF(A96="N/A"," ",(VLOOKUP(A96,PowerVolTable,(IF(VolBMO=2,7,IF(VolBMO=1,6,8))),FALSE())))</f>
        <v> </v>
      </c>
      <c r="CM96" s="312" t="str">
        <f aca="false">IF(A96="N/A"," ",(VLOOKUP(A96,IntraPowerVol,(IF(VolBMO=2,3,IF(VolBMO=1,2,4))),FALSE())*VLOOKUP(MONTH($A96),Volscale,2)))</f>
        <v> </v>
      </c>
      <c r="CN96" s="312" t="str">
        <f aca="false">IF($A96="N/A"," ",IF(VolType=1,CM96,CL96))</f>
        <v> </v>
      </c>
      <c r="CO96" s="312" t="str">
        <f aca="false">IF($A96="N/A"," ",(VLOOKUP($A96,OffPeakVol,(IF(VolBMO=2,7,IF(VolBMO=1,6,8))),FALSE())))</f>
        <v> </v>
      </c>
      <c r="CP96" s="312" t="str">
        <f aca="false">IF($A96="N/A"," ",(VLOOKUP($A96,OffPeakVol,(IF(VolBMO=2,3,IF(VolBMO=1,2,4))),FALSE())*VLOOKUP(MONTH($A96),Volscale,2)))</f>
        <v> </v>
      </c>
      <c r="CQ96" s="312" t="str">
        <f aca="false">IF($A96="N/A"," ",IF(VolType=1,CP96,CO96))</f>
        <v> </v>
      </c>
      <c r="CR96" s="312" t="str">
        <f aca="false">IF($A96="N/A"," ",(VLOOKUP($A96,GasVolTable,(IF(VolBMO=2,6,IF(VolBMO=1,7,5))),FALSE())))</f>
        <v> </v>
      </c>
      <c r="CS96" s="312" t="str">
        <f aca="false">IF($A96="N/A"," ",(VLOOKUP($A96,OmicronVol,(IF(VolBMO=2,3,IF(VolBMO=1,4,2))),FALSE())))</f>
        <v> </v>
      </c>
      <c r="CT96" s="312" t="str">
        <f aca="false">IF($A96="N/A"," ",(IF(DateToday&gt;$A96,$CS96,IF(VolType=1,((($CR96^2)*((($A96-1)-DateToday)/((EOMONTH($A96,0)+1)-DateToday-15)))+((($CS96)^2)*((15)/((EOMONTH($A96,0)+1)-DateToday-15))))^0.5,CR96))))</f>
        <v> </v>
      </c>
      <c r="CU96" s="312" t="str">
        <f aca="false">IF($A96="N/A"," ",IF('Pricing Inputs'!$AR$23=TRUE(),Inputs!$S$22,VLOOKUP($A96,CorrelationTable,2,FALSE())))</f>
        <v> </v>
      </c>
      <c r="CV96" s="313" t="str">
        <f aca="false">IF($A96="N/A"," ",F96+G96+(D96*('Pricing Inputs'!X131)))</f>
        <v> </v>
      </c>
      <c r="CW96" s="314" t="str">
        <f aca="false">IF($A96="N/A"," ",IF(PV=1,0,'Pricing Inputs'!Y131))</f>
        <v> </v>
      </c>
      <c r="CX96" s="315" t="str">
        <f aca="false">IF($A96="N/A"," ",(1+CW96/2)^(-2*((EOMONTH(A96,0)+20)-DateToday)/365.25))</f>
        <v> </v>
      </c>
      <c r="CY96" s="316" t="str">
        <f aca="false">IF($A96="N/A"," ",(IF(MONTH(A96)&gt;=4,IF(MONTH(A96)&lt;=10,Inputs!$S$26,Inputs!$S$27),Inputs!$S$27))*$CX96)</f>
        <v> </v>
      </c>
      <c r="CZ96" s="317" t="str">
        <f aca="false">IF($A96="N/A"," ",BK96+BL96+BN96+BO96+BQ96+BR96)</f>
        <v> </v>
      </c>
      <c r="DA96" s="318" t="str">
        <f aca="false">IF($A96="N/A"," ",BM96+BP96+BS96)</f>
        <v> </v>
      </c>
      <c r="DB96" s="319" t="str">
        <f aca="false">IF($A96="N/A"," ",BT96+BU96+BW96+BX96+BZ96+CA96)</f>
        <v> </v>
      </c>
      <c r="DC96" s="319" t="str">
        <f aca="false">IF($A96="N/A"," ",BV96+BY96+CB96)</f>
        <v> </v>
      </c>
      <c r="DD96" s="320" t="str">
        <f aca="false">IF($A96="N/A"," ",SUM(CC96:CK96))</f>
        <v> </v>
      </c>
      <c r="DE96" s="321" t="str">
        <f aca="false">IF($A96="N/A"," ",VLOOKUP($A96,NumberofDaysTable,2)*Availability)</f>
        <v> </v>
      </c>
      <c r="DF96" s="94" t="str">
        <f aca="false">IF($A96="N/A"," ",VLOOKUP($A96,NumberofDaysTable,3)*Availability)</f>
        <v> </v>
      </c>
      <c r="DG96" s="322" t="str">
        <f aca="false">IF($A96="N/A"," ",VLOOKUP($A96,NumberofDaysTable,4)*Availability)</f>
        <v> </v>
      </c>
      <c r="DH96" s="323" t="str">
        <f aca="false">IF($A96="N/A"," ",IF(Option=1,$D96*Inputs!$S$15*SUM(AS96:BA96),0))</f>
        <v> </v>
      </c>
      <c r="DI96" s="324" t="str">
        <f aca="false">IF($A96="N/A"," ",IF(Option=1,$D96*Inputs!$S$16*SUM(AS96:BA96),0))</f>
        <v> </v>
      </c>
      <c r="DJ96" s="325" t="str">
        <f aca="false">IF($A96="N/A"," ",SUM(AS96:AT96))</f>
        <v> </v>
      </c>
      <c r="DK96" s="325" t="str">
        <f aca="false">IF($A96="N/A"," ",SUM(AU96:BA96))</f>
        <v> </v>
      </c>
      <c r="DL96" s="325" t="str">
        <f aca="false">IF($A96="N/A"," ",SUM(BB96:BC96))</f>
        <v> </v>
      </c>
      <c r="DM96" s="325" t="str">
        <f aca="false">IF($A96="N/A"," ",SUM(BD96:BJ96))</f>
        <v> </v>
      </c>
    </row>
    <row r="97" customFormat="false" ht="12.75" hidden="false" customHeight="false" outlineLevel="0" collapsed="false">
      <c r="A97" s="282" t="str">
        <f aca="false">IF(A96="N/A","N/A",IF(EDATE(A96,1)&gt;Inputs!$S$5,"N/A",EDATE(A96,1)))</f>
        <v>N/A</v>
      </c>
      <c r="B97" s="283" t="str">
        <f aca="false">IF(A97="N/A"," ",YEAR(A97))</f>
        <v> </v>
      </c>
      <c r="C97" s="284" t="str">
        <f aca="false">IF(A97="N/A"," ",VLOOKUP(A97,ScaledPrice,14))</f>
        <v> </v>
      </c>
      <c r="D97" s="285" t="str">
        <f aca="false">IF(A97="N/A"," ",(VLOOKUP(MONTH($A97),Hrtable,2))/1000)</f>
        <v> </v>
      </c>
      <c r="E97" s="286" t="str">
        <f aca="false">IF($A97="N/A"," ",(C97)*D97)</f>
        <v> </v>
      </c>
      <c r="F97" s="287" t="str">
        <f aca="false">IF(A97="N/A"," ",VOM*(1+VOMesc)^(YEAR(A97)-YEAR(Today)))</f>
        <v> </v>
      </c>
      <c r="G97" s="287" t="str">
        <f aca="false">IF(A97="N/A"," ",Perstart/VLOOKUP(Dayrun,'Pricing Inputs'!$AQ$4:$AS$14,3)/(CY97/CX97))</f>
        <v> </v>
      </c>
      <c r="H97" s="288" t="str">
        <f aca="false">IF(A97="N/A"," ",SUM(E97:G97))</f>
        <v> </v>
      </c>
      <c r="I97" s="289" t="str">
        <f aca="false">VLOOKUP($A97,ScaledPrice,6)</f>
        <v> </v>
      </c>
      <c r="J97" s="290" t="str">
        <f aca="false">VLOOKUP($A97,ScaledPrice,10)</f>
        <v> </v>
      </c>
      <c r="K97" s="290" t="str">
        <f aca="false">VLOOKUP($A97,ScaledPrice,13)</f>
        <v> </v>
      </c>
      <c r="L97" s="290" t="str">
        <f aca="false">VLOOKUP($A97,ScaledPrice,7)</f>
        <v> </v>
      </c>
      <c r="M97" s="290" t="str">
        <f aca="false">VLOOKUP($A97,ScaledPrice,11)</f>
        <v> </v>
      </c>
      <c r="N97" s="290" t="str">
        <f aca="false">VLOOKUP($A97,ScaledPrice,13)</f>
        <v> </v>
      </c>
      <c r="O97" s="290" t="str">
        <f aca="false">VLOOKUP($A97,ScaledPrice,8)</f>
        <v> </v>
      </c>
      <c r="P97" s="290" t="str">
        <f aca="false">VLOOKUP($A97,ScaledPrice,12)</f>
        <v> </v>
      </c>
      <c r="Q97" s="291" t="str">
        <f aca="false">VLOOKUP($A97,ScaledPrice,13)</f>
        <v> </v>
      </c>
      <c r="R97" s="292" t="str">
        <f aca="false">IF($A97="N/A"," ",IF(Dayrun&gt;=3,IF(Option=1,MAX($I97-$H97,0),IF(Option=2,MAX($H97-$I97,0),0)),0))</f>
        <v> </v>
      </c>
      <c r="S97" s="286" t="str">
        <f aca="false">IF($A97="N/A"," ",IF(Dayrun&gt;=6,IF(Option=1,MAX($J97-H97,0),IF(Option=2,MAX(H97-$J97,0),0)),0))</f>
        <v> </v>
      </c>
      <c r="T97" s="286" t="str">
        <f aca="false">IF($A97="N/A"," ",IF(OR(Dayrun&lt;=2,Dayrun&gt;=9),IF(Option=1,MAX($K97-$H97,0),IF(Option=2,MAX($H97-$K97,0),0)),0))</f>
        <v> </v>
      </c>
      <c r="U97" s="286" t="str">
        <f aca="false">IF($A97="N/A"," ",IF(OR(Dayrun=1,Dayrun=4,Dayrun=5,Dayrun=7,Dayrun=8,Dayrun=10,Dayrun=11),IF(Option=1,MAX($L97-H97,0),IF(Option=2,MAX(H97-$L97,0),0)),0))</f>
        <v> </v>
      </c>
      <c r="V97" s="286" t="str">
        <f aca="false">IF($A97="N/A"," ",IF(OR(Dayrun=1,Dayrun=7,Dayrun=8,Dayrun=10,Dayrun=11),IF(Option=1,MAX($M97-H97,0),IF(Option=2,MAX(H97-$M97,0),0)),0))</f>
        <v> </v>
      </c>
      <c r="W97" s="286" t="str">
        <f aca="false">IF($A97="N/A"," ",IF(OR(Dayrun&lt;=2,Dayrun&gt;=10),IF(Option=1,MAX($N97-$H97,0),IF(Option=2,MAX($H97-$N97,0),0)),0))</f>
        <v> </v>
      </c>
      <c r="X97" s="286" t="str">
        <f aca="false">IF($A97="N/A"," ",IF(OR(Dayrun=1,Dayrun=5,Dayrun=8,Dayrun=11),IF(Option=1,MAX($O97-H97,0),IF(Option=2,MAX(H97-$O97,0),0)),0))</f>
        <v> </v>
      </c>
      <c r="Y97" s="286" t="str">
        <f aca="false">IF($A97="N/A"," ",IF(OR(Dayrun=1,Dayrun=8,Dayrun=11),IF(Option=1,MAX($P97-H97,0),IF(Option=2,MAX(H97-$P97,0),0)),0))</f>
        <v> </v>
      </c>
      <c r="Z97" s="293" t="str">
        <f aca="false">IF($A97="N/A"," ",IF(OR(Dayrun&lt;=2,Dayrun&gt;=11),IF(Option=1,MAX($Q97-$H97,0),IF(Option=2,MAX($H97-$Q97,0),0)),0))</f>
        <v> </v>
      </c>
      <c r="AA97" s="289" t="str">
        <f aca="false">IF($A97="N/A"," ",IF(Dayrun&gt;=3,(MAX(0,(xSPRDOPT(I97,($E97-'Pricing Inputs'!$X132*$D97),$CV97,0,($CN97+IF(Smile=TRUE(),VLOOKUP(MAX(-5,$H97-I97),Volsmile,2),0)),$CT97,$CU97,($A97-DateToday)+15,ABS(Option-2),0)-R97))),0))</f>
        <v> </v>
      </c>
      <c r="AB97" s="290" t="str">
        <f aca="false">IF($A97="N/A"," ",IF(Dayrun&gt;=6,MAX(0,(xSPRDOPT(J97,($E97-'Pricing Inputs'!$X132*$D97),$CV97,0,($CN97+IF(Smile=TRUE(),VLOOKUP(MAX(-5,$H97-J97),Volsmile,2),0)),$CT97,$CU97,($A97-DateToday)+15,ABS(Option-2),0)-S97)),0))</f>
        <v> </v>
      </c>
      <c r="AC97" s="290" t="str">
        <f aca="false">IF($A97="N/A"," ",IF(OR(Dayrun&lt;=2,Dayrun&gt;=9),IF(OffPeakEx=TRUE(),MAX(0,(xSPRDOPT(K97,($E97-'Pricing Inputs'!$X132*$D97),$CV97,0,($CQ97+IF(Smile=TRUE(),VLOOKUP(MAX(-5,$H97-K97),Volsmile,2),0)),$CT97,$CU97,($A97-DateToday)+15,ABS(Option-2),0)-T97)),0),0))</f>
        <v> </v>
      </c>
      <c r="AD97" s="290" t="str">
        <f aca="false">IF($A97="N/A"," ",IF(OR(Dayrun=1,Dayrun=4,Dayrun=5,Dayrun=7,Dayrun=8,Dayrun=10,Dayrun=11),MAX(0,(xSPRDOPT(L97,($E97-'Pricing Inputs'!$X132*$D97),$CV97,0,($CQ97+IF(Smile=TRUE(),VLOOKUP(MAX(-5,$H97-L97),Volsmile,2),0)),$CT97,$CU97,($A97-DateToday)+15,ABS(Option-2),0)-U97)),0))</f>
        <v> </v>
      </c>
      <c r="AE97" s="290" t="str">
        <f aca="false">IF($A97="N/A"," ",IF(OR(Dayrun=1,Dayrun=7,Dayrun=8,Dayrun=10,Dayrun=11),MAX(0,(xSPRDOPT(M97,($E97-'Pricing Inputs'!$X132*$D97),$CV97,0,($CQ97+IF(Smile=TRUE(),VLOOKUP(MAX(-5,$H97-M97),Volsmile,2),0)),$CT97,$CU97,($A97-DateToday)+15,ABS(Option-2),0)-V97)),0))</f>
        <v> </v>
      </c>
      <c r="AF97" s="290" t="str">
        <f aca="false">IF($A97="N/A"," ",IF(OR(Dayrun&lt;=2,Dayrun&gt;=10),IF(OffPeakEx=TRUE(),MAX(0,(xSPRDOPT(N97,($E97-'Pricing Inputs'!$X132*$D97),$CV97,0,($CQ97+IF(Smile=TRUE(),VLOOKUP(MAX(-5,$H97-N97),Volsmile,2),0)),$CT97,$CU97,($A97-DateToday)+15,ABS(Option-2),0)-W97)),0),0))</f>
        <v> </v>
      </c>
      <c r="AG97" s="290" t="str">
        <f aca="false">IF($A97="N/A"," ",IF(OR(Dayrun=1,Dayrun=5,Dayrun=8,Dayrun=11),MAX(0,(xSPRDOPT(O97,($E97-'Pricing Inputs'!$X132*$D97),$CV97,0,($CQ97+IF(Smile=TRUE(),VLOOKUP(MAX(-5,$H97-O97),Volsmile,2),0)),$CT97,$CU97,($A97-DateToday)+15,ABS(Option-2),0)-X97)),0))</f>
        <v> </v>
      </c>
      <c r="AH97" s="290" t="str">
        <f aca="false">IF($A97="N/A"," ",IF(OR(Dayrun=1,Dayrun=8,Dayrun=11),MAX(0,(xSPRDOPT(P97,($E97-'Pricing Inputs'!$X132*$D97),$CV97,0,($CQ97+IF(Smile=TRUE(),VLOOKUP(MAX(-5,$H97-P97),Volsmile,2),0)),$CT97,$CU97,($A97-DateToday)+15,ABS(Option-2),0)-Y97)),0))</f>
        <v> </v>
      </c>
      <c r="AI97" s="290" t="str">
        <f aca="false">IF($A97="N/A"," ",IF(OR(Dayrun&lt;=2,Dayrun&gt;=11),IF(OffPeakEx=TRUE(),MAX(0,(xSPRDOPT(Q97,($E97-'Pricing Inputs'!$X132*$D97),$CV97,0,($CQ97+IF(Smile=TRUE(),VLOOKUP(MAX(-5,$H97-Q97),Volsmile,2),0)),$CT97,$CU97,($A97-DateToday)+15,ABS(Option-2),0)-Z97)),0),0))</f>
        <v> </v>
      </c>
      <c r="AJ97" s="294" t="str">
        <f aca="false">IF($A97="N/A"," ",IF(Dayrun&gt;=3,IF(Option=1,$I97-$H97,IF(Option=2,$H97-$I97)),0))</f>
        <v> </v>
      </c>
      <c r="AK97" s="295" t="str">
        <f aca="false">IF($A97="N/A"," ",IF(Dayrun&gt;=6,IF(Option=1,$J97-H97,IF(Option=2,H97-$J97)),0))</f>
        <v> </v>
      </c>
      <c r="AL97" s="295" t="str">
        <f aca="false">IF($A97="N/A"," ",IF(OR(Dayrun&lt;=2,Dayrun&gt;=9),IF(Option=1,$K97-$H97,IF(Option=2,$H97-$K97)),0))</f>
        <v> </v>
      </c>
      <c r="AM97" s="295" t="str">
        <f aca="false">IF($A97="N/A"," ",IF(OR(Dayrun=1,Dayrun=4,Dayrun=5,Dayrun=7,Dayrun=8,Dayrun=10,Dayrun=11),IF(Option=1,$L97-H97,IF(Option=2,H97-$L97)),0))</f>
        <v> </v>
      </c>
      <c r="AN97" s="295" t="str">
        <f aca="false">IF($A97="N/A"," ",IF(OR(Dayrun=1,Dayrun=7,Dayrun=8,Dayrun=10,Dayrun=11),IF(Option=1,$M97-H97,IF(Option=2,H97-$M97)),0))</f>
        <v> </v>
      </c>
      <c r="AO97" s="295" t="str">
        <f aca="false">IF($A97="N/A"," ",IF(OR(Dayrun&lt;=2,Dayrun&gt;=9),IF(Option=1,$N97-$H97,IF(Option=2,$H97-$N97)),0))</f>
        <v> </v>
      </c>
      <c r="AP97" s="295" t="str">
        <f aca="false">IF($A97="N/A"," ",IF(OR(Dayrun=1,Dayrun=5,Dayrun=8,Dayrun=11),IF(Option=1,$O97-H97,IF(Option=2,H97-$O97)),0))</f>
        <v> </v>
      </c>
      <c r="AQ97" s="295" t="str">
        <f aca="false">IF($A97="N/A"," ",IF(OR(Dayrun=1,Dayrun=8,Dayrun=11),IF(Option=1,$P97-H97,IF(Option=2,H97-$P97)),0))</f>
        <v> </v>
      </c>
      <c r="AR97" s="296" t="str">
        <f aca="false">IF($A97="N/A"," ",IF(OR(Dayrun&lt;=2,Dayrun&gt;=9),IF(Option=1,$Q97-H97,IF(Option=2,H97-$Q97)),0))</f>
        <v> </v>
      </c>
      <c r="AS97" s="297" t="str">
        <f aca="false">IF($A97="N/A"," ",IF(VLOOKUP(MONTH($A97),ManualTable,2)=1,IF(Dayrun&gt;=3,$DE97*8*$CY97,0),0))</f>
        <v> </v>
      </c>
      <c r="AT97" s="297" t="str">
        <f aca="false">IF($A97="N/A"," ",IF(VLOOKUP(MONTH($A97),ManualTable,3)=1,IF(Dayrun&gt;=6,$DE97*8*$CY97,0),0))</f>
        <v> </v>
      </c>
      <c r="AU97" s="297" t="str">
        <f aca="false">IF($A97="N/A"," ",IF(VLOOKUP(MONTH($A97),ManualTable,4)=1,IF(OR(Dayrun&lt;=2,Dayrun&gt;=9),$DE97*8*$CY97,0),0))</f>
        <v> </v>
      </c>
      <c r="AV97" s="297" t="str">
        <f aca="false">IF($A97="N/A"," ",IF(VLOOKUP(MONTH($A97),ManualTable,5)=1,IF(OR(Dayrun=1,Dayrun=4,Dayrun=5,Dayrun=7,Dayrun=8,Dayrun=10,Dayrun=11),$DF97*8*$CY97,0),0))</f>
        <v> </v>
      </c>
      <c r="AW97" s="297" t="str">
        <f aca="false">IF($A97="N/A"," ",IF(VLOOKUP(MONTH($A97),ManualTable,6)=1,IF(OR(Dayrun=1,Dayrun=7,Dayrun=8,Dayrun=10,Dayrun=11),$DF97*8*$CY97,0),0))</f>
        <v> </v>
      </c>
      <c r="AX97" s="297" t="str">
        <f aca="false">IF($A97="N/A"," ",IF(VLOOKUP(MONTH($A97),ManualTable,7)=1,IF(OR(Dayrun&lt;=2,Dayrun&gt;=9),$DF97*8*$CY97,0),0))</f>
        <v> </v>
      </c>
      <c r="AY97" s="297" t="str">
        <f aca="false">IF($A97="N/A"," ",IF(VLOOKUP(MONTH($A97),ManualTable,8)=1,IF(OR(Dayrun=1,Dayrun=5,Dayrun=8,Dayrun=11),$DG97*8*$CY97,0),0))</f>
        <v> </v>
      </c>
      <c r="AZ97" s="297" t="str">
        <f aca="false">IF($A97="N/A"," ",IF(VLOOKUP(MONTH($A97),ManualTable,9)=1,IF(OR(Dayrun=1,Dayrun=8,Dayrun=11),$DG97*8*$CY97,0),0))</f>
        <v> </v>
      </c>
      <c r="BA97" s="298" t="str">
        <f aca="false">IF($A97="N/A"," ",IF(VLOOKUP(MONTH($A97),ManualTable,10)=1,IF(OR(Dayrun&lt;=2,Dayrun&gt;=9),$DG97*8*$CY97,0),0))</f>
        <v> </v>
      </c>
      <c r="BB97" s="299" t="str">
        <f aca="false">IF($A97="N/A"," ",IF(Dayrun&gt;=3,(MAX(0,(xSPRDOPT(I97,($E97-'Pricing Inputs'!$X132*$D97),$CV97,0,($CN97+IF(Smile=TRUE(),VLOOKUP(MAX(-5,$H97-I97),Volsmile,2),0)),$CT97,$CU97,($A97-DateToday)+15,ABS(Option-2),1)*DE97*8))),0))</f>
        <v> </v>
      </c>
      <c r="BC97" s="300" t="str">
        <f aca="false">IF($A97="N/A"," ",IF(Dayrun&gt;=6,MAX(0,(xSPRDOPT(J97,($E97-'Pricing Inputs'!$X132*$D97),$CV97,0,($CN97+IF(Smile=TRUE(),VLOOKUP(MAX(-5,$H97-J97),Volsmile,2),0)),$CT97,$CU97,($A97-DateToday)+15,ABS(Option-2),1)*DE97*8)),0))</f>
        <v> </v>
      </c>
      <c r="BD97" s="300" t="str">
        <f aca="false">IF($A97="N/A"," ",IF(OR(Dayrun&lt;=2,Dayrun&gt;=9),IF(OffPeakEx=TRUE(),MAX(0,(xSPRDOPT(K97,($E97-'Pricing Inputs'!$X132*$D97),$CV97,0,($CQ97+IF(Smile=TRUE(),VLOOKUP(MAX(-5,$H97-K97),Volsmile,2),0)),$CT97,$CU97,($A97-DateToday)+15,ABS(Option-2),1)*DE97*8)),0),0))</f>
        <v> </v>
      </c>
      <c r="BE97" s="300" t="str">
        <f aca="false">IF($A97="N/A"," ",IF(OR(Dayrun=1,Dayrun=4,Dayrun=5,Dayrun=7,Dayrun=8,Dayrun=10,Dayrun=11),MAX(0,(xSPRDOPT(L97,($E97-'Pricing Inputs'!$X132*$D97),$CV97,0,($CQ97+IF(Smile=TRUE(),VLOOKUP(MAX(-5,$H97-L97),Volsmile,2),0)),$CT97,$CU97,($A97-DateToday)+15,ABS(Option-2),1)*DF97*8)),0))</f>
        <v> </v>
      </c>
      <c r="BF97" s="300" t="str">
        <f aca="false">IF($A97="N/A"," ",IF(OR(Dayrun=1,Dayrun=7,Dayrun=8,Dayrun=10,Dayrun=11),MAX(0,(xSPRDOPT(M97,($E97-'Pricing Inputs'!$X132*$D97),$CV97,0,($CQ97+IF(Smile=TRUE(),VLOOKUP(MAX(-5,$H97-M97),Volsmile,2),0)),$CT97,$CU97,($A97-DateToday)+15,ABS(Option-2),1)*DF97*8)),0))</f>
        <v> </v>
      </c>
      <c r="BG97" s="300" t="str">
        <f aca="false">IF($A97="N/A"," ",IF(OR(Dayrun&lt;=2,Dayrun&gt;=10),IF(OffPeakEx=TRUE(),MAX(0,(xSPRDOPT(N97,($E97-'Pricing Inputs'!$X132*$D97),$CV97,0,($CQ97+IF(Smile=TRUE(),VLOOKUP(MAX(-5,$H97-N97),Volsmile,2),0)),$CT97,$CU97,($A97-DateToday)+15,ABS(Option-2),1)*DF97*8)),0),0))</f>
        <v> </v>
      </c>
      <c r="BH97" s="300" t="str">
        <f aca="false">IF($A97="N/A"," ",IF(OR(Dayrun=1,Dayrun=5,Dayrun=8,Dayrun=11),MAX(0,(xSPRDOPT(O97,($E97-'Pricing Inputs'!$X132*$D97),$CV97,0,($CQ97+IF(Smile=TRUE(),VLOOKUP(MAX(-5,$H97-O97),Volsmile,2),0)),$CT97,$CU97,($A97-DateToday)+15,ABS(Option-2),1)*DG97*8)),0))</f>
        <v> </v>
      </c>
      <c r="BI97" s="300" t="str">
        <f aca="false">IF($A97="N/A"," ",IF(OR(Dayrun=1,Dayrun=8,Dayrun=11),MAX(0,(xSPRDOPT(P97,($E97-'Pricing Inputs'!$X132*$D97),$CV97,0,($CQ97+IF(Smile=TRUE(),VLOOKUP(MAX(-5,$H97-P97),Volsmile,2),0)),$CT97,$CU97,($A97-DateToday)+15,ABS(Option-2),1)*DG97*8)),0))</f>
        <v> </v>
      </c>
      <c r="BJ97" s="301" t="str">
        <f aca="false">IF($A97="N/A"," ",IF(OR(Dayrun&lt;=2,Dayrun&gt;=11),IF(OffPeakEx=TRUE(),MAX(0,(xSPRDOPT(Q97,($E97-'Pricing Inputs'!$X132*$D97),$CV97,0,($CQ97+IF(Smile=TRUE(),VLOOKUP(MAX(-5,$H97-Q97),Volsmile,2),0)),$CT97,$CU97,($A97-DateToday)+15,ABS(Option-2),1)*DG97*8)),0),0))</f>
        <v> </v>
      </c>
      <c r="BK97" s="302" t="str">
        <f aca="false">IF($A97="N/A"," ",R97*$AS97)</f>
        <v> </v>
      </c>
      <c r="BL97" s="303" t="str">
        <f aca="false">IF($A97="N/A"," ",S97*$AT97)</f>
        <v> </v>
      </c>
      <c r="BM97" s="303" t="str">
        <f aca="false">IF($A97="N/A"," ",T97*$AU97)</f>
        <v> </v>
      </c>
      <c r="BN97" s="303" t="str">
        <f aca="false">IF($A97="N/A"," ",U97*$AV97)</f>
        <v> </v>
      </c>
      <c r="BO97" s="303" t="str">
        <f aca="false">IF($A97="N/A"," ",V97*$AW97)</f>
        <v> </v>
      </c>
      <c r="BP97" s="303" t="str">
        <f aca="false">IF($A97="N/A"," ",W97*$AX97)</f>
        <v> </v>
      </c>
      <c r="BQ97" s="303" t="str">
        <f aca="false">IF($A97="N/A"," ",X97*$AY97)</f>
        <v> </v>
      </c>
      <c r="BR97" s="303" t="str">
        <f aca="false">IF($A97="N/A"," ",Y97*$AZ97)</f>
        <v> </v>
      </c>
      <c r="BS97" s="304" t="str">
        <f aca="false">IF($A97="N/A"," ",Z97*$BA97)</f>
        <v> </v>
      </c>
      <c r="BT97" s="305" t="str">
        <f aca="false">IF($A97="N/A"," ",AA97*$AS97)</f>
        <v> </v>
      </c>
      <c r="BU97" s="306" t="str">
        <f aca="false">IF($A97="N/A"," ",AB97*$AT97)</f>
        <v> </v>
      </c>
      <c r="BV97" s="306" t="str">
        <f aca="false">IF($A97="N/A"," ",AC97*$AU97)</f>
        <v> </v>
      </c>
      <c r="BW97" s="306" t="str">
        <f aca="false">IF($A97="N/A"," ",AD97*$AV97)</f>
        <v> </v>
      </c>
      <c r="BX97" s="306" t="str">
        <f aca="false">IF($A97="N/A"," ",AE97*$AW97)</f>
        <v> </v>
      </c>
      <c r="BY97" s="306" t="str">
        <f aca="false">IF($A97="N/A"," ",AF97*$AX97)</f>
        <v> </v>
      </c>
      <c r="BZ97" s="306" t="str">
        <f aca="false">IF($A97="N/A"," ",AG97*$AY97)</f>
        <v> </v>
      </c>
      <c r="CA97" s="306" t="str">
        <f aca="false">IF($A97="N/A"," ",AH97*$AZ97)</f>
        <v> </v>
      </c>
      <c r="CB97" s="307" t="str">
        <f aca="false">IF($A97="N/A"," ",AI97*$BA97)</f>
        <v> </v>
      </c>
      <c r="CC97" s="308" t="str">
        <f aca="false">IF($A97="N/A"," ",AJ97*$AS97)</f>
        <v> </v>
      </c>
      <c r="CD97" s="309" t="str">
        <f aca="false">IF($A97="N/A"," ",AK97*$AT97)</f>
        <v> </v>
      </c>
      <c r="CE97" s="309" t="str">
        <f aca="false">IF($A97="N/A"," ",AL97*$AU97)</f>
        <v> </v>
      </c>
      <c r="CF97" s="309" t="str">
        <f aca="false">IF($A97="N/A"," ",AM97*$AV97)</f>
        <v> </v>
      </c>
      <c r="CG97" s="309" t="str">
        <f aca="false">IF($A97="N/A"," ",AN97*$AW97)</f>
        <v> </v>
      </c>
      <c r="CH97" s="309" t="str">
        <f aca="false">IF($A97="N/A"," ",AO97*$AX97)</f>
        <v> </v>
      </c>
      <c r="CI97" s="309" t="str">
        <f aca="false">IF($A97="N/A"," ",AP97*$AY97)</f>
        <v> </v>
      </c>
      <c r="CJ97" s="309" t="str">
        <f aca="false">IF($A97="N/A"," ",AQ97*$AZ97)</f>
        <v> </v>
      </c>
      <c r="CK97" s="310" t="str">
        <f aca="false">IF($A97="N/A"," ",AR97*$BA97)</f>
        <v> </v>
      </c>
      <c r="CL97" s="311" t="str">
        <f aca="false">IF(A97="N/A"," ",(VLOOKUP(A97,PowerVolTable,(IF(VolBMO=2,7,IF(VolBMO=1,6,8))),FALSE())))</f>
        <v> </v>
      </c>
      <c r="CM97" s="312" t="str">
        <f aca="false">IF(A97="N/A"," ",(VLOOKUP(A97,IntraPowerVol,(IF(VolBMO=2,3,IF(VolBMO=1,2,4))),FALSE())*VLOOKUP(MONTH($A97),Volscale,2)))</f>
        <v> </v>
      </c>
      <c r="CN97" s="312" t="str">
        <f aca="false">IF($A97="N/A"," ",IF(VolType=1,CM97,CL97))</f>
        <v> </v>
      </c>
      <c r="CO97" s="312" t="str">
        <f aca="false">IF($A97="N/A"," ",(VLOOKUP($A97,OffPeakVol,(IF(VolBMO=2,7,IF(VolBMO=1,6,8))),FALSE())))</f>
        <v> </v>
      </c>
      <c r="CP97" s="312" t="str">
        <f aca="false">IF($A97="N/A"," ",(VLOOKUP($A97,OffPeakVol,(IF(VolBMO=2,3,IF(VolBMO=1,2,4))),FALSE())*VLOOKUP(MONTH($A97),Volscale,2)))</f>
        <v> </v>
      </c>
      <c r="CQ97" s="312" t="str">
        <f aca="false">IF($A97="N/A"," ",IF(VolType=1,CP97,CO97))</f>
        <v> </v>
      </c>
      <c r="CR97" s="312" t="str">
        <f aca="false">IF($A97="N/A"," ",(VLOOKUP($A97,GasVolTable,(IF(VolBMO=2,6,IF(VolBMO=1,7,5))),FALSE())))</f>
        <v> </v>
      </c>
      <c r="CS97" s="312" t="str">
        <f aca="false">IF($A97="N/A"," ",(VLOOKUP($A97,OmicronVol,(IF(VolBMO=2,3,IF(VolBMO=1,4,2))),FALSE())))</f>
        <v> </v>
      </c>
      <c r="CT97" s="312" t="str">
        <f aca="false">IF($A97="N/A"," ",(IF(DateToday&gt;$A97,$CS97,IF(VolType=1,((($CR97^2)*((($A97-1)-DateToday)/((EOMONTH($A97,0)+1)-DateToday-15)))+((($CS97)^2)*((15)/((EOMONTH($A97,0)+1)-DateToday-15))))^0.5,CR97))))</f>
        <v> </v>
      </c>
      <c r="CU97" s="312" t="str">
        <f aca="false">IF($A97="N/A"," ",IF('Pricing Inputs'!$AR$23=TRUE(),Inputs!$S$22,VLOOKUP($A97,CorrelationTable,2,FALSE())))</f>
        <v> </v>
      </c>
      <c r="CV97" s="313" t="str">
        <f aca="false">IF($A97="N/A"," ",F97+G97+(D97*('Pricing Inputs'!X132)))</f>
        <v> </v>
      </c>
      <c r="CW97" s="314" t="str">
        <f aca="false">IF($A97="N/A"," ",IF(PV=1,0,'Pricing Inputs'!Y132))</f>
        <v> </v>
      </c>
      <c r="CX97" s="315" t="str">
        <f aca="false">IF($A97="N/A"," ",(1+CW97/2)^(-2*((EOMONTH(A97,0)+20)-DateToday)/365.25))</f>
        <v> </v>
      </c>
      <c r="CY97" s="316" t="str">
        <f aca="false">IF($A97="N/A"," ",(IF(MONTH(A97)&gt;=4,IF(MONTH(A97)&lt;=10,Inputs!$S$26,Inputs!$S$27),Inputs!$S$27))*$CX97)</f>
        <v> </v>
      </c>
      <c r="CZ97" s="317" t="str">
        <f aca="false">IF($A97="N/A"," ",BK97+BL97+BN97+BO97+BQ97+BR97)</f>
        <v> </v>
      </c>
      <c r="DA97" s="318" t="str">
        <f aca="false">IF($A97="N/A"," ",BM97+BP97+BS97)</f>
        <v> </v>
      </c>
      <c r="DB97" s="319" t="str">
        <f aca="false">IF($A97="N/A"," ",BT97+BU97+BW97+BX97+BZ97+CA97)</f>
        <v> </v>
      </c>
      <c r="DC97" s="319" t="str">
        <f aca="false">IF($A97="N/A"," ",BV97+BY97+CB97)</f>
        <v> </v>
      </c>
      <c r="DD97" s="320" t="str">
        <f aca="false">IF($A97="N/A"," ",SUM(CC97:CK97))</f>
        <v> </v>
      </c>
      <c r="DE97" s="321" t="str">
        <f aca="false">IF($A97="N/A"," ",VLOOKUP($A97,NumberofDaysTable,2)*Availability)</f>
        <v> </v>
      </c>
      <c r="DF97" s="94" t="str">
        <f aca="false">IF($A97="N/A"," ",VLOOKUP($A97,NumberofDaysTable,3)*Availability)</f>
        <v> </v>
      </c>
      <c r="DG97" s="322" t="str">
        <f aca="false">IF($A97="N/A"," ",VLOOKUP($A97,NumberofDaysTable,4)*Availability)</f>
        <v> </v>
      </c>
      <c r="DH97" s="323" t="str">
        <f aca="false">IF($A97="N/A"," ",IF(Option=1,$D97*Inputs!$S$15*SUM(AS97:BA97),0))</f>
        <v> </v>
      </c>
      <c r="DI97" s="324" t="str">
        <f aca="false">IF($A97="N/A"," ",IF(Option=1,$D97*Inputs!$S$16*SUM(AS97:BA97),0))</f>
        <v> </v>
      </c>
      <c r="DJ97" s="325" t="str">
        <f aca="false">IF($A97="N/A"," ",SUM(AS97:AT97))</f>
        <v> </v>
      </c>
      <c r="DK97" s="325" t="str">
        <f aca="false">IF($A97="N/A"," ",SUM(AU97:BA97))</f>
        <v> </v>
      </c>
      <c r="DL97" s="325" t="str">
        <f aca="false">IF($A97="N/A"," ",SUM(BB97:BC97))</f>
        <v> </v>
      </c>
      <c r="DM97" s="325" t="str">
        <f aca="false">IF($A97="N/A"," ",SUM(BD97:BJ97))</f>
        <v> </v>
      </c>
    </row>
    <row r="98" customFormat="false" ht="12.75" hidden="false" customHeight="false" outlineLevel="0" collapsed="false">
      <c r="A98" s="282" t="str">
        <f aca="false">IF(A97="N/A","N/A",IF(EDATE(A97,1)&gt;Inputs!$S$5,"N/A",EDATE(A97,1)))</f>
        <v>N/A</v>
      </c>
      <c r="B98" s="283" t="str">
        <f aca="false">IF(A98="N/A"," ",YEAR(A98))</f>
        <v> </v>
      </c>
      <c r="C98" s="284" t="str">
        <f aca="false">IF(A98="N/A"," ",VLOOKUP(A98,ScaledPrice,14))</f>
        <v> </v>
      </c>
      <c r="D98" s="285" t="str">
        <f aca="false">IF(A98="N/A"," ",(VLOOKUP(MONTH($A98),Hrtable,2))/1000)</f>
        <v> </v>
      </c>
      <c r="E98" s="286" t="str">
        <f aca="false">IF($A98="N/A"," ",(C98)*D98)</f>
        <v> </v>
      </c>
      <c r="F98" s="287" t="str">
        <f aca="false">IF(A98="N/A"," ",VOM*(1+VOMesc)^(YEAR(A98)-YEAR(Today)))</f>
        <v> </v>
      </c>
      <c r="G98" s="287" t="str">
        <f aca="false">IF(A98="N/A"," ",Perstart/VLOOKUP(Dayrun,'Pricing Inputs'!$AQ$4:$AS$14,3)/(CY98/CX98))</f>
        <v> </v>
      </c>
      <c r="H98" s="288" t="str">
        <f aca="false">IF(A98="N/A"," ",SUM(E98:G98))</f>
        <v> </v>
      </c>
      <c r="I98" s="289" t="str">
        <f aca="false">VLOOKUP($A98,ScaledPrice,6)</f>
        <v> </v>
      </c>
      <c r="J98" s="290" t="str">
        <f aca="false">VLOOKUP($A98,ScaledPrice,10)</f>
        <v> </v>
      </c>
      <c r="K98" s="290" t="str">
        <f aca="false">VLOOKUP($A98,ScaledPrice,13)</f>
        <v> </v>
      </c>
      <c r="L98" s="290" t="str">
        <f aca="false">VLOOKUP($A98,ScaledPrice,7)</f>
        <v> </v>
      </c>
      <c r="M98" s="290" t="str">
        <f aca="false">VLOOKUP($A98,ScaledPrice,11)</f>
        <v> </v>
      </c>
      <c r="N98" s="290" t="str">
        <f aca="false">VLOOKUP($A98,ScaledPrice,13)</f>
        <v> </v>
      </c>
      <c r="O98" s="290" t="str">
        <f aca="false">VLOOKUP($A98,ScaledPrice,8)</f>
        <v> </v>
      </c>
      <c r="P98" s="290" t="str">
        <f aca="false">VLOOKUP($A98,ScaledPrice,12)</f>
        <v> </v>
      </c>
      <c r="Q98" s="291" t="str">
        <f aca="false">VLOOKUP($A98,ScaledPrice,13)</f>
        <v> </v>
      </c>
      <c r="R98" s="292" t="str">
        <f aca="false">IF($A98="N/A"," ",IF(Dayrun&gt;=3,IF(Option=1,MAX($I98-$H98,0),IF(Option=2,MAX($H98-$I98,0),0)),0))</f>
        <v> </v>
      </c>
      <c r="S98" s="286" t="str">
        <f aca="false">IF($A98="N/A"," ",IF(Dayrun&gt;=6,IF(Option=1,MAX($J98-H98,0),IF(Option=2,MAX(H98-$J98,0),0)),0))</f>
        <v> </v>
      </c>
      <c r="T98" s="286" t="str">
        <f aca="false">IF($A98="N/A"," ",IF(OR(Dayrun&lt;=2,Dayrun&gt;=9),IF(Option=1,MAX($K98-$H98,0),IF(Option=2,MAX($H98-$K98,0),0)),0))</f>
        <v> </v>
      </c>
      <c r="U98" s="286" t="str">
        <f aca="false">IF($A98="N/A"," ",IF(OR(Dayrun=1,Dayrun=4,Dayrun=5,Dayrun=7,Dayrun=8,Dayrun=10,Dayrun=11),IF(Option=1,MAX($L98-H98,0),IF(Option=2,MAX(H98-$L98,0),0)),0))</f>
        <v> </v>
      </c>
      <c r="V98" s="286" t="str">
        <f aca="false">IF($A98="N/A"," ",IF(OR(Dayrun=1,Dayrun=7,Dayrun=8,Dayrun=10,Dayrun=11),IF(Option=1,MAX($M98-H98,0),IF(Option=2,MAX(H98-$M98,0),0)),0))</f>
        <v> </v>
      </c>
      <c r="W98" s="286" t="str">
        <f aca="false">IF($A98="N/A"," ",IF(OR(Dayrun&lt;=2,Dayrun&gt;=10),IF(Option=1,MAX($N98-$H98,0),IF(Option=2,MAX($H98-$N98,0),0)),0))</f>
        <v> </v>
      </c>
      <c r="X98" s="286" t="str">
        <f aca="false">IF($A98="N/A"," ",IF(OR(Dayrun=1,Dayrun=5,Dayrun=8,Dayrun=11),IF(Option=1,MAX($O98-H98,0),IF(Option=2,MAX(H98-$O98,0),0)),0))</f>
        <v> </v>
      </c>
      <c r="Y98" s="286" t="str">
        <f aca="false">IF($A98="N/A"," ",IF(OR(Dayrun=1,Dayrun=8,Dayrun=11),IF(Option=1,MAX($P98-H98,0),IF(Option=2,MAX(H98-$P98,0),0)),0))</f>
        <v> </v>
      </c>
      <c r="Z98" s="293" t="str">
        <f aca="false">IF($A98="N/A"," ",IF(OR(Dayrun&lt;=2,Dayrun&gt;=11),IF(Option=1,MAX($Q98-$H98,0),IF(Option=2,MAX($H98-$Q98,0),0)),0))</f>
        <v> </v>
      </c>
      <c r="AA98" s="289" t="str">
        <f aca="false">IF($A98="N/A"," ",IF(Dayrun&gt;=3,(MAX(0,(xSPRDOPT(I98,($E98-'Pricing Inputs'!$X133*$D98),$CV98,0,($CN98+IF(Smile=TRUE(),VLOOKUP(MAX(-5,$H98-I98),Volsmile,2),0)),$CT98,$CU98,($A98-DateToday)+15,ABS(Option-2),0)-R98))),0))</f>
        <v> </v>
      </c>
      <c r="AB98" s="290" t="str">
        <f aca="false">IF($A98="N/A"," ",IF(Dayrun&gt;=6,MAX(0,(xSPRDOPT(J98,($E98-'Pricing Inputs'!$X133*$D98),$CV98,0,($CN98+IF(Smile=TRUE(),VLOOKUP(MAX(-5,$H98-J98),Volsmile,2),0)),$CT98,$CU98,($A98-DateToday)+15,ABS(Option-2),0)-S98)),0))</f>
        <v> </v>
      </c>
      <c r="AC98" s="290" t="str">
        <f aca="false">IF($A98="N/A"," ",IF(OR(Dayrun&lt;=2,Dayrun&gt;=9),IF(OffPeakEx=TRUE(),MAX(0,(xSPRDOPT(K98,($E98-'Pricing Inputs'!$X133*$D98),$CV98,0,($CQ98+IF(Smile=TRUE(),VLOOKUP(MAX(-5,$H98-K98),Volsmile,2),0)),$CT98,$CU98,($A98-DateToday)+15,ABS(Option-2),0)-T98)),0),0))</f>
        <v> </v>
      </c>
      <c r="AD98" s="290" t="str">
        <f aca="false">IF($A98="N/A"," ",IF(OR(Dayrun=1,Dayrun=4,Dayrun=5,Dayrun=7,Dayrun=8,Dayrun=10,Dayrun=11),MAX(0,(xSPRDOPT(L98,($E98-'Pricing Inputs'!$X133*$D98),$CV98,0,($CQ98+IF(Smile=TRUE(),VLOOKUP(MAX(-5,$H98-L98),Volsmile,2),0)),$CT98,$CU98,($A98-DateToday)+15,ABS(Option-2),0)-U98)),0))</f>
        <v> </v>
      </c>
      <c r="AE98" s="290" t="str">
        <f aca="false">IF($A98="N/A"," ",IF(OR(Dayrun=1,Dayrun=7,Dayrun=8,Dayrun=10,Dayrun=11),MAX(0,(xSPRDOPT(M98,($E98-'Pricing Inputs'!$X133*$D98),$CV98,0,($CQ98+IF(Smile=TRUE(),VLOOKUP(MAX(-5,$H98-M98),Volsmile,2),0)),$CT98,$CU98,($A98-DateToday)+15,ABS(Option-2),0)-V98)),0))</f>
        <v> </v>
      </c>
      <c r="AF98" s="290" t="str">
        <f aca="false">IF($A98="N/A"," ",IF(OR(Dayrun&lt;=2,Dayrun&gt;=10),IF(OffPeakEx=TRUE(),MAX(0,(xSPRDOPT(N98,($E98-'Pricing Inputs'!$X133*$D98),$CV98,0,($CQ98+IF(Smile=TRUE(),VLOOKUP(MAX(-5,$H98-N98),Volsmile,2),0)),$CT98,$CU98,($A98-DateToday)+15,ABS(Option-2),0)-W98)),0),0))</f>
        <v> </v>
      </c>
      <c r="AG98" s="290" t="str">
        <f aca="false">IF($A98="N/A"," ",IF(OR(Dayrun=1,Dayrun=5,Dayrun=8,Dayrun=11),MAX(0,(xSPRDOPT(O98,($E98-'Pricing Inputs'!$X133*$D98),$CV98,0,($CQ98+IF(Smile=TRUE(),VLOOKUP(MAX(-5,$H98-O98),Volsmile,2),0)),$CT98,$CU98,($A98-DateToday)+15,ABS(Option-2),0)-X98)),0))</f>
        <v> </v>
      </c>
      <c r="AH98" s="290" t="str">
        <f aca="false">IF($A98="N/A"," ",IF(OR(Dayrun=1,Dayrun=8,Dayrun=11),MAX(0,(xSPRDOPT(P98,($E98-'Pricing Inputs'!$X133*$D98),$CV98,0,($CQ98+IF(Smile=TRUE(),VLOOKUP(MAX(-5,$H98-P98),Volsmile,2),0)),$CT98,$CU98,($A98-DateToday)+15,ABS(Option-2),0)-Y98)),0))</f>
        <v> </v>
      </c>
      <c r="AI98" s="290" t="str">
        <f aca="false">IF($A98="N/A"," ",IF(OR(Dayrun&lt;=2,Dayrun&gt;=11),IF(OffPeakEx=TRUE(),MAX(0,(xSPRDOPT(Q98,($E98-'Pricing Inputs'!$X133*$D98),$CV98,0,($CQ98+IF(Smile=TRUE(),VLOOKUP(MAX(-5,$H98-Q98),Volsmile,2),0)),$CT98,$CU98,($A98-DateToday)+15,ABS(Option-2),0)-Z98)),0),0))</f>
        <v> </v>
      </c>
      <c r="AJ98" s="294" t="str">
        <f aca="false">IF($A98="N/A"," ",IF(Dayrun&gt;=3,IF(Option=1,$I98-$H98,IF(Option=2,$H98-$I98)),0))</f>
        <v> </v>
      </c>
      <c r="AK98" s="295" t="str">
        <f aca="false">IF($A98="N/A"," ",IF(Dayrun&gt;=6,IF(Option=1,$J98-H98,IF(Option=2,H98-$J98)),0))</f>
        <v> </v>
      </c>
      <c r="AL98" s="295" t="str">
        <f aca="false">IF($A98="N/A"," ",IF(OR(Dayrun&lt;=2,Dayrun&gt;=9),IF(Option=1,$K98-$H98,IF(Option=2,$H98-$K98)),0))</f>
        <v> </v>
      </c>
      <c r="AM98" s="295" t="str">
        <f aca="false">IF($A98="N/A"," ",IF(OR(Dayrun=1,Dayrun=4,Dayrun=5,Dayrun=7,Dayrun=8,Dayrun=10,Dayrun=11),IF(Option=1,$L98-H98,IF(Option=2,H98-$L98)),0))</f>
        <v> </v>
      </c>
      <c r="AN98" s="295" t="str">
        <f aca="false">IF($A98="N/A"," ",IF(OR(Dayrun=1,Dayrun=7,Dayrun=8,Dayrun=10,Dayrun=11),IF(Option=1,$M98-H98,IF(Option=2,H98-$M98)),0))</f>
        <v> </v>
      </c>
      <c r="AO98" s="295" t="str">
        <f aca="false">IF($A98="N/A"," ",IF(OR(Dayrun&lt;=2,Dayrun&gt;=9),IF(Option=1,$N98-$H98,IF(Option=2,$H98-$N98)),0))</f>
        <v> </v>
      </c>
      <c r="AP98" s="295" t="str">
        <f aca="false">IF($A98="N/A"," ",IF(OR(Dayrun=1,Dayrun=5,Dayrun=8,Dayrun=11),IF(Option=1,$O98-H98,IF(Option=2,H98-$O98)),0))</f>
        <v> </v>
      </c>
      <c r="AQ98" s="295" t="str">
        <f aca="false">IF($A98="N/A"," ",IF(OR(Dayrun=1,Dayrun=8,Dayrun=11),IF(Option=1,$P98-H98,IF(Option=2,H98-$P98)),0))</f>
        <v> </v>
      </c>
      <c r="AR98" s="296" t="str">
        <f aca="false">IF($A98="N/A"," ",IF(OR(Dayrun&lt;=2,Dayrun&gt;=9),IF(Option=1,$Q98-H98,IF(Option=2,H98-$Q98)),0))</f>
        <v> </v>
      </c>
      <c r="AS98" s="297" t="str">
        <f aca="false">IF($A98="N/A"," ",IF(VLOOKUP(MONTH($A98),ManualTable,2)=1,IF(Dayrun&gt;=3,$DE98*8*$CY98,0),0))</f>
        <v> </v>
      </c>
      <c r="AT98" s="297" t="str">
        <f aca="false">IF($A98="N/A"," ",IF(VLOOKUP(MONTH($A98),ManualTable,3)=1,IF(Dayrun&gt;=6,$DE98*8*$CY98,0),0))</f>
        <v> </v>
      </c>
      <c r="AU98" s="297" t="str">
        <f aca="false">IF($A98="N/A"," ",IF(VLOOKUP(MONTH($A98),ManualTable,4)=1,IF(OR(Dayrun&lt;=2,Dayrun&gt;=9),$DE98*8*$CY98,0),0))</f>
        <v> </v>
      </c>
      <c r="AV98" s="297" t="str">
        <f aca="false">IF($A98="N/A"," ",IF(VLOOKUP(MONTH($A98),ManualTable,5)=1,IF(OR(Dayrun=1,Dayrun=4,Dayrun=5,Dayrun=7,Dayrun=8,Dayrun=10,Dayrun=11),$DF98*8*$CY98,0),0))</f>
        <v> </v>
      </c>
      <c r="AW98" s="297" t="str">
        <f aca="false">IF($A98="N/A"," ",IF(VLOOKUP(MONTH($A98),ManualTable,6)=1,IF(OR(Dayrun=1,Dayrun=7,Dayrun=8,Dayrun=10,Dayrun=11),$DF98*8*$CY98,0),0))</f>
        <v> </v>
      </c>
      <c r="AX98" s="297" t="str">
        <f aca="false">IF($A98="N/A"," ",IF(VLOOKUP(MONTH($A98),ManualTable,7)=1,IF(OR(Dayrun&lt;=2,Dayrun&gt;=9),$DF98*8*$CY98,0),0))</f>
        <v> </v>
      </c>
      <c r="AY98" s="297" t="str">
        <f aca="false">IF($A98="N/A"," ",IF(VLOOKUP(MONTH($A98),ManualTable,8)=1,IF(OR(Dayrun=1,Dayrun=5,Dayrun=8,Dayrun=11),$DG98*8*$CY98,0),0))</f>
        <v> </v>
      </c>
      <c r="AZ98" s="297" t="str">
        <f aca="false">IF($A98="N/A"," ",IF(VLOOKUP(MONTH($A98),ManualTable,9)=1,IF(OR(Dayrun=1,Dayrun=8,Dayrun=11),$DG98*8*$CY98,0),0))</f>
        <v> </v>
      </c>
      <c r="BA98" s="298" t="str">
        <f aca="false">IF($A98="N/A"," ",IF(VLOOKUP(MONTH($A98),ManualTable,10)=1,IF(OR(Dayrun&lt;=2,Dayrun&gt;=9),$DG98*8*$CY98,0),0))</f>
        <v> </v>
      </c>
      <c r="BB98" s="299" t="str">
        <f aca="false">IF($A98="N/A"," ",IF(Dayrun&gt;=3,(MAX(0,(xSPRDOPT(I98,($E98-'Pricing Inputs'!$X133*$D98),$CV98,0,($CN98+IF(Smile=TRUE(),VLOOKUP(MAX(-5,$H98-I98),Volsmile,2),0)),$CT98,$CU98,($A98-DateToday)+15,ABS(Option-2),1)*DE98*8))),0))</f>
        <v> </v>
      </c>
      <c r="BC98" s="300" t="str">
        <f aca="false">IF($A98="N/A"," ",IF(Dayrun&gt;=6,MAX(0,(xSPRDOPT(J98,($E98-'Pricing Inputs'!$X133*$D98),$CV98,0,($CN98+IF(Smile=TRUE(),VLOOKUP(MAX(-5,$H98-J98),Volsmile,2),0)),$CT98,$CU98,($A98-DateToday)+15,ABS(Option-2),1)*DE98*8)),0))</f>
        <v> </v>
      </c>
      <c r="BD98" s="300" t="str">
        <f aca="false">IF($A98="N/A"," ",IF(OR(Dayrun&lt;=2,Dayrun&gt;=9),IF(OffPeakEx=TRUE(),MAX(0,(xSPRDOPT(K98,($E98-'Pricing Inputs'!$X133*$D98),$CV98,0,($CQ98+IF(Smile=TRUE(),VLOOKUP(MAX(-5,$H98-K98),Volsmile,2),0)),$CT98,$CU98,($A98-DateToday)+15,ABS(Option-2),1)*DE98*8)),0),0))</f>
        <v> </v>
      </c>
      <c r="BE98" s="300" t="str">
        <f aca="false">IF($A98="N/A"," ",IF(OR(Dayrun=1,Dayrun=4,Dayrun=5,Dayrun=7,Dayrun=8,Dayrun=10,Dayrun=11),MAX(0,(xSPRDOPT(L98,($E98-'Pricing Inputs'!$X133*$D98),$CV98,0,($CQ98+IF(Smile=TRUE(),VLOOKUP(MAX(-5,$H98-L98),Volsmile,2),0)),$CT98,$CU98,($A98-DateToday)+15,ABS(Option-2),1)*DF98*8)),0))</f>
        <v> </v>
      </c>
      <c r="BF98" s="300" t="str">
        <f aca="false">IF($A98="N/A"," ",IF(OR(Dayrun=1,Dayrun=7,Dayrun=8,Dayrun=10,Dayrun=11),MAX(0,(xSPRDOPT(M98,($E98-'Pricing Inputs'!$X133*$D98),$CV98,0,($CQ98+IF(Smile=TRUE(),VLOOKUP(MAX(-5,$H98-M98),Volsmile,2),0)),$CT98,$CU98,($A98-DateToday)+15,ABS(Option-2),1)*DF98*8)),0))</f>
        <v> </v>
      </c>
      <c r="BG98" s="300" t="str">
        <f aca="false">IF($A98="N/A"," ",IF(OR(Dayrun&lt;=2,Dayrun&gt;=10),IF(OffPeakEx=TRUE(),MAX(0,(xSPRDOPT(N98,($E98-'Pricing Inputs'!$X133*$D98),$CV98,0,($CQ98+IF(Smile=TRUE(),VLOOKUP(MAX(-5,$H98-N98),Volsmile,2),0)),$CT98,$CU98,($A98-DateToday)+15,ABS(Option-2),1)*DF98*8)),0),0))</f>
        <v> </v>
      </c>
      <c r="BH98" s="300" t="str">
        <f aca="false">IF($A98="N/A"," ",IF(OR(Dayrun=1,Dayrun=5,Dayrun=8,Dayrun=11),MAX(0,(xSPRDOPT(O98,($E98-'Pricing Inputs'!$X133*$D98),$CV98,0,($CQ98+IF(Smile=TRUE(),VLOOKUP(MAX(-5,$H98-O98),Volsmile,2),0)),$CT98,$CU98,($A98-DateToday)+15,ABS(Option-2),1)*DG98*8)),0))</f>
        <v> </v>
      </c>
      <c r="BI98" s="300" t="str">
        <f aca="false">IF($A98="N/A"," ",IF(OR(Dayrun=1,Dayrun=8,Dayrun=11),MAX(0,(xSPRDOPT(P98,($E98-'Pricing Inputs'!$X133*$D98),$CV98,0,($CQ98+IF(Smile=TRUE(),VLOOKUP(MAX(-5,$H98-P98),Volsmile,2),0)),$CT98,$CU98,($A98-DateToday)+15,ABS(Option-2),1)*DG98*8)),0))</f>
        <v> </v>
      </c>
      <c r="BJ98" s="301" t="str">
        <f aca="false">IF($A98="N/A"," ",IF(OR(Dayrun&lt;=2,Dayrun&gt;=11),IF(OffPeakEx=TRUE(),MAX(0,(xSPRDOPT(Q98,($E98-'Pricing Inputs'!$X133*$D98),$CV98,0,($CQ98+IF(Smile=TRUE(),VLOOKUP(MAX(-5,$H98-Q98),Volsmile,2),0)),$CT98,$CU98,($A98-DateToday)+15,ABS(Option-2),1)*DG98*8)),0),0))</f>
        <v> </v>
      </c>
      <c r="BK98" s="302" t="str">
        <f aca="false">IF($A98="N/A"," ",R98*$AS98)</f>
        <v> </v>
      </c>
      <c r="BL98" s="303" t="str">
        <f aca="false">IF($A98="N/A"," ",S98*$AT98)</f>
        <v> </v>
      </c>
      <c r="BM98" s="303" t="str">
        <f aca="false">IF($A98="N/A"," ",T98*$AU98)</f>
        <v> </v>
      </c>
      <c r="BN98" s="303" t="str">
        <f aca="false">IF($A98="N/A"," ",U98*$AV98)</f>
        <v> </v>
      </c>
      <c r="BO98" s="303" t="str">
        <f aca="false">IF($A98="N/A"," ",V98*$AW98)</f>
        <v> </v>
      </c>
      <c r="BP98" s="303" t="str">
        <f aca="false">IF($A98="N/A"," ",W98*$AX98)</f>
        <v> </v>
      </c>
      <c r="BQ98" s="303" t="str">
        <f aca="false">IF($A98="N/A"," ",X98*$AY98)</f>
        <v> </v>
      </c>
      <c r="BR98" s="303" t="str">
        <f aca="false">IF($A98="N/A"," ",Y98*$AZ98)</f>
        <v> </v>
      </c>
      <c r="BS98" s="304" t="str">
        <f aca="false">IF($A98="N/A"," ",Z98*$BA98)</f>
        <v> </v>
      </c>
      <c r="BT98" s="305" t="str">
        <f aca="false">IF($A98="N/A"," ",AA98*$AS98)</f>
        <v> </v>
      </c>
      <c r="BU98" s="306" t="str">
        <f aca="false">IF($A98="N/A"," ",AB98*$AT98)</f>
        <v> </v>
      </c>
      <c r="BV98" s="306" t="str">
        <f aca="false">IF($A98="N/A"," ",AC98*$AU98)</f>
        <v> </v>
      </c>
      <c r="BW98" s="306" t="str">
        <f aca="false">IF($A98="N/A"," ",AD98*$AV98)</f>
        <v> </v>
      </c>
      <c r="BX98" s="306" t="str">
        <f aca="false">IF($A98="N/A"," ",AE98*$AW98)</f>
        <v> </v>
      </c>
      <c r="BY98" s="306" t="str">
        <f aca="false">IF($A98="N/A"," ",AF98*$AX98)</f>
        <v> </v>
      </c>
      <c r="BZ98" s="306" t="str">
        <f aca="false">IF($A98="N/A"," ",AG98*$AY98)</f>
        <v> </v>
      </c>
      <c r="CA98" s="306" t="str">
        <f aca="false">IF($A98="N/A"," ",AH98*$AZ98)</f>
        <v> </v>
      </c>
      <c r="CB98" s="307" t="str">
        <f aca="false">IF($A98="N/A"," ",AI98*$BA98)</f>
        <v> </v>
      </c>
      <c r="CC98" s="308" t="str">
        <f aca="false">IF($A98="N/A"," ",AJ98*$AS98)</f>
        <v> </v>
      </c>
      <c r="CD98" s="309" t="str">
        <f aca="false">IF($A98="N/A"," ",AK98*$AT98)</f>
        <v> </v>
      </c>
      <c r="CE98" s="309" t="str">
        <f aca="false">IF($A98="N/A"," ",AL98*$AU98)</f>
        <v> </v>
      </c>
      <c r="CF98" s="309" t="str">
        <f aca="false">IF($A98="N/A"," ",AM98*$AV98)</f>
        <v> </v>
      </c>
      <c r="CG98" s="309" t="str">
        <f aca="false">IF($A98="N/A"," ",AN98*$AW98)</f>
        <v> </v>
      </c>
      <c r="CH98" s="309" t="str">
        <f aca="false">IF($A98="N/A"," ",AO98*$AX98)</f>
        <v> </v>
      </c>
      <c r="CI98" s="309" t="str">
        <f aca="false">IF($A98="N/A"," ",AP98*$AY98)</f>
        <v> </v>
      </c>
      <c r="CJ98" s="309" t="str">
        <f aca="false">IF($A98="N/A"," ",AQ98*$AZ98)</f>
        <v> </v>
      </c>
      <c r="CK98" s="310" t="str">
        <f aca="false">IF($A98="N/A"," ",AR98*$BA98)</f>
        <v> </v>
      </c>
      <c r="CL98" s="311" t="str">
        <f aca="false">IF(A98="N/A"," ",(VLOOKUP(A98,PowerVolTable,(IF(VolBMO=2,7,IF(VolBMO=1,6,8))),FALSE())))</f>
        <v> </v>
      </c>
      <c r="CM98" s="312" t="str">
        <f aca="false">IF(A98="N/A"," ",(VLOOKUP(A98,IntraPowerVol,(IF(VolBMO=2,3,IF(VolBMO=1,2,4))),FALSE())*VLOOKUP(MONTH($A98),Volscale,2)))</f>
        <v> </v>
      </c>
      <c r="CN98" s="312" t="str">
        <f aca="false">IF($A98="N/A"," ",IF(VolType=1,CM98,CL98))</f>
        <v> </v>
      </c>
      <c r="CO98" s="312" t="str">
        <f aca="false">IF($A98="N/A"," ",(VLOOKUP($A98,OffPeakVol,(IF(VolBMO=2,7,IF(VolBMO=1,6,8))),FALSE())))</f>
        <v> </v>
      </c>
      <c r="CP98" s="312" t="str">
        <f aca="false">IF($A98="N/A"," ",(VLOOKUP($A98,OffPeakVol,(IF(VolBMO=2,3,IF(VolBMO=1,2,4))),FALSE())*VLOOKUP(MONTH($A98),Volscale,2)))</f>
        <v> </v>
      </c>
      <c r="CQ98" s="312" t="str">
        <f aca="false">IF($A98="N/A"," ",IF(VolType=1,CP98,CO98))</f>
        <v> </v>
      </c>
      <c r="CR98" s="312" t="str">
        <f aca="false">IF($A98="N/A"," ",(VLOOKUP($A98,GasVolTable,(IF(VolBMO=2,6,IF(VolBMO=1,7,5))),FALSE())))</f>
        <v> </v>
      </c>
      <c r="CS98" s="312" t="str">
        <f aca="false">IF($A98="N/A"," ",(VLOOKUP($A98,OmicronVol,(IF(VolBMO=2,3,IF(VolBMO=1,4,2))),FALSE())))</f>
        <v> </v>
      </c>
      <c r="CT98" s="312" t="str">
        <f aca="false">IF($A98="N/A"," ",(IF(DateToday&gt;$A98,$CS98,IF(VolType=1,((($CR98^2)*((($A98-1)-DateToday)/((EOMONTH($A98,0)+1)-DateToday-15)))+((($CS98)^2)*((15)/((EOMONTH($A98,0)+1)-DateToday-15))))^0.5,CR98))))</f>
        <v> </v>
      </c>
      <c r="CU98" s="312" t="str">
        <f aca="false">IF($A98="N/A"," ",IF('Pricing Inputs'!$AR$23=TRUE(),Inputs!$S$22,VLOOKUP($A98,CorrelationTable,2,FALSE())))</f>
        <v> </v>
      </c>
      <c r="CV98" s="313" t="str">
        <f aca="false">IF($A98="N/A"," ",F98+G98+(D98*('Pricing Inputs'!X133)))</f>
        <v> </v>
      </c>
      <c r="CW98" s="314" t="str">
        <f aca="false">IF($A98="N/A"," ",IF(PV=1,0,'Pricing Inputs'!Y133))</f>
        <v> </v>
      </c>
      <c r="CX98" s="315" t="str">
        <f aca="false">IF($A98="N/A"," ",(1+CW98/2)^(-2*((EOMONTH(A98,0)+20)-DateToday)/365.25))</f>
        <v> </v>
      </c>
      <c r="CY98" s="316" t="str">
        <f aca="false">IF($A98="N/A"," ",(IF(MONTH(A98)&gt;=4,IF(MONTH(A98)&lt;=10,Inputs!$S$26,Inputs!$S$27),Inputs!$S$27))*$CX98)</f>
        <v> </v>
      </c>
      <c r="CZ98" s="317" t="str">
        <f aca="false">IF($A98="N/A"," ",BK98+BL98+BN98+BO98+BQ98+BR98)</f>
        <v> </v>
      </c>
      <c r="DA98" s="318" t="str">
        <f aca="false">IF($A98="N/A"," ",BM98+BP98+BS98)</f>
        <v> </v>
      </c>
      <c r="DB98" s="319" t="str">
        <f aca="false">IF($A98="N/A"," ",BT98+BU98+BW98+BX98+BZ98+CA98)</f>
        <v> </v>
      </c>
      <c r="DC98" s="319" t="str">
        <f aca="false">IF($A98="N/A"," ",BV98+BY98+CB98)</f>
        <v> </v>
      </c>
      <c r="DD98" s="320" t="str">
        <f aca="false">IF($A98="N/A"," ",SUM(CC98:CK98))</f>
        <v> </v>
      </c>
      <c r="DE98" s="321" t="str">
        <f aca="false">IF($A98="N/A"," ",VLOOKUP($A98,NumberofDaysTable,2)*Availability)</f>
        <v> </v>
      </c>
      <c r="DF98" s="94" t="str">
        <f aca="false">IF($A98="N/A"," ",VLOOKUP($A98,NumberofDaysTable,3)*Availability)</f>
        <v> </v>
      </c>
      <c r="DG98" s="322" t="str">
        <f aca="false">IF($A98="N/A"," ",VLOOKUP($A98,NumberofDaysTable,4)*Availability)</f>
        <v> </v>
      </c>
      <c r="DH98" s="323" t="str">
        <f aca="false">IF($A98="N/A"," ",IF(Option=1,$D98*Inputs!$S$15*SUM(AS98:BA98),0))</f>
        <v> </v>
      </c>
      <c r="DI98" s="324" t="str">
        <f aca="false">IF($A98="N/A"," ",IF(Option=1,$D98*Inputs!$S$16*SUM(AS98:BA98),0))</f>
        <v> </v>
      </c>
      <c r="DJ98" s="325" t="str">
        <f aca="false">IF($A98="N/A"," ",SUM(AS98:AT98))</f>
        <v> </v>
      </c>
      <c r="DK98" s="325" t="str">
        <f aca="false">IF($A98="N/A"," ",SUM(AU98:BA98))</f>
        <v> </v>
      </c>
      <c r="DL98" s="325" t="str">
        <f aca="false">IF($A98="N/A"," ",SUM(BB98:BC98))</f>
        <v> </v>
      </c>
      <c r="DM98" s="325" t="str">
        <f aca="false">IF($A98="N/A"," ",SUM(BD98:BJ98))</f>
        <v> </v>
      </c>
    </row>
    <row r="99" customFormat="false" ht="12.75" hidden="false" customHeight="false" outlineLevel="0" collapsed="false">
      <c r="A99" s="282" t="str">
        <f aca="false">IF(A98="N/A","N/A",IF(EDATE(A98,1)&gt;Inputs!$S$5,"N/A",EDATE(A98,1)))</f>
        <v>N/A</v>
      </c>
      <c r="B99" s="283" t="str">
        <f aca="false">IF(A99="N/A"," ",YEAR(A99))</f>
        <v> </v>
      </c>
      <c r="C99" s="284" t="str">
        <f aca="false">IF(A99="N/A"," ",VLOOKUP(A99,ScaledPrice,14))</f>
        <v> </v>
      </c>
      <c r="D99" s="285" t="str">
        <f aca="false">IF(A99="N/A"," ",(VLOOKUP(MONTH($A99),Hrtable,2))/1000)</f>
        <v> </v>
      </c>
      <c r="E99" s="286" t="str">
        <f aca="false">IF($A99="N/A"," ",(C99)*D99)</f>
        <v> </v>
      </c>
      <c r="F99" s="287" t="str">
        <f aca="false">IF(A99="N/A"," ",VOM*(1+VOMesc)^(YEAR(A99)-YEAR(Today)))</f>
        <v> </v>
      </c>
      <c r="G99" s="287" t="str">
        <f aca="false">IF(A99="N/A"," ",Perstart/VLOOKUP(Dayrun,'Pricing Inputs'!$AQ$4:$AS$14,3)/(CY99/CX99))</f>
        <v> </v>
      </c>
      <c r="H99" s="288" t="str">
        <f aca="false">IF(A99="N/A"," ",SUM(E99:G99))</f>
        <v> </v>
      </c>
      <c r="I99" s="289" t="str">
        <f aca="false">VLOOKUP($A99,ScaledPrice,6)</f>
        <v> </v>
      </c>
      <c r="J99" s="290" t="str">
        <f aca="false">VLOOKUP($A99,ScaledPrice,10)</f>
        <v> </v>
      </c>
      <c r="K99" s="290" t="str">
        <f aca="false">VLOOKUP($A99,ScaledPrice,13)</f>
        <v> </v>
      </c>
      <c r="L99" s="290" t="str">
        <f aca="false">VLOOKUP($A99,ScaledPrice,7)</f>
        <v> </v>
      </c>
      <c r="M99" s="290" t="str">
        <f aca="false">VLOOKUP($A99,ScaledPrice,11)</f>
        <v> </v>
      </c>
      <c r="N99" s="290" t="str">
        <f aca="false">VLOOKUP($A99,ScaledPrice,13)</f>
        <v> </v>
      </c>
      <c r="O99" s="290" t="str">
        <f aca="false">VLOOKUP($A99,ScaledPrice,8)</f>
        <v> </v>
      </c>
      <c r="P99" s="290" t="str">
        <f aca="false">VLOOKUP($A99,ScaledPrice,12)</f>
        <v> </v>
      </c>
      <c r="Q99" s="291" t="str">
        <f aca="false">VLOOKUP($A99,ScaledPrice,13)</f>
        <v> </v>
      </c>
      <c r="R99" s="292" t="str">
        <f aca="false">IF($A99="N/A"," ",IF(Dayrun&gt;=3,IF(Option=1,MAX($I99-$H99,0),IF(Option=2,MAX($H99-$I99,0),0)),0))</f>
        <v> </v>
      </c>
      <c r="S99" s="286" t="str">
        <f aca="false">IF($A99="N/A"," ",IF(Dayrun&gt;=6,IF(Option=1,MAX($J99-H99,0),IF(Option=2,MAX(H99-$J99,0),0)),0))</f>
        <v> </v>
      </c>
      <c r="T99" s="286" t="str">
        <f aca="false">IF($A99="N/A"," ",IF(OR(Dayrun&lt;=2,Dayrun&gt;=9),IF(Option=1,MAX($K99-$H99,0),IF(Option=2,MAX($H99-$K99,0),0)),0))</f>
        <v> </v>
      </c>
      <c r="U99" s="286" t="str">
        <f aca="false">IF($A99="N/A"," ",IF(OR(Dayrun=1,Dayrun=4,Dayrun=5,Dayrun=7,Dayrun=8,Dayrun=10,Dayrun=11),IF(Option=1,MAX($L99-H99,0),IF(Option=2,MAX(H99-$L99,0),0)),0))</f>
        <v> </v>
      </c>
      <c r="V99" s="286" t="str">
        <f aca="false">IF($A99="N/A"," ",IF(OR(Dayrun=1,Dayrun=7,Dayrun=8,Dayrun=10,Dayrun=11),IF(Option=1,MAX($M99-H99,0),IF(Option=2,MAX(H99-$M99,0),0)),0))</f>
        <v> </v>
      </c>
      <c r="W99" s="286" t="str">
        <f aca="false">IF($A99="N/A"," ",IF(OR(Dayrun&lt;=2,Dayrun&gt;=10),IF(Option=1,MAX($N99-$H99,0),IF(Option=2,MAX($H99-$N99,0),0)),0))</f>
        <v> </v>
      </c>
      <c r="X99" s="286" t="str">
        <f aca="false">IF($A99="N/A"," ",IF(OR(Dayrun=1,Dayrun=5,Dayrun=8,Dayrun=11),IF(Option=1,MAX($O99-H99,0),IF(Option=2,MAX(H99-$O99,0),0)),0))</f>
        <v> </v>
      </c>
      <c r="Y99" s="286" t="str">
        <f aca="false">IF($A99="N/A"," ",IF(OR(Dayrun=1,Dayrun=8,Dayrun=11),IF(Option=1,MAX($P99-H99,0),IF(Option=2,MAX(H99-$P99,0),0)),0))</f>
        <v> </v>
      </c>
      <c r="Z99" s="293" t="str">
        <f aca="false">IF($A99="N/A"," ",IF(OR(Dayrun&lt;=2,Dayrun&gt;=11),IF(Option=1,MAX($Q99-$H99,0),IF(Option=2,MAX($H99-$Q99,0),0)),0))</f>
        <v> </v>
      </c>
      <c r="AA99" s="289" t="str">
        <f aca="false">IF($A99="N/A"," ",IF(Dayrun&gt;=3,(MAX(0,(xSPRDOPT(I99,($E99-'Pricing Inputs'!$X134*$D99),$CV99,0,($CN99+IF(Smile=TRUE(),VLOOKUP(MAX(-5,$H99-I99),Volsmile,2),0)),$CT99,$CU99,($A99-DateToday)+15,ABS(Option-2),0)-R99))),0))</f>
        <v> </v>
      </c>
      <c r="AB99" s="290" t="str">
        <f aca="false">IF($A99="N/A"," ",IF(Dayrun&gt;=6,MAX(0,(xSPRDOPT(J99,($E99-'Pricing Inputs'!$X134*$D99),$CV99,0,($CN99+IF(Smile=TRUE(),VLOOKUP(MAX(-5,$H99-J99),Volsmile,2),0)),$CT99,$CU99,($A99-DateToday)+15,ABS(Option-2),0)-S99)),0))</f>
        <v> </v>
      </c>
      <c r="AC99" s="290" t="str">
        <f aca="false">IF($A99="N/A"," ",IF(OR(Dayrun&lt;=2,Dayrun&gt;=9),IF(OffPeakEx=TRUE(),MAX(0,(xSPRDOPT(K99,($E99-'Pricing Inputs'!$X134*$D99),$CV99,0,($CQ99+IF(Smile=TRUE(),VLOOKUP(MAX(-5,$H99-K99),Volsmile,2),0)),$CT99,$CU99,($A99-DateToday)+15,ABS(Option-2),0)-T99)),0),0))</f>
        <v> </v>
      </c>
      <c r="AD99" s="290" t="str">
        <f aca="false">IF($A99="N/A"," ",IF(OR(Dayrun=1,Dayrun=4,Dayrun=5,Dayrun=7,Dayrun=8,Dayrun=10,Dayrun=11),MAX(0,(xSPRDOPT(L99,($E99-'Pricing Inputs'!$X134*$D99),$CV99,0,($CQ99+IF(Smile=TRUE(),VLOOKUP(MAX(-5,$H99-L99),Volsmile,2),0)),$CT99,$CU99,($A99-DateToday)+15,ABS(Option-2),0)-U99)),0))</f>
        <v> </v>
      </c>
      <c r="AE99" s="290" t="str">
        <f aca="false">IF($A99="N/A"," ",IF(OR(Dayrun=1,Dayrun=7,Dayrun=8,Dayrun=10,Dayrun=11),MAX(0,(xSPRDOPT(M99,($E99-'Pricing Inputs'!$X134*$D99),$CV99,0,($CQ99+IF(Smile=TRUE(),VLOOKUP(MAX(-5,$H99-M99),Volsmile,2),0)),$CT99,$CU99,($A99-DateToday)+15,ABS(Option-2),0)-V99)),0))</f>
        <v> </v>
      </c>
      <c r="AF99" s="290" t="str">
        <f aca="false">IF($A99="N/A"," ",IF(OR(Dayrun&lt;=2,Dayrun&gt;=10),IF(OffPeakEx=TRUE(),MAX(0,(xSPRDOPT(N99,($E99-'Pricing Inputs'!$X134*$D99),$CV99,0,($CQ99+IF(Smile=TRUE(),VLOOKUP(MAX(-5,$H99-N99),Volsmile,2),0)),$CT99,$CU99,($A99-DateToday)+15,ABS(Option-2),0)-W99)),0),0))</f>
        <v> </v>
      </c>
      <c r="AG99" s="290" t="str">
        <f aca="false">IF($A99="N/A"," ",IF(OR(Dayrun=1,Dayrun=5,Dayrun=8,Dayrun=11),MAX(0,(xSPRDOPT(O99,($E99-'Pricing Inputs'!$X134*$D99),$CV99,0,($CQ99+IF(Smile=TRUE(),VLOOKUP(MAX(-5,$H99-O99),Volsmile,2),0)),$CT99,$CU99,($A99-DateToday)+15,ABS(Option-2),0)-X99)),0))</f>
        <v> </v>
      </c>
      <c r="AH99" s="290" t="str">
        <f aca="false">IF($A99="N/A"," ",IF(OR(Dayrun=1,Dayrun=8,Dayrun=11),MAX(0,(xSPRDOPT(P99,($E99-'Pricing Inputs'!$X134*$D99),$CV99,0,($CQ99+IF(Smile=TRUE(),VLOOKUP(MAX(-5,$H99-P99),Volsmile,2),0)),$CT99,$CU99,($A99-DateToday)+15,ABS(Option-2),0)-Y99)),0))</f>
        <v> </v>
      </c>
      <c r="AI99" s="290" t="str">
        <f aca="false">IF($A99="N/A"," ",IF(OR(Dayrun&lt;=2,Dayrun&gt;=11),IF(OffPeakEx=TRUE(),MAX(0,(xSPRDOPT(Q99,($E99-'Pricing Inputs'!$X134*$D99),$CV99,0,($CQ99+IF(Smile=TRUE(),VLOOKUP(MAX(-5,$H99-Q99),Volsmile,2),0)),$CT99,$CU99,($A99-DateToday)+15,ABS(Option-2),0)-Z99)),0),0))</f>
        <v> </v>
      </c>
      <c r="AJ99" s="294" t="str">
        <f aca="false">IF($A99="N/A"," ",IF(Dayrun&gt;=3,IF(Option=1,$I99-$H99,IF(Option=2,$H99-$I99)),0))</f>
        <v> </v>
      </c>
      <c r="AK99" s="295" t="str">
        <f aca="false">IF($A99="N/A"," ",IF(Dayrun&gt;=6,IF(Option=1,$J99-H99,IF(Option=2,H99-$J99)),0))</f>
        <v> </v>
      </c>
      <c r="AL99" s="295" t="str">
        <f aca="false">IF($A99="N/A"," ",IF(OR(Dayrun&lt;=2,Dayrun&gt;=9),IF(Option=1,$K99-$H99,IF(Option=2,$H99-$K99)),0))</f>
        <v> </v>
      </c>
      <c r="AM99" s="295" t="str">
        <f aca="false">IF($A99="N/A"," ",IF(OR(Dayrun=1,Dayrun=4,Dayrun=5,Dayrun=7,Dayrun=8,Dayrun=10,Dayrun=11),IF(Option=1,$L99-H99,IF(Option=2,H99-$L99)),0))</f>
        <v> </v>
      </c>
      <c r="AN99" s="295" t="str">
        <f aca="false">IF($A99="N/A"," ",IF(OR(Dayrun=1,Dayrun=7,Dayrun=8,Dayrun=10,Dayrun=11),IF(Option=1,$M99-H99,IF(Option=2,H99-$M99)),0))</f>
        <v> </v>
      </c>
      <c r="AO99" s="295" t="str">
        <f aca="false">IF($A99="N/A"," ",IF(OR(Dayrun&lt;=2,Dayrun&gt;=9),IF(Option=1,$N99-$H99,IF(Option=2,$H99-$N99)),0))</f>
        <v> </v>
      </c>
      <c r="AP99" s="295" t="str">
        <f aca="false">IF($A99="N/A"," ",IF(OR(Dayrun=1,Dayrun=5,Dayrun=8,Dayrun=11),IF(Option=1,$O99-H99,IF(Option=2,H99-$O99)),0))</f>
        <v> </v>
      </c>
      <c r="AQ99" s="295" t="str">
        <f aca="false">IF($A99="N/A"," ",IF(OR(Dayrun=1,Dayrun=8,Dayrun=11),IF(Option=1,$P99-H99,IF(Option=2,H99-$P99)),0))</f>
        <v> </v>
      </c>
      <c r="AR99" s="296" t="str">
        <f aca="false">IF($A99="N/A"," ",IF(OR(Dayrun&lt;=2,Dayrun&gt;=9),IF(Option=1,$Q99-H99,IF(Option=2,H99-$Q99)),0))</f>
        <v> </v>
      </c>
      <c r="AS99" s="297" t="str">
        <f aca="false">IF($A99="N/A"," ",IF(VLOOKUP(MONTH($A99),ManualTable,2)=1,IF(Dayrun&gt;=3,$DE99*8*$CY99,0),0))</f>
        <v> </v>
      </c>
      <c r="AT99" s="297" t="str">
        <f aca="false">IF($A99="N/A"," ",IF(VLOOKUP(MONTH($A99),ManualTable,3)=1,IF(Dayrun&gt;=6,$DE99*8*$CY99,0),0))</f>
        <v> </v>
      </c>
      <c r="AU99" s="297" t="str">
        <f aca="false">IF($A99="N/A"," ",IF(VLOOKUP(MONTH($A99),ManualTable,4)=1,IF(OR(Dayrun&lt;=2,Dayrun&gt;=9),$DE99*8*$CY99,0),0))</f>
        <v> </v>
      </c>
      <c r="AV99" s="297" t="str">
        <f aca="false">IF($A99="N/A"," ",IF(VLOOKUP(MONTH($A99),ManualTable,5)=1,IF(OR(Dayrun=1,Dayrun=4,Dayrun=5,Dayrun=7,Dayrun=8,Dayrun=10,Dayrun=11),$DF99*8*$CY99,0),0))</f>
        <v> </v>
      </c>
      <c r="AW99" s="297" t="str">
        <f aca="false">IF($A99="N/A"," ",IF(VLOOKUP(MONTH($A99),ManualTable,6)=1,IF(OR(Dayrun=1,Dayrun=7,Dayrun=8,Dayrun=10,Dayrun=11),$DF99*8*$CY99,0),0))</f>
        <v> </v>
      </c>
      <c r="AX99" s="297" t="str">
        <f aca="false">IF($A99="N/A"," ",IF(VLOOKUP(MONTH($A99),ManualTable,7)=1,IF(OR(Dayrun&lt;=2,Dayrun&gt;=9),$DF99*8*$CY99,0),0))</f>
        <v> </v>
      </c>
      <c r="AY99" s="297" t="str">
        <f aca="false">IF($A99="N/A"," ",IF(VLOOKUP(MONTH($A99),ManualTable,8)=1,IF(OR(Dayrun=1,Dayrun=5,Dayrun=8,Dayrun=11),$DG99*8*$CY99,0),0))</f>
        <v> </v>
      </c>
      <c r="AZ99" s="297" t="str">
        <f aca="false">IF($A99="N/A"," ",IF(VLOOKUP(MONTH($A99),ManualTable,9)=1,IF(OR(Dayrun=1,Dayrun=8,Dayrun=11),$DG99*8*$CY99,0),0))</f>
        <v> </v>
      </c>
      <c r="BA99" s="298" t="str">
        <f aca="false">IF($A99="N/A"," ",IF(VLOOKUP(MONTH($A99),ManualTable,10)=1,IF(OR(Dayrun&lt;=2,Dayrun&gt;=9),$DG99*8*$CY99,0),0))</f>
        <v> </v>
      </c>
      <c r="BB99" s="299" t="str">
        <f aca="false">IF($A99="N/A"," ",IF(Dayrun&gt;=3,(MAX(0,(xSPRDOPT(I99,($E99-'Pricing Inputs'!$X134*$D99),$CV99,0,($CN99+IF(Smile=TRUE(),VLOOKUP(MAX(-5,$H99-I99),Volsmile,2),0)),$CT99,$CU99,($A99-DateToday)+15,ABS(Option-2),1)*DE99*8))),0))</f>
        <v> </v>
      </c>
      <c r="BC99" s="300" t="str">
        <f aca="false">IF($A99="N/A"," ",IF(Dayrun&gt;=6,MAX(0,(xSPRDOPT(J99,($E99-'Pricing Inputs'!$X134*$D99),$CV99,0,($CN99+IF(Smile=TRUE(),VLOOKUP(MAX(-5,$H99-J99),Volsmile,2),0)),$CT99,$CU99,($A99-DateToday)+15,ABS(Option-2),1)*DE99*8)),0))</f>
        <v> </v>
      </c>
      <c r="BD99" s="300" t="str">
        <f aca="false">IF($A99="N/A"," ",IF(OR(Dayrun&lt;=2,Dayrun&gt;=9),IF(OffPeakEx=TRUE(),MAX(0,(xSPRDOPT(K99,($E99-'Pricing Inputs'!$X134*$D99),$CV99,0,($CQ99+IF(Smile=TRUE(),VLOOKUP(MAX(-5,$H99-K99),Volsmile,2),0)),$CT99,$CU99,($A99-DateToday)+15,ABS(Option-2),1)*DE99*8)),0),0))</f>
        <v> </v>
      </c>
      <c r="BE99" s="300" t="str">
        <f aca="false">IF($A99="N/A"," ",IF(OR(Dayrun=1,Dayrun=4,Dayrun=5,Dayrun=7,Dayrun=8,Dayrun=10,Dayrun=11),MAX(0,(xSPRDOPT(L99,($E99-'Pricing Inputs'!$X134*$D99),$CV99,0,($CQ99+IF(Smile=TRUE(),VLOOKUP(MAX(-5,$H99-L99),Volsmile,2),0)),$CT99,$CU99,($A99-DateToday)+15,ABS(Option-2),1)*DF99*8)),0))</f>
        <v> </v>
      </c>
      <c r="BF99" s="300" t="str">
        <f aca="false">IF($A99="N/A"," ",IF(OR(Dayrun=1,Dayrun=7,Dayrun=8,Dayrun=10,Dayrun=11),MAX(0,(xSPRDOPT(M99,($E99-'Pricing Inputs'!$X134*$D99),$CV99,0,($CQ99+IF(Smile=TRUE(),VLOOKUP(MAX(-5,$H99-M99),Volsmile,2),0)),$CT99,$CU99,($A99-DateToday)+15,ABS(Option-2),1)*DF99*8)),0))</f>
        <v> </v>
      </c>
      <c r="BG99" s="300" t="str">
        <f aca="false">IF($A99="N/A"," ",IF(OR(Dayrun&lt;=2,Dayrun&gt;=10),IF(OffPeakEx=TRUE(),MAX(0,(xSPRDOPT(N99,($E99-'Pricing Inputs'!$X134*$D99),$CV99,0,($CQ99+IF(Smile=TRUE(),VLOOKUP(MAX(-5,$H99-N99),Volsmile,2),0)),$CT99,$CU99,($A99-DateToday)+15,ABS(Option-2),1)*DF99*8)),0),0))</f>
        <v> </v>
      </c>
      <c r="BH99" s="300" t="str">
        <f aca="false">IF($A99="N/A"," ",IF(OR(Dayrun=1,Dayrun=5,Dayrun=8,Dayrun=11),MAX(0,(xSPRDOPT(O99,($E99-'Pricing Inputs'!$X134*$D99),$CV99,0,($CQ99+IF(Smile=TRUE(),VLOOKUP(MAX(-5,$H99-O99),Volsmile,2),0)),$CT99,$CU99,($A99-DateToday)+15,ABS(Option-2),1)*DG99*8)),0))</f>
        <v> </v>
      </c>
      <c r="BI99" s="300" t="str">
        <f aca="false">IF($A99="N/A"," ",IF(OR(Dayrun=1,Dayrun=8,Dayrun=11),MAX(0,(xSPRDOPT(P99,($E99-'Pricing Inputs'!$X134*$D99),$CV99,0,($CQ99+IF(Smile=TRUE(),VLOOKUP(MAX(-5,$H99-P99),Volsmile,2),0)),$CT99,$CU99,($A99-DateToday)+15,ABS(Option-2),1)*DG99*8)),0))</f>
        <v> </v>
      </c>
      <c r="BJ99" s="301" t="str">
        <f aca="false">IF($A99="N/A"," ",IF(OR(Dayrun&lt;=2,Dayrun&gt;=11),IF(OffPeakEx=TRUE(),MAX(0,(xSPRDOPT(Q99,($E99-'Pricing Inputs'!$X134*$D99),$CV99,0,($CQ99+IF(Smile=TRUE(),VLOOKUP(MAX(-5,$H99-Q99),Volsmile,2),0)),$CT99,$CU99,($A99-DateToday)+15,ABS(Option-2),1)*DG99*8)),0),0))</f>
        <v> </v>
      </c>
      <c r="BK99" s="302" t="str">
        <f aca="false">IF($A99="N/A"," ",R99*$AS99)</f>
        <v> </v>
      </c>
      <c r="BL99" s="303" t="str">
        <f aca="false">IF($A99="N/A"," ",S99*$AT99)</f>
        <v> </v>
      </c>
      <c r="BM99" s="303" t="str">
        <f aca="false">IF($A99="N/A"," ",T99*$AU99)</f>
        <v> </v>
      </c>
      <c r="BN99" s="303" t="str">
        <f aca="false">IF($A99="N/A"," ",U99*$AV99)</f>
        <v> </v>
      </c>
      <c r="BO99" s="303" t="str">
        <f aca="false">IF($A99="N/A"," ",V99*$AW99)</f>
        <v> </v>
      </c>
      <c r="BP99" s="303" t="str">
        <f aca="false">IF($A99="N/A"," ",W99*$AX99)</f>
        <v> </v>
      </c>
      <c r="BQ99" s="303" t="str">
        <f aca="false">IF($A99="N/A"," ",X99*$AY99)</f>
        <v> </v>
      </c>
      <c r="BR99" s="303" t="str">
        <f aca="false">IF($A99="N/A"," ",Y99*$AZ99)</f>
        <v> </v>
      </c>
      <c r="BS99" s="304" t="str">
        <f aca="false">IF($A99="N/A"," ",Z99*$BA99)</f>
        <v> </v>
      </c>
      <c r="BT99" s="305" t="str">
        <f aca="false">IF($A99="N/A"," ",AA99*$AS99)</f>
        <v> </v>
      </c>
      <c r="BU99" s="306" t="str">
        <f aca="false">IF($A99="N/A"," ",AB99*$AT99)</f>
        <v> </v>
      </c>
      <c r="BV99" s="306" t="str">
        <f aca="false">IF($A99="N/A"," ",AC99*$AU99)</f>
        <v> </v>
      </c>
      <c r="BW99" s="306" t="str">
        <f aca="false">IF($A99="N/A"," ",AD99*$AV99)</f>
        <v> </v>
      </c>
      <c r="BX99" s="306" t="str">
        <f aca="false">IF($A99="N/A"," ",AE99*$AW99)</f>
        <v> </v>
      </c>
      <c r="BY99" s="306" t="str">
        <f aca="false">IF($A99="N/A"," ",AF99*$AX99)</f>
        <v> </v>
      </c>
      <c r="BZ99" s="306" t="str">
        <f aca="false">IF($A99="N/A"," ",AG99*$AY99)</f>
        <v> </v>
      </c>
      <c r="CA99" s="306" t="str">
        <f aca="false">IF($A99="N/A"," ",AH99*$AZ99)</f>
        <v> </v>
      </c>
      <c r="CB99" s="307" t="str">
        <f aca="false">IF($A99="N/A"," ",AI99*$BA99)</f>
        <v> </v>
      </c>
      <c r="CC99" s="308" t="str">
        <f aca="false">IF($A99="N/A"," ",AJ99*$AS99)</f>
        <v> </v>
      </c>
      <c r="CD99" s="309" t="str">
        <f aca="false">IF($A99="N/A"," ",AK99*$AT99)</f>
        <v> </v>
      </c>
      <c r="CE99" s="309" t="str">
        <f aca="false">IF($A99="N/A"," ",AL99*$AU99)</f>
        <v> </v>
      </c>
      <c r="CF99" s="309" t="str">
        <f aca="false">IF($A99="N/A"," ",AM99*$AV99)</f>
        <v> </v>
      </c>
      <c r="CG99" s="309" t="str">
        <f aca="false">IF($A99="N/A"," ",AN99*$AW99)</f>
        <v> </v>
      </c>
      <c r="CH99" s="309" t="str">
        <f aca="false">IF($A99="N/A"," ",AO99*$AX99)</f>
        <v> </v>
      </c>
      <c r="CI99" s="309" t="str">
        <f aca="false">IF($A99="N/A"," ",AP99*$AY99)</f>
        <v> </v>
      </c>
      <c r="CJ99" s="309" t="str">
        <f aca="false">IF($A99="N/A"," ",AQ99*$AZ99)</f>
        <v> </v>
      </c>
      <c r="CK99" s="310" t="str">
        <f aca="false">IF($A99="N/A"," ",AR99*$BA99)</f>
        <v> </v>
      </c>
      <c r="CL99" s="311" t="str">
        <f aca="false">IF(A99="N/A"," ",(VLOOKUP(A99,PowerVolTable,(IF(VolBMO=2,7,IF(VolBMO=1,6,8))),FALSE())))</f>
        <v> </v>
      </c>
      <c r="CM99" s="312" t="str">
        <f aca="false">IF(A99="N/A"," ",(VLOOKUP(A99,IntraPowerVol,(IF(VolBMO=2,3,IF(VolBMO=1,2,4))),FALSE())*VLOOKUP(MONTH($A99),Volscale,2)))</f>
        <v> </v>
      </c>
      <c r="CN99" s="312" t="str">
        <f aca="false">IF($A99="N/A"," ",IF(VolType=1,CM99,CL99))</f>
        <v> </v>
      </c>
      <c r="CO99" s="312" t="str">
        <f aca="false">IF($A99="N/A"," ",(VLOOKUP($A99,OffPeakVol,(IF(VolBMO=2,7,IF(VolBMO=1,6,8))),FALSE())))</f>
        <v> </v>
      </c>
      <c r="CP99" s="312" t="str">
        <f aca="false">IF($A99="N/A"," ",(VLOOKUP($A99,OffPeakVol,(IF(VolBMO=2,3,IF(VolBMO=1,2,4))),FALSE())*VLOOKUP(MONTH($A99),Volscale,2)))</f>
        <v> </v>
      </c>
      <c r="CQ99" s="312" t="str">
        <f aca="false">IF($A99="N/A"," ",IF(VolType=1,CP99,CO99))</f>
        <v> </v>
      </c>
      <c r="CR99" s="312" t="str">
        <f aca="false">IF($A99="N/A"," ",(VLOOKUP($A99,GasVolTable,(IF(VolBMO=2,6,IF(VolBMO=1,7,5))),FALSE())))</f>
        <v> </v>
      </c>
      <c r="CS99" s="312" t="str">
        <f aca="false">IF($A99="N/A"," ",(VLOOKUP($A99,OmicronVol,(IF(VolBMO=2,3,IF(VolBMO=1,4,2))),FALSE())))</f>
        <v> </v>
      </c>
      <c r="CT99" s="312" t="str">
        <f aca="false">IF($A99="N/A"," ",(IF(DateToday&gt;$A99,$CS99,IF(VolType=1,((($CR99^2)*((($A99-1)-DateToday)/((EOMONTH($A99,0)+1)-DateToday-15)))+((($CS99)^2)*((15)/((EOMONTH($A99,0)+1)-DateToday-15))))^0.5,CR99))))</f>
        <v> </v>
      </c>
      <c r="CU99" s="312" t="str">
        <f aca="false">IF($A99="N/A"," ",IF('Pricing Inputs'!$AR$23=TRUE(),Inputs!$S$22,VLOOKUP($A99,CorrelationTable,2,FALSE())))</f>
        <v> </v>
      </c>
      <c r="CV99" s="313" t="str">
        <f aca="false">IF($A99="N/A"," ",F99+G99+(D99*('Pricing Inputs'!X134)))</f>
        <v> </v>
      </c>
      <c r="CW99" s="314" t="str">
        <f aca="false">IF($A99="N/A"," ",IF(PV=1,0,'Pricing Inputs'!Y134))</f>
        <v> </v>
      </c>
      <c r="CX99" s="315" t="str">
        <f aca="false">IF($A99="N/A"," ",(1+CW99/2)^(-2*((EOMONTH(A99,0)+20)-DateToday)/365.25))</f>
        <v> </v>
      </c>
      <c r="CY99" s="316" t="str">
        <f aca="false">IF($A99="N/A"," ",(IF(MONTH(A99)&gt;=4,IF(MONTH(A99)&lt;=10,Inputs!$S$26,Inputs!$S$27),Inputs!$S$27))*$CX99)</f>
        <v> </v>
      </c>
      <c r="CZ99" s="317" t="str">
        <f aca="false">IF($A99="N/A"," ",BK99+BL99+BN99+BO99+BQ99+BR99)</f>
        <v> </v>
      </c>
      <c r="DA99" s="318" t="str">
        <f aca="false">IF($A99="N/A"," ",BM99+BP99+BS99)</f>
        <v> </v>
      </c>
      <c r="DB99" s="319" t="str">
        <f aca="false">IF($A99="N/A"," ",BT99+BU99+BW99+BX99+BZ99+CA99)</f>
        <v> </v>
      </c>
      <c r="DC99" s="319" t="str">
        <f aca="false">IF($A99="N/A"," ",BV99+BY99+CB99)</f>
        <v> </v>
      </c>
      <c r="DD99" s="320" t="str">
        <f aca="false">IF($A99="N/A"," ",SUM(CC99:CK99))</f>
        <v> </v>
      </c>
      <c r="DE99" s="321" t="str">
        <f aca="false">IF($A99="N/A"," ",VLOOKUP($A99,NumberofDaysTable,2)*Availability)</f>
        <v> </v>
      </c>
      <c r="DF99" s="94" t="str">
        <f aca="false">IF($A99="N/A"," ",VLOOKUP($A99,NumberofDaysTable,3)*Availability)</f>
        <v> </v>
      </c>
      <c r="DG99" s="322" t="str">
        <f aca="false">IF($A99="N/A"," ",VLOOKUP($A99,NumberofDaysTable,4)*Availability)</f>
        <v> </v>
      </c>
      <c r="DH99" s="323" t="str">
        <f aca="false">IF($A99="N/A"," ",IF(Option=1,$D99*Inputs!$S$15*SUM(AS99:BA99),0))</f>
        <v> </v>
      </c>
      <c r="DI99" s="324" t="str">
        <f aca="false">IF($A99="N/A"," ",IF(Option=1,$D99*Inputs!$S$16*SUM(AS99:BA99),0))</f>
        <v> </v>
      </c>
      <c r="DJ99" s="325" t="str">
        <f aca="false">IF($A99="N/A"," ",SUM(AS99:AT99))</f>
        <v> </v>
      </c>
      <c r="DK99" s="325" t="str">
        <f aca="false">IF($A99="N/A"," ",SUM(AU99:BA99))</f>
        <v> </v>
      </c>
      <c r="DL99" s="325" t="str">
        <f aca="false">IF($A99="N/A"," ",SUM(BB99:BC99))</f>
        <v> </v>
      </c>
      <c r="DM99" s="325" t="str">
        <f aca="false">IF($A99="N/A"," ",SUM(BD99:BJ99))</f>
        <v> </v>
      </c>
    </row>
    <row r="100" customFormat="false" ht="12.75" hidden="false" customHeight="false" outlineLevel="0" collapsed="false">
      <c r="A100" s="282" t="str">
        <f aca="false">IF(A99="N/A","N/A",IF(EDATE(A99,1)&gt;Inputs!$S$5,"N/A",EDATE(A99,1)))</f>
        <v>N/A</v>
      </c>
      <c r="B100" s="283" t="str">
        <f aca="false">IF(A100="N/A"," ",YEAR(A100))</f>
        <v> </v>
      </c>
      <c r="C100" s="284" t="str">
        <f aca="false">IF(A100="N/A"," ",VLOOKUP(A100,ScaledPrice,14))</f>
        <v> </v>
      </c>
      <c r="D100" s="285" t="str">
        <f aca="false">IF(A100="N/A"," ",(VLOOKUP(MONTH($A100),Hrtable,2))/1000)</f>
        <v> </v>
      </c>
      <c r="E100" s="286" t="str">
        <f aca="false">IF($A100="N/A"," ",(C100)*D100)</f>
        <v> </v>
      </c>
      <c r="F100" s="287" t="str">
        <f aca="false">IF(A100="N/A"," ",VOM*(1+VOMesc)^(YEAR(A100)-YEAR(Today)))</f>
        <v> </v>
      </c>
      <c r="G100" s="287" t="str">
        <f aca="false">IF(A100="N/A"," ",Perstart/VLOOKUP(Dayrun,'Pricing Inputs'!$AQ$4:$AS$14,3)/(CY100/CX100))</f>
        <v> </v>
      </c>
      <c r="H100" s="288" t="str">
        <f aca="false">IF(A100="N/A"," ",SUM(E100:G100))</f>
        <v> </v>
      </c>
      <c r="I100" s="289" t="str">
        <f aca="false">VLOOKUP($A100,ScaledPrice,6)</f>
        <v> </v>
      </c>
      <c r="J100" s="290" t="str">
        <f aca="false">VLOOKUP($A100,ScaledPrice,10)</f>
        <v> </v>
      </c>
      <c r="K100" s="290" t="str">
        <f aca="false">VLOOKUP($A100,ScaledPrice,13)</f>
        <v> </v>
      </c>
      <c r="L100" s="290" t="str">
        <f aca="false">VLOOKUP($A100,ScaledPrice,7)</f>
        <v> </v>
      </c>
      <c r="M100" s="290" t="str">
        <f aca="false">VLOOKUP($A100,ScaledPrice,11)</f>
        <v> </v>
      </c>
      <c r="N100" s="290" t="str">
        <f aca="false">VLOOKUP($A100,ScaledPrice,13)</f>
        <v> </v>
      </c>
      <c r="O100" s="290" t="str">
        <f aca="false">VLOOKUP($A100,ScaledPrice,8)</f>
        <v> </v>
      </c>
      <c r="P100" s="290" t="str">
        <f aca="false">VLOOKUP($A100,ScaledPrice,12)</f>
        <v> </v>
      </c>
      <c r="Q100" s="291" t="str">
        <f aca="false">VLOOKUP($A100,ScaledPrice,13)</f>
        <v> </v>
      </c>
      <c r="R100" s="292" t="str">
        <f aca="false">IF($A100="N/A"," ",IF(Dayrun&gt;=3,IF(Option=1,MAX($I100-$H100,0),IF(Option=2,MAX($H100-$I100,0),0)),0))</f>
        <v> </v>
      </c>
      <c r="S100" s="286" t="str">
        <f aca="false">IF($A100="N/A"," ",IF(Dayrun&gt;=6,IF(Option=1,MAX($J100-H100,0),IF(Option=2,MAX(H100-$J100,0),0)),0))</f>
        <v> </v>
      </c>
      <c r="T100" s="286" t="str">
        <f aca="false">IF($A100="N/A"," ",IF(OR(Dayrun&lt;=2,Dayrun&gt;=9),IF(Option=1,MAX($K100-$H100,0),IF(Option=2,MAX($H100-$K100,0),0)),0))</f>
        <v> </v>
      </c>
      <c r="U100" s="286" t="str">
        <f aca="false">IF($A100="N/A"," ",IF(OR(Dayrun=1,Dayrun=4,Dayrun=5,Dayrun=7,Dayrun=8,Dayrun=10,Dayrun=11),IF(Option=1,MAX($L100-H100,0),IF(Option=2,MAX(H100-$L100,0),0)),0))</f>
        <v> </v>
      </c>
      <c r="V100" s="286" t="str">
        <f aca="false">IF($A100="N/A"," ",IF(OR(Dayrun=1,Dayrun=7,Dayrun=8,Dayrun=10,Dayrun=11),IF(Option=1,MAX($M100-H100,0),IF(Option=2,MAX(H100-$M100,0),0)),0))</f>
        <v> </v>
      </c>
      <c r="W100" s="286" t="str">
        <f aca="false">IF($A100="N/A"," ",IF(OR(Dayrun&lt;=2,Dayrun&gt;=10),IF(Option=1,MAX($N100-$H100,0),IF(Option=2,MAX($H100-$N100,0),0)),0))</f>
        <v> </v>
      </c>
      <c r="X100" s="286" t="str">
        <f aca="false">IF($A100="N/A"," ",IF(OR(Dayrun=1,Dayrun=5,Dayrun=8,Dayrun=11),IF(Option=1,MAX($O100-H100,0),IF(Option=2,MAX(H100-$O100,0),0)),0))</f>
        <v> </v>
      </c>
      <c r="Y100" s="286" t="str">
        <f aca="false">IF($A100="N/A"," ",IF(OR(Dayrun=1,Dayrun=8,Dayrun=11),IF(Option=1,MAX($P100-H100,0),IF(Option=2,MAX(H100-$P100,0),0)),0))</f>
        <v> </v>
      </c>
      <c r="Z100" s="293" t="str">
        <f aca="false">IF($A100="N/A"," ",IF(OR(Dayrun&lt;=2,Dayrun&gt;=11),IF(Option=1,MAX($Q100-$H100,0),IF(Option=2,MAX($H100-$Q100,0),0)),0))</f>
        <v> </v>
      </c>
      <c r="AA100" s="289" t="str">
        <f aca="false">IF($A100="N/A"," ",IF(Dayrun&gt;=3,(MAX(0,(xSPRDOPT(I100,($E100-'Pricing Inputs'!$X135*$D100),$CV100,0,($CN100+IF(Smile=TRUE(),VLOOKUP(MAX(-5,$H100-I100),Volsmile,2),0)),$CT100,$CU100,($A100-DateToday)+15,ABS(Option-2),0)-R100))),0))</f>
        <v> </v>
      </c>
      <c r="AB100" s="290" t="str">
        <f aca="false">IF($A100="N/A"," ",IF(Dayrun&gt;=6,MAX(0,(xSPRDOPT(J100,($E100-'Pricing Inputs'!$X135*$D100),$CV100,0,($CN100+IF(Smile=TRUE(),VLOOKUP(MAX(-5,$H100-J100),Volsmile,2),0)),$CT100,$CU100,($A100-DateToday)+15,ABS(Option-2),0)-S100)),0))</f>
        <v> </v>
      </c>
      <c r="AC100" s="290" t="str">
        <f aca="false">IF($A100="N/A"," ",IF(OR(Dayrun&lt;=2,Dayrun&gt;=9),IF(OffPeakEx=TRUE(),MAX(0,(xSPRDOPT(K100,($E100-'Pricing Inputs'!$X135*$D100),$CV100,0,($CQ100+IF(Smile=TRUE(),VLOOKUP(MAX(-5,$H100-K100),Volsmile,2),0)),$CT100,$CU100,($A100-DateToday)+15,ABS(Option-2),0)-T100)),0),0))</f>
        <v> </v>
      </c>
      <c r="AD100" s="290" t="str">
        <f aca="false">IF($A100="N/A"," ",IF(OR(Dayrun=1,Dayrun=4,Dayrun=5,Dayrun=7,Dayrun=8,Dayrun=10,Dayrun=11),MAX(0,(xSPRDOPT(L100,($E100-'Pricing Inputs'!$X135*$D100),$CV100,0,($CQ100+IF(Smile=TRUE(),VLOOKUP(MAX(-5,$H100-L100),Volsmile,2),0)),$CT100,$CU100,($A100-DateToday)+15,ABS(Option-2),0)-U100)),0))</f>
        <v> </v>
      </c>
      <c r="AE100" s="290" t="str">
        <f aca="false">IF($A100="N/A"," ",IF(OR(Dayrun=1,Dayrun=7,Dayrun=8,Dayrun=10,Dayrun=11),MAX(0,(xSPRDOPT(M100,($E100-'Pricing Inputs'!$X135*$D100),$CV100,0,($CQ100+IF(Smile=TRUE(),VLOOKUP(MAX(-5,$H100-M100),Volsmile,2),0)),$CT100,$CU100,($A100-DateToday)+15,ABS(Option-2),0)-V100)),0))</f>
        <v> </v>
      </c>
      <c r="AF100" s="290" t="str">
        <f aca="false">IF($A100="N/A"," ",IF(OR(Dayrun&lt;=2,Dayrun&gt;=10),IF(OffPeakEx=TRUE(),MAX(0,(xSPRDOPT(N100,($E100-'Pricing Inputs'!$X135*$D100),$CV100,0,($CQ100+IF(Smile=TRUE(),VLOOKUP(MAX(-5,$H100-N100),Volsmile,2),0)),$CT100,$CU100,($A100-DateToday)+15,ABS(Option-2),0)-W100)),0),0))</f>
        <v> </v>
      </c>
      <c r="AG100" s="290" t="str">
        <f aca="false">IF($A100="N/A"," ",IF(OR(Dayrun=1,Dayrun=5,Dayrun=8,Dayrun=11),MAX(0,(xSPRDOPT(O100,($E100-'Pricing Inputs'!$X135*$D100),$CV100,0,($CQ100+IF(Smile=TRUE(),VLOOKUP(MAX(-5,$H100-O100),Volsmile,2),0)),$CT100,$CU100,($A100-DateToday)+15,ABS(Option-2),0)-X100)),0))</f>
        <v> </v>
      </c>
      <c r="AH100" s="290" t="str">
        <f aca="false">IF($A100="N/A"," ",IF(OR(Dayrun=1,Dayrun=8,Dayrun=11),MAX(0,(xSPRDOPT(P100,($E100-'Pricing Inputs'!$X135*$D100),$CV100,0,($CQ100+IF(Smile=TRUE(),VLOOKUP(MAX(-5,$H100-P100),Volsmile,2),0)),$CT100,$CU100,($A100-DateToday)+15,ABS(Option-2),0)-Y100)),0))</f>
        <v> </v>
      </c>
      <c r="AI100" s="290" t="str">
        <f aca="false">IF($A100="N/A"," ",IF(OR(Dayrun&lt;=2,Dayrun&gt;=11),IF(OffPeakEx=TRUE(),MAX(0,(xSPRDOPT(Q100,($E100-'Pricing Inputs'!$X135*$D100),$CV100,0,($CQ100+IF(Smile=TRUE(),VLOOKUP(MAX(-5,$H100-Q100),Volsmile,2),0)),$CT100,$CU100,($A100-DateToday)+15,ABS(Option-2),0)-Z100)),0),0))</f>
        <v> </v>
      </c>
      <c r="AJ100" s="294" t="str">
        <f aca="false">IF($A100="N/A"," ",IF(Dayrun&gt;=3,IF(Option=1,$I100-$H100,IF(Option=2,$H100-$I100)),0))</f>
        <v> </v>
      </c>
      <c r="AK100" s="295" t="str">
        <f aca="false">IF($A100="N/A"," ",IF(Dayrun&gt;=6,IF(Option=1,$J100-H100,IF(Option=2,H100-$J100)),0))</f>
        <v> </v>
      </c>
      <c r="AL100" s="295" t="str">
        <f aca="false">IF($A100="N/A"," ",IF(OR(Dayrun&lt;=2,Dayrun&gt;=9),IF(Option=1,$K100-$H100,IF(Option=2,$H100-$K100)),0))</f>
        <v> </v>
      </c>
      <c r="AM100" s="295" t="str">
        <f aca="false">IF($A100="N/A"," ",IF(OR(Dayrun=1,Dayrun=4,Dayrun=5,Dayrun=7,Dayrun=8,Dayrun=10,Dayrun=11),IF(Option=1,$L100-H100,IF(Option=2,H100-$L100)),0))</f>
        <v> </v>
      </c>
      <c r="AN100" s="295" t="str">
        <f aca="false">IF($A100="N/A"," ",IF(OR(Dayrun=1,Dayrun=7,Dayrun=8,Dayrun=10,Dayrun=11),IF(Option=1,$M100-H100,IF(Option=2,H100-$M100)),0))</f>
        <v> </v>
      </c>
      <c r="AO100" s="295" t="str">
        <f aca="false">IF($A100="N/A"," ",IF(OR(Dayrun&lt;=2,Dayrun&gt;=9),IF(Option=1,$N100-$H100,IF(Option=2,$H100-$N100)),0))</f>
        <v> </v>
      </c>
      <c r="AP100" s="295" t="str">
        <f aca="false">IF($A100="N/A"," ",IF(OR(Dayrun=1,Dayrun=5,Dayrun=8,Dayrun=11),IF(Option=1,$O100-H100,IF(Option=2,H100-$O100)),0))</f>
        <v> </v>
      </c>
      <c r="AQ100" s="295" t="str">
        <f aca="false">IF($A100="N/A"," ",IF(OR(Dayrun=1,Dayrun=8,Dayrun=11),IF(Option=1,$P100-H100,IF(Option=2,H100-$P100)),0))</f>
        <v> </v>
      </c>
      <c r="AR100" s="296" t="str">
        <f aca="false">IF($A100="N/A"," ",IF(OR(Dayrun&lt;=2,Dayrun&gt;=9),IF(Option=1,$Q100-H100,IF(Option=2,H100-$Q100)),0))</f>
        <v> </v>
      </c>
      <c r="AS100" s="297" t="str">
        <f aca="false">IF($A100="N/A"," ",IF(VLOOKUP(MONTH($A100),ManualTable,2)=1,IF(Dayrun&gt;=3,$DE100*8*$CY100,0),0))</f>
        <v> </v>
      </c>
      <c r="AT100" s="297" t="str">
        <f aca="false">IF($A100="N/A"," ",IF(VLOOKUP(MONTH($A100),ManualTable,3)=1,IF(Dayrun&gt;=6,$DE100*8*$CY100,0),0))</f>
        <v> </v>
      </c>
      <c r="AU100" s="297" t="str">
        <f aca="false">IF($A100="N/A"," ",IF(VLOOKUP(MONTH($A100),ManualTable,4)=1,IF(OR(Dayrun&lt;=2,Dayrun&gt;=9),$DE100*8*$CY100,0),0))</f>
        <v> </v>
      </c>
      <c r="AV100" s="297" t="str">
        <f aca="false">IF($A100="N/A"," ",IF(VLOOKUP(MONTH($A100),ManualTable,5)=1,IF(OR(Dayrun=1,Dayrun=4,Dayrun=5,Dayrun=7,Dayrun=8,Dayrun=10,Dayrun=11),$DF100*8*$CY100,0),0))</f>
        <v> </v>
      </c>
      <c r="AW100" s="297" t="str">
        <f aca="false">IF($A100="N/A"," ",IF(VLOOKUP(MONTH($A100),ManualTable,6)=1,IF(OR(Dayrun=1,Dayrun=7,Dayrun=8,Dayrun=10,Dayrun=11),$DF100*8*$CY100,0),0))</f>
        <v> </v>
      </c>
      <c r="AX100" s="297" t="str">
        <f aca="false">IF($A100="N/A"," ",IF(VLOOKUP(MONTH($A100),ManualTable,7)=1,IF(OR(Dayrun&lt;=2,Dayrun&gt;=9),$DF100*8*$CY100,0),0))</f>
        <v> </v>
      </c>
      <c r="AY100" s="297" t="str">
        <f aca="false">IF($A100="N/A"," ",IF(VLOOKUP(MONTH($A100),ManualTable,8)=1,IF(OR(Dayrun=1,Dayrun=5,Dayrun=8,Dayrun=11),$DG100*8*$CY100,0),0))</f>
        <v> </v>
      </c>
      <c r="AZ100" s="297" t="str">
        <f aca="false">IF($A100="N/A"," ",IF(VLOOKUP(MONTH($A100),ManualTable,9)=1,IF(OR(Dayrun=1,Dayrun=8,Dayrun=11),$DG100*8*$CY100,0),0))</f>
        <v> </v>
      </c>
      <c r="BA100" s="298" t="str">
        <f aca="false">IF($A100="N/A"," ",IF(VLOOKUP(MONTH($A100),ManualTable,10)=1,IF(OR(Dayrun&lt;=2,Dayrun&gt;=9),$DG100*8*$CY100,0),0))</f>
        <v> </v>
      </c>
      <c r="BB100" s="299" t="str">
        <f aca="false">IF($A100="N/A"," ",IF(Dayrun&gt;=3,(MAX(0,(xSPRDOPT(I100,($E100-'Pricing Inputs'!$X135*$D100),$CV100,0,($CN100+IF(Smile=TRUE(),VLOOKUP(MAX(-5,$H100-I100),Volsmile,2),0)),$CT100,$CU100,($A100-DateToday)+15,ABS(Option-2),1)*DE100*8))),0))</f>
        <v> </v>
      </c>
      <c r="BC100" s="300" t="str">
        <f aca="false">IF($A100="N/A"," ",IF(Dayrun&gt;=6,MAX(0,(xSPRDOPT(J100,($E100-'Pricing Inputs'!$X135*$D100),$CV100,0,($CN100+IF(Smile=TRUE(),VLOOKUP(MAX(-5,$H100-J100),Volsmile,2),0)),$CT100,$CU100,($A100-DateToday)+15,ABS(Option-2),1)*DE100*8)),0))</f>
        <v> </v>
      </c>
      <c r="BD100" s="300" t="str">
        <f aca="false">IF($A100="N/A"," ",IF(OR(Dayrun&lt;=2,Dayrun&gt;=9),IF(OffPeakEx=TRUE(),MAX(0,(xSPRDOPT(K100,($E100-'Pricing Inputs'!$X135*$D100),$CV100,0,($CQ100+IF(Smile=TRUE(),VLOOKUP(MAX(-5,$H100-K100),Volsmile,2),0)),$CT100,$CU100,($A100-DateToday)+15,ABS(Option-2),1)*DE100*8)),0),0))</f>
        <v> </v>
      </c>
      <c r="BE100" s="300" t="str">
        <f aca="false">IF($A100="N/A"," ",IF(OR(Dayrun=1,Dayrun=4,Dayrun=5,Dayrun=7,Dayrun=8,Dayrun=10,Dayrun=11),MAX(0,(xSPRDOPT(L100,($E100-'Pricing Inputs'!$X135*$D100),$CV100,0,($CQ100+IF(Smile=TRUE(),VLOOKUP(MAX(-5,$H100-L100),Volsmile,2),0)),$CT100,$CU100,($A100-DateToday)+15,ABS(Option-2),1)*DF100*8)),0))</f>
        <v> </v>
      </c>
      <c r="BF100" s="300" t="str">
        <f aca="false">IF($A100="N/A"," ",IF(OR(Dayrun=1,Dayrun=7,Dayrun=8,Dayrun=10,Dayrun=11),MAX(0,(xSPRDOPT(M100,($E100-'Pricing Inputs'!$X135*$D100),$CV100,0,($CQ100+IF(Smile=TRUE(),VLOOKUP(MAX(-5,$H100-M100),Volsmile,2),0)),$CT100,$CU100,($A100-DateToday)+15,ABS(Option-2),1)*DF100*8)),0))</f>
        <v> </v>
      </c>
      <c r="BG100" s="300" t="str">
        <f aca="false">IF($A100="N/A"," ",IF(OR(Dayrun&lt;=2,Dayrun&gt;=10),IF(OffPeakEx=TRUE(),MAX(0,(xSPRDOPT(N100,($E100-'Pricing Inputs'!$X135*$D100),$CV100,0,($CQ100+IF(Smile=TRUE(),VLOOKUP(MAX(-5,$H100-N100),Volsmile,2),0)),$CT100,$CU100,($A100-DateToday)+15,ABS(Option-2),1)*DF100*8)),0),0))</f>
        <v> </v>
      </c>
      <c r="BH100" s="300" t="str">
        <f aca="false">IF($A100="N/A"," ",IF(OR(Dayrun=1,Dayrun=5,Dayrun=8,Dayrun=11),MAX(0,(xSPRDOPT(O100,($E100-'Pricing Inputs'!$X135*$D100),$CV100,0,($CQ100+IF(Smile=TRUE(),VLOOKUP(MAX(-5,$H100-O100),Volsmile,2),0)),$CT100,$CU100,($A100-DateToday)+15,ABS(Option-2),1)*DG100*8)),0))</f>
        <v> </v>
      </c>
      <c r="BI100" s="300" t="str">
        <f aca="false">IF($A100="N/A"," ",IF(OR(Dayrun=1,Dayrun=8,Dayrun=11),MAX(0,(xSPRDOPT(P100,($E100-'Pricing Inputs'!$X135*$D100),$CV100,0,($CQ100+IF(Smile=TRUE(),VLOOKUP(MAX(-5,$H100-P100),Volsmile,2),0)),$CT100,$CU100,($A100-DateToday)+15,ABS(Option-2),1)*DG100*8)),0))</f>
        <v> </v>
      </c>
      <c r="BJ100" s="301" t="str">
        <f aca="false">IF($A100="N/A"," ",IF(OR(Dayrun&lt;=2,Dayrun&gt;=11),IF(OffPeakEx=TRUE(),MAX(0,(xSPRDOPT(Q100,($E100-'Pricing Inputs'!$X135*$D100),$CV100,0,($CQ100+IF(Smile=TRUE(),VLOOKUP(MAX(-5,$H100-Q100),Volsmile,2),0)),$CT100,$CU100,($A100-DateToday)+15,ABS(Option-2),1)*DG100*8)),0),0))</f>
        <v> </v>
      </c>
      <c r="BK100" s="302" t="str">
        <f aca="false">IF($A100="N/A"," ",R100*$AS100)</f>
        <v> </v>
      </c>
      <c r="BL100" s="303" t="str">
        <f aca="false">IF($A100="N/A"," ",S100*$AT100)</f>
        <v> </v>
      </c>
      <c r="BM100" s="303" t="str">
        <f aca="false">IF($A100="N/A"," ",T100*$AU100)</f>
        <v> </v>
      </c>
      <c r="BN100" s="303" t="str">
        <f aca="false">IF($A100="N/A"," ",U100*$AV100)</f>
        <v> </v>
      </c>
      <c r="BO100" s="303" t="str">
        <f aca="false">IF($A100="N/A"," ",V100*$AW100)</f>
        <v> </v>
      </c>
      <c r="BP100" s="303" t="str">
        <f aca="false">IF($A100="N/A"," ",W100*$AX100)</f>
        <v> </v>
      </c>
      <c r="BQ100" s="303" t="str">
        <f aca="false">IF($A100="N/A"," ",X100*$AY100)</f>
        <v> </v>
      </c>
      <c r="BR100" s="303" t="str">
        <f aca="false">IF($A100="N/A"," ",Y100*$AZ100)</f>
        <v> </v>
      </c>
      <c r="BS100" s="304" t="str">
        <f aca="false">IF($A100="N/A"," ",Z100*$BA100)</f>
        <v> </v>
      </c>
      <c r="BT100" s="305" t="str">
        <f aca="false">IF($A100="N/A"," ",AA100*$AS100)</f>
        <v> </v>
      </c>
      <c r="BU100" s="306" t="str">
        <f aca="false">IF($A100="N/A"," ",AB100*$AT100)</f>
        <v> </v>
      </c>
      <c r="BV100" s="306" t="str">
        <f aca="false">IF($A100="N/A"," ",AC100*$AU100)</f>
        <v> </v>
      </c>
      <c r="BW100" s="306" t="str">
        <f aca="false">IF($A100="N/A"," ",AD100*$AV100)</f>
        <v> </v>
      </c>
      <c r="BX100" s="306" t="str">
        <f aca="false">IF($A100="N/A"," ",AE100*$AW100)</f>
        <v> </v>
      </c>
      <c r="BY100" s="306" t="str">
        <f aca="false">IF($A100="N/A"," ",AF100*$AX100)</f>
        <v> </v>
      </c>
      <c r="BZ100" s="306" t="str">
        <f aca="false">IF($A100="N/A"," ",AG100*$AY100)</f>
        <v> </v>
      </c>
      <c r="CA100" s="306" t="str">
        <f aca="false">IF($A100="N/A"," ",AH100*$AZ100)</f>
        <v> </v>
      </c>
      <c r="CB100" s="307" t="str">
        <f aca="false">IF($A100="N/A"," ",AI100*$BA100)</f>
        <v> </v>
      </c>
      <c r="CC100" s="308" t="str">
        <f aca="false">IF($A100="N/A"," ",AJ100*$AS100)</f>
        <v> </v>
      </c>
      <c r="CD100" s="309" t="str">
        <f aca="false">IF($A100="N/A"," ",AK100*$AT100)</f>
        <v> </v>
      </c>
      <c r="CE100" s="309" t="str">
        <f aca="false">IF($A100="N/A"," ",AL100*$AU100)</f>
        <v> </v>
      </c>
      <c r="CF100" s="309" t="str">
        <f aca="false">IF($A100="N/A"," ",AM100*$AV100)</f>
        <v> </v>
      </c>
      <c r="CG100" s="309" t="str">
        <f aca="false">IF($A100="N/A"," ",AN100*$AW100)</f>
        <v> </v>
      </c>
      <c r="CH100" s="309" t="str">
        <f aca="false">IF($A100="N/A"," ",AO100*$AX100)</f>
        <v> </v>
      </c>
      <c r="CI100" s="309" t="str">
        <f aca="false">IF($A100="N/A"," ",AP100*$AY100)</f>
        <v> </v>
      </c>
      <c r="CJ100" s="309" t="str">
        <f aca="false">IF($A100="N/A"," ",AQ100*$AZ100)</f>
        <v> </v>
      </c>
      <c r="CK100" s="310" t="str">
        <f aca="false">IF($A100="N/A"," ",AR100*$BA100)</f>
        <v> </v>
      </c>
      <c r="CL100" s="311" t="str">
        <f aca="false">IF(A100="N/A"," ",(VLOOKUP(A100,PowerVolTable,(IF(VolBMO=2,7,IF(VolBMO=1,6,8))),FALSE())))</f>
        <v> </v>
      </c>
      <c r="CM100" s="312" t="str">
        <f aca="false">IF(A100="N/A"," ",(VLOOKUP(A100,IntraPowerVol,(IF(VolBMO=2,3,IF(VolBMO=1,2,4))),FALSE())*VLOOKUP(MONTH($A100),Volscale,2)))</f>
        <v> </v>
      </c>
      <c r="CN100" s="312" t="str">
        <f aca="false">IF($A100="N/A"," ",IF(VolType=1,CM100,CL100))</f>
        <v> </v>
      </c>
      <c r="CO100" s="312" t="str">
        <f aca="false">IF($A100="N/A"," ",(VLOOKUP($A100,OffPeakVol,(IF(VolBMO=2,7,IF(VolBMO=1,6,8))),FALSE())))</f>
        <v> </v>
      </c>
      <c r="CP100" s="312" t="str">
        <f aca="false">IF($A100="N/A"," ",(VLOOKUP($A100,OffPeakVol,(IF(VolBMO=2,3,IF(VolBMO=1,2,4))),FALSE())*VLOOKUP(MONTH($A100),Volscale,2)))</f>
        <v> </v>
      </c>
      <c r="CQ100" s="312" t="str">
        <f aca="false">IF($A100="N/A"," ",IF(VolType=1,CP100,CO100))</f>
        <v> </v>
      </c>
      <c r="CR100" s="312" t="str">
        <f aca="false">IF($A100="N/A"," ",(VLOOKUP($A100,GasVolTable,(IF(VolBMO=2,6,IF(VolBMO=1,7,5))),FALSE())))</f>
        <v> </v>
      </c>
      <c r="CS100" s="312" t="str">
        <f aca="false">IF($A100="N/A"," ",(VLOOKUP($A100,OmicronVol,(IF(VolBMO=2,3,IF(VolBMO=1,4,2))),FALSE())))</f>
        <v> </v>
      </c>
      <c r="CT100" s="312" t="str">
        <f aca="false">IF($A100="N/A"," ",(IF(DateToday&gt;$A100,$CS100,IF(VolType=1,((($CR100^2)*((($A100-1)-DateToday)/((EOMONTH($A100,0)+1)-DateToday-15)))+((($CS100)^2)*((15)/((EOMONTH($A100,0)+1)-DateToday-15))))^0.5,CR100))))</f>
        <v> </v>
      </c>
      <c r="CU100" s="312" t="str">
        <f aca="false">IF($A100="N/A"," ",IF('Pricing Inputs'!$AR$23=TRUE(),Inputs!$S$22,VLOOKUP($A100,CorrelationTable,2,FALSE())))</f>
        <v> </v>
      </c>
      <c r="CV100" s="313" t="str">
        <f aca="false">IF($A100="N/A"," ",F100+G100+(D100*('Pricing Inputs'!X135)))</f>
        <v> </v>
      </c>
      <c r="CW100" s="314" t="str">
        <f aca="false">IF($A100="N/A"," ",IF(PV=1,0,'Pricing Inputs'!Y135))</f>
        <v> </v>
      </c>
      <c r="CX100" s="315" t="str">
        <f aca="false">IF($A100="N/A"," ",(1+CW100/2)^(-2*((EOMONTH(A100,0)+20)-DateToday)/365.25))</f>
        <v> </v>
      </c>
      <c r="CY100" s="316" t="str">
        <f aca="false">IF($A100="N/A"," ",(IF(MONTH(A100)&gt;=4,IF(MONTH(A100)&lt;=10,Inputs!$S$26,Inputs!$S$27),Inputs!$S$27))*$CX100)</f>
        <v> </v>
      </c>
      <c r="CZ100" s="317" t="str">
        <f aca="false">IF($A100="N/A"," ",BK100+BL100+BN100+BO100+BQ100+BR100)</f>
        <v> </v>
      </c>
      <c r="DA100" s="318" t="str">
        <f aca="false">IF($A100="N/A"," ",BM100+BP100+BS100)</f>
        <v> </v>
      </c>
      <c r="DB100" s="319" t="str">
        <f aca="false">IF($A100="N/A"," ",BT100+BU100+BW100+BX100+BZ100+CA100)</f>
        <v> </v>
      </c>
      <c r="DC100" s="319" t="str">
        <f aca="false">IF($A100="N/A"," ",BV100+BY100+CB100)</f>
        <v> </v>
      </c>
      <c r="DD100" s="320" t="str">
        <f aca="false">IF($A100="N/A"," ",SUM(CC100:CK100))</f>
        <v> </v>
      </c>
      <c r="DE100" s="321" t="str">
        <f aca="false">IF($A100="N/A"," ",VLOOKUP($A100,NumberofDaysTable,2)*Availability)</f>
        <v> </v>
      </c>
      <c r="DF100" s="94" t="str">
        <f aca="false">IF($A100="N/A"," ",VLOOKUP($A100,NumberofDaysTable,3)*Availability)</f>
        <v> </v>
      </c>
      <c r="DG100" s="322" t="str">
        <f aca="false">IF($A100="N/A"," ",VLOOKUP($A100,NumberofDaysTable,4)*Availability)</f>
        <v> </v>
      </c>
      <c r="DH100" s="323" t="str">
        <f aca="false">IF($A100="N/A"," ",IF(Option=1,$D100*Inputs!$S$15*SUM(AS100:BA100),0))</f>
        <v> </v>
      </c>
      <c r="DI100" s="324" t="str">
        <f aca="false">IF($A100="N/A"," ",IF(Option=1,$D100*Inputs!$S$16*SUM(AS100:BA100),0))</f>
        <v> </v>
      </c>
      <c r="DJ100" s="325" t="str">
        <f aca="false">IF($A100="N/A"," ",SUM(AS100:AT100))</f>
        <v> </v>
      </c>
      <c r="DK100" s="325" t="str">
        <f aca="false">IF($A100="N/A"," ",SUM(AU100:BA100))</f>
        <v> </v>
      </c>
      <c r="DL100" s="325" t="str">
        <f aca="false">IF($A100="N/A"," ",SUM(BB100:BC100))</f>
        <v> </v>
      </c>
      <c r="DM100" s="325" t="str">
        <f aca="false">IF($A100="N/A"," ",SUM(BD100:BJ100))</f>
        <v> </v>
      </c>
    </row>
    <row r="101" customFormat="false" ht="12.75" hidden="false" customHeight="false" outlineLevel="0" collapsed="false">
      <c r="A101" s="282" t="str">
        <f aca="false">IF(A100="N/A","N/A",IF(EDATE(A100,1)&gt;Inputs!$S$5,"N/A",EDATE(A100,1)))</f>
        <v>N/A</v>
      </c>
      <c r="B101" s="283" t="str">
        <f aca="false">IF(A101="N/A"," ",YEAR(A101))</f>
        <v> </v>
      </c>
      <c r="C101" s="284" t="str">
        <f aca="false">IF(A101="N/A"," ",VLOOKUP(A101,ScaledPrice,14))</f>
        <v> </v>
      </c>
      <c r="D101" s="285" t="str">
        <f aca="false">IF(A101="N/A"," ",(VLOOKUP(MONTH($A101),Hrtable,2))/1000)</f>
        <v> </v>
      </c>
      <c r="E101" s="286" t="str">
        <f aca="false">IF($A101="N/A"," ",(C101)*D101)</f>
        <v> </v>
      </c>
      <c r="F101" s="287" t="str">
        <f aca="false">IF(A101="N/A"," ",VOM*(1+VOMesc)^(YEAR(A101)-YEAR(Today)))</f>
        <v> </v>
      </c>
      <c r="G101" s="287" t="str">
        <f aca="false">IF(A101="N/A"," ",Perstart/VLOOKUP(Dayrun,'Pricing Inputs'!$AQ$4:$AS$14,3)/(CY101/CX101))</f>
        <v> </v>
      </c>
      <c r="H101" s="288" t="str">
        <f aca="false">IF(A101="N/A"," ",SUM(E101:G101))</f>
        <v> </v>
      </c>
      <c r="I101" s="289" t="str">
        <f aca="false">VLOOKUP($A101,ScaledPrice,6)</f>
        <v> </v>
      </c>
      <c r="J101" s="290" t="str">
        <f aca="false">VLOOKUP($A101,ScaledPrice,10)</f>
        <v> </v>
      </c>
      <c r="K101" s="290" t="str">
        <f aca="false">VLOOKUP($A101,ScaledPrice,13)</f>
        <v> </v>
      </c>
      <c r="L101" s="290" t="str">
        <f aca="false">VLOOKUP($A101,ScaledPrice,7)</f>
        <v> </v>
      </c>
      <c r="M101" s="290" t="str">
        <f aca="false">VLOOKUP($A101,ScaledPrice,11)</f>
        <v> </v>
      </c>
      <c r="N101" s="290" t="str">
        <f aca="false">VLOOKUP($A101,ScaledPrice,13)</f>
        <v> </v>
      </c>
      <c r="O101" s="290" t="str">
        <f aca="false">VLOOKUP($A101,ScaledPrice,8)</f>
        <v> </v>
      </c>
      <c r="P101" s="290" t="str">
        <f aca="false">VLOOKUP($A101,ScaledPrice,12)</f>
        <v> </v>
      </c>
      <c r="Q101" s="291" t="str">
        <f aca="false">VLOOKUP($A101,ScaledPrice,13)</f>
        <v> </v>
      </c>
      <c r="R101" s="292" t="str">
        <f aca="false">IF($A101="N/A"," ",IF(Dayrun&gt;=3,IF(Option=1,MAX($I101-$H101,0),IF(Option=2,MAX($H101-$I101,0),0)),0))</f>
        <v> </v>
      </c>
      <c r="S101" s="286" t="str">
        <f aca="false">IF($A101="N/A"," ",IF(Dayrun&gt;=6,IF(Option=1,MAX($J101-H101,0),IF(Option=2,MAX(H101-$J101,0),0)),0))</f>
        <v> </v>
      </c>
      <c r="T101" s="286" t="str">
        <f aca="false">IF($A101="N/A"," ",IF(OR(Dayrun&lt;=2,Dayrun&gt;=9),IF(Option=1,MAX($K101-$H101,0),IF(Option=2,MAX($H101-$K101,0),0)),0))</f>
        <v> </v>
      </c>
      <c r="U101" s="286" t="str">
        <f aca="false">IF($A101="N/A"," ",IF(OR(Dayrun=1,Dayrun=4,Dayrun=5,Dayrun=7,Dayrun=8,Dayrun=10,Dayrun=11),IF(Option=1,MAX($L101-H101,0),IF(Option=2,MAX(H101-$L101,0),0)),0))</f>
        <v> </v>
      </c>
      <c r="V101" s="286" t="str">
        <f aca="false">IF($A101="N/A"," ",IF(OR(Dayrun=1,Dayrun=7,Dayrun=8,Dayrun=10,Dayrun=11),IF(Option=1,MAX($M101-H101,0),IF(Option=2,MAX(H101-$M101,0),0)),0))</f>
        <v> </v>
      </c>
      <c r="W101" s="286" t="str">
        <f aca="false">IF($A101="N/A"," ",IF(OR(Dayrun&lt;=2,Dayrun&gt;=10),IF(Option=1,MAX($N101-$H101,0),IF(Option=2,MAX($H101-$N101,0),0)),0))</f>
        <v> </v>
      </c>
      <c r="X101" s="286" t="str">
        <f aca="false">IF($A101="N/A"," ",IF(OR(Dayrun=1,Dayrun=5,Dayrun=8,Dayrun=11),IF(Option=1,MAX($O101-H101,0),IF(Option=2,MAX(H101-$O101,0),0)),0))</f>
        <v> </v>
      </c>
      <c r="Y101" s="286" t="str">
        <f aca="false">IF($A101="N/A"," ",IF(OR(Dayrun=1,Dayrun=8,Dayrun=11),IF(Option=1,MAX($P101-H101,0),IF(Option=2,MAX(H101-$P101,0),0)),0))</f>
        <v> </v>
      </c>
      <c r="Z101" s="293" t="str">
        <f aca="false">IF($A101="N/A"," ",IF(OR(Dayrun&lt;=2,Dayrun&gt;=11),IF(Option=1,MAX($Q101-$H101,0),IF(Option=2,MAX($H101-$Q101,0),0)),0))</f>
        <v> </v>
      </c>
      <c r="AA101" s="289" t="str">
        <f aca="false">IF($A101="N/A"," ",IF(Dayrun&gt;=3,(MAX(0,(xSPRDOPT(I101,($E101-'Pricing Inputs'!$X136*$D101),$CV101,0,($CN101+IF(Smile=TRUE(),VLOOKUP(MAX(-5,$H101-I101),Volsmile,2),0)),$CT101,$CU101,($A101-DateToday)+15,ABS(Option-2),0)-R101))),0))</f>
        <v> </v>
      </c>
      <c r="AB101" s="290" t="str">
        <f aca="false">IF($A101="N/A"," ",IF(Dayrun&gt;=6,MAX(0,(xSPRDOPT(J101,($E101-'Pricing Inputs'!$X136*$D101),$CV101,0,($CN101+IF(Smile=TRUE(),VLOOKUP(MAX(-5,$H101-J101),Volsmile,2),0)),$CT101,$CU101,($A101-DateToday)+15,ABS(Option-2),0)-S101)),0))</f>
        <v> </v>
      </c>
      <c r="AC101" s="290" t="str">
        <f aca="false">IF($A101="N/A"," ",IF(OR(Dayrun&lt;=2,Dayrun&gt;=9),IF(OffPeakEx=TRUE(),MAX(0,(xSPRDOPT(K101,($E101-'Pricing Inputs'!$X136*$D101),$CV101,0,($CQ101+IF(Smile=TRUE(),VLOOKUP(MAX(-5,$H101-K101),Volsmile,2),0)),$CT101,$CU101,($A101-DateToday)+15,ABS(Option-2),0)-T101)),0),0))</f>
        <v> </v>
      </c>
      <c r="AD101" s="290" t="str">
        <f aca="false">IF($A101="N/A"," ",IF(OR(Dayrun=1,Dayrun=4,Dayrun=5,Dayrun=7,Dayrun=8,Dayrun=10,Dayrun=11),MAX(0,(xSPRDOPT(L101,($E101-'Pricing Inputs'!$X136*$D101),$CV101,0,($CQ101+IF(Smile=TRUE(),VLOOKUP(MAX(-5,$H101-L101),Volsmile,2),0)),$CT101,$CU101,($A101-DateToday)+15,ABS(Option-2),0)-U101)),0))</f>
        <v> </v>
      </c>
      <c r="AE101" s="290" t="str">
        <f aca="false">IF($A101="N/A"," ",IF(OR(Dayrun=1,Dayrun=7,Dayrun=8,Dayrun=10,Dayrun=11),MAX(0,(xSPRDOPT(M101,($E101-'Pricing Inputs'!$X136*$D101),$CV101,0,($CQ101+IF(Smile=TRUE(),VLOOKUP(MAX(-5,$H101-M101),Volsmile,2),0)),$CT101,$CU101,($A101-DateToday)+15,ABS(Option-2),0)-V101)),0))</f>
        <v> </v>
      </c>
      <c r="AF101" s="290" t="str">
        <f aca="false">IF($A101="N/A"," ",IF(OR(Dayrun&lt;=2,Dayrun&gt;=10),IF(OffPeakEx=TRUE(),MAX(0,(xSPRDOPT(N101,($E101-'Pricing Inputs'!$X136*$D101),$CV101,0,($CQ101+IF(Smile=TRUE(),VLOOKUP(MAX(-5,$H101-N101),Volsmile,2),0)),$CT101,$CU101,($A101-DateToday)+15,ABS(Option-2),0)-W101)),0),0))</f>
        <v> </v>
      </c>
      <c r="AG101" s="290" t="str">
        <f aca="false">IF($A101="N/A"," ",IF(OR(Dayrun=1,Dayrun=5,Dayrun=8,Dayrun=11),MAX(0,(xSPRDOPT(O101,($E101-'Pricing Inputs'!$X136*$D101),$CV101,0,($CQ101+IF(Smile=TRUE(),VLOOKUP(MAX(-5,$H101-O101),Volsmile,2),0)),$CT101,$CU101,($A101-DateToday)+15,ABS(Option-2),0)-X101)),0))</f>
        <v> </v>
      </c>
      <c r="AH101" s="290" t="str">
        <f aca="false">IF($A101="N/A"," ",IF(OR(Dayrun=1,Dayrun=8,Dayrun=11),MAX(0,(xSPRDOPT(P101,($E101-'Pricing Inputs'!$X136*$D101),$CV101,0,($CQ101+IF(Smile=TRUE(),VLOOKUP(MAX(-5,$H101-P101),Volsmile,2),0)),$CT101,$CU101,($A101-DateToday)+15,ABS(Option-2),0)-Y101)),0))</f>
        <v> </v>
      </c>
      <c r="AI101" s="290" t="str">
        <f aca="false">IF($A101="N/A"," ",IF(OR(Dayrun&lt;=2,Dayrun&gt;=11),IF(OffPeakEx=TRUE(),MAX(0,(xSPRDOPT(Q101,($E101-'Pricing Inputs'!$X136*$D101),$CV101,0,($CQ101+IF(Smile=TRUE(),VLOOKUP(MAX(-5,$H101-Q101),Volsmile,2),0)),$CT101,$CU101,($A101-DateToday)+15,ABS(Option-2),0)-Z101)),0),0))</f>
        <v> </v>
      </c>
      <c r="AJ101" s="294" t="str">
        <f aca="false">IF($A101="N/A"," ",IF(Dayrun&gt;=3,IF(Option=1,$I101-$H101,IF(Option=2,$H101-$I101)),0))</f>
        <v> </v>
      </c>
      <c r="AK101" s="295" t="str">
        <f aca="false">IF($A101="N/A"," ",IF(Dayrun&gt;=6,IF(Option=1,$J101-H101,IF(Option=2,H101-$J101)),0))</f>
        <v> </v>
      </c>
      <c r="AL101" s="295" t="str">
        <f aca="false">IF($A101="N/A"," ",IF(OR(Dayrun&lt;=2,Dayrun&gt;=9),IF(Option=1,$K101-$H101,IF(Option=2,$H101-$K101)),0))</f>
        <v> </v>
      </c>
      <c r="AM101" s="295" t="str">
        <f aca="false">IF($A101="N/A"," ",IF(OR(Dayrun=1,Dayrun=4,Dayrun=5,Dayrun=7,Dayrun=8,Dayrun=10,Dayrun=11),IF(Option=1,$L101-H101,IF(Option=2,H101-$L101)),0))</f>
        <v> </v>
      </c>
      <c r="AN101" s="295" t="str">
        <f aca="false">IF($A101="N/A"," ",IF(OR(Dayrun=1,Dayrun=7,Dayrun=8,Dayrun=10,Dayrun=11),IF(Option=1,$M101-H101,IF(Option=2,H101-$M101)),0))</f>
        <v> </v>
      </c>
      <c r="AO101" s="295" t="str">
        <f aca="false">IF($A101="N/A"," ",IF(OR(Dayrun&lt;=2,Dayrun&gt;=9),IF(Option=1,$N101-$H101,IF(Option=2,$H101-$N101)),0))</f>
        <v> </v>
      </c>
      <c r="AP101" s="295" t="str">
        <f aca="false">IF($A101="N/A"," ",IF(OR(Dayrun=1,Dayrun=5,Dayrun=8,Dayrun=11),IF(Option=1,$O101-H101,IF(Option=2,H101-$O101)),0))</f>
        <v> </v>
      </c>
      <c r="AQ101" s="295" t="str">
        <f aca="false">IF($A101="N/A"," ",IF(OR(Dayrun=1,Dayrun=8,Dayrun=11),IF(Option=1,$P101-H101,IF(Option=2,H101-$P101)),0))</f>
        <v> </v>
      </c>
      <c r="AR101" s="296" t="str">
        <f aca="false">IF($A101="N/A"," ",IF(OR(Dayrun&lt;=2,Dayrun&gt;=9),IF(Option=1,$Q101-H101,IF(Option=2,H101-$Q101)),0))</f>
        <v> </v>
      </c>
      <c r="AS101" s="297" t="str">
        <f aca="false">IF($A101="N/A"," ",IF(VLOOKUP(MONTH($A101),ManualTable,2)=1,IF(Dayrun&gt;=3,$DE101*8*$CY101,0),0))</f>
        <v> </v>
      </c>
      <c r="AT101" s="297" t="str">
        <f aca="false">IF($A101="N/A"," ",IF(VLOOKUP(MONTH($A101),ManualTable,3)=1,IF(Dayrun&gt;=6,$DE101*8*$CY101,0),0))</f>
        <v> </v>
      </c>
      <c r="AU101" s="297" t="str">
        <f aca="false">IF($A101="N/A"," ",IF(VLOOKUP(MONTH($A101),ManualTable,4)=1,IF(OR(Dayrun&lt;=2,Dayrun&gt;=9),$DE101*8*$CY101,0),0))</f>
        <v> </v>
      </c>
      <c r="AV101" s="297" t="str">
        <f aca="false">IF($A101="N/A"," ",IF(VLOOKUP(MONTH($A101),ManualTable,5)=1,IF(OR(Dayrun=1,Dayrun=4,Dayrun=5,Dayrun=7,Dayrun=8,Dayrun=10,Dayrun=11),$DF101*8*$CY101,0),0))</f>
        <v> </v>
      </c>
      <c r="AW101" s="297" t="str">
        <f aca="false">IF($A101="N/A"," ",IF(VLOOKUP(MONTH($A101),ManualTable,6)=1,IF(OR(Dayrun=1,Dayrun=7,Dayrun=8,Dayrun=10,Dayrun=11),$DF101*8*$CY101,0),0))</f>
        <v> </v>
      </c>
      <c r="AX101" s="297" t="str">
        <f aca="false">IF($A101="N/A"," ",IF(VLOOKUP(MONTH($A101),ManualTable,7)=1,IF(OR(Dayrun&lt;=2,Dayrun&gt;=9),$DF101*8*$CY101,0),0))</f>
        <v> </v>
      </c>
      <c r="AY101" s="297" t="str">
        <f aca="false">IF($A101="N/A"," ",IF(VLOOKUP(MONTH($A101),ManualTable,8)=1,IF(OR(Dayrun=1,Dayrun=5,Dayrun=8,Dayrun=11),$DG101*8*$CY101,0),0))</f>
        <v> </v>
      </c>
      <c r="AZ101" s="297" t="str">
        <f aca="false">IF($A101="N/A"," ",IF(VLOOKUP(MONTH($A101),ManualTable,9)=1,IF(OR(Dayrun=1,Dayrun=8,Dayrun=11),$DG101*8*$CY101,0),0))</f>
        <v> </v>
      </c>
      <c r="BA101" s="298" t="str">
        <f aca="false">IF($A101="N/A"," ",IF(VLOOKUP(MONTH($A101),ManualTable,10)=1,IF(OR(Dayrun&lt;=2,Dayrun&gt;=9),$DG101*8*$CY101,0),0))</f>
        <v> </v>
      </c>
      <c r="BB101" s="299" t="str">
        <f aca="false">IF($A101="N/A"," ",IF(Dayrun&gt;=3,(MAX(0,(xSPRDOPT(I101,($E101-'Pricing Inputs'!$X136*$D101),$CV101,0,($CN101+IF(Smile=TRUE(),VLOOKUP(MAX(-5,$H101-I101),Volsmile,2),0)),$CT101,$CU101,($A101-DateToday)+15,ABS(Option-2),1)*DE101*8))),0))</f>
        <v> </v>
      </c>
      <c r="BC101" s="300" t="str">
        <f aca="false">IF($A101="N/A"," ",IF(Dayrun&gt;=6,MAX(0,(xSPRDOPT(J101,($E101-'Pricing Inputs'!$X136*$D101),$CV101,0,($CN101+IF(Smile=TRUE(),VLOOKUP(MAX(-5,$H101-J101),Volsmile,2),0)),$CT101,$CU101,($A101-DateToday)+15,ABS(Option-2),1)*DE101*8)),0))</f>
        <v> </v>
      </c>
      <c r="BD101" s="300" t="str">
        <f aca="false">IF($A101="N/A"," ",IF(OR(Dayrun&lt;=2,Dayrun&gt;=9),IF(OffPeakEx=TRUE(),MAX(0,(xSPRDOPT(K101,($E101-'Pricing Inputs'!$X136*$D101),$CV101,0,($CQ101+IF(Smile=TRUE(),VLOOKUP(MAX(-5,$H101-K101),Volsmile,2),0)),$CT101,$CU101,($A101-DateToday)+15,ABS(Option-2),1)*DE101*8)),0),0))</f>
        <v> </v>
      </c>
      <c r="BE101" s="300" t="str">
        <f aca="false">IF($A101="N/A"," ",IF(OR(Dayrun=1,Dayrun=4,Dayrun=5,Dayrun=7,Dayrun=8,Dayrun=10,Dayrun=11),MAX(0,(xSPRDOPT(L101,($E101-'Pricing Inputs'!$X136*$D101),$CV101,0,($CQ101+IF(Smile=TRUE(),VLOOKUP(MAX(-5,$H101-L101),Volsmile,2),0)),$CT101,$CU101,($A101-DateToday)+15,ABS(Option-2),1)*DF101*8)),0))</f>
        <v> </v>
      </c>
      <c r="BF101" s="300" t="str">
        <f aca="false">IF($A101="N/A"," ",IF(OR(Dayrun=1,Dayrun=7,Dayrun=8,Dayrun=10,Dayrun=11),MAX(0,(xSPRDOPT(M101,($E101-'Pricing Inputs'!$X136*$D101),$CV101,0,($CQ101+IF(Smile=TRUE(),VLOOKUP(MAX(-5,$H101-M101),Volsmile,2),0)),$CT101,$CU101,($A101-DateToday)+15,ABS(Option-2),1)*DF101*8)),0))</f>
        <v> </v>
      </c>
      <c r="BG101" s="300" t="str">
        <f aca="false">IF($A101="N/A"," ",IF(OR(Dayrun&lt;=2,Dayrun&gt;=10),IF(OffPeakEx=TRUE(),MAX(0,(xSPRDOPT(N101,($E101-'Pricing Inputs'!$X136*$D101),$CV101,0,($CQ101+IF(Smile=TRUE(),VLOOKUP(MAX(-5,$H101-N101),Volsmile,2),0)),$CT101,$CU101,($A101-DateToday)+15,ABS(Option-2),1)*DF101*8)),0),0))</f>
        <v> </v>
      </c>
      <c r="BH101" s="300" t="str">
        <f aca="false">IF($A101="N/A"," ",IF(OR(Dayrun=1,Dayrun=5,Dayrun=8,Dayrun=11),MAX(0,(xSPRDOPT(O101,($E101-'Pricing Inputs'!$X136*$D101),$CV101,0,($CQ101+IF(Smile=TRUE(),VLOOKUP(MAX(-5,$H101-O101),Volsmile,2),0)),$CT101,$CU101,($A101-DateToday)+15,ABS(Option-2),1)*DG101*8)),0))</f>
        <v> </v>
      </c>
      <c r="BI101" s="300" t="str">
        <f aca="false">IF($A101="N/A"," ",IF(OR(Dayrun=1,Dayrun=8,Dayrun=11),MAX(0,(xSPRDOPT(P101,($E101-'Pricing Inputs'!$X136*$D101),$CV101,0,($CQ101+IF(Smile=TRUE(),VLOOKUP(MAX(-5,$H101-P101),Volsmile,2),0)),$CT101,$CU101,($A101-DateToday)+15,ABS(Option-2),1)*DG101*8)),0))</f>
        <v> </v>
      </c>
      <c r="BJ101" s="301" t="str">
        <f aca="false">IF($A101="N/A"," ",IF(OR(Dayrun&lt;=2,Dayrun&gt;=11),IF(OffPeakEx=TRUE(),MAX(0,(xSPRDOPT(Q101,($E101-'Pricing Inputs'!$X136*$D101),$CV101,0,($CQ101+IF(Smile=TRUE(),VLOOKUP(MAX(-5,$H101-Q101),Volsmile,2),0)),$CT101,$CU101,($A101-DateToday)+15,ABS(Option-2),1)*DG101*8)),0),0))</f>
        <v> </v>
      </c>
      <c r="BK101" s="302" t="str">
        <f aca="false">IF($A101="N/A"," ",R101*$AS101)</f>
        <v> </v>
      </c>
      <c r="BL101" s="303" t="str">
        <f aca="false">IF($A101="N/A"," ",S101*$AT101)</f>
        <v> </v>
      </c>
      <c r="BM101" s="303" t="str">
        <f aca="false">IF($A101="N/A"," ",T101*$AU101)</f>
        <v> </v>
      </c>
      <c r="BN101" s="303" t="str">
        <f aca="false">IF($A101="N/A"," ",U101*$AV101)</f>
        <v> </v>
      </c>
      <c r="BO101" s="303" t="str">
        <f aca="false">IF($A101="N/A"," ",V101*$AW101)</f>
        <v> </v>
      </c>
      <c r="BP101" s="303" t="str">
        <f aca="false">IF($A101="N/A"," ",W101*$AX101)</f>
        <v> </v>
      </c>
      <c r="BQ101" s="303" t="str">
        <f aca="false">IF($A101="N/A"," ",X101*$AY101)</f>
        <v> </v>
      </c>
      <c r="BR101" s="303" t="str">
        <f aca="false">IF($A101="N/A"," ",Y101*$AZ101)</f>
        <v> </v>
      </c>
      <c r="BS101" s="304" t="str">
        <f aca="false">IF($A101="N/A"," ",Z101*$BA101)</f>
        <v> </v>
      </c>
      <c r="BT101" s="305" t="str">
        <f aca="false">IF($A101="N/A"," ",AA101*$AS101)</f>
        <v> </v>
      </c>
      <c r="BU101" s="306" t="str">
        <f aca="false">IF($A101="N/A"," ",AB101*$AT101)</f>
        <v> </v>
      </c>
      <c r="BV101" s="306" t="str">
        <f aca="false">IF($A101="N/A"," ",AC101*$AU101)</f>
        <v> </v>
      </c>
      <c r="BW101" s="306" t="str">
        <f aca="false">IF($A101="N/A"," ",AD101*$AV101)</f>
        <v> </v>
      </c>
      <c r="BX101" s="306" t="str">
        <f aca="false">IF($A101="N/A"," ",AE101*$AW101)</f>
        <v> </v>
      </c>
      <c r="BY101" s="306" t="str">
        <f aca="false">IF($A101="N/A"," ",AF101*$AX101)</f>
        <v> </v>
      </c>
      <c r="BZ101" s="306" t="str">
        <f aca="false">IF($A101="N/A"," ",AG101*$AY101)</f>
        <v> </v>
      </c>
      <c r="CA101" s="306" t="str">
        <f aca="false">IF($A101="N/A"," ",AH101*$AZ101)</f>
        <v> </v>
      </c>
      <c r="CB101" s="307" t="str">
        <f aca="false">IF($A101="N/A"," ",AI101*$BA101)</f>
        <v> </v>
      </c>
      <c r="CC101" s="308" t="str">
        <f aca="false">IF($A101="N/A"," ",AJ101*$AS101)</f>
        <v> </v>
      </c>
      <c r="CD101" s="309" t="str">
        <f aca="false">IF($A101="N/A"," ",AK101*$AT101)</f>
        <v> </v>
      </c>
      <c r="CE101" s="309" t="str">
        <f aca="false">IF($A101="N/A"," ",AL101*$AU101)</f>
        <v> </v>
      </c>
      <c r="CF101" s="309" t="str">
        <f aca="false">IF($A101="N/A"," ",AM101*$AV101)</f>
        <v> </v>
      </c>
      <c r="CG101" s="309" t="str">
        <f aca="false">IF($A101="N/A"," ",AN101*$AW101)</f>
        <v> </v>
      </c>
      <c r="CH101" s="309" t="str">
        <f aca="false">IF($A101="N/A"," ",AO101*$AX101)</f>
        <v> </v>
      </c>
      <c r="CI101" s="309" t="str">
        <f aca="false">IF($A101="N/A"," ",AP101*$AY101)</f>
        <v> </v>
      </c>
      <c r="CJ101" s="309" t="str">
        <f aca="false">IF($A101="N/A"," ",AQ101*$AZ101)</f>
        <v> </v>
      </c>
      <c r="CK101" s="310" t="str">
        <f aca="false">IF($A101="N/A"," ",AR101*$BA101)</f>
        <v> </v>
      </c>
      <c r="CL101" s="311" t="str">
        <f aca="false">IF(A101="N/A"," ",(VLOOKUP(A101,PowerVolTable,(IF(VolBMO=2,7,IF(VolBMO=1,6,8))),FALSE())))</f>
        <v> </v>
      </c>
      <c r="CM101" s="312" t="str">
        <f aca="false">IF(A101="N/A"," ",(VLOOKUP(A101,IntraPowerVol,(IF(VolBMO=2,3,IF(VolBMO=1,2,4))),FALSE())*VLOOKUP(MONTH($A101),Volscale,2)))</f>
        <v> </v>
      </c>
      <c r="CN101" s="312" t="str">
        <f aca="false">IF($A101="N/A"," ",IF(VolType=1,CM101,CL101))</f>
        <v> </v>
      </c>
      <c r="CO101" s="312" t="str">
        <f aca="false">IF($A101="N/A"," ",(VLOOKUP($A101,OffPeakVol,(IF(VolBMO=2,7,IF(VolBMO=1,6,8))),FALSE())))</f>
        <v> </v>
      </c>
      <c r="CP101" s="312" t="str">
        <f aca="false">IF($A101="N/A"," ",(VLOOKUP($A101,OffPeakVol,(IF(VolBMO=2,3,IF(VolBMO=1,2,4))),FALSE())*VLOOKUP(MONTH($A101),Volscale,2)))</f>
        <v> </v>
      </c>
      <c r="CQ101" s="312" t="str">
        <f aca="false">IF($A101="N/A"," ",IF(VolType=1,CP101,CO101))</f>
        <v> </v>
      </c>
      <c r="CR101" s="312" t="str">
        <f aca="false">IF($A101="N/A"," ",(VLOOKUP($A101,GasVolTable,(IF(VolBMO=2,6,IF(VolBMO=1,7,5))),FALSE())))</f>
        <v> </v>
      </c>
      <c r="CS101" s="312" t="str">
        <f aca="false">IF($A101="N/A"," ",(VLOOKUP($A101,OmicronVol,(IF(VolBMO=2,3,IF(VolBMO=1,4,2))),FALSE())))</f>
        <v> </v>
      </c>
      <c r="CT101" s="312" t="str">
        <f aca="false">IF($A101="N/A"," ",(IF(DateToday&gt;$A101,$CS101,IF(VolType=1,((($CR101^2)*((($A101-1)-DateToday)/((EOMONTH($A101,0)+1)-DateToday-15)))+((($CS101)^2)*((15)/((EOMONTH($A101,0)+1)-DateToday-15))))^0.5,CR101))))</f>
        <v> </v>
      </c>
      <c r="CU101" s="312" t="str">
        <f aca="false">IF($A101="N/A"," ",IF('Pricing Inputs'!$AR$23=TRUE(),Inputs!$S$22,VLOOKUP($A101,CorrelationTable,2,FALSE())))</f>
        <v> </v>
      </c>
      <c r="CV101" s="313" t="str">
        <f aca="false">IF($A101="N/A"," ",F101+G101+(D101*('Pricing Inputs'!X136)))</f>
        <v> </v>
      </c>
      <c r="CW101" s="314" t="str">
        <f aca="false">IF($A101="N/A"," ",IF(PV=1,0,'Pricing Inputs'!Y136))</f>
        <v> </v>
      </c>
      <c r="CX101" s="315" t="str">
        <f aca="false">IF($A101="N/A"," ",(1+CW101/2)^(-2*((EOMONTH(A101,0)+20)-DateToday)/365.25))</f>
        <v> </v>
      </c>
      <c r="CY101" s="316" t="str">
        <f aca="false">IF($A101="N/A"," ",(IF(MONTH(A101)&gt;=4,IF(MONTH(A101)&lt;=10,Inputs!$S$26,Inputs!$S$27),Inputs!$S$27))*$CX101)</f>
        <v> </v>
      </c>
      <c r="CZ101" s="317" t="str">
        <f aca="false">IF($A101="N/A"," ",BK101+BL101+BN101+BO101+BQ101+BR101)</f>
        <v> </v>
      </c>
      <c r="DA101" s="318" t="str">
        <f aca="false">IF($A101="N/A"," ",BM101+BP101+BS101)</f>
        <v> </v>
      </c>
      <c r="DB101" s="319" t="str">
        <f aca="false">IF($A101="N/A"," ",BT101+BU101+BW101+BX101+BZ101+CA101)</f>
        <v> </v>
      </c>
      <c r="DC101" s="319" t="str">
        <f aca="false">IF($A101="N/A"," ",BV101+BY101+CB101)</f>
        <v> </v>
      </c>
      <c r="DD101" s="320" t="str">
        <f aca="false">IF($A101="N/A"," ",SUM(CC101:CK101))</f>
        <v> </v>
      </c>
      <c r="DE101" s="321" t="str">
        <f aca="false">IF($A101="N/A"," ",VLOOKUP($A101,NumberofDaysTable,2)*Availability)</f>
        <v> </v>
      </c>
      <c r="DF101" s="94" t="str">
        <f aca="false">IF($A101="N/A"," ",VLOOKUP($A101,NumberofDaysTable,3)*Availability)</f>
        <v> </v>
      </c>
      <c r="DG101" s="322" t="str">
        <f aca="false">IF($A101="N/A"," ",VLOOKUP($A101,NumberofDaysTable,4)*Availability)</f>
        <v> </v>
      </c>
      <c r="DH101" s="323" t="str">
        <f aca="false">IF($A101="N/A"," ",IF(Option=1,$D101*Inputs!$S$15*SUM(AS101:BA101),0))</f>
        <v> </v>
      </c>
      <c r="DI101" s="324" t="str">
        <f aca="false">IF($A101="N/A"," ",IF(Option=1,$D101*Inputs!$S$16*SUM(AS101:BA101),0))</f>
        <v> </v>
      </c>
      <c r="DJ101" s="325" t="str">
        <f aca="false">IF($A101="N/A"," ",SUM(AS101:AT101))</f>
        <v> </v>
      </c>
      <c r="DK101" s="325" t="str">
        <f aca="false">IF($A101="N/A"," ",SUM(AU101:BA101))</f>
        <v> </v>
      </c>
      <c r="DL101" s="325" t="str">
        <f aca="false">IF($A101="N/A"," ",SUM(BB101:BC101))</f>
        <v> </v>
      </c>
      <c r="DM101" s="325" t="str">
        <f aca="false">IF($A101="N/A"," ",SUM(BD101:BJ101))</f>
        <v> </v>
      </c>
    </row>
    <row r="102" customFormat="false" ht="12.75" hidden="false" customHeight="false" outlineLevel="0" collapsed="false">
      <c r="A102" s="282" t="str">
        <f aca="false">IF(A101="N/A","N/A",IF(EDATE(A101,1)&gt;Inputs!$S$5,"N/A",EDATE(A101,1)))</f>
        <v>N/A</v>
      </c>
      <c r="B102" s="283" t="str">
        <f aca="false">IF(A102="N/A"," ",YEAR(A102))</f>
        <v> </v>
      </c>
      <c r="C102" s="284" t="str">
        <f aca="false">IF(A102="N/A"," ",VLOOKUP(A102,ScaledPrice,14))</f>
        <v> </v>
      </c>
      <c r="D102" s="285" t="str">
        <f aca="false">IF(A102="N/A"," ",(VLOOKUP(MONTH($A102),Hrtable,2))/1000)</f>
        <v> </v>
      </c>
      <c r="E102" s="286" t="str">
        <f aca="false">IF($A102="N/A"," ",(C102)*D102)</f>
        <v> </v>
      </c>
      <c r="F102" s="287" t="str">
        <f aca="false">IF(A102="N/A"," ",VOM*(1+VOMesc)^(YEAR(A102)-YEAR(Today)))</f>
        <v> </v>
      </c>
      <c r="G102" s="287" t="str">
        <f aca="false">IF(A102="N/A"," ",Perstart/VLOOKUP(Dayrun,'Pricing Inputs'!$AQ$4:$AS$14,3)/(CY102/CX102))</f>
        <v> </v>
      </c>
      <c r="H102" s="288" t="str">
        <f aca="false">IF(A102="N/A"," ",SUM(E102:G102))</f>
        <v> </v>
      </c>
      <c r="I102" s="289" t="str">
        <f aca="false">VLOOKUP($A102,ScaledPrice,6)</f>
        <v> </v>
      </c>
      <c r="J102" s="290" t="str">
        <f aca="false">VLOOKUP($A102,ScaledPrice,10)</f>
        <v> </v>
      </c>
      <c r="K102" s="290" t="str">
        <f aca="false">VLOOKUP($A102,ScaledPrice,13)</f>
        <v> </v>
      </c>
      <c r="L102" s="290" t="str">
        <f aca="false">VLOOKUP($A102,ScaledPrice,7)</f>
        <v> </v>
      </c>
      <c r="M102" s="290" t="str">
        <f aca="false">VLOOKUP($A102,ScaledPrice,11)</f>
        <v> </v>
      </c>
      <c r="N102" s="290" t="str">
        <f aca="false">VLOOKUP($A102,ScaledPrice,13)</f>
        <v> </v>
      </c>
      <c r="O102" s="290" t="str">
        <f aca="false">VLOOKUP($A102,ScaledPrice,8)</f>
        <v> </v>
      </c>
      <c r="P102" s="290" t="str">
        <f aca="false">VLOOKUP($A102,ScaledPrice,12)</f>
        <v> </v>
      </c>
      <c r="Q102" s="291" t="str">
        <f aca="false">VLOOKUP($A102,ScaledPrice,13)</f>
        <v> </v>
      </c>
      <c r="R102" s="292" t="str">
        <f aca="false">IF($A102="N/A"," ",IF(Dayrun&gt;=3,IF(Option=1,MAX($I102-$H102,0),IF(Option=2,MAX($H102-$I102,0),0)),0))</f>
        <v> </v>
      </c>
      <c r="S102" s="286" t="str">
        <f aca="false">IF($A102="N/A"," ",IF(Dayrun&gt;=6,IF(Option=1,MAX($J102-H102,0),IF(Option=2,MAX(H102-$J102,0),0)),0))</f>
        <v> </v>
      </c>
      <c r="T102" s="286" t="str">
        <f aca="false">IF($A102="N/A"," ",IF(OR(Dayrun&lt;=2,Dayrun&gt;=9),IF(Option=1,MAX($K102-$H102,0),IF(Option=2,MAX($H102-$K102,0),0)),0))</f>
        <v> </v>
      </c>
      <c r="U102" s="286" t="str">
        <f aca="false">IF($A102="N/A"," ",IF(OR(Dayrun=1,Dayrun=4,Dayrun=5,Dayrun=7,Dayrun=8,Dayrun=10,Dayrun=11),IF(Option=1,MAX($L102-H102,0),IF(Option=2,MAX(H102-$L102,0),0)),0))</f>
        <v> </v>
      </c>
      <c r="V102" s="286" t="str">
        <f aca="false">IF($A102="N/A"," ",IF(OR(Dayrun=1,Dayrun=7,Dayrun=8,Dayrun=10,Dayrun=11),IF(Option=1,MAX($M102-H102,0),IF(Option=2,MAX(H102-$M102,0),0)),0))</f>
        <v> </v>
      </c>
      <c r="W102" s="286" t="str">
        <f aca="false">IF($A102="N/A"," ",IF(OR(Dayrun&lt;=2,Dayrun&gt;=10),IF(Option=1,MAX($N102-$H102,0),IF(Option=2,MAX($H102-$N102,0),0)),0))</f>
        <v> </v>
      </c>
      <c r="X102" s="286" t="str">
        <f aca="false">IF($A102="N/A"," ",IF(OR(Dayrun=1,Dayrun=5,Dayrun=8,Dayrun=11),IF(Option=1,MAX($O102-H102,0),IF(Option=2,MAX(H102-$O102,0),0)),0))</f>
        <v> </v>
      </c>
      <c r="Y102" s="286" t="str">
        <f aca="false">IF($A102="N/A"," ",IF(OR(Dayrun=1,Dayrun=8,Dayrun=11),IF(Option=1,MAX($P102-H102,0),IF(Option=2,MAX(H102-$P102,0),0)),0))</f>
        <v> </v>
      </c>
      <c r="Z102" s="293" t="str">
        <f aca="false">IF($A102="N/A"," ",IF(OR(Dayrun&lt;=2,Dayrun&gt;=11),IF(Option=1,MAX($Q102-$H102,0),IF(Option=2,MAX($H102-$Q102,0),0)),0))</f>
        <v> </v>
      </c>
      <c r="AA102" s="289" t="str">
        <f aca="false">IF($A102="N/A"," ",IF(Dayrun&gt;=3,(MAX(0,(xSPRDOPT(I102,($E102-'Pricing Inputs'!$X137*$D102),$CV102,0,($CN102+IF(Smile=TRUE(),VLOOKUP(MAX(-5,$H102-I102),Volsmile,2),0)),$CT102,$CU102,($A102-DateToday)+15,ABS(Option-2),0)-R102))),0))</f>
        <v> </v>
      </c>
      <c r="AB102" s="290" t="str">
        <f aca="false">IF($A102="N/A"," ",IF(Dayrun&gt;=6,MAX(0,(xSPRDOPT(J102,($E102-'Pricing Inputs'!$X137*$D102),$CV102,0,($CN102+IF(Smile=TRUE(),VLOOKUP(MAX(-5,$H102-J102),Volsmile,2),0)),$CT102,$CU102,($A102-DateToday)+15,ABS(Option-2),0)-S102)),0))</f>
        <v> </v>
      </c>
      <c r="AC102" s="290" t="str">
        <f aca="false">IF($A102="N/A"," ",IF(OR(Dayrun&lt;=2,Dayrun&gt;=9),IF(OffPeakEx=TRUE(),MAX(0,(xSPRDOPT(K102,($E102-'Pricing Inputs'!$X137*$D102),$CV102,0,($CQ102+IF(Smile=TRUE(),VLOOKUP(MAX(-5,$H102-K102),Volsmile,2),0)),$CT102,$CU102,($A102-DateToday)+15,ABS(Option-2),0)-T102)),0),0))</f>
        <v> </v>
      </c>
      <c r="AD102" s="290" t="str">
        <f aca="false">IF($A102="N/A"," ",IF(OR(Dayrun=1,Dayrun=4,Dayrun=5,Dayrun=7,Dayrun=8,Dayrun=10,Dayrun=11),MAX(0,(xSPRDOPT(L102,($E102-'Pricing Inputs'!$X137*$D102),$CV102,0,($CQ102+IF(Smile=TRUE(),VLOOKUP(MAX(-5,$H102-L102),Volsmile,2),0)),$CT102,$CU102,($A102-DateToday)+15,ABS(Option-2),0)-U102)),0))</f>
        <v> </v>
      </c>
      <c r="AE102" s="290" t="str">
        <f aca="false">IF($A102="N/A"," ",IF(OR(Dayrun=1,Dayrun=7,Dayrun=8,Dayrun=10,Dayrun=11),MAX(0,(xSPRDOPT(M102,($E102-'Pricing Inputs'!$X137*$D102),$CV102,0,($CQ102+IF(Smile=TRUE(),VLOOKUP(MAX(-5,$H102-M102),Volsmile,2),0)),$CT102,$CU102,($A102-DateToday)+15,ABS(Option-2),0)-V102)),0))</f>
        <v> </v>
      </c>
      <c r="AF102" s="290" t="str">
        <f aca="false">IF($A102="N/A"," ",IF(OR(Dayrun&lt;=2,Dayrun&gt;=10),IF(OffPeakEx=TRUE(),MAX(0,(xSPRDOPT(N102,($E102-'Pricing Inputs'!$X137*$D102),$CV102,0,($CQ102+IF(Smile=TRUE(),VLOOKUP(MAX(-5,$H102-N102),Volsmile,2),0)),$CT102,$CU102,($A102-DateToday)+15,ABS(Option-2),0)-W102)),0),0))</f>
        <v> </v>
      </c>
      <c r="AG102" s="290" t="str">
        <f aca="false">IF($A102="N/A"," ",IF(OR(Dayrun=1,Dayrun=5,Dayrun=8,Dayrun=11),MAX(0,(xSPRDOPT(O102,($E102-'Pricing Inputs'!$X137*$D102),$CV102,0,($CQ102+IF(Smile=TRUE(),VLOOKUP(MAX(-5,$H102-O102),Volsmile,2),0)),$CT102,$CU102,($A102-DateToday)+15,ABS(Option-2),0)-X102)),0))</f>
        <v> </v>
      </c>
      <c r="AH102" s="290" t="str">
        <f aca="false">IF($A102="N/A"," ",IF(OR(Dayrun=1,Dayrun=8,Dayrun=11),MAX(0,(xSPRDOPT(P102,($E102-'Pricing Inputs'!$X137*$D102),$CV102,0,($CQ102+IF(Smile=TRUE(),VLOOKUP(MAX(-5,$H102-P102),Volsmile,2),0)),$CT102,$CU102,($A102-DateToday)+15,ABS(Option-2),0)-Y102)),0))</f>
        <v> </v>
      </c>
      <c r="AI102" s="290" t="str">
        <f aca="false">IF($A102="N/A"," ",IF(OR(Dayrun&lt;=2,Dayrun&gt;=11),IF(OffPeakEx=TRUE(),MAX(0,(xSPRDOPT(Q102,($E102-'Pricing Inputs'!$X137*$D102),$CV102,0,($CQ102+IF(Smile=TRUE(),VLOOKUP(MAX(-5,$H102-Q102),Volsmile,2),0)),$CT102,$CU102,($A102-DateToday)+15,ABS(Option-2),0)-Z102)),0),0))</f>
        <v> </v>
      </c>
      <c r="AJ102" s="294" t="str">
        <f aca="false">IF($A102="N/A"," ",IF(Dayrun&gt;=3,IF(Option=1,$I102-$H102,IF(Option=2,$H102-$I102)),0))</f>
        <v> </v>
      </c>
      <c r="AK102" s="295" t="str">
        <f aca="false">IF($A102="N/A"," ",IF(Dayrun&gt;=6,IF(Option=1,$J102-H102,IF(Option=2,H102-$J102)),0))</f>
        <v> </v>
      </c>
      <c r="AL102" s="295" t="str">
        <f aca="false">IF($A102="N/A"," ",IF(OR(Dayrun&lt;=2,Dayrun&gt;=9),IF(Option=1,$K102-$H102,IF(Option=2,$H102-$K102)),0))</f>
        <v> </v>
      </c>
      <c r="AM102" s="295" t="str">
        <f aca="false">IF($A102="N/A"," ",IF(OR(Dayrun=1,Dayrun=4,Dayrun=5,Dayrun=7,Dayrun=8,Dayrun=10,Dayrun=11),IF(Option=1,$L102-H102,IF(Option=2,H102-$L102)),0))</f>
        <v> </v>
      </c>
      <c r="AN102" s="295" t="str">
        <f aca="false">IF($A102="N/A"," ",IF(OR(Dayrun=1,Dayrun=7,Dayrun=8,Dayrun=10,Dayrun=11),IF(Option=1,$M102-H102,IF(Option=2,H102-$M102)),0))</f>
        <v> </v>
      </c>
      <c r="AO102" s="295" t="str">
        <f aca="false">IF($A102="N/A"," ",IF(OR(Dayrun&lt;=2,Dayrun&gt;=9),IF(Option=1,$N102-$H102,IF(Option=2,$H102-$N102)),0))</f>
        <v> </v>
      </c>
      <c r="AP102" s="295" t="str">
        <f aca="false">IF($A102="N/A"," ",IF(OR(Dayrun=1,Dayrun=5,Dayrun=8,Dayrun=11),IF(Option=1,$O102-H102,IF(Option=2,H102-$O102)),0))</f>
        <v> </v>
      </c>
      <c r="AQ102" s="295" t="str">
        <f aca="false">IF($A102="N/A"," ",IF(OR(Dayrun=1,Dayrun=8,Dayrun=11),IF(Option=1,$P102-H102,IF(Option=2,H102-$P102)),0))</f>
        <v> </v>
      </c>
      <c r="AR102" s="296" t="str">
        <f aca="false">IF($A102="N/A"," ",IF(OR(Dayrun&lt;=2,Dayrun&gt;=9),IF(Option=1,$Q102-H102,IF(Option=2,H102-$Q102)),0))</f>
        <v> </v>
      </c>
      <c r="AS102" s="297" t="str">
        <f aca="false">IF($A102="N/A"," ",IF(VLOOKUP(MONTH($A102),ManualTable,2)=1,IF(Dayrun&gt;=3,$DE102*8*$CY102,0),0))</f>
        <v> </v>
      </c>
      <c r="AT102" s="297" t="str">
        <f aca="false">IF($A102="N/A"," ",IF(VLOOKUP(MONTH($A102),ManualTable,3)=1,IF(Dayrun&gt;=6,$DE102*8*$CY102,0),0))</f>
        <v> </v>
      </c>
      <c r="AU102" s="297" t="str">
        <f aca="false">IF($A102="N/A"," ",IF(VLOOKUP(MONTH($A102),ManualTable,4)=1,IF(OR(Dayrun&lt;=2,Dayrun&gt;=9),$DE102*8*$CY102,0),0))</f>
        <v> </v>
      </c>
      <c r="AV102" s="297" t="str">
        <f aca="false">IF($A102="N/A"," ",IF(VLOOKUP(MONTH($A102),ManualTable,5)=1,IF(OR(Dayrun=1,Dayrun=4,Dayrun=5,Dayrun=7,Dayrun=8,Dayrun=10,Dayrun=11),$DF102*8*$CY102,0),0))</f>
        <v> </v>
      </c>
      <c r="AW102" s="297" t="str">
        <f aca="false">IF($A102="N/A"," ",IF(VLOOKUP(MONTH($A102),ManualTable,6)=1,IF(OR(Dayrun=1,Dayrun=7,Dayrun=8,Dayrun=10,Dayrun=11),$DF102*8*$CY102,0),0))</f>
        <v> </v>
      </c>
      <c r="AX102" s="297" t="str">
        <f aca="false">IF($A102="N/A"," ",IF(VLOOKUP(MONTH($A102),ManualTable,7)=1,IF(OR(Dayrun&lt;=2,Dayrun&gt;=9),$DF102*8*$CY102,0),0))</f>
        <v> </v>
      </c>
      <c r="AY102" s="297" t="str">
        <f aca="false">IF($A102="N/A"," ",IF(VLOOKUP(MONTH($A102),ManualTable,8)=1,IF(OR(Dayrun=1,Dayrun=5,Dayrun=8,Dayrun=11),$DG102*8*$CY102,0),0))</f>
        <v> </v>
      </c>
      <c r="AZ102" s="297" t="str">
        <f aca="false">IF($A102="N/A"," ",IF(VLOOKUP(MONTH($A102),ManualTable,9)=1,IF(OR(Dayrun=1,Dayrun=8,Dayrun=11),$DG102*8*$CY102,0),0))</f>
        <v> </v>
      </c>
      <c r="BA102" s="298" t="str">
        <f aca="false">IF($A102="N/A"," ",IF(VLOOKUP(MONTH($A102),ManualTable,10)=1,IF(OR(Dayrun&lt;=2,Dayrun&gt;=9),$DG102*8*$CY102,0),0))</f>
        <v> </v>
      </c>
      <c r="BB102" s="299" t="str">
        <f aca="false">IF($A102="N/A"," ",IF(Dayrun&gt;=3,(MAX(0,(xSPRDOPT(I102,($E102-'Pricing Inputs'!$X137*$D102),$CV102,0,($CN102+IF(Smile=TRUE(),VLOOKUP(MAX(-5,$H102-I102),Volsmile,2),0)),$CT102,$CU102,($A102-DateToday)+15,ABS(Option-2),1)*DE102*8))),0))</f>
        <v> </v>
      </c>
      <c r="BC102" s="300" t="str">
        <f aca="false">IF($A102="N/A"," ",IF(Dayrun&gt;=6,MAX(0,(xSPRDOPT(J102,($E102-'Pricing Inputs'!$X137*$D102),$CV102,0,($CN102+IF(Smile=TRUE(),VLOOKUP(MAX(-5,$H102-J102),Volsmile,2),0)),$CT102,$CU102,($A102-DateToday)+15,ABS(Option-2),1)*DE102*8)),0))</f>
        <v> </v>
      </c>
      <c r="BD102" s="300" t="str">
        <f aca="false">IF($A102="N/A"," ",IF(OR(Dayrun&lt;=2,Dayrun&gt;=9),IF(OffPeakEx=TRUE(),MAX(0,(xSPRDOPT(K102,($E102-'Pricing Inputs'!$X137*$D102),$CV102,0,($CQ102+IF(Smile=TRUE(),VLOOKUP(MAX(-5,$H102-K102),Volsmile,2),0)),$CT102,$CU102,($A102-DateToday)+15,ABS(Option-2),1)*DE102*8)),0),0))</f>
        <v> </v>
      </c>
      <c r="BE102" s="300" t="str">
        <f aca="false">IF($A102="N/A"," ",IF(OR(Dayrun=1,Dayrun=4,Dayrun=5,Dayrun=7,Dayrun=8,Dayrun=10,Dayrun=11),MAX(0,(xSPRDOPT(L102,($E102-'Pricing Inputs'!$X137*$D102),$CV102,0,($CQ102+IF(Smile=TRUE(),VLOOKUP(MAX(-5,$H102-L102),Volsmile,2),0)),$CT102,$CU102,($A102-DateToday)+15,ABS(Option-2),1)*DF102*8)),0))</f>
        <v> </v>
      </c>
      <c r="BF102" s="300" t="str">
        <f aca="false">IF($A102="N/A"," ",IF(OR(Dayrun=1,Dayrun=7,Dayrun=8,Dayrun=10,Dayrun=11),MAX(0,(xSPRDOPT(M102,($E102-'Pricing Inputs'!$X137*$D102),$CV102,0,($CQ102+IF(Smile=TRUE(),VLOOKUP(MAX(-5,$H102-M102),Volsmile,2),0)),$CT102,$CU102,($A102-DateToday)+15,ABS(Option-2),1)*DF102*8)),0))</f>
        <v> </v>
      </c>
      <c r="BG102" s="300" t="str">
        <f aca="false">IF($A102="N/A"," ",IF(OR(Dayrun&lt;=2,Dayrun&gt;=10),IF(OffPeakEx=TRUE(),MAX(0,(xSPRDOPT(N102,($E102-'Pricing Inputs'!$X137*$D102),$CV102,0,($CQ102+IF(Smile=TRUE(),VLOOKUP(MAX(-5,$H102-N102),Volsmile,2),0)),$CT102,$CU102,($A102-DateToday)+15,ABS(Option-2),1)*DF102*8)),0),0))</f>
        <v> </v>
      </c>
      <c r="BH102" s="300" t="str">
        <f aca="false">IF($A102="N/A"," ",IF(OR(Dayrun=1,Dayrun=5,Dayrun=8,Dayrun=11),MAX(0,(xSPRDOPT(O102,($E102-'Pricing Inputs'!$X137*$D102),$CV102,0,($CQ102+IF(Smile=TRUE(),VLOOKUP(MAX(-5,$H102-O102),Volsmile,2),0)),$CT102,$CU102,($A102-DateToday)+15,ABS(Option-2),1)*DG102*8)),0))</f>
        <v> </v>
      </c>
      <c r="BI102" s="300" t="str">
        <f aca="false">IF($A102="N/A"," ",IF(OR(Dayrun=1,Dayrun=8,Dayrun=11),MAX(0,(xSPRDOPT(P102,($E102-'Pricing Inputs'!$X137*$D102),$CV102,0,($CQ102+IF(Smile=TRUE(),VLOOKUP(MAX(-5,$H102-P102),Volsmile,2),0)),$CT102,$CU102,($A102-DateToday)+15,ABS(Option-2),1)*DG102*8)),0))</f>
        <v> </v>
      </c>
      <c r="BJ102" s="301" t="str">
        <f aca="false">IF($A102="N/A"," ",IF(OR(Dayrun&lt;=2,Dayrun&gt;=11),IF(OffPeakEx=TRUE(),MAX(0,(xSPRDOPT(Q102,($E102-'Pricing Inputs'!$X137*$D102),$CV102,0,($CQ102+IF(Smile=TRUE(),VLOOKUP(MAX(-5,$H102-Q102),Volsmile,2),0)),$CT102,$CU102,($A102-DateToday)+15,ABS(Option-2),1)*DG102*8)),0),0))</f>
        <v> </v>
      </c>
      <c r="BK102" s="302" t="str">
        <f aca="false">IF($A102="N/A"," ",R102*$AS102)</f>
        <v> </v>
      </c>
      <c r="BL102" s="303" t="str">
        <f aca="false">IF($A102="N/A"," ",S102*$AT102)</f>
        <v> </v>
      </c>
      <c r="BM102" s="303" t="str">
        <f aca="false">IF($A102="N/A"," ",T102*$AU102)</f>
        <v> </v>
      </c>
      <c r="BN102" s="303" t="str">
        <f aca="false">IF($A102="N/A"," ",U102*$AV102)</f>
        <v> </v>
      </c>
      <c r="BO102" s="303" t="str">
        <f aca="false">IF($A102="N/A"," ",V102*$AW102)</f>
        <v> </v>
      </c>
      <c r="BP102" s="303" t="str">
        <f aca="false">IF($A102="N/A"," ",W102*$AX102)</f>
        <v> </v>
      </c>
      <c r="BQ102" s="303" t="str">
        <f aca="false">IF($A102="N/A"," ",X102*$AY102)</f>
        <v> </v>
      </c>
      <c r="BR102" s="303" t="str">
        <f aca="false">IF($A102="N/A"," ",Y102*$AZ102)</f>
        <v> </v>
      </c>
      <c r="BS102" s="304" t="str">
        <f aca="false">IF($A102="N/A"," ",Z102*$BA102)</f>
        <v> </v>
      </c>
      <c r="BT102" s="305" t="str">
        <f aca="false">IF($A102="N/A"," ",AA102*$AS102)</f>
        <v> </v>
      </c>
      <c r="BU102" s="306" t="str">
        <f aca="false">IF($A102="N/A"," ",AB102*$AT102)</f>
        <v> </v>
      </c>
      <c r="BV102" s="306" t="str">
        <f aca="false">IF($A102="N/A"," ",AC102*$AU102)</f>
        <v> </v>
      </c>
      <c r="BW102" s="306" t="str">
        <f aca="false">IF($A102="N/A"," ",AD102*$AV102)</f>
        <v> </v>
      </c>
      <c r="BX102" s="306" t="str">
        <f aca="false">IF($A102="N/A"," ",AE102*$AW102)</f>
        <v> </v>
      </c>
      <c r="BY102" s="306" t="str">
        <f aca="false">IF($A102="N/A"," ",AF102*$AX102)</f>
        <v> </v>
      </c>
      <c r="BZ102" s="306" t="str">
        <f aca="false">IF($A102="N/A"," ",AG102*$AY102)</f>
        <v> </v>
      </c>
      <c r="CA102" s="306" t="str">
        <f aca="false">IF($A102="N/A"," ",AH102*$AZ102)</f>
        <v> </v>
      </c>
      <c r="CB102" s="307" t="str">
        <f aca="false">IF($A102="N/A"," ",AI102*$BA102)</f>
        <v> </v>
      </c>
      <c r="CC102" s="308" t="str">
        <f aca="false">IF($A102="N/A"," ",AJ102*$AS102)</f>
        <v> </v>
      </c>
      <c r="CD102" s="309" t="str">
        <f aca="false">IF($A102="N/A"," ",AK102*$AT102)</f>
        <v> </v>
      </c>
      <c r="CE102" s="309" t="str">
        <f aca="false">IF($A102="N/A"," ",AL102*$AU102)</f>
        <v> </v>
      </c>
      <c r="CF102" s="309" t="str">
        <f aca="false">IF($A102="N/A"," ",AM102*$AV102)</f>
        <v> </v>
      </c>
      <c r="CG102" s="309" t="str">
        <f aca="false">IF($A102="N/A"," ",AN102*$AW102)</f>
        <v> </v>
      </c>
      <c r="CH102" s="309" t="str">
        <f aca="false">IF($A102="N/A"," ",AO102*$AX102)</f>
        <v> </v>
      </c>
      <c r="CI102" s="309" t="str">
        <f aca="false">IF($A102="N/A"," ",AP102*$AY102)</f>
        <v> </v>
      </c>
      <c r="CJ102" s="309" t="str">
        <f aca="false">IF($A102="N/A"," ",AQ102*$AZ102)</f>
        <v> </v>
      </c>
      <c r="CK102" s="310" t="str">
        <f aca="false">IF($A102="N/A"," ",AR102*$BA102)</f>
        <v> </v>
      </c>
      <c r="CL102" s="311" t="str">
        <f aca="false">IF(A102="N/A"," ",(VLOOKUP(A102,PowerVolTable,(IF(VolBMO=2,7,IF(VolBMO=1,6,8))),FALSE())))</f>
        <v> </v>
      </c>
      <c r="CM102" s="312" t="str">
        <f aca="false">IF(A102="N/A"," ",(VLOOKUP(A102,IntraPowerVol,(IF(VolBMO=2,3,IF(VolBMO=1,2,4))),FALSE())*VLOOKUP(MONTH($A102),Volscale,2)))</f>
        <v> </v>
      </c>
      <c r="CN102" s="312" t="str">
        <f aca="false">IF($A102="N/A"," ",IF(VolType=1,CM102,CL102))</f>
        <v> </v>
      </c>
      <c r="CO102" s="312" t="str">
        <f aca="false">IF($A102="N/A"," ",(VLOOKUP($A102,OffPeakVol,(IF(VolBMO=2,7,IF(VolBMO=1,6,8))),FALSE())))</f>
        <v> </v>
      </c>
      <c r="CP102" s="312" t="str">
        <f aca="false">IF($A102="N/A"," ",(VLOOKUP($A102,OffPeakVol,(IF(VolBMO=2,3,IF(VolBMO=1,2,4))),FALSE())*VLOOKUP(MONTH($A102),Volscale,2)))</f>
        <v> </v>
      </c>
      <c r="CQ102" s="312" t="str">
        <f aca="false">IF($A102="N/A"," ",IF(VolType=1,CP102,CO102))</f>
        <v> </v>
      </c>
      <c r="CR102" s="312" t="str">
        <f aca="false">IF($A102="N/A"," ",(VLOOKUP($A102,GasVolTable,(IF(VolBMO=2,6,IF(VolBMO=1,7,5))),FALSE())))</f>
        <v> </v>
      </c>
      <c r="CS102" s="312" t="str">
        <f aca="false">IF($A102="N/A"," ",(VLOOKUP($A102,OmicronVol,(IF(VolBMO=2,3,IF(VolBMO=1,4,2))),FALSE())))</f>
        <v> </v>
      </c>
      <c r="CT102" s="312" t="str">
        <f aca="false">IF($A102="N/A"," ",(IF(DateToday&gt;$A102,$CS102,IF(VolType=1,((($CR102^2)*((($A102-1)-DateToday)/((EOMONTH($A102,0)+1)-DateToday-15)))+((($CS102)^2)*((15)/((EOMONTH($A102,0)+1)-DateToday-15))))^0.5,CR102))))</f>
        <v> </v>
      </c>
      <c r="CU102" s="312" t="str">
        <f aca="false">IF($A102="N/A"," ",IF('Pricing Inputs'!$AR$23=TRUE(),Inputs!$S$22,VLOOKUP($A102,CorrelationTable,2,FALSE())))</f>
        <v> </v>
      </c>
      <c r="CV102" s="313" t="str">
        <f aca="false">IF($A102="N/A"," ",F102+G102+(D102*('Pricing Inputs'!X137)))</f>
        <v> </v>
      </c>
      <c r="CW102" s="314" t="str">
        <f aca="false">IF($A102="N/A"," ",IF(PV=1,0,'Pricing Inputs'!Y137))</f>
        <v> </v>
      </c>
      <c r="CX102" s="315" t="str">
        <f aca="false">IF($A102="N/A"," ",(1+CW102/2)^(-2*((EOMONTH(A102,0)+20)-DateToday)/365.25))</f>
        <v> </v>
      </c>
      <c r="CY102" s="316" t="str">
        <f aca="false">IF($A102="N/A"," ",(IF(MONTH(A102)&gt;=4,IF(MONTH(A102)&lt;=10,Inputs!$S$26,Inputs!$S$27),Inputs!$S$27))*$CX102)</f>
        <v> </v>
      </c>
      <c r="CZ102" s="317" t="str">
        <f aca="false">IF($A102="N/A"," ",BK102+BL102+BN102+BO102+BQ102+BR102)</f>
        <v> </v>
      </c>
      <c r="DA102" s="318" t="str">
        <f aca="false">IF($A102="N/A"," ",BM102+BP102+BS102)</f>
        <v> </v>
      </c>
      <c r="DB102" s="319" t="str">
        <f aca="false">IF($A102="N/A"," ",BT102+BU102+BW102+BX102+BZ102+CA102)</f>
        <v> </v>
      </c>
      <c r="DC102" s="319" t="str">
        <f aca="false">IF($A102="N/A"," ",BV102+BY102+CB102)</f>
        <v> </v>
      </c>
      <c r="DD102" s="320" t="str">
        <f aca="false">IF($A102="N/A"," ",SUM(CC102:CK102))</f>
        <v> </v>
      </c>
      <c r="DE102" s="321" t="str">
        <f aca="false">IF($A102="N/A"," ",VLOOKUP($A102,NumberofDaysTable,2)*Availability)</f>
        <v> </v>
      </c>
      <c r="DF102" s="94" t="str">
        <f aca="false">IF($A102="N/A"," ",VLOOKUP($A102,NumberofDaysTable,3)*Availability)</f>
        <v> </v>
      </c>
      <c r="DG102" s="322" t="str">
        <f aca="false">IF($A102="N/A"," ",VLOOKUP($A102,NumberofDaysTable,4)*Availability)</f>
        <v> </v>
      </c>
      <c r="DH102" s="323" t="str">
        <f aca="false">IF($A102="N/A"," ",IF(Option=1,$D102*Inputs!$S$15*SUM(AS102:BA102),0))</f>
        <v> </v>
      </c>
      <c r="DI102" s="324" t="str">
        <f aca="false">IF($A102="N/A"," ",IF(Option=1,$D102*Inputs!$S$16*SUM(AS102:BA102),0))</f>
        <v> </v>
      </c>
      <c r="DJ102" s="325" t="str">
        <f aca="false">IF($A102="N/A"," ",SUM(AS102:AT102))</f>
        <v> </v>
      </c>
      <c r="DK102" s="325" t="str">
        <f aca="false">IF($A102="N/A"," ",SUM(AU102:BA102))</f>
        <v> </v>
      </c>
      <c r="DL102" s="325" t="str">
        <f aca="false">IF($A102="N/A"," ",SUM(BB102:BC102))</f>
        <v> </v>
      </c>
      <c r="DM102" s="325" t="str">
        <f aca="false">IF($A102="N/A"," ",SUM(BD102:BJ102))</f>
        <v> </v>
      </c>
    </row>
    <row r="103" customFormat="false" ht="12.75" hidden="false" customHeight="false" outlineLevel="0" collapsed="false">
      <c r="A103" s="282" t="str">
        <f aca="false">IF(A102="N/A","N/A",IF(EDATE(A102,1)&gt;Inputs!$S$5,"N/A",EDATE(A102,1)))</f>
        <v>N/A</v>
      </c>
      <c r="B103" s="283" t="str">
        <f aca="false">IF(A103="N/A"," ",YEAR(A103))</f>
        <v> </v>
      </c>
      <c r="C103" s="284" t="str">
        <f aca="false">IF(A103="N/A"," ",VLOOKUP(A103,ScaledPrice,14))</f>
        <v> </v>
      </c>
      <c r="D103" s="285" t="str">
        <f aca="false">IF(A103="N/A"," ",(VLOOKUP(MONTH($A103),Hrtable,2))/1000)</f>
        <v> </v>
      </c>
      <c r="E103" s="286" t="str">
        <f aca="false">IF($A103="N/A"," ",(C103)*D103)</f>
        <v> </v>
      </c>
      <c r="F103" s="287" t="str">
        <f aca="false">IF(A103="N/A"," ",VOM*(1+VOMesc)^(YEAR(A103)-YEAR(Today)))</f>
        <v> </v>
      </c>
      <c r="G103" s="287" t="str">
        <f aca="false">IF(A103="N/A"," ",Perstart/VLOOKUP(Dayrun,'Pricing Inputs'!$AQ$4:$AS$14,3)/(CY103/CX103))</f>
        <v> </v>
      </c>
      <c r="H103" s="288" t="str">
        <f aca="false">IF(A103="N/A"," ",SUM(E103:G103))</f>
        <v> </v>
      </c>
      <c r="I103" s="289" t="str">
        <f aca="false">VLOOKUP($A103,ScaledPrice,6)</f>
        <v> </v>
      </c>
      <c r="J103" s="290" t="str">
        <f aca="false">VLOOKUP($A103,ScaledPrice,10)</f>
        <v> </v>
      </c>
      <c r="K103" s="290" t="str">
        <f aca="false">VLOOKUP($A103,ScaledPrice,13)</f>
        <v> </v>
      </c>
      <c r="L103" s="290" t="str">
        <f aca="false">VLOOKUP($A103,ScaledPrice,7)</f>
        <v> </v>
      </c>
      <c r="M103" s="290" t="str">
        <f aca="false">VLOOKUP($A103,ScaledPrice,11)</f>
        <v> </v>
      </c>
      <c r="N103" s="290" t="str">
        <f aca="false">VLOOKUP($A103,ScaledPrice,13)</f>
        <v> </v>
      </c>
      <c r="O103" s="290" t="str">
        <f aca="false">VLOOKUP($A103,ScaledPrice,8)</f>
        <v> </v>
      </c>
      <c r="P103" s="290" t="str">
        <f aca="false">VLOOKUP($A103,ScaledPrice,12)</f>
        <v> </v>
      </c>
      <c r="Q103" s="291" t="str">
        <f aca="false">VLOOKUP($A103,ScaledPrice,13)</f>
        <v> </v>
      </c>
      <c r="R103" s="292" t="str">
        <f aca="false">IF($A103="N/A"," ",IF(Dayrun&gt;=3,IF(Option=1,MAX($I103-$H103,0),IF(Option=2,MAX($H103-$I103,0),0)),0))</f>
        <v> </v>
      </c>
      <c r="S103" s="286" t="str">
        <f aca="false">IF($A103="N/A"," ",IF(Dayrun&gt;=6,IF(Option=1,MAX($J103-H103,0),IF(Option=2,MAX(H103-$J103,0),0)),0))</f>
        <v> </v>
      </c>
      <c r="T103" s="286" t="str">
        <f aca="false">IF($A103="N/A"," ",IF(OR(Dayrun&lt;=2,Dayrun&gt;=9),IF(Option=1,MAX($K103-$H103,0),IF(Option=2,MAX($H103-$K103,0),0)),0))</f>
        <v> </v>
      </c>
      <c r="U103" s="286" t="str">
        <f aca="false">IF($A103="N/A"," ",IF(OR(Dayrun=1,Dayrun=4,Dayrun=5,Dayrun=7,Dayrun=8,Dayrun=10,Dayrun=11),IF(Option=1,MAX($L103-H103,0),IF(Option=2,MAX(H103-$L103,0),0)),0))</f>
        <v> </v>
      </c>
      <c r="V103" s="286" t="str">
        <f aca="false">IF($A103="N/A"," ",IF(OR(Dayrun=1,Dayrun=7,Dayrun=8,Dayrun=10,Dayrun=11),IF(Option=1,MAX($M103-H103,0),IF(Option=2,MAX(H103-$M103,0),0)),0))</f>
        <v> </v>
      </c>
      <c r="W103" s="286" t="str">
        <f aca="false">IF($A103="N/A"," ",IF(OR(Dayrun&lt;=2,Dayrun&gt;=10),IF(Option=1,MAX($N103-$H103,0),IF(Option=2,MAX($H103-$N103,0),0)),0))</f>
        <v> </v>
      </c>
      <c r="X103" s="286" t="str">
        <f aca="false">IF($A103="N/A"," ",IF(OR(Dayrun=1,Dayrun=5,Dayrun=8,Dayrun=11),IF(Option=1,MAX($O103-H103,0),IF(Option=2,MAX(H103-$O103,0),0)),0))</f>
        <v> </v>
      </c>
      <c r="Y103" s="286" t="str">
        <f aca="false">IF($A103="N/A"," ",IF(OR(Dayrun=1,Dayrun=8,Dayrun=11),IF(Option=1,MAX($P103-H103,0),IF(Option=2,MAX(H103-$P103,0),0)),0))</f>
        <v> </v>
      </c>
      <c r="Z103" s="293" t="str">
        <f aca="false">IF($A103="N/A"," ",IF(OR(Dayrun&lt;=2,Dayrun&gt;=11),IF(Option=1,MAX($Q103-$H103,0),IF(Option=2,MAX($H103-$Q103,0),0)),0))</f>
        <v> </v>
      </c>
      <c r="AA103" s="289" t="str">
        <f aca="false">IF($A103="N/A"," ",IF(Dayrun&gt;=3,(MAX(0,(xSPRDOPT(I103,($E103-'Pricing Inputs'!$X138*$D103),$CV103,0,($CN103+IF(Smile=TRUE(),VLOOKUP(MAX(-5,$H103-I103),Volsmile,2),0)),$CT103,$CU103,($A103-DateToday)+15,ABS(Option-2),0)-R103))),0))</f>
        <v> </v>
      </c>
      <c r="AB103" s="290" t="str">
        <f aca="false">IF($A103="N/A"," ",IF(Dayrun&gt;=6,MAX(0,(xSPRDOPT(J103,($E103-'Pricing Inputs'!$X138*$D103),$CV103,0,($CN103+IF(Smile=TRUE(),VLOOKUP(MAX(-5,$H103-J103),Volsmile,2),0)),$CT103,$CU103,($A103-DateToday)+15,ABS(Option-2),0)-S103)),0))</f>
        <v> </v>
      </c>
      <c r="AC103" s="290" t="str">
        <f aca="false">IF($A103="N/A"," ",IF(OR(Dayrun&lt;=2,Dayrun&gt;=9),IF(OffPeakEx=TRUE(),MAX(0,(xSPRDOPT(K103,($E103-'Pricing Inputs'!$X138*$D103),$CV103,0,($CQ103+IF(Smile=TRUE(),VLOOKUP(MAX(-5,$H103-K103),Volsmile,2),0)),$CT103,$CU103,($A103-DateToday)+15,ABS(Option-2),0)-T103)),0),0))</f>
        <v> </v>
      </c>
      <c r="AD103" s="290" t="str">
        <f aca="false">IF($A103="N/A"," ",IF(OR(Dayrun=1,Dayrun=4,Dayrun=5,Dayrun=7,Dayrun=8,Dayrun=10,Dayrun=11),MAX(0,(xSPRDOPT(L103,($E103-'Pricing Inputs'!$X138*$D103),$CV103,0,($CQ103+IF(Smile=TRUE(),VLOOKUP(MAX(-5,$H103-L103),Volsmile,2),0)),$CT103,$CU103,($A103-DateToday)+15,ABS(Option-2),0)-U103)),0))</f>
        <v> </v>
      </c>
      <c r="AE103" s="290" t="str">
        <f aca="false">IF($A103="N/A"," ",IF(OR(Dayrun=1,Dayrun=7,Dayrun=8,Dayrun=10,Dayrun=11),MAX(0,(xSPRDOPT(M103,($E103-'Pricing Inputs'!$X138*$D103),$CV103,0,($CQ103+IF(Smile=TRUE(),VLOOKUP(MAX(-5,$H103-M103),Volsmile,2),0)),$CT103,$CU103,($A103-DateToday)+15,ABS(Option-2),0)-V103)),0))</f>
        <v> </v>
      </c>
      <c r="AF103" s="290" t="str">
        <f aca="false">IF($A103="N/A"," ",IF(OR(Dayrun&lt;=2,Dayrun&gt;=10),IF(OffPeakEx=TRUE(),MAX(0,(xSPRDOPT(N103,($E103-'Pricing Inputs'!$X138*$D103),$CV103,0,($CQ103+IF(Smile=TRUE(),VLOOKUP(MAX(-5,$H103-N103),Volsmile,2),0)),$CT103,$CU103,($A103-DateToday)+15,ABS(Option-2),0)-W103)),0),0))</f>
        <v> </v>
      </c>
      <c r="AG103" s="290" t="str">
        <f aca="false">IF($A103="N/A"," ",IF(OR(Dayrun=1,Dayrun=5,Dayrun=8,Dayrun=11),MAX(0,(xSPRDOPT(O103,($E103-'Pricing Inputs'!$X138*$D103),$CV103,0,($CQ103+IF(Smile=TRUE(),VLOOKUP(MAX(-5,$H103-O103),Volsmile,2),0)),$CT103,$CU103,($A103-DateToday)+15,ABS(Option-2),0)-X103)),0))</f>
        <v> </v>
      </c>
      <c r="AH103" s="290" t="str">
        <f aca="false">IF($A103="N/A"," ",IF(OR(Dayrun=1,Dayrun=8,Dayrun=11),MAX(0,(xSPRDOPT(P103,($E103-'Pricing Inputs'!$X138*$D103),$CV103,0,($CQ103+IF(Smile=TRUE(),VLOOKUP(MAX(-5,$H103-P103),Volsmile,2),0)),$CT103,$CU103,($A103-DateToday)+15,ABS(Option-2),0)-Y103)),0))</f>
        <v> </v>
      </c>
      <c r="AI103" s="290" t="str">
        <f aca="false">IF($A103="N/A"," ",IF(OR(Dayrun&lt;=2,Dayrun&gt;=11),IF(OffPeakEx=TRUE(),MAX(0,(xSPRDOPT(Q103,($E103-'Pricing Inputs'!$X138*$D103),$CV103,0,($CQ103+IF(Smile=TRUE(),VLOOKUP(MAX(-5,$H103-Q103),Volsmile,2),0)),$CT103,$CU103,($A103-DateToday)+15,ABS(Option-2),0)-Z103)),0),0))</f>
        <v> </v>
      </c>
      <c r="AJ103" s="294" t="str">
        <f aca="false">IF($A103="N/A"," ",IF(Dayrun&gt;=3,IF(Option=1,$I103-$H103,IF(Option=2,$H103-$I103)),0))</f>
        <v> </v>
      </c>
      <c r="AK103" s="295" t="str">
        <f aca="false">IF($A103="N/A"," ",IF(Dayrun&gt;=6,IF(Option=1,$J103-H103,IF(Option=2,H103-$J103)),0))</f>
        <v> </v>
      </c>
      <c r="AL103" s="295" t="str">
        <f aca="false">IF($A103="N/A"," ",IF(OR(Dayrun&lt;=2,Dayrun&gt;=9),IF(Option=1,$K103-$H103,IF(Option=2,$H103-$K103)),0))</f>
        <v> </v>
      </c>
      <c r="AM103" s="295" t="str">
        <f aca="false">IF($A103="N/A"," ",IF(OR(Dayrun=1,Dayrun=4,Dayrun=5,Dayrun=7,Dayrun=8,Dayrun=10,Dayrun=11),IF(Option=1,$L103-H103,IF(Option=2,H103-$L103)),0))</f>
        <v> </v>
      </c>
      <c r="AN103" s="295" t="str">
        <f aca="false">IF($A103="N/A"," ",IF(OR(Dayrun=1,Dayrun=7,Dayrun=8,Dayrun=10,Dayrun=11),IF(Option=1,$M103-H103,IF(Option=2,H103-$M103)),0))</f>
        <v> </v>
      </c>
      <c r="AO103" s="295" t="str">
        <f aca="false">IF($A103="N/A"," ",IF(OR(Dayrun&lt;=2,Dayrun&gt;=9),IF(Option=1,$N103-$H103,IF(Option=2,$H103-$N103)),0))</f>
        <v> </v>
      </c>
      <c r="AP103" s="295" t="str">
        <f aca="false">IF($A103="N/A"," ",IF(OR(Dayrun=1,Dayrun=5,Dayrun=8,Dayrun=11),IF(Option=1,$O103-H103,IF(Option=2,H103-$O103)),0))</f>
        <v> </v>
      </c>
      <c r="AQ103" s="295" t="str">
        <f aca="false">IF($A103="N/A"," ",IF(OR(Dayrun=1,Dayrun=8,Dayrun=11),IF(Option=1,$P103-H103,IF(Option=2,H103-$P103)),0))</f>
        <v> </v>
      </c>
      <c r="AR103" s="296" t="str">
        <f aca="false">IF($A103="N/A"," ",IF(OR(Dayrun&lt;=2,Dayrun&gt;=9),IF(Option=1,$Q103-H103,IF(Option=2,H103-$Q103)),0))</f>
        <v> </v>
      </c>
      <c r="AS103" s="297" t="str">
        <f aca="false">IF($A103="N/A"," ",IF(VLOOKUP(MONTH($A103),ManualTable,2)=1,IF(Dayrun&gt;=3,$DE103*8*$CY103,0),0))</f>
        <v> </v>
      </c>
      <c r="AT103" s="297" t="str">
        <f aca="false">IF($A103="N/A"," ",IF(VLOOKUP(MONTH($A103),ManualTable,3)=1,IF(Dayrun&gt;=6,$DE103*8*$CY103,0),0))</f>
        <v> </v>
      </c>
      <c r="AU103" s="297" t="str">
        <f aca="false">IF($A103="N/A"," ",IF(VLOOKUP(MONTH($A103),ManualTable,4)=1,IF(OR(Dayrun&lt;=2,Dayrun&gt;=9),$DE103*8*$CY103,0),0))</f>
        <v> </v>
      </c>
      <c r="AV103" s="297" t="str">
        <f aca="false">IF($A103="N/A"," ",IF(VLOOKUP(MONTH($A103),ManualTable,5)=1,IF(OR(Dayrun=1,Dayrun=4,Dayrun=5,Dayrun=7,Dayrun=8,Dayrun=10,Dayrun=11),$DF103*8*$CY103,0),0))</f>
        <v> </v>
      </c>
      <c r="AW103" s="297" t="str">
        <f aca="false">IF($A103="N/A"," ",IF(VLOOKUP(MONTH($A103),ManualTable,6)=1,IF(OR(Dayrun=1,Dayrun=7,Dayrun=8,Dayrun=10,Dayrun=11),$DF103*8*$CY103,0),0))</f>
        <v> </v>
      </c>
      <c r="AX103" s="297" t="str">
        <f aca="false">IF($A103="N/A"," ",IF(VLOOKUP(MONTH($A103),ManualTable,7)=1,IF(OR(Dayrun&lt;=2,Dayrun&gt;=9),$DF103*8*$CY103,0),0))</f>
        <v> </v>
      </c>
      <c r="AY103" s="297" t="str">
        <f aca="false">IF($A103="N/A"," ",IF(VLOOKUP(MONTH($A103),ManualTable,8)=1,IF(OR(Dayrun=1,Dayrun=5,Dayrun=8,Dayrun=11),$DG103*8*$CY103,0),0))</f>
        <v> </v>
      </c>
      <c r="AZ103" s="297" t="str">
        <f aca="false">IF($A103="N/A"," ",IF(VLOOKUP(MONTH($A103),ManualTable,9)=1,IF(OR(Dayrun=1,Dayrun=8,Dayrun=11),$DG103*8*$CY103,0),0))</f>
        <v> </v>
      </c>
      <c r="BA103" s="298" t="str">
        <f aca="false">IF($A103="N/A"," ",IF(VLOOKUP(MONTH($A103),ManualTable,10)=1,IF(OR(Dayrun&lt;=2,Dayrun&gt;=9),$DG103*8*$CY103,0),0))</f>
        <v> </v>
      </c>
      <c r="BB103" s="299" t="str">
        <f aca="false">IF($A103="N/A"," ",IF(Dayrun&gt;=3,(MAX(0,(xSPRDOPT(I103,($E103-'Pricing Inputs'!$X138*$D103),$CV103,0,($CN103+IF(Smile=TRUE(),VLOOKUP(MAX(-5,$H103-I103),Volsmile,2),0)),$CT103,$CU103,($A103-DateToday)+15,ABS(Option-2),1)*DE103*8))),0))</f>
        <v> </v>
      </c>
      <c r="BC103" s="300" t="str">
        <f aca="false">IF($A103="N/A"," ",IF(Dayrun&gt;=6,MAX(0,(xSPRDOPT(J103,($E103-'Pricing Inputs'!$X138*$D103),$CV103,0,($CN103+IF(Smile=TRUE(),VLOOKUP(MAX(-5,$H103-J103),Volsmile,2),0)),$CT103,$CU103,($A103-DateToday)+15,ABS(Option-2),1)*DE103*8)),0))</f>
        <v> </v>
      </c>
      <c r="BD103" s="300" t="str">
        <f aca="false">IF($A103="N/A"," ",IF(OR(Dayrun&lt;=2,Dayrun&gt;=9),IF(OffPeakEx=TRUE(),MAX(0,(xSPRDOPT(K103,($E103-'Pricing Inputs'!$X138*$D103),$CV103,0,($CQ103+IF(Smile=TRUE(),VLOOKUP(MAX(-5,$H103-K103),Volsmile,2),0)),$CT103,$CU103,($A103-DateToday)+15,ABS(Option-2),1)*DE103*8)),0),0))</f>
        <v> </v>
      </c>
      <c r="BE103" s="300" t="str">
        <f aca="false">IF($A103="N/A"," ",IF(OR(Dayrun=1,Dayrun=4,Dayrun=5,Dayrun=7,Dayrun=8,Dayrun=10,Dayrun=11),MAX(0,(xSPRDOPT(L103,($E103-'Pricing Inputs'!$X138*$D103),$CV103,0,($CQ103+IF(Smile=TRUE(),VLOOKUP(MAX(-5,$H103-L103),Volsmile,2),0)),$CT103,$CU103,($A103-DateToday)+15,ABS(Option-2),1)*DF103*8)),0))</f>
        <v> </v>
      </c>
      <c r="BF103" s="300" t="str">
        <f aca="false">IF($A103="N/A"," ",IF(OR(Dayrun=1,Dayrun=7,Dayrun=8,Dayrun=10,Dayrun=11),MAX(0,(xSPRDOPT(M103,($E103-'Pricing Inputs'!$X138*$D103),$CV103,0,($CQ103+IF(Smile=TRUE(),VLOOKUP(MAX(-5,$H103-M103),Volsmile,2),0)),$CT103,$CU103,($A103-DateToday)+15,ABS(Option-2),1)*DF103*8)),0))</f>
        <v> </v>
      </c>
      <c r="BG103" s="300" t="str">
        <f aca="false">IF($A103="N/A"," ",IF(OR(Dayrun&lt;=2,Dayrun&gt;=10),IF(OffPeakEx=TRUE(),MAX(0,(xSPRDOPT(N103,($E103-'Pricing Inputs'!$X138*$D103),$CV103,0,($CQ103+IF(Smile=TRUE(),VLOOKUP(MAX(-5,$H103-N103),Volsmile,2),0)),$CT103,$CU103,($A103-DateToday)+15,ABS(Option-2),1)*DF103*8)),0),0))</f>
        <v> </v>
      </c>
      <c r="BH103" s="300" t="str">
        <f aca="false">IF($A103="N/A"," ",IF(OR(Dayrun=1,Dayrun=5,Dayrun=8,Dayrun=11),MAX(0,(xSPRDOPT(O103,($E103-'Pricing Inputs'!$X138*$D103),$CV103,0,($CQ103+IF(Smile=TRUE(),VLOOKUP(MAX(-5,$H103-O103),Volsmile,2),0)),$CT103,$CU103,($A103-DateToday)+15,ABS(Option-2),1)*DG103*8)),0))</f>
        <v> </v>
      </c>
      <c r="BI103" s="300" t="str">
        <f aca="false">IF($A103="N/A"," ",IF(OR(Dayrun=1,Dayrun=8,Dayrun=11),MAX(0,(xSPRDOPT(P103,($E103-'Pricing Inputs'!$X138*$D103),$CV103,0,($CQ103+IF(Smile=TRUE(),VLOOKUP(MAX(-5,$H103-P103),Volsmile,2),0)),$CT103,$CU103,($A103-DateToday)+15,ABS(Option-2),1)*DG103*8)),0))</f>
        <v> </v>
      </c>
      <c r="BJ103" s="301" t="str">
        <f aca="false">IF($A103="N/A"," ",IF(OR(Dayrun&lt;=2,Dayrun&gt;=11),IF(OffPeakEx=TRUE(),MAX(0,(xSPRDOPT(Q103,($E103-'Pricing Inputs'!$X138*$D103),$CV103,0,($CQ103+IF(Smile=TRUE(),VLOOKUP(MAX(-5,$H103-Q103),Volsmile,2),0)),$CT103,$CU103,($A103-DateToday)+15,ABS(Option-2),1)*DG103*8)),0),0))</f>
        <v> </v>
      </c>
      <c r="BK103" s="302" t="str">
        <f aca="false">IF($A103="N/A"," ",R103*$AS103)</f>
        <v> </v>
      </c>
      <c r="BL103" s="303" t="str">
        <f aca="false">IF($A103="N/A"," ",S103*$AT103)</f>
        <v> </v>
      </c>
      <c r="BM103" s="303" t="str">
        <f aca="false">IF($A103="N/A"," ",T103*$AU103)</f>
        <v> </v>
      </c>
      <c r="BN103" s="303" t="str">
        <f aca="false">IF($A103="N/A"," ",U103*$AV103)</f>
        <v> </v>
      </c>
      <c r="BO103" s="303" t="str">
        <f aca="false">IF($A103="N/A"," ",V103*$AW103)</f>
        <v> </v>
      </c>
      <c r="BP103" s="303" t="str">
        <f aca="false">IF($A103="N/A"," ",W103*$AX103)</f>
        <v> </v>
      </c>
      <c r="BQ103" s="303" t="str">
        <f aca="false">IF($A103="N/A"," ",X103*$AY103)</f>
        <v> </v>
      </c>
      <c r="BR103" s="303" t="str">
        <f aca="false">IF($A103="N/A"," ",Y103*$AZ103)</f>
        <v> </v>
      </c>
      <c r="BS103" s="304" t="str">
        <f aca="false">IF($A103="N/A"," ",Z103*$BA103)</f>
        <v> </v>
      </c>
      <c r="BT103" s="305" t="str">
        <f aca="false">IF($A103="N/A"," ",AA103*$AS103)</f>
        <v> </v>
      </c>
      <c r="BU103" s="306" t="str">
        <f aca="false">IF($A103="N/A"," ",AB103*$AT103)</f>
        <v> </v>
      </c>
      <c r="BV103" s="306" t="str">
        <f aca="false">IF($A103="N/A"," ",AC103*$AU103)</f>
        <v> </v>
      </c>
      <c r="BW103" s="306" t="str">
        <f aca="false">IF($A103="N/A"," ",AD103*$AV103)</f>
        <v> </v>
      </c>
      <c r="BX103" s="306" t="str">
        <f aca="false">IF($A103="N/A"," ",AE103*$AW103)</f>
        <v> </v>
      </c>
      <c r="BY103" s="306" t="str">
        <f aca="false">IF($A103="N/A"," ",AF103*$AX103)</f>
        <v> </v>
      </c>
      <c r="BZ103" s="306" t="str">
        <f aca="false">IF($A103="N/A"," ",AG103*$AY103)</f>
        <v> </v>
      </c>
      <c r="CA103" s="306" t="str">
        <f aca="false">IF($A103="N/A"," ",AH103*$AZ103)</f>
        <v> </v>
      </c>
      <c r="CB103" s="307" t="str">
        <f aca="false">IF($A103="N/A"," ",AI103*$BA103)</f>
        <v> </v>
      </c>
      <c r="CC103" s="308" t="str">
        <f aca="false">IF($A103="N/A"," ",AJ103*$AS103)</f>
        <v> </v>
      </c>
      <c r="CD103" s="309" t="str">
        <f aca="false">IF($A103="N/A"," ",AK103*$AT103)</f>
        <v> </v>
      </c>
      <c r="CE103" s="309" t="str">
        <f aca="false">IF($A103="N/A"," ",AL103*$AU103)</f>
        <v> </v>
      </c>
      <c r="CF103" s="309" t="str">
        <f aca="false">IF($A103="N/A"," ",AM103*$AV103)</f>
        <v> </v>
      </c>
      <c r="CG103" s="309" t="str">
        <f aca="false">IF($A103="N/A"," ",AN103*$AW103)</f>
        <v> </v>
      </c>
      <c r="CH103" s="309" t="str">
        <f aca="false">IF($A103="N/A"," ",AO103*$AX103)</f>
        <v> </v>
      </c>
      <c r="CI103" s="309" t="str">
        <f aca="false">IF($A103="N/A"," ",AP103*$AY103)</f>
        <v> </v>
      </c>
      <c r="CJ103" s="309" t="str">
        <f aca="false">IF($A103="N/A"," ",AQ103*$AZ103)</f>
        <v> </v>
      </c>
      <c r="CK103" s="310" t="str">
        <f aca="false">IF($A103="N/A"," ",AR103*$BA103)</f>
        <v> </v>
      </c>
      <c r="CL103" s="311" t="str">
        <f aca="false">IF(A103="N/A"," ",(VLOOKUP(A103,PowerVolTable,(IF(VolBMO=2,7,IF(VolBMO=1,6,8))),FALSE())))</f>
        <v> </v>
      </c>
      <c r="CM103" s="312" t="str">
        <f aca="false">IF(A103="N/A"," ",(VLOOKUP(A103,IntraPowerVol,(IF(VolBMO=2,3,IF(VolBMO=1,2,4))),FALSE())*VLOOKUP(MONTH($A103),Volscale,2)))</f>
        <v> </v>
      </c>
      <c r="CN103" s="312" t="str">
        <f aca="false">IF($A103="N/A"," ",IF(VolType=1,CM103,CL103))</f>
        <v> </v>
      </c>
      <c r="CO103" s="312" t="str">
        <f aca="false">IF($A103="N/A"," ",(VLOOKUP($A103,OffPeakVol,(IF(VolBMO=2,7,IF(VolBMO=1,6,8))),FALSE())))</f>
        <v> </v>
      </c>
      <c r="CP103" s="312" t="str">
        <f aca="false">IF($A103="N/A"," ",(VLOOKUP($A103,OffPeakVol,(IF(VolBMO=2,3,IF(VolBMO=1,2,4))),FALSE())*VLOOKUP(MONTH($A103),Volscale,2)))</f>
        <v> </v>
      </c>
      <c r="CQ103" s="312" t="str">
        <f aca="false">IF($A103="N/A"," ",IF(VolType=1,CP103,CO103))</f>
        <v> </v>
      </c>
      <c r="CR103" s="312" t="str">
        <f aca="false">IF($A103="N/A"," ",(VLOOKUP($A103,GasVolTable,(IF(VolBMO=2,6,IF(VolBMO=1,7,5))),FALSE())))</f>
        <v> </v>
      </c>
      <c r="CS103" s="312" t="str">
        <f aca="false">IF($A103="N/A"," ",(VLOOKUP($A103,OmicronVol,(IF(VolBMO=2,3,IF(VolBMO=1,4,2))),FALSE())))</f>
        <v> </v>
      </c>
      <c r="CT103" s="312" t="str">
        <f aca="false">IF($A103="N/A"," ",(IF(DateToday&gt;$A103,$CS103,IF(VolType=1,((($CR103^2)*((($A103-1)-DateToday)/((EOMONTH($A103,0)+1)-DateToday-15)))+((($CS103)^2)*((15)/((EOMONTH($A103,0)+1)-DateToday-15))))^0.5,CR103))))</f>
        <v> </v>
      </c>
      <c r="CU103" s="312" t="str">
        <f aca="false">IF($A103="N/A"," ",IF('Pricing Inputs'!$AR$23=TRUE(),Inputs!$S$22,VLOOKUP($A103,CorrelationTable,2,FALSE())))</f>
        <v> </v>
      </c>
      <c r="CV103" s="313" t="str">
        <f aca="false">IF($A103="N/A"," ",F103+G103+(D103*('Pricing Inputs'!X138)))</f>
        <v> </v>
      </c>
      <c r="CW103" s="314" t="str">
        <f aca="false">IF($A103="N/A"," ",IF(PV=1,0,'Pricing Inputs'!Y138))</f>
        <v> </v>
      </c>
      <c r="CX103" s="315" t="str">
        <f aca="false">IF($A103="N/A"," ",(1+CW103/2)^(-2*((EOMONTH(A103,0)+20)-DateToday)/365.25))</f>
        <v> </v>
      </c>
      <c r="CY103" s="316" t="str">
        <f aca="false">IF($A103="N/A"," ",(IF(MONTH(A103)&gt;=4,IF(MONTH(A103)&lt;=10,Inputs!$S$26,Inputs!$S$27),Inputs!$S$27))*$CX103)</f>
        <v> </v>
      </c>
      <c r="CZ103" s="317" t="str">
        <f aca="false">IF($A103="N/A"," ",BK103+BL103+BN103+BO103+BQ103+BR103)</f>
        <v> </v>
      </c>
      <c r="DA103" s="318" t="str">
        <f aca="false">IF($A103="N/A"," ",BM103+BP103+BS103)</f>
        <v> </v>
      </c>
      <c r="DB103" s="319" t="str">
        <f aca="false">IF($A103="N/A"," ",BT103+BU103+BW103+BX103+BZ103+CA103)</f>
        <v> </v>
      </c>
      <c r="DC103" s="319" t="str">
        <f aca="false">IF($A103="N/A"," ",BV103+BY103+CB103)</f>
        <v> </v>
      </c>
      <c r="DD103" s="320" t="str">
        <f aca="false">IF($A103="N/A"," ",SUM(CC103:CK103))</f>
        <v> </v>
      </c>
      <c r="DE103" s="321" t="str">
        <f aca="false">IF($A103="N/A"," ",VLOOKUP($A103,NumberofDaysTable,2)*Availability)</f>
        <v> </v>
      </c>
      <c r="DF103" s="94" t="str">
        <f aca="false">IF($A103="N/A"," ",VLOOKUP($A103,NumberofDaysTable,3)*Availability)</f>
        <v> </v>
      </c>
      <c r="DG103" s="322" t="str">
        <f aca="false">IF($A103="N/A"," ",VLOOKUP($A103,NumberofDaysTable,4)*Availability)</f>
        <v> </v>
      </c>
      <c r="DH103" s="323" t="str">
        <f aca="false">IF($A103="N/A"," ",IF(Option=1,$D103*Inputs!$S$15*SUM(AS103:BA103),0))</f>
        <v> </v>
      </c>
      <c r="DI103" s="324" t="str">
        <f aca="false">IF($A103="N/A"," ",IF(Option=1,$D103*Inputs!$S$16*SUM(AS103:BA103),0))</f>
        <v> </v>
      </c>
      <c r="DJ103" s="325" t="str">
        <f aca="false">IF($A103="N/A"," ",SUM(AS103:AT103))</f>
        <v> </v>
      </c>
      <c r="DK103" s="325" t="str">
        <f aca="false">IF($A103="N/A"," ",SUM(AU103:BA103))</f>
        <v> </v>
      </c>
      <c r="DL103" s="325" t="str">
        <f aca="false">IF($A103="N/A"," ",SUM(BB103:BC103))</f>
        <v> </v>
      </c>
      <c r="DM103" s="325" t="str">
        <f aca="false">IF($A103="N/A"," ",SUM(BD103:BJ103))</f>
        <v> </v>
      </c>
    </row>
    <row r="104" customFormat="false" ht="12.75" hidden="false" customHeight="false" outlineLevel="0" collapsed="false">
      <c r="A104" s="282" t="str">
        <f aca="false">IF(A103="N/A","N/A",IF(EDATE(A103,1)&gt;Inputs!$S$5,"N/A",EDATE(A103,1)))</f>
        <v>N/A</v>
      </c>
      <c r="B104" s="283" t="str">
        <f aca="false">IF(A104="N/A"," ",YEAR(A104))</f>
        <v> </v>
      </c>
      <c r="C104" s="284" t="str">
        <f aca="false">IF(A104="N/A"," ",VLOOKUP(A104,ScaledPrice,14))</f>
        <v> </v>
      </c>
      <c r="D104" s="285" t="str">
        <f aca="false">IF(A104="N/A"," ",(VLOOKUP(MONTH($A104),Hrtable,2))/1000)</f>
        <v> </v>
      </c>
      <c r="E104" s="286" t="str">
        <f aca="false">IF($A104="N/A"," ",(C104)*D104)</f>
        <v> </v>
      </c>
      <c r="F104" s="287" t="str">
        <f aca="false">IF(A104="N/A"," ",VOM*(1+VOMesc)^(YEAR(A104)-YEAR(Today)))</f>
        <v> </v>
      </c>
      <c r="G104" s="287" t="str">
        <f aca="false">IF(A104="N/A"," ",Perstart/VLOOKUP(Dayrun,'Pricing Inputs'!$AQ$4:$AS$14,3)/(CY104/CX104))</f>
        <v> </v>
      </c>
      <c r="H104" s="288" t="str">
        <f aca="false">IF(A104="N/A"," ",SUM(E104:G104))</f>
        <v> </v>
      </c>
      <c r="I104" s="289" t="str">
        <f aca="false">VLOOKUP($A104,ScaledPrice,6)</f>
        <v> </v>
      </c>
      <c r="J104" s="290" t="str">
        <f aca="false">VLOOKUP($A104,ScaledPrice,10)</f>
        <v> </v>
      </c>
      <c r="K104" s="290" t="str">
        <f aca="false">VLOOKUP($A104,ScaledPrice,13)</f>
        <v> </v>
      </c>
      <c r="L104" s="290" t="str">
        <f aca="false">VLOOKUP($A104,ScaledPrice,7)</f>
        <v> </v>
      </c>
      <c r="M104" s="290" t="str">
        <f aca="false">VLOOKUP($A104,ScaledPrice,11)</f>
        <v> </v>
      </c>
      <c r="N104" s="290" t="str">
        <f aca="false">VLOOKUP($A104,ScaledPrice,13)</f>
        <v> </v>
      </c>
      <c r="O104" s="290" t="str">
        <f aca="false">VLOOKUP($A104,ScaledPrice,8)</f>
        <v> </v>
      </c>
      <c r="P104" s="290" t="str">
        <f aca="false">VLOOKUP($A104,ScaledPrice,12)</f>
        <v> </v>
      </c>
      <c r="Q104" s="291" t="str">
        <f aca="false">VLOOKUP($A104,ScaledPrice,13)</f>
        <v> </v>
      </c>
      <c r="R104" s="292" t="str">
        <f aca="false">IF($A104="N/A"," ",IF(Dayrun&gt;=3,IF(Option=1,MAX($I104-$H104,0),IF(Option=2,MAX($H104-$I104,0),0)),0))</f>
        <v> </v>
      </c>
      <c r="S104" s="286" t="str">
        <f aca="false">IF($A104="N/A"," ",IF(Dayrun&gt;=6,IF(Option=1,MAX($J104-H104,0),IF(Option=2,MAX(H104-$J104,0),0)),0))</f>
        <v> </v>
      </c>
      <c r="T104" s="286" t="str">
        <f aca="false">IF($A104="N/A"," ",IF(OR(Dayrun&lt;=2,Dayrun&gt;=9),IF(Option=1,MAX($K104-$H104,0),IF(Option=2,MAX($H104-$K104,0),0)),0))</f>
        <v> </v>
      </c>
      <c r="U104" s="286" t="str">
        <f aca="false">IF($A104="N/A"," ",IF(OR(Dayrun=1,Dayrun=4,Dayrun=5,Dayrun=7,Dayrun=8,Dayrun=10,Dayrun=11),IF(Option=1,MAX($L104-H104,0),IF(Option=2,MAX(H104-$L104,0),0)),0))</f>
        <v> </v>
      </c>
      <c r="V104" s="286" t="str">
        <f aca="false">IF($A104="N/A"," ",IF(OR(Dayrun=1,Dayrun=7,Dayrun=8,Dayrun=10,Dayrun=11),IF(Option=1,MAX($M104-H104,0),IF(Option=2,MAX(H104-$M104,0),0)),0))</f>
        <v> </v>
      </c>
      <c r="W104" s="286" t="str">
        <f aca="false">IF($A104="N/A"," ",IF(OR(Dayrun&lt;=2,Dayrun&gt;=10),IF(Option=1,MAX($N104-$H104,0),IF(Option=2,MAX($H104-$N104,0),0)),0))</f>
        <v> </v>
      </c>
      <c r="X104" s="286" t="str">
        <f aca="false">IF($A104="N/A"," ",IF(OR(Dayrun=1,Dayrun=5,Dayrun=8,Dayrun=11),IF(Option=1,MAX($O104-H104,0),IF(Option=2,MAX(H104-$O104,0),0)),0))</f>
        <v> </v>
      </c>
      <c r="Y104" s="286" t="str">
        <f aca="false">IF($A104="N/A"," ",IF(OR(Dayrun=1,Dayrun=8,Dayrun=11),IF(Option=1,MAX($P104-H104,0),IF(Option=2,MAX(H104-$P104,0),0)),0))</f>
        <v> </v>
      </c>
      <c r="Z104" s="293" t="str">
        <f aca="false">IF($A104="N/A"," ",IF(OR(Dayrun&lt;=2,Dayrun&gt;=11),IF(Option=1,MAX($Q104-$H104,0),IF(Option=2,MAX($H104-$Q104,0),0)),0))</f>
        <v> </v>
      </c>
      <c r="AA104" s="289" t="str">
        <f aca="false">IF($A104="N/A"," ",IF(Dayrun&gt;=3,(MAX(0,(xSPRDOPT(I104,($E104-'Pricing Inputs'!$X139*$D104),$CV104,0,($CN104+IF(Smile=TRUE(),VLOOKUP(MAX(-5,$H104-I104),Volsmile,2),0)),$CT104,$CU104,($A104-DateToday)+15,ABS(Option-2),0)-R104))),0))</f>
        <v> </v>
      </c>
      <c r="AB104" s="290" t="str">
        <f aca="false">IF($A104="N/A"," ",IF(Dayrun&gt;=6,MAX(0,(xSPRDOPT(J104,($E104-'Pricing Inputs'!$X139*$D104),$CV104,0,($CN104+IF(Smile=TRUE(),VLOOKUP(MAX(-5,$H104-J104),Volsmile,2),0)),$CT104,$CU104,($A104-DateToday)+15,ABS(Option-2),0)-S104)),0))</f>
        <v> </v>
      </c>
      <c r="AC104" s="290" t="str">
        <f aca="false">IF($A104="N/A"," ",IF(OR(Dayrun&lt;=2,Dayrun&gt;=9),IF(OffPeakEx=TRUE(),MAX(0,(xSPRDOPT(K104,($E104-'Pricing Inputs'!$X139*$D104),$CV104,0,($CQ104+IF(Smile=TRUE(),VLOOKUP(MAX(-5,$H104-K104),Volsmile,2),0)),$CT104,$CU104,($A104-DateToday)+15,ABS(Option-2),0)-T104)),0),0))</f>
        <v> </v>
      </c>
      <c r="AD104" s="290" t="str">
        <f aca="false">IF($A104="N/A"," ",IF(OR(Dayrun=1,Dayrun=4,Dayrun=5,Dayrun=7,Dayrun=8,Dayrun=10,Dayrun=11),MAX(0,(xSPRDOPT(L104,($E104-'Pricing Inputs'!$X139*$D104),$CV104,0,($CQ104+IF(Smile=TRUE(),VLOOKUP(MAX(-5,$H104-L104),Volsmile,2),0)),$CT104,$CU104,($A104-DateToday)+15,ABS(Option-2),0)-U104)),0))</f>
        <v> </v>
      </c>
      <c r="AE104" s="290" t="str">
        <f aca="false">IF($A104="N/A"," ",IF(OR(Dayrun=1,Dayrun=7,Dayrun=8,Dayrun=10,Dayrun=11),MAX(0,(xSPRDOPT(M104,($E104-'Pricing Inputs'!$X139*$D104),$CV104,0,($CQ104+IF(Smile=TRUE(),VLOOKUP(MAX(-5,$H104-M104),Volsmile,2),0)),$CT104,$CU104,($A104-DateToday)+15,ABS(Option-2),0)-V104)),0))</f>
        <v> </v>
      </c>
      <c r="AF104" s="290" t="str">
        <f aca="false">IF($A104="N/A"," ",IF(OR(Dayrun&lt;=2,Dayrun&gt;=10),IF(OffPeakEx=TRUE(),MAX(0,(xSPRDOPT(N104,($E104-'Pricing Inputs'!$X139*$D104),$CV104,0,($CQ104+IF(Smile=TRUE(),VLOOKUP(MAX(-5,$H104-N104),Volsmile,2),0)),$CT104,$CU104,($A104-DateToday)+15,ABS(Option-2),0)-W104)),0),0))</f>
        <v> </v>
      </c>
      <c r="AG104" s="290" t="str">
        <f aca="false">IF($A104="N/A"," ",IF(OR(Dayrun=1,Dayrun=5,Dayrun=8,Dayrun=11),MAX(0,(xSPRDOPT(O104,($E104-'Pricing Inputs'!$X139*$D104),$CV104,0,($CQ104+IF(Smile=TRUE(),VLOOKUP(MAX(-5,$H104-O104),Volsmile,2),0)),$CT104,$CU104,($A104-DateToday)+15,ABS(Option-2),0)-X104)),0))</f>
        <v> </v>
      </c>
      <c r="AH104" s="290" t="str">
        <f aca="false">IF($A104="N/A"," ",IF(OR(Dayrun=1,Dayrun=8,Dayrun=11),MAX(0,(xSPRDOPT(P104,($E104-'Pricing Inputs'!$X139*$D104),$CV104,0,($CQ104+IF(Smile=TRUE(),VLOOKUP(MAX(-5,$H104-P104),Volsmile,2),0)),$CT104,$CU104,($A104-DateToday)+15,ABS(Option-2),0)-Y104)),0))</f>
        <v> </v>
      </c>
      <c r="AI104" s="290" t="str">
        <f aca="false">IF($A104="N/A"," ",IF(OR(Dayrun&lt;=2,Dayrun&gt;=11),IF(OffPeakEx=TRUE(),MAX(0,(xSPRDOPT(Q104,($E104-'Pricing Inputs'!$X139*$D104),$CV104,0,($CQ104+IF(Smile=TRUE(),VLOOKUP(MAX(-5,$H104-Q104),Volsmile,2),0)),$CT104,$CU104,($A104-DateToday)+15,ABS(Option-2),0)-Z104)),0),0))</f>
        <v> </v>
      </c>
      <c r="AJ104" s="294" t="str">
        <f aca="false">IF($A104="N/A"," ",IF(Dayrun&gt;=3,IF(Option=1,$I104-$H104,IF(Option=2,$H104-$I104)),0))</f>
        <v> </v>
      </c>
      <c r="AK104" s="295" t="str">
        <f aca="false">IF($A104="N/A"," ",IF(Dayrun&gt;=6,IF(Option=1,$J104-H104,IF(Option=2,H104-$J104)),0))</f>
        <v> </v>
      </c>
      <c r="AL104" s="295" t="str">
        <f aca="false">IF($A104="N/A"," ",IF(OR(Dayrun&lt;=2,Dayrun&gt;=9),IF(Option=1,$K104-$H104,IF(Option=2,$H104-$K104)),0))</f>
        <v> </v>
      </c>
      <c r="AM104" s="295" t="str">
        <f aca="false">IF($A104="N/A"," ",IF(OR(Dayrun=1,Dayrun=4,Dayrun=5,Dayrun=7,Dayrun=8,Dayrun=10,Dayrun=11),IF(Option=1,$L104-H104,IF(Option=2,H104-$L104)),0))</f>
        <v> </v>
      </c>
      <c r="AN104" s="295" t="str">
        <f aca="false">IF($A104="N/A"," ",IF(OR(Dayrun=1,Dayrun=7,Dayrun=8,Dayrun=10,Dayrun=11),IF(Option=1,$M104-H104,IF(Option=2,H104-$M104)),0))</f>
        <v> </v>
      </c>
      <c r="AO104" s="295" t="str">
        <f aca="false">IF($A104="N/A"," ",IF(OR(Dayrun&lt;=2,Dayrun&gt;=9),IF(Option=1,$N104-$H104,IF(Option=2,$H104-$N104)),0))</f>
        <v> </v>
      </c>
      <c r="AP104" s="295" t="str">
        <f aca="false">IF($A104="N/A"," ",IF(OR(Dayrun=1,Dayrun=5,Dayrun=8,Dayrun=11),IF(Option=1,$O104-H104,IF(Option=2,H104-$O104)),0))</f>
        <v> </v>
      </c>
      <c r="AQ104" s="295" t="str">
        <f aca="false">IF($A104="N/A"," ",IF(OR(Dayrun=1,Dayrun=8,Dayrun=11),IF(Option=1,$P104-H104,IF(Option=2,H104-$P104)),0))</f>
        <v> </v>
      </c>
      <c r="AR104" s="296" t="str">
        <f aca="false">IF($A104="N/A"," ",IF(OR(Dayrun&lt;=2,Dayrun&gt;=9),IF(Option=1,$Q104-H104,IF(Option=2,H104-$Q104)),0))</f>
        <v> </v>
      </c>
      <c r="AS104" s="297" t="str">
        <f aca="false">IF($A104="N/A"," ",IF(VLOOKUP(MONTH($A104),ManualTable,2)=1,IF(Dayrun&gt;=3,$DE104*8*$CY104,0),0))</f>
        <v> </v>
      </c>
      <c r="AT104" s="297" t="str">
        <f aca="false">IF($A104="N/A"," ",IF(VLOOKUP(MONTH($A104),ManualTable,3)=1,IF(Dayrun&gt;=6,$DE104*8*$CY104,0),0))</f>
        <v> </v>
      </c>
      <c r="AU104" s="297" t="str">
        <f aca="false">IF($A104="N/A"," ",IF(VLOOKUP(MONTH($A104),ManualTable,4)=1,IF(OR(Dayrun&lt;=2,Dayrun&gt;=9),$DE104*8*$CY104,0),0))</f>
        <v> </v>
      </c>
      <c r="AV104" s="297" t="str">
        <f aca="false">IF($A104="N/A"," ",IF(VLOOKUP(MONTH($A104),ManualTable,5)=1,IF(OR(Dayrun=1,Dayrun=4,Dayrun=5,Dayrun=7,Dayrun=8,Dayrun=10,Dayrun=11),$DF104*8*$CY104,0),0))</f>
        <v> </v>
      </c>
      <c r="AW104" s="297" t="str">
        <f aca="false">IF($A104="N/A"," ",IF(VLOOKUP(MONTH($A104),ManualTable,6)=1,IF(OR(Dayrun=1,Dayrun=7,Dayrun=8,Dayrun=10,Dayrun=11),$DF104*8*$CY104,0),0))</f>
        <v> </v>
      </c>
      <c r="AX104" s="297" t="str">
        <f aca="false">IF($A104="N/A"," ",IF(VLOOKUP(MONTH($A104),ManualTable,7)=1,IF(OR(Dayrun&lt;=2,Dayrun&gt;=9),$DF104*8*$CY104,0),0))</f>
        <v> </v>
      </c>
      <c r="AY104" s="297" t="str">
        <f aca="false">IF($A104="N/A"," ",IF(VLOOKUP(MONTH($A104),ManualTable,8)=1,IF(OR(Dayrun=1,Dayrun=5,Dayrun=8,Dayrun=11),$DG104*8*$CY104,0),0))</f>
        <v> </v>
      </c>
      <c r="AZ104" s="297" t="str">
        <f aca="false">IF($A104="N/A"," ",IF(VLOOKUP(MONTH($A104),ManualTable,9)=1,IF(OR(Dayrun=1,Dayrun=8,Dayrun=11),$DG104*8*$CY104,0),0))</f>
        <v> </v>
      </c>
      <c r="BA104" s="298" t="str">
        <f aca="false">IF($A104="N/A"," ",IF(VLOOKUP(MONTH($A104),ManualTable,10)=1,IF(OR(Dayrun&lt;=2,Dayrun&gt;=9),$DG104*8*$CY104,0),0))</f>
        <v> </v>
      </c>
      <c r="BB104" s="299" t="str">
        <f aca="false">IF($A104="N/A"," ",IF(Dayrun&gt;=3,(MAX(0,(xSPRDOPT(I104,($E104-'Pricing Inputs'!$X139*$D104),$CV104,0,($CN104+IF(Smile=TRUE(),VLOOKUP(MAX(-5,$H104-I104),Volsmile,2),0)),$CT104,$CU104,($A104-DateToday)+15,ABS(Option-2),1)*DE104*8))),0))</f>
        <v> </v>
      </c>
      <c r="BC104" s="300" t="str">
        <f aca="false">IF($A104="N/A"," ",IF(Dayrun&gt;=6,MAX(0,(xSPRDOPT(J104,($E104-'Pricing Inputs'!$X139*$D104),$CV104,0,($CN104+IF(Smile=TRUE(),VLOOKUP(MAX(-5,$H104-J104),Volsmile,2),0)),$CT104,$CU104,($A104-DateToday)+15,ABS(Option-2),1)*DE104*8)),0))</f>
        <v> </v>
      </c>
      <c r="BD104" s="300" t="str">
        <f aca="false">IF($A104="N/A"," ",IF(OR(Dayrun&lt;=2,Dayrun&gt;=9),IF(OffPeakEx=TRUE(),MAX(0,(xSPRDOPT(K104,($E104-'Pricing Inputs'!$X139*$D104),$CV104,0,($CQ104+IF(Smile=TRUE(),VLOOKUP(MAX(-5,$H104-K104),Volsmile,2),0)),$CT104,$CU104,($A104-DateToday)+15,ABS(Option-2),1)*DE104*8)),0),0))</f>
        <v> </v>
      </c>
      <c r="BE104" s="300" t="str">
        <f aca="false">IF($A104="N/A"," ",IF(OR(Dayrun=1,Dayrun=4,Dayrun=5,Dayrun=7,Dayrun=8,Dayrun=10,Dayrun=11),MAX(0,(xSPRDOPT(L104,($E104-'Pricing Inputs'!$X139*$D104),$CV104,0,($CQ104+IF(Smile=TRUE(),VLOOKUP(MAX(-5,$H104-L104),Volsmile,2),0)),$CT104,$CU104,($A104-DateToday)+15,ABS(Option-2),1)*DF104*8)),0))</f>
        <v> </v>
      </c>
      <c r="BF104" s="300" t="str">
        <f aca="false">IF($A104="N/A"," ",IF(OR(Dayrun=1,Dayrun=7,Dayrun=8,Dayrun=10,Dayrun=11),MAX(0,(xSPRDOPT(M104,($E104-'Pricing Inputs'!$X139*$D104),$CV104,0,($CQ104+IF(Smile=TRUE(),VLOOKUP(MAX(-5,$H104-M104),Volsmile,2),0)),$CT104,$CU104,($A104-DateToday)+15,ABS(Option-2),1)*DF104*8)),0))</f>
        <v> </v>
      </c>
      <c r="BG104" s="300" t="str">
        <f aca="false">IF($A104="N/A"," ",IF(OR(Dayrun&lt;=2,Dayrun&gt;=10),IF(OffPeakEx=TRUE(),MAX(0,(xSPRDOPT(N104,($E104-'Pricing Inputs'!$X139*$D104),$CV104,0,($CQ104+IF(Smile=TRUE(),VLOOKUP(MAX(-5,$H104-N104),Volsmile,2),0)),$CT104,$CU104,($A104-DateToday)+15,ABS(Option-2),1)*DF104*8)),0),0))</f>
        <v> </v>
      </c>
      <c r="BH104" s="300" t="str">
        <f aca="false">IF($A104="N/A"," ",IF(OR(Dayrun=1,Dayrun=5,Dayrun=8,Dayrun=11),MAX(0,(xSPRDOPT(O104,($E104-'Pricing Inputs'!$X139*$D104),$CV104,0,($CQ104+IF(Smile=TRUE(),VLOOKUP(MAX(-5,$H104-O104),Volsmile,2),0)),$CT104,$CU104,($A104-DateToday)+15,ABS(Option-2),1)*DG104*8)),0))</f>
        <v> </v>
      </c>
      <c r="BI104" s="300" t="str">
        <f aca="false">IF($A104="N/A"," ",IF(OR(Dayrun=1,Dayrun=8,Dayrun=11),MAX(0,(xSPRDOPT(P104,($E104-'Pricing Inputs'!$X139*$D104),$CV104,0,($CQ104+IF(Smile=TRUE(),VLOOKUP(MAX(-5,$H104-P104),Volsmile,2),0)),$CT104,$CU104,($A104-DateToday)+15,ABS(Option-2),1)*DG104*8)),0))</f>
        <v> </v>
      </c>
      <c r="BJ104" s="301" t="str">
        <f aca="false">IF($A104="N/A"," ",IF(OR(Dayrun&lt;=2,Dayrun&gt;=11),IF(OffPeakEx=TRUE(),MAX(0,(xSPRDOPT(Q104,($E104-'Pricing Inputs'!$X139*$D104),$CV104,0,($CQ104+IF(Smile=TRUE(),VLOOKUP(MAX(-5,$H104-Q104),Volsmile,2),0)),$CT104,$CU104,($A104-DateToday)+15,ABS(Option-2),1)*DG104*8)),0),0))</f>
        <v> </v>
      </c>
      <c r="BK104" s="302" t="str">
        <f aca="false">IF($A104="N/A"," ",R104*$AS104)</f>
        <v> </v>
      </c>
      <c r="BL104" s="303" t="str">
        <f aca="false">IF($A104="N/A"," ",S104*$AT104)</f>
        <v> </v>
      </c>
      <c r="BM104" s="303" t="str">
        <f aca="false">IF($A104="N/A"," ",T104*$AU104)</f>
        <v> </v>
      </c>
      <c r="BN104" s="303" t="str">
        <f aca="false">IF($A104="N/A"," ",U104*$AV104)</f>
        <v> </v>
      </c>
      <c r="BO104" s="303" t="str">
        <f aca="false">IF($A104="N/A"," ",V104*$AW104)</f>
        <v> </v>
      </c>
      <c r="BP104" s="303" t="str">
        <f aca="false">IF($A104="N/A"," ",W104*$AX104)</f>
        <v> </v>
      </c>
      <c r="BQ104" s="303" t="str">
        <f aca="false">IF($A104="N/A"," ",X104*$AY104)</f>
        <v> </v>
      </c>
      <c r="BR104" s="303" t="str">
        <f aca="false">IF($A104="N/A"," ",Y104*$AZ104)</f>
        <v> </v>
      </c>
      <c r="BS104" s="304" t="str">
        <f aca="false">IF($A104="N/A"," ",Z104*$BA104)</f>
        <v> </v>
      </c>
      <c r="BT104" s="305" t="str">
        <f aca="false">IF($A104="N/A"," ",AA104*$AS104)</f>
        <v> </v>
      </c>
      <c r="BU104" s="306" t="str">
        <f aca="false">IF($A104="N/A"," ",AB104*$AT104)</f>
        <v> </v>
      </c>
      <c r="BV104" s="306" t="str">
        <f aca="false">IF($A104="N/A"," ",AC104*$AU104)</f>
        <v> </v>
      </c>
      <c r="BW104" s="306" t="str">
        <f aca="false">IF($A104="N/A"," ",AD104*$AV104)</f>
        <v> </v>
      </c>
      <c r="BX104" s="306" t="str">
        <f aca="false">IF($A104="N/A"," ",AE104*$AW104)</f>
        <v> </v>
      </c>
      <c r="BY104" s="306" t="str">
        <f aca="false">IF($A104="N/A"," ",AF104*$AX104)</f>
        <v> </v>
      </c>
      <c r="BZ104" s="306" t="str">
        <f aca="false">IF($A104="N/A"," ",AG104*$AY104)</f>
        <v> </v>
      </c>
      <c r="CA104" s="306" t="str">
        <f aca="false">IF($A104="N/A"," ",AH104*$AZ104)</f>
        <v> </v>
      </c>
      <c r="CB104" s="307" t="str">
        <f aca="false">IF($A104="N/A"," ",AI104*$BA104)</f>
        <v> </v>
      </c>
      <c r="CC104" s="308" t="str">
        <f aca="false">IF($A104="N/A"," ",AJ104*$AS104)</f>
        <v> </v>
      </c>
      <c r="CD104" s="309" t="str">
        <f aca="false">IF($A104="N/A"," ",AK104*$AT104)</f>
        <v> </v>
      </c>
      <c r="CE104" s="309" t="str">
        <f aca="false">IF($A104="N/A"," ",AL104*$AU104)</f>
        <v> </v>
      </c>
      <c r="CF104" s="309" t="str">
        <f aca="false">IF($A104="N/A"," ",AM104*$AV104)</f>
        <v> </v>
      </c>
      <c r="CG104" s="309" t="str">
        <f aca="false">IF($A104="N/A"," ",AN104*$AW104)</f>
        <v> </v>
      </c>
      <c r="CH104" s="309" t="str">
        <f aca="false">IF($A104="N/A"," ",AO104*$AX104)</f>
        <v> </v>
      </c>
      <c r="CI104" s="309" t="str">
        <f aca="false">IF($A104="N/A"," ",AP104*$AY104)</f>
        <v> </v>
      </c>
      <c r="CJ104" s="309" t="str">
        <f aca="false">IF($A104="N/A"," ",AQ104*$AZ104)</f>
        <v> </v>
      </c>
      <c r="CK104" s="310" t="str">
        <f aca="false">IF($A104="N/A"," ",AR104*$BA104)</f>
        <v> </v>
      </c>
      <c r="CL104" s="311" t="str">
        <f aca="false">IF(A104="N/A"," ",(VLOOKUP(A104,PowerVolTable,(IF(VolBMO=2,7,IF(VolBMO=1,6,8))),FALSE())))</f>
        <v> </v>
      </c>
      <c r="CM104" s="312" t="str">
        <f aca="false">IF(A104="N/A"," ",(VLOOKUP(A104,IntraPowerVol,(IF(VolBMO=2,3,IF(VolBMO=1,2,4))),FALSE())*VLOOKUP(MONTH($A104),Volscale,2)))</f>
        <v> </v>
      </c>
      <c r="CN104" s="312" t="str">
        <f aca="false">IF($A104="N/A"," ",IF(VolType=1,CM104,CL104))</f>
        <v> </v>
      </c>
      <c r="CO104" s="312" t="str">
        <f aca="false">IF($A104="N/A"," ",(VLOOKUP($A104,OffPeakVol,(IF(VolBMO=2,7,IF(VolBMO=1,6,8))),FALSE())))</f>
        <v> </v>
      </c>
      <c r="CP104" s="312" t="str">
        <f aca="false">IF($A104="N/A"," ",(VLOOKUP($A104,OffPeakVol,(IF(VolBMO=2,3,IF(VolBMO=1,2,4))),FALSE())*VLOOKUP(MONTH($A104),Volscale,2)))</f>
        <v> </v>
      </c>
      <c r="CQ104" s="312" t="str">
        <f aca="false">IF($A104="N/A"," ",IF(VolType=1,CP104,CO104))</f>
        <v> </v>
      </c>
      <c r="CR104" s="312" t="str">
        <f aca="false">IF($A104="N/A"," ",(VLOOKUP($A104,GasVolTable,(IF(VolBMO=2,6,IF(VolBMO=1,7,5))),FALSE())))</f>
        <v> </v>
      </c>
      <c r="CS104" s="312" t="str">
        <f aca="false">IF($A104="N/A"," ",(VLOOKUP($A104,OmicronVol,(IF(VolBMO=2,3,IF(VolBMO=1,4,2))),FALSE())))</f>
        <v> </v>
      </c>
      <c r="CT104" s="312" t="str">
        <f aca="false">IF($A104="N/A"," ",(IF(DateToday&gt;$A104,$CS104,IF(VolType=1,((($CR104^2)*((($A104-1)-DateToday)/((EOMONTH($A104,0)+1)-DateToday-15)))+((($CS104)^2)*((15)/((EOMONTH($A104,0)+1)-DateToday-15))))^0.5,CR104))))</f>
        <v> </v>
      </c>
      <c r="CU104" s="312" t="str">
        <f aca="false">IF($A104="N/A"," ",IF('Pricing Inputs'!$AR$23=TRUE(),Inputs!$S$22,VLOOKUP($A104,CorrelationTable,2,FALSE())))</f>
        <v> </v>
      </c>
      <c r="CV104" s="313" t="str">
        <f aca="false">IF($A104="N/A"," ",F104+G104+(D104*('Pricing Inputs'!X139)))</f>
        <v> </v>
      </c>
      <c r="CW104" s="314" t="str">
        <f aca="false">IF($A104="N/A"," ",IF(PV=1,0,'Pricing Inputs'!Y139))</f>
        <v> </v>
      </c>
      <c r="CX104" s="315" t="str">
        <f aca="false">IF($A104="N/A"," ",(1+CW104/2)^(-2*((EOMONTH(A104,0)+20)-DateToday)/365.25))</f>
        <v> </v>
      </c>
      <c r="CY104" s="316" t="str">
        <f aca="false">IF($A104="N/A"," ",(IF(MONTH(A104)&gt;=4,IF(MONTH(A104)&lt;=10,Inputs!$S$26,Inputs!$S$27),Inputs!$S$27))*$CX104)</f>
        <v> </v>
      </c>
      <c r="CZ104" s="317" t="str">
        <f aca="false">IF($A104="N/A"," ",BK104+BL104+BN104+BO104+BQ104+BR104)</f>
        <v> </v>
      </c>
      <c r="DA104" s="318" t="str">
        <f aca="false">IF($A104="N/A"," ",BM104+BP104+BS104)</f>
        <v> </v>
      </c>
      <c r="DB104" s="319" t="str">
        <f aca="false">IF($A104="N/A"," ",BT104+BU104+BW104+BX104+BZ104+CA104)</f>
        <v> </v>
      </c>
      <c r="DC104" s="319" t="str">
        <f aca="false">IF($A104="N/A"," ",BV104+BY104+CB104)</f>
        <v> </v>
      </c>
      <c r="DD104" s="320" t="str">
        <f aca="false">IF($A104="N/A"," ",SUM(CC104:CK104))</f>
        <v> </v>
      </c>
      <c r="DE104" s="321" t="str">
        <f aca="false">IF($A104="N/A"," ",VLOOKUP($A104,NumberofDaysTable,2)*Availability)</f>
        <v> </v>
      </c>
      <c r="DF104" s="94" t="str">
        <f aca="false">IF($A104="N/A"," ",VLOOKUP($A104,NumberofDaysTable,3)*Availability)</f>
        <v> </v>
      </c>
      <c r="DG104" s="322" t="str">
        <f aca="false">IF($A104="N/A"," ",VLOOKUP($A104,NumberofDaysTable,4)*Availability)</f>
        <v> </v>
      </c>
      <c r="DH104" s="323" t="str">
        <f aca="false">IF($A104="N/A"," ",IF(Option=1,$D104*Inputs!$S$15*SUM(AS104:BA104),0))</f>
        <v> </v>
      </c>
      <c r="DI104" s="324" t="str">
        <f aca="false">IF($A104="N/A"," ",IF(Option=1,$D104*Inputs!$S$16*SUM(AS104:BA104),0))</f>
        <v> </v>
      </c>
      <c r="DJ104" s="325" t="str">
        <f aca="false">IF($A104="N/A"," ",SUM(AS104:AT104))</f>
        <v> </v>
      </c>
      <c r="DK104" s="325" t="str">
        <f aca="false">IF($A104="N/A"," ",SUM(AU104:BA104))</f>
        <v> </v>
      </c>
      <c r="DL104" s="325" t="str">
        <f aca="false">IF($A104="N/A"," ",SUM(BB104:BC104))</f>
        <v> </v>
      </c>
      <c r="DM104" s="325" t="str">
        <f aca="false">IF($A104="N/A"," ",SUM(BD104:BJ104))</f>
        <v> </v>
      </c>
    </row>
    <row r="105" customFormat="false" ht="12.75" hidden="false" customHeight="false" outlineLevel="0" collapsed="false">
      <c r="A105" s="282" t="str">
        <f aca="false">IF(A104="N/A","N/A",IF(EDATE(A104,1)&gt;Inputs!$S$5,"N/A",EDATE(A104,1)))</f>
        <v>N/A</v>
      </c>
      <c r="B105" s="283" t="str">
        <f aca="false">IF(A105="N/A"," ",YEAR(A105))</f>
        <v> </v>
      </c>
      <c r="C105" s="284" t="str">
        <f aca="false">IF(A105="N/A"," ",VLOOKUP(A105,ScaledPrice,14))</f>
        <v> </v>
      </c>
      <c r="D105" s="285" t="str">
        <f aca="false">IF(A105="N/A"," ",(VLOOKUP(MONTH($A105),Hrtable,2))/1000)</f>
        <v> </v>
      </c>
      <c r="E105" s="286" t="str">
        <f aca="false">IF($A105="N/A"," ",(C105)*D105)</f>
        <v> </v>
      </c>
      <c r="F105" s="287" t="str">
        <f aca="false">IF(A105="N/A"," ",VOM*(1+VOMesc)^(YEAR(A105)-YEAR(Today)))</f>
        <v> </v>
      </c>
      <c r="G105" s="287" t="str">
        <f aca="false">IF(A105="N/A"," ",Perstart/VLOOKUP(Dayrun,'Pricing Inputs'!$AQ$4:$AS$14,3)/(CY105/CX105))</f>
        <v> </v>
      </c>
      <c r="H105" s="288" t="str">
        <f aca="false">IF(A105="N/A"," ",SUM(E105:G105))</f>
        <v> </v>
      </c>
      <c r="I105" s="289" t="str">
        <f aca="false">VLOOKUP($A105,ScaledPrice,6)</f>
        <v> </v>
      </c>
      <c r="J105" s="290" t="str">
        <f aca="false">VLOOKUP($A105,ScaledPrice,10)</f>
        <v> </v>
      </c>
      <c r="K105" s="290" t="str">
        <f aca="false">VLOOKUP($A105,ScaledPrice,13)</f>
        <v> </v>
      </c>
      <c r="L105" s="290" t="str">
        <f aca="false">VLOOKUP($A105,ScaledPrice,7)</f>
        <v> </v>
      </c>
      <c r="M105" s="290" t="str">
        <f aca="false">VLOOKUP($A105,ScaledPrice,11)</f>
        <v> </v>
      </c>
      <c r="N105" s="290" t="str">
        <f aca="false">VLOOKUP($A105,ScaledPrice,13)</f>
        <v> </v>
      </c>
      <c r="O105" s="290" t="str">
        <f aca="false">VLOOKUP($A105,ScaledPrice,8)</f>
        <v> </v>
      </c>
      <c r="P105" s="290" t="str">
        <f aca="false">VLOOKUP($A105,ScaledPrice,12)</f>
        <v> </v>
      </c>
      <c r="Q105" s="291" t="str">
        <f aca="false">VLOOKUP($A105,ScaledPrice,13)</f>
        <v> </v>
      </c>
      <c r="R105" s="292" t="str">
        <f aca="false">IF($A105="N/A"," ",IF(Dayrun&gt;=3,IF(Option=1,MAX($I105-$H105,0),IF(Option=2,MAX($H105-$I105,0),0)),0))</f>
        <v> </v>
      </c>
      <c r="S105" s="286" t="str">
        <f aca="false">IF($A105="N/A"," ",IF(Dayrun&gt;=6,IF(Option=1,MAX($J105-H105,0),IF(Option=2,MAX(H105-$J105,0),0)),0))</f>
        <v> </v>
      </c>
      <c r="T105" s="286" t="str">
        <f aca="false">IF($A105="N/A"," ",IF(OR(Dayrun&lt;=2,Dayrun&gt;=9),IF(Option=1,MAX($K105-$H105,0),IF(Option=2,MAX($H105-$K105,0),0)),0))</f>
        <v> </v>
      </c>
      <c r="U105" s="286" t="str">
        <f aca="false">IF($A105="N/A"," ",IF(OR(Dayrun=1,Dayrun=4,Dayrun=5,Dayrun=7,Dayrun=8,Dayrun=10,Dayrun=11),IF(Option=1,MAX($L105-H105,0),IF(Option=2,MAX(H105-$L105,0),0)),0))</f>
        <v> </v>
      </c>
      <c r="V105" s="286" t="str">
        <f aca="false">IF($A105="N/A"," ",IF(OR(Dayrun=1,Dayrun=7,Dayrun=8,Dayrun=10,Dayrun=11),IF(Option=1,MAX($M105-H105,0),IF(Option=2,MAX(H105-$M105,0),0)),0))</f>
        <v> </v>
      </c>
      <c r="W105" s="286" t="str">
        <f aca="false">IF($A105="N/A"," ",IF(OR(Dayrun&lt;=2,Dayrun&gt;=10),IF(Option=1,MAX($N105-$H105,0),IF(Option=2,MAX($H105-$N105,0),0)),0))</f>
        <v> </v>
      </c>
      <c r="X105" s="286" t="str">
        <f aca="false">IF($A105="N/A"," ",IF(OR(Dayrun=1,Dayrun=5,Dayrun=8,Dayrun=11),IF(Option=1,MAX($O105-H105,0),IF(Option=2,MAX(H105-$O105,0),0)),0))</f>
        <v> </v>
      </c>
      <c r="Y105" s="286" t="str">
        <f aca="false">IF($A105="N/A"," ",IF(OR(Dayrun=1,Dayrun=8,Dayrun=11),IF(Option=1,MAX($P105-H105,0),IF(Option=2,MAX(H105-$P105,0),0)),0))</f>
        <v> </v>
      </c>
      <c r="Z105" s="293" t="str">
        <f aca="false">IF($A105="N/A"," ",IF(OR(Dayrun&lt;=2,Dayrun&gt;=11),IF(Option=1,MAX($Q105-$H105,0),IF(Option=2,MAX($H105-$Q105,0),0)),0))</f>
        <v> </v>
      </c>
      <c r="AA105" s="289" t="str">
        <f aca="false">IF($A105="N/A"," ",IF(Dayrun&gt;=3,(MAX(0,(xSPRDOPT(I105,($E105-'Pricing Inputs'!$X140*$D105),$CV105,0,($CN105+IF(Smile=TRUE(),VLOOKUP(MAX(-5,$H105-I105),Volsmile,2),0)),$CT105,$CU105,($A105-DateToday)+15,ABS(Option-2),0)-R105))),0))</f>
        <v> </v>
      </c>
      <c r="AB105" s="290" t="str">
        <f aca="false">IF($A105="N/A"," ",IF(Dayrun&gt;=6,MAX(0,(xSPRDOPT(J105,($E105-'Pricing Inputs'!$X140*$D105),$CV105,0,($CN105+IF(Smile=TRUE(),VLOOKUP(MAX(-5,$H105-J105),Volsmile,2),0)),$CT105,$CU105,($A105-DateToday)+15,ABS(Option-2),0)-S105)),0))</f>
        <v> </v>
      </c>
      <c r="AC105" s="290" t="str">
        <f aca="false">IF($A105="N/A"," ",IF(OR(Dayrun&lt;=2,Dayrun&gt;=9),IF(OffPeakEx=TRUE(),MAX(0,(xSPRDOPT(K105,($E105-'Pricing Inputs'!$X140*$D105),$CV105,0,($CQ105+IF(Smile=TRUE(),VLOOKUP(MAX(-5,$H105-K105),Volsmile,2),0)),$CT105,$CU105,($A105-DateToday)+15,ABS(Option-2),0)-T105)),0),0))</f>
        <v> </v>
      </c>
      <c r="AD105" s="290" t="str">
        <f aca="false">IF($A105="N/A"," ",IF(OR(Dayrun=1,Dayrun=4,Dayrun=5,Dayrun=7,Dayrun=8,Dayrun=10,Dayrun=11),MAX(0,(xSPRDOPT(L105,($E105-'Pricing Inputs'!$X140*$D105),$CV105,0,($CQ105+IF(Smile=TRUE(),VLOOKUP(MAX(-5,$H105-L105),Volsmile,2),0)),$CT105,$CU105,($A105-DateToday)+15,ABS(Option-2),0)-U105)),0))</f>
        <v> </v>
      </c>
      <c r="AE105" s="290" t="str">
        <f aca="false">IF($A105="N/A"," ",IF(OR(Dayrun=1,Dayrun=7,Dayrun=8,Dayrun=10,Dayrun=11),MAX(0,(xSPRDOPT(M105,($E105-'Pricing Inputs'!$X140*$D105),$CV105,0,($CQ105+IF(Smile=TRUE(),VLOOKUP(MAX(-5,$H105-M105),Volsmile,2),0)),$CT105,$CU105,($A105-DateToday)+15,ABS(Option-2),0)-V105)),0))</f>
        <v> </v>
      </c>
      <c r="AF105" s="290" t="str">
        <f aca="false">IF($A105="N/A"," ",IF(OR(Dayrun&lt;=2,Dayrun&gt;=10),IF(OffPeakEx=TRUE(),MAX(0,(xSPRDOPT(N105,($E105-'Pricing Inputs'!$X140*$D105),$CV105,0,($CQ105+IF(Smile=TRUE(),VLOOKUP(MAX(-5,$H105-N105),Volsmile,2),0)),$CT105,$CU105,($A105-DateToday)+15,ABS(Option-2),0)-W105)),0),0))</f>
        <v> </v>
      </c>
      <c r="AG105" s="290" t="str">
        <f aca="false">IF($A105="N/A"," ",IF(OR(Dayrun=1,Dayrun=5,Dayrun=8,Dayrun=11),MAX(0,(xSPRDOPT(O105,($E105-'Pricing Inputs'!$X140*$D105),$CV105,0,($CQ105+IF(Smile=TRUE(),VLOOKUP(MAX(-5,$H105-O105),Volsmile,2),0)),$CT105,$CU105,($A105-DateToday)+15,ABS(Option-2),0)-X105)),0))</f>
        <v> </v>
      </c>
      <c r="AH105" s="290" t="str">
        <f aca="false">IF($A105="N/A"," ",IF(OR(Dayrun=1,Dayrun=8,Dayrun=11),MAX(0,(xSPRDOPT(P105,($E105-'Pricing Inputs'!$X140*$D105),$CV105,0,($CQ105+IF(Smile=TRUE(),VLOOKUP(MAX(-5,$H105-P105),Volsmile,2),0)),$CT105,$CU105,($A105-DateToday)+15,ABS(Option-2),0)-Y105)),0))</f>
        <v> </v>
      </c>
      <c r="AI105" s="290" t="str">
        <f aca="false">IF($A105="N/A"," ",IF(OR(Dayrun&lt;=2,Dayrun&gt;=11),IF(OffPeakEx=TRUE(),MAX(0,(xSPRDOPT(Q105,($E105-'Pricing Inputs'!$X140*$D105),$CV105,0,($CQ105+IF(Smile=TRUE(),VLOOKUP(MAX(-5,$H105-Q105),Volsmile,2),0)),$CT105,$CU105,($A105-DateToday)+15,ABS(Option-2),0)-Z105)),0),0))</f>
        <v> </v>
      </c>
      <c r="AJ105" s="294" t="str">
        <f aca="false">IF($A105="N/A"," ",IF(Dayrun&gt;=3,IF(Option=1,$I105-$H105,IF(Option=2,$H105-$I105)),0))</f>
        <v> </v>
      </c>
      <c r="AK105" s="295" t="str">
        <f aca="false">IF($A105="N/A"," ",IF(Dayrun&gt;=6,IF(Option=1,$J105-H105,IF(Option=2,H105-$J105)),0))</f>
        <v> </v>
      </c>
      <c r="AL105" s="295" t="str">
        <f aca="false">IF($A105="N/A"," ",IF(OR(Dayrun&lt;=2,Dayrun&gt;=9),IF(Option=1,$K105-$H105,IF(Option=2,$H105-$K105)),0))</f>
        <v> </v>
      </c>
      <c r="AM105" s="295" t="str">
        <f aca="false">IF($A105="N/A"," ",IF(OR(Dayrun=1,Dayrun=4,Dayrun=5,Dayrun=7,Dayrun=8,Dayrun=10,Dayrun=11),IF(Option=1,$L105-H105,IF(Option=2,H105-$L105)),0))</f>
        <v> </v>
      </c>
      <c r="AN105" s="295" t="str">
        <f aca="false">IF($A105="N/A"," ",IF(OR(Dayrun=1,Dayrun=7,Dayrun=8,Dayrun=10,Dayrun=11),IF(Option=1,$M105-H105,IF(Option=2,H105-$M105)),0))</f>
        <v> </v>
      </c>
      <c r="AO105" s="295" t="str">
        <f aca="false">IF($A105="N/A"," ",IF(OR(Dayrun&lt;=2,Dayrun&gt;=9),IF(Option=1,$N105-$H105,IF(Option=2,$H105-$N105)),0))</f>
        <v> </v>
      </c>
      <c r="AP105" s="295" t="str">
        <f aca="false">IF($A105="N/A"," ",IF(OR(Dayrun=1,Dayrun=5,Dayrun=8,Dayrun=11),IF(Option=1,$O105-H105,IF(Option=2,H105-$O105)),0))</f>
        <v> </v>
      </c>
      <c r="AQ105" s="295" t="str">
        <f aca="false">IF($A105="N/A"," ",IF(OR(Dayrun=1,Dayrun=8,Dayrun=11),IF(Option=1,$P105-H105,IF(Option=2,H105-$P105)),0))</f>
        <v> </v>
      </c>
      <c r="AR105" s="296" t="str">
        <f aca="false">IF($A105="N/A"," ",IF(OR(Dayrun&lt;=2,Dayrun&gt;=9),IF(Option=1,$Q105-H105,IF(Option=2,H105-$Q105)),0))</f>
        <v> </v>
      </c>
      <c r="AS105" s="297" t="str">
        <f aca="false">IF($A105="N/A"," ",IF(VLOOKUP(MONTH($A105),ManualTable,2)=1,IF(Dayrun&gt;=3,$DE105*8*$CY105,0),0))</f>
        <v> </v>
      </c>
      <c r="AT105" s="297" t="str">
        <f aca="false">IF($A105="N/A"," ",IF(VLOOKUP(MONTH($A105),ManualTable,3)=1,IF(Dayrun&gt;=6,$DE105*8*$CY105,0),0))</f>
        <v> </v>
      </c>
      <c r="AU105" s="297" t="str">
        <f aca="false">IF($A105="N/A"," ",IF(VLOOKUP(MONTH($A105),ManualTable,4)=1,IF(OR(Dayrun&lt;=2,Dayrun&gt;=9),$DE105*8*$CY105,0),0))</f>
        <v> </v>
      </c>
      <c r="AV105" s="297" t="str">
        <f aca="false">IF($A105="N/A"," ",IF(VLOOKUP(MONTH($A105),ManualTable,5)=1,IF(OR(Dayrun=1,Dayrun=4,Dayrun=5,Dayrun=7,Dayrun=8,Dayrun=10,Dayrun=11),$DF105*8*$CY105,0),0))</f>
        <v> </v>
      </c>
      <c r="AW105" s="297" t="str">
        <f aca="false">IF($A105="N/A"," ",IF(VLOOKUP(MONTH($A105),ManualTable,6)=1,IF(OR(Dayrun=1,Dayrun=7,Dayrun=8,Dayrun=10,Dayrun=11),$DF105*8*$CY105,0),0))</f>
        <v> </v>
      </c>
      <c r="AX105" s="297" t="str">
        <f aca="false">IF($A105="N/A"," ",IF(VLOOKUP(MONTH($A105),ManualTable,7)=1,IF(OR(Dayrun&lt;=2,Dayrun&gt;=9),$DF105*8*$CY105,0),0))</f>
        <v> </v>
      </c>
      <c r="AY105" s="297" t="str">
        <f aca="false">IF($A105="N/A"," ",IF(VLOOKUP(MONTH($A105),ManualTable,8)=1,IF(OR(Dayrun=1,Dayrun=5,Dayrun=8,Dayrun=11),$DG105*8*$CY105,0),0))</f>
        <v> </v>
      </c>
      <c r="AZ105" s="297" t="str">
        <f aca="false">IF($A105="N/A"," ",IF(VLOOKUP(MONTH($A105),ManualTable,9)=1,IF(OR(Dayrun=1,Dayrun=8,Dayrun=11),$DG105*8*$CY105,0),0))</f>
        <v> </v>
      </c>
      <c r="BA105" s="298" t="str">
        <f aca="false">IF($A105="N/A"," ",IF(VLOOKUP(MONTH($A105),ManualTable,10)=1,IF(OR(Dayrun&lt;=2,Dayrun&gt;=9),$DG105*8*$CY105,0),0))</f>
        <v> </v>
      </c>
      <c r="BB105" s="299" t="str">
        <f aca="false">IF($A105="N/A"," ",IF(Dayrun&gt;=3,(MAX(0,(xSPRDOPT(I105,($E105-'Pricing Inputs'!$X140*$D105),$CV105,0,($CN105+IF(Smile=TRUE(),VLOOKUP(MAX(-5,$H105-I105),Volsmile,2),0)),$CT105,$CU105,($A105-DateToday)+15,ABS(Option-2),1)*DE105*8))),0))</f>
        <v> </v>
      </c>
      <c r="BC105" s="300" t="str">
        <f aca="false">IF($A105="N/A"," ",IF(Dayrun&gt;=6,MAX(0,(xSPRDOPT(J105,($E105-'Pricing Inputs'!$X140*$D105),$CV105,0,($CN105+IF(Smile=TRUE(),VLOOKUP(MAX(-5,$H105-J105),Volsmile,2),0)),$CT105,$CU105,($A105-DateToday)+15,ABS(Option-2),1)*DE105*8)),0))</f>
        <v> </v>
      </c>
      <c r="BD105" s="300" t="str">
        <f aca="false">IF($A105="N/A"," ",IF(OR(Dayrun&lt;=2,Dayrun&gt;=9),IF(OffPeakEx=TRUE(),MAX(0,(xSPRDOPT(K105,($E105-'Pricing Inputs'!$X140*$D105),$CV105,0,($CQ105+IF(Smile=TRUE(),VLOOKUP(MAX(-5,$H105-K105),Volsmile,2),0)),$CT105,$CU105,($A105-DateToday)+15,ABS(Option-2),1)*DE105*8)),0),0))</f>
        <v> </v>
      </c>
      <c r="BE105" s="300" t="str">
        <f aca="false">IF($A105="N/A"," ",IF(OR(Dayrun=1,Dayrun=4,Dayrun=5,Dayrun=7,Dayrun=8,Dayrun=10,Dayrun=11),MAX(0,(xSPRDOPT(L105,($E105-'Pricing Inputs'!$X140*$D105),$CV105,0,($CQ105+IF(Smile=TRUE(),VLOOKUP(MAX(-5,$H105-L105),Volsmile,2),0)),$CT105,$CU105,($A105-DateToday)+15,ABS(Option-2),1)*DF105*8)),0))</f>
        <v> </v>
      </c>
      <c r="BF105" s="300" t="str">
        <f aca="false">IF($A105="N/A"," ",IF(OR(Dayrun=1,Dayrun=7,Dayrun=8,Dayrun=10,Dayrun=11),MAX(0,(xSPRDOPT(M105,($E105-'Pricing Inputs'!$X140*$D105),$CV105,0,($CQ105+IF(Smile=TRUE(),VLOOKUP(MAX(-5,$H105-M105),Volsmile,2),0)),$CT105,$CU105,($A105-DateToday)+15,ABS(Option-2),1)*DF105*8)),0))</f>
        <v> </v>
      </c>
      <c r="BG105" s="300" t="str">
        <f aca="false">IF($A105="N/A"," ",IF(OR(Dayrun&lt;=2,Dayrun&gt;=10),IF(OffPeakEx=TRUE(),MAX(0,(xSPRDOPT(N105,($E105-'Pricing Inputs'!$X140*$D105),$CV105,0,($CQ105+IF(Smile=TRUE(),VLOOKUP(MAX(-5,$H105-N105),Volsmile,2),0)),$CT105,$CU105,($A105-DateToday)+15,ABS(Option-2),1)*DF105*8)),0),0))</f>
        <v> </v>
      </c>
      <c r="BH105" s="300" t="str">
        <f aca="false">IF($A105="N/A"," ",IF(OR(Dayrun=1,Dayrun=5,Dayrun=8,Dayrun=11),MAX(0,(xSPRDOPT(O105,($E105-'Pricing Inputs'!$X140*$D105),$CV105,0,($CQ105+IF(Smile=TRUE(),VLOOKUP(MAX(-5,$H105-O105),Volsmile,2),0)),$CT105,$CU105,($A105-DateToday)+15,ABS(Option-2),1)*DG105*8)),0))</f>
        <v> </v>
      </c>
      <c r="BI105" s="300" t="str">
        <f aca="false">IF($A105="N/A"," ",IF(OR(Dayrun=1,Dayrun=8,Dayrun=11),MAX(0,(xSPRDOPT(P105,($E105-'Pricing Inputs'!$X140*$D105),$CV105,0,($CQ105+IF(Smile=TRUE(),VLOOKUP(MAX(-5,$H105-P105),Volsmile,2),0)),$CT105,$CU105,($A105-DateToday)+15,ABS(Option-2),1)*DG105*8)),0))</f>
        <v> </v>
      </c>
      <c r="BJ105" s="301" t="str">
        <f aca="false">IF($A105="N/A"," ",IF(OR(Dayrun&lt;=2,Dayrun&gt;=11),IF(OffPeakEx=TRUE(),MAX(0,(xSPRDOPT(Q105,($E105-'Pricing Inputs'!$X140*$D105),$CV105,0,($CQ105+IF(Smile=TRUE(),VLOOKUP(MAX(-5,$H105-Q105),Volsmile,2),0)),$CT105,$CU105,($A105-DateToday)+15,ABS(Option-2),1)*DG105*8)),0),0))</f>
        <v> </v>
      </c>
      <c r="BK105" s="302" t="str">
        <f aca="false">IF($A105="N/A"," ",R105*$AS105)</f>
        <v> </v>
      </c>
      <c r="BL105" s="303" t="str">
        <f aca="false">IF($A105="N/A"," ",S105*$AT105)</f>
        <v> </v>
      </c>
      <c r="BM105" s="303" t="str">
        <f aca="false">IF($A105="N/A"," ",T105*$AU105)</f>
        <v> </v>
      </c>
      <c r="BN105" s="303" t="str">
        <f aca="false">IF($A105="N/A"," ",U105*$AV105)</f>
        <v> </v>
      </c>
      <c r="BO105" s="303" t="str">
        <f aca="false">IF($A105="N/A"," ",V105*$AW105)</f>
        <v> </v>
      </c>
      <c r="BP105" s="303" t="str">
        <f aca="false">IF($A105="N/A"," ",W105*$AX105)</f>
        <v> </v>
      </c>
      <c r="BQ105" s="303" t="str">
        <f aca="false">IF($A105="N/A"," ",X105*$AY105)</f>
        <v> </v>
      </c>
      <c r="BR105" s="303" t="str">
        <f aca="false">IF($A105="N/A"," ",Y105*$AZ105)</f>
        <v> </v>
      </c>
      <c r="BS105" s="304" t="str">
        <f aca="false">IF($A105="N/A"," ",Z105*$BA105)</f>
        <v> </v>
      </c>
      <c r="BT105" s="305" t="str">
        <f aca="false">IF($A105="N/A"," ",AA105*$AS105)</f>
        <v> </v>
      </c>
      <c r="BU105" s="306" t="str">
        <f aca="false">IF($A105="N/A"," ",AB105*$AT105)</f>
        <v> </v>
      </c>
      <c r="BV105" s="306" t="str">
        <f aca="false">IF($A105="N/A"," ",AC105*$AU105)</f>
        <v> </v>
      </c>
      <c r="BW105" s="306" t="str">
        <f aca="false">IF($A105="N/A"," ",AD105*$AV105)</f>
        <v> </v>
      </c>
      <c r="BX105" s="306" t="str">
        <f aca="false">IF($A105="N/A"," ",AE105*$AW105)</f>
        <v> </v>
      </c>
      <c r="BY105" s="306" t="str">
        <f aca="false">IF($A105="N/A"," ",AF105*$AX105)</f>
        <v> </v>
      </c>
      <c r="BZ105" s="306" t="str">
        <f aca="false">IF($A105="N/A"," ",AG105*$AY105)</f>
        <v> </v>
      </c>
      <c r="CA105" s="306" t="str">
        <f aca="false">IF($A105="N/A"," ",AH105*$AZ105)</f>
        <v> </v>
      </c>
      <c r="CB105" s="307" t="str">
        <f aca="false">IF($A105="N/A"," ",AI105*$BA105)</f>
        <v> </v>
      </c>
      <c r="CC105" s="308" t="str">
        <f aca="false">IF($A105="N/A"," ",AJ105*$AS105)</f>
        <v> </v>
      </c>
      <c r="CD105" s="309" t="str">
        <f aca="false">IF($A105="N/A"," ",AK105*$AT105)</f>
        <v> </v>
      </c>
      <c r="CE105" s="309" t="str">
        <f aca="false">IF($A105="N/A"," ",AL105*$AU105)</f>
        <v> </v>
      </c>
      <c r="CF105" s="309" t="str">
        <f aca="false">IF($A105="N/A"," ",AM105*$AV105)</f>
        <v> </v>
      </c>
      <c r="CG105" s="309" t="str">
        <f aca="false">IF($A105="N/A"," ",AN105*$AW105)</f>
        <v> </v>
      </c>
      <c r="CH105" s="309" t="str">
        <f aca="false">IF($A105="N/A"," ",AO105*$AX105)</f>
        <v> </v>
      </c>
      <c r="CI105" s="309" t="str">
        <f aca="false">IF($A105="N/A"," ",AP105*$AY105)</f>
        <v> </v>
      </c>
      <c r="CJ105" s="309" t="str">
        <f aca="false">IF($A105="N/A"," ",AQ105*$AZ105)</f>
        <v> </v>
      </c>
      <c r="CK105" s="310" t="str">
        <f aca="false">IF($A105="N/A"," ",AR105*$BA105)</f>
        <v> </v>
      </c>
      <c r="CL105" s="311" t="str">
        <f aca="false">IF(A105="N/A"," ",(VLOOKUP(A105,PowerVolTable,(IF(VolBMO=2,7,IF(VolBMO=1,6,8))),FALSE())))</f>
        <v> </v>
      </c>
      <c r="CM105" s="312" t="str">
        <f aca="false">IF(A105="N/A"," ",(VLOOKUP(A105,IntraPowerVol,(IF(VolBMO=2,3,IF(VolBMO=1,2,4))),FALSE())*VLOOKUP(MONTH($A105),Volscale,2)))</f>
        <v> </v>
      </c>
      <c r="CN105" s="312" t="str">
        <f aca="false">IF($A105="N/A"," ",IF(VolType=1,CM105,CL105))</f>
        <v> </v>
      </c>
      <c r="CO105" s="312" t="str">
        <f aca="false">IF($A105="N/A"," ",(VLOOKUP($A105,OffPeakVol,(IF(VolBMO=2,7,IF(VolBMO=1,6,8))),FALSE())))</f>
        <v> </v>
      </c>
      <c r="CP105" s="312" t="str">
        <f aca="false">IF($A105="N/A"," ",(VLOOKUP($A105,OffPeakVol,(IF(VolBMO=2,3,IF(VolBMO=1,2,4))),FALSE())*VLOOKUP(MONTH($A105),Volscale,2)))</f>
        <v> </v>
      </c>
      <c r="CQ105" s="312" t="str">
        <f aca="false">IF($A105="N/A"," ",IF(VolType=1,CP105,CO105))</f>
        <v> </v>
      </c>
      <c r="CR105" s="312" t="str">
        <f aca="false">IF($A105="N/A"," ",(VLOOKUP($A105,GasVolTable,(IF(VolBMO=2,6,IF(VolBMO=1,7,5))),FALSE())))</f>
        <v> </v>
      </c>
      <c r="CS105" s="312" t="str">
        <f aca="false">IF($A105="N/A"," ",(VLOOKUP($A105,OmicronVol,(IF(VolBMO=2,3,IF(VolBMO=1,4,2))),FALSE())))</f>
        <v> </v>
      </c>
      <c r="CT105" s="312" t="str">
        <f aca="false">IF($A105="N/A"," ",(IF(DateToday&gt;$A105,$CS105,IF(VolType=1,((($CR105^2)*((($A105-1)-DateToday)/((EOMONTH($A105,0)+1)-DateToday-15)))+((($CS105)^2)*((15)/((EOMONTH($A105,0)+1)-DateToday-15))))^0.5,CR105))))</f>
        <v> </v>
      </c>
      <c r="CU105" s="312" t="str">
        <f aca="false">IF($A105="N/A"," ",IF('Pricing Inputs'!$AR$23=TRUE(),Inputs!$S$22,VLOOKUP($A105,CorrelationTable,2,FALSE())))</f>
        <v> </v>
      </c>
      <c r="CV105" s="313" t="str">
        <f aca="false">IF($A105="N/A"," ",F105+G105+(D105*('Pricing Inputs'!X140)))</f>
        <v> </v>
      </c>
      <c r="CW105" s="314" t="str">
        <f aca="false">IF($A105="N/A"," ",IF(PV=1,0,'Pricing Inputs'!Y140))</f>
        <v> </v>
      </c>
      <c r="CX105" s="315" t="str">
        <f aca="false">IF($A105="N/A"," ",(1+CW105/2)^(-2*((EOMONTH(A105,0)+20)-DateToday)/365.25))</f>
        <v> </v>
      </c>
      <c r="CY105" s="316" t="str">
        <f aca="false">IF($A105="N/A"," ",(IF(MONTH(A105)&gt;=4,IF(MONTH(A105)&lt;=10,Inputs!$S$26,Inputs!$S$27),Inputs!$S$27))*$CX105)</f>
        <v> </v>
      </c>
      <c r="CZ105" s="317" t="str">
        <f aca="false">IF($A105="N/A"," ",BK105+BL105+BN105+BO105+BQ105+BR105)</f>
        <v> </v>
      </c>
      <c r="DA105" s="318" t="str">
        <f aca="false">IF($A105="N/A"," ",BM105+BP105+BS105)</f>
        <v> </v>
      </c>
      <c r="DB105" s="319" t="str">
        <f aca="false">IF($A105="N/A"," ",BT105+BU105+BW105+BX105+BZ105+CA105)</f>
        <v> </v>
      </c>
      <c r="DC105" s="319" t="str">
        <f aca="false">IF($A105="N/A"," ",BV105+BY105+CB105)</f>
        <v> </v>
      </c>
      <c r="DD105" s="320" t="str">
        <f aca="false">IF($A105="N/A"," ",SUM(CC105:CK105))</f>
        <v> </v>
      </c>
      <c r="DE105" s="321" t="str">
        <f aca="false">IF($A105="N/A"," ",VLOOKUP($A105,NumberofDaysTable,2)*Availability)</f>
        <v> </v>
      </c>
      <c r="DF105" s="94" t="str">
        <f aca="false">IF($A105="N/A"," ",VLOOKUP($A105,NumberofDaysTable,3)*Availability)</f>
        <v> </v>
      </c>
      <c r="DG105" s="322" t="str">
        <f aca="false">IF($A105="N/A"," ",VLOOKUP($A105,NumberofDaysTable,4)*Availability)</f>
        <v> </v>
      </c>
      <c r="DH105" s="323" t="str">
        <f aca="false">IF($A105="N/A"," ",IF(Option=1,$D105*Inputs!$S$15*SUM(AS105:BA105),0))</f>
        <v> </v>
      </c>
      <c r="DI105" s="324" t="str">
        <f aca="false">IF($A105="N/A"," ",IF(Option=1,$D105*Inputs!$S$16*SUM(AS105:BA105),0))</f>
        <v> </v>
      </c>
      <c r="DJ105" s="325" t="str">
        <f aca="false">IF($A105="N/A"," ",SUM(AS105:AT105))</f>
        <v> </v>
      </c>
      <c r="DK105" s="325" t="str">
        <f aca="false">IF($A105="N/A"," ",SUM(AU105:BA105))</f>
        <v> </v>
      </c>
      <c r="DL105" s="325" t="str">
        <f aca="false">IF($A105="N/A"," ",SUM(BB105:BC105))</f>
        <v> </v>
      </c>
      <c r="DM105" s="325" t="str">
        <f aca="false">IF($A105="N/A"," ",SUM(BD105:BJ105))</f>
        <v> </v>
      </c>
    </row>
    <row r="106" customFormat="false" ht="12.75" hidden="false" customHeight="false" outlineLevel="0" collapsed="false">
      <c r="A106" s="282" t="str">
        <f aca="false">IF(A105="N/A","N/A",IF(EDATE(A105,1)&gt;Inputs!$S$5,"N/A",EDATE(A105,1)))</f>
        <v>N/A</v>
      </c>
      <c r="B106" s="283" t="str">
        <f aca="false">IF(A106="N/A"," ",YEAR(A106))</f>
        <v> </v>
      </c>
      <c r="C106" s="284" t="str">
        <f aca="false">IF(A106="N/A"," ",VLOOKUP(A106,ScaledPrice,14))</f>
        <v> </v>
      </c>
      <c r="D106" s="285" t="str">
        <f aca="false">IF(A106="N/A"," ",(VLOOKUP(MONTH($A106),Hrtable,2))/1000)</f>
        <v> </v>
      </c>
      <c r="E106" s="286" t="str">
        <f aca="false">IF($A106="N/A"," ",(C106)*D106)</f>
        <v> </v>
      </c>
      <c r="F106" s="287" t="str">
        <f aca="false">IF(A106="N/A"," ",VOM*(1+VOMesc)^(YEAR(A106)-YEAR(Today)))</f>
        <v> </v>
      </c>
      <c r="G106" s="287" t="str">
        <f aca="false">IF(A106="N/A"," ",Perstart/VLOOKUP(Dayrun,'Pricing Inputs'!$AQ$4:$AS$14,3)/(CY106/CX106))</f>
        <v> </v>
      </c>
      <c r="H106" s="288" t="str">
        <f aca="false">IF(A106="N/A"," ",SUM(E106:G106))</f>
        <v> </v>
      </c>
      <c r="I106" s="289" t="str">
        <f aca="false">VLOOKUP($A106,ScaledPrice,6)</f>
        <v> </v>
      </c>
      <c r="J106" s="290" t="str">
        <f aca="false">VLOOKUP($A106,ScaledPrice,10)</f>
        <v> </v>
      </c>
      <c r="K106" s="290" t="str">
        <f aca="false">VLOOKUP($A106,ScaledPrice,13)</f>
        <v> </v>
      </c>
      <c r="L106" s="290" t="str">
        <f aca="false">VLOOKUP($A106,ScaledPrice,7)</f>
        <v> </v>
      </c>
      <c r="M106" s="290" t="str">
        <f aca="false">VLOOKUP($A106,ScaledPrice,11)</f>
        <v> </v>
      </c>
      <c r="N106" s="290" t="str">
        <f aca="false">VLOOKUP($A106,ScaledPrice,13)</f>
        <v> </v>
      </c>
      <c r="O106" s="290" t="str">
        <f aca="false">VLOOKUP($A106,ScaledPrice,8)</f>
        <v> </v>
      </c>
      <c r="P106" s="290" t="str">
        <f aca="false">VLOOKUP($A106,ScaledPrice,12)</f>
        <v> </v>
      </c>
      <c r="Q106" s="291" t="str">
        <f aca="false">VLOOKUP($A106,ScaledPrice,13)</f>
        <v> </v>
      </c>
      <c r="R106" s="292" t="str">
        <f aca="false">IF($A106="N/A"," ",IF(Dayrun&gt;=3,IF(Option=1,MAX($I106-$H106,0),IF(Option=2,MAX($H106-$I106,0),0)),0))</f>
        <v> </v>
      </c>
      <c r="S106" s="286" t="str">
        <f aca="false">IF($A106="N/A"," ",IF(Dayrun&gt;=6,IF(Option=1,MAX($J106-H106,0),IF(Option=2,MAX(H106-$J106,0),0)),0))</f>
        <v> </v>
      </c>
      <c r="T106" s="286" t="str">
        <f aca="false">IF($A106="N/A"," ",IF(OR(Dayrun&lt;=2,Dayrun&gt;=9),IF(Option=1,MAX($K106-$H106,0),IF(Option=2,MAX($H106-$K106,0),0)),0))</f>
        <v> </v>
      </c>
      <c r="U106" s="286" t="str">
        <f aca="false">IF($A106="N/A"," ",IF(OR(Dayrun=1,Dayrun=4,Dayrun=5,Dayrun=7,Dayrun=8,Dayrun=10,Dayrun=11),IF(Option=1,MAX($L106-H106,0),IF(Option=2,MAX(H106-$L106,0),0)),0))</f>
        <v> </v>
      </c>
      <c r="V106" s="286" t="str">
        <f aca="false">IF($A106="N/A"," ",IF(OR(Dayrun=1,Dayrun=7,Dayrun=8,Dayrun=10,Dayrun=11),IF(Option=1,MAX($M106-H106,0),IF(Option=2,MAX(H106-$M106,0),0)),0))</f>
        <v> </v>
      </c>
      <c r="W106" s="286" t="str">
        <f aca="false">IF($A106="N/A"," ",IF(OR(Dayrun&lt;=2,Dayrun&gt;=10),IF(Option=1,MAX($N106-$H106,0),IF(Option=2,MAX($H106-$N106,0),0)),0))</f>
        <v> </v>
      </c>
      <c r="X106" s="286" t="str">
        <f aca="false">IF($A106="N/A"," ",IF(OR(Dayrun=1,Dayrun=5,Dayrun=8,Dayrun=11),IF(Option=1,MAX($O106-H106,0),IF(Option=2,MAX(H106-$O106,0),0)),0))</f>
        <v> </v>
      </c>
      <c r="Y106" s="286" t="str">
        <f aca="false">IF($A106="N/A"," ",IF(OR(Dayrun=1,Dayrun=8,Dayrun=11),IF(Option=1,MAX($P106-H106,0),IF(Option=2,MAX(H106-$P106,0),0)),0))</f>
        <v> </v>
      </c>
      <c r="Z106" s="293" t="str">
        <f aca="false">IF($A106="N/A"," ",IF(OR(Dayrun&lt;=2,Dayrun&gt;=11),IF(Option=1,MAX($Q106-$H106,0),IF(Option=2,MAX($H106-$Q106,0),0)),0))</f>
        <v> </v>
      </c>
      <c r="AA106" s="289" t="str">
        <f aca="false">IF($A106="N/A"," ",IF(Dayrun&gt;=3,(MAX(0,(xSPRDOPT(I106,($E106-'Pricing Inputs'!$X141*$D106),$CV106,0,($CN106+IF(Smile=TRUE(),VLOOKUP(MAX(-5,$H106-I106),Volsmile,2),0)),$CT106,$CU106,($A106-DateToday)+15,ABS(Option-2),0)-R106))),0))</f>
        <v> </v>
      </c>
      <c r="AB106" s="290" t="str">
        <f aca="false">IF($A106="N/A"," ",IF(Dayrun&gt;=6,MAX(0,(xSPRDOPT(J106,($E106-'Pricing Inputs'!$X141*$D106),$CV106,0,($CN106+IF(Smile=TRUE(),VLOOKUP(MAX(-5,$H106-J106),Volsmile,2),0)),$CT106,$CU106,($A106-DateToday)+15,ABS(Option-2),0)-S106)),0))</f>
        <v> </v>
      </c>
      <c r="AC106" s="290" t="str">
        <f aca="false">IF($A106="N/A"," ",IF(OR(Dayrun&lt;=2,Dayrun&gt;=9),IF(OffPeakEx=TRUE(),MAX(0,(xSPRDOPT(K106,($E106-'Pricing Inputs'!$X141*$D106),$CV106,0,($CQ106+IF(Smile=TRUE(),VLOOKUP(MAX(-5,$H106-K106),Volsmile,2),0)),$CT106,$CU106,($A106-DateToday)+15,ABS(Option-2),0)-T106)),0),0))</f>
        <v> </v>
      </c>
      <c r="AD106" s="290" t="str">
        <f aca="false">IF($A106="N/A"," ",IF(OR(Dayrun=1,Dayrun=4,Dayrun=5,Dayrun=7,Dayrun=8,Dayrun=10,Dayrun=11),MAX(0,(xSPRDOPT(L106,($E106-'Pricing Inputs'!$X141*$D106),$CV106,0,($CQ106+IF(Smile=TRUE(),VLOOKUP(MAX(-5,$H106-L106),Volsmile,2),0)),$CT106,$CU106,($A106-DateToday)+15,ABS(Option-2),0)-U106)),0))</f>
        <v> </v>
      </c>
      <c r="AE106" s="290" t="str">
        <f aca="false">IF($A106="N/A"," ",IF(OR(Dayrun=1,Dayrun=7,Dayrun=8,Dayrun=10,Dayrun=11),MAX(0,(xSPRDOPT(M106,($E106-'Pricing Inputs'!$X141*$D106),$CV106,0,($CQ106+IF(Smile=TRUE(),VLOOKUP(MAX(-5,$H106-M106),Volsmile,2),0)),$CT106,$CU106,($A106-DateToday)+15,ABS(Option-2),0)-V106)),0))</f>
        <v> </v>
      </c>
      <c r="AF106" s="290" t="str">
        <f aca="false">IF($A106="N/A"," ",IF(OR(Dayrun&lt;=2,Dayrun&gt;=10),IF(OffPeakEx=TRUE(),MAX(0,(xSPRDOPT(N106,($E106-'Pricing Inputs'!$X141*$D106),$CV106,0,($CQ106+IF(Smile=TRUE(),VLOOKUP(MAX(-5,$H106-N106),Volsmile,2),0)),$CT106,$CU106,($A106-DateToday)+15,ABS(Option-2),0)-W106)),0),0))</f>
        <v> </v>
      </c>
      <c r="AG106" s="290" t="str">
        <f aca="false">IF($A106="N/A"," ",IF(OR(Dayrun=1,Dayrun=5,Dayrun=8,Dayrun=11),MAX(0,(xSPRDOPT(O106,($E106-'Pricing Inputs'!$X141*$D106),$CV106,0,($CQ106+IF(Smile=TRUE(),VLOOKUP(MAX(-5,$H106-O106),Volsmile,2),0)),$CT106,$CU106,($A106-DateToday)+15,ABS(Option-2),0)-X106)),0))</f>
        <v> </v>
      </c>
      <c r="AH106" s="290" t="str">
        <f aca="false">IF($A106="N/A"," ",IF(OR(Dayrun=1,Dayrun=8,Dayrun=11),MAX(0,(xSPRDOPT(P106,($E106-'Pricing Inputs'!$X141*$D106),$CV106,0,($CQ106+IF(Smile=TRUE(),VLOOKUP(MAX(-5,$H106-P106),Volsmile,2),0)),$CT106,$CU106,($A106-DateToday)+15,ABS(Option-2),0)-Y106)),0))</f>
        <v> </v>
      </c>
      <c r="AI106" s="290" t="str">
        <f aca="false">IF($A106="N/A"," ",IF(OR(Dayrun&lt;=2,Dayrun&gt;=11),IF(OffPeakEx=TRUE(),MAX(0,(xSPRDOPT(Q106,($E106-'Pricing Inputs'!$X141*$D106),$CV106,0,($CQ106+IF(Smile=TRUE(),VLOOKUP(MAX(-5,$H106-Q106),Volsmile,2),0)),$CT106,$CU106,($A106-DateToday)+15,ABS(Option-2),0)-Z106)),0),0))</f>
        <v> </v>
      </c>
      <c r="AJ106" s="294" t="str">
        <f aca="false">IF($A106="N/A"," ",IF(Dayrun&gt;=3,IF(Option=1,$I106-$H106,IF(Option=2,$H106-$I106)),0))</f>
        <v> </v>
      </c>
      <c r="AK106" s="295" t="str">
        <f aca="false">IF($A106="N/A"," ",IF(Dayrun&gt;=6,IF(Option=1,$J106-H106,IF(Option=2,H106-$J106)),0))</f>
        <v> </v>
      </c>
      <c r="AL106" s="295" t="str">
        <f aca="false">IF($A106="N/A"," ",IF(OR(Dayrun&lt;=2,Dayrun&gt;=9),IF(Option=1,$K106-$H106,IF(Option=2,$H106-$K106)),0))</f>
        <v> </v>
      </c>
      <c r="AM106" s="295" t="str">
        <f aca="false">IF($A106="N/A"," ",IF(OR(Dayrun=1,Dayrun=4,Dayrun=5,Dayrun=7,Dayrun=8,Dayrun=10,Dayrun=11),IF(Option=1,$L106-H106,IF(Option=2,H106-$L106)),0))</f>
        <v> </v>
      </c>
      <c r="AN106" s="295" t="str">
        <f aca="false">IF($A106="N/A"," ",IF(OR(Dayrun=1,Dayrun=7,Dayrun=8,Dayrun=10,Dayrun=11),IF(Option=1,$M106-H106,IF(Option=2,H106-$M106)),0))</f>
        <v> </v>
      </c>
      <c r="AO106" s="295" t="str">
        <f aca="false">IF($A106="N/A"," ",IF(OR(Dayrun&lt;=2,Dayrun&gt;=9),IF(Option=1,$N106-$H106,IF(Option=2,$H106-$N106)),0))</f>
        <v> </v>
      </c>
      <c r="AP106" s="295" t="str">
        <f aca="false">IF($A106="N/A"," ",IF(OR(Dayrun=1,Dayrun=5,Dayrun=8,Dayrun=11),IF(Option=1,$O106-H106,IF(Option=2,H106-$O106)),0))</f>
        <v> </v>
      </c>
      <c r="AQ106" s="295" t="str">
        <f aca="false">IF($A106="N/A"," ",IF(OR(Dayrun=1,Dayrun=8,Dayrun=11),IF(Option=1,$P106-H106,IF(Option=2,H106-$P106)),0))</f>
        <v> </v>
      </c>
      <c r="AR106" s="296" t="str">
        <f aca="false">IF($A106="N/A"," ",IF(OR(Dayrun&lt;=2,Dayrun&gt;=9),IF(Option=1,$Q106-H106,IF(Option=2,H106-$Q106)),0))</f>
        <v> </v>
      </c>
      <c r="AS106" s="297" t="str">
        <f aca="false">IF($A106="N/A"," ",IF(VLOOKUP(MONTH($A106),ManualTable,2)=1,IF(Dayrun&gt;=3,$DE106*8*$CY106,0),0))</f>
        <v> </v>
      </c>
      <c r="AT106" s="297" t="str">
        <f aca="false">IF($A106="N/A"," ",IF(VLOOKUP(MONTH($A106),ManualTable,3)=1,IF(Dayrun&gt;=6,$DE106*8*$CY106,0),0))</f>
        <v> </v>
      </c>
      <c r="AU106" s="297" t="str">
        <f aca="false">IF($A106="N/A"," ",IF(VLOOKUP(MONTH($A106),ManualTable,4)=1,IF(OR(Dayrun&lt;=2,Dayrun&gt;=9),$DE106*8*$CY106,0),0))</f>
        <v> </v>
      </c>
      <c r="AV106" s="297" t="str">
        <f aca="false">IF($A106="N/A"," ",IF(VLOOKUP(MONTH($A106),ManualTable,5)=1,IF(OR(Dayrun=1,Dayrun=4,Dayrun=5,Dayrun=7,Dayrun=8,Dayrun=10,Dayrun=11),$DF106*8*$CY106,0),0))</f>
        <v> </v>
      </c>
      <c r="AW106" s="297" t="str">
        <f aca="false">IF($A106="N/A"," ",IF(VLOOKUP(MONTH($A106),ManualTable,6)=1,IF(OR(Dayrun=1,Dayrun=7,Dayrun=8,Dayrun=10,Dayrun=11),$DF106*8*$CY106,0),0))</f>
        <v> </v>
      </c>
      <c r="AX106" s="297" t="str">
        <f aca="false">IF($A106="N/A"," ",IF(VLOOKUP(MONTH($A106),ManualTable,7)=1,IF(OR(Dayrun&lt;=2,Dayrun&gt;=9),$DF106*8*$CY106,0),0))</f>
        <v> </v>
      </c>
      <c r="AY106" s="297" t="str">
        <f aca="false">IF($A106="N/A"," ",IF(VLOOKUP(MONTH($A106),ManualTable,8)=1,IF(OR(Dayrun=1,Dayrun=5,Dayrun=8,Dayrun=11),$DG106*8*$CY106,0),0))</f>
        <v> </v>
      </c>
      <c r="AZ106" s="297" t="str">
        <f aca="false">IF($A106="N/A"," ",IF(VLOOKUP(MONTH($A106),ManualTable,9)=1,IF(OR(Dayrun=1,Dayrun=8,Dayrun=11),$DG106*8*$CY106,0),0))</f>
        <v> </v>
      </c>
      <c r="BA106" s="298" t="str">
        <f aca="false">IF($A106="N/A"," ",IF(VLOOKUP(MONTH($A106),ManualTable,10)=1,IF(OR(Dayrun&lt;=2,Dayrun&gt;=9),$DG106*8*$CY106,0),0))</f>
        <v> </v>
      </c>
      <c r="BB106" s="299" t="str">
        <f aca="false">IF($A106="N/A"," ",IF(Dayrun&gt;=3,(MAX(0,(xSPRDOPT(I106,($E106-'Pricing Inputs'!$X141*$D106),$CV106,0,($CN106+IF(Smile=TRUE(),VLOOKUP(MAX(-5,$H106-I106),Volsmile,2),0)),$CT106,$CU106,($A106-DateToday)+15,ABS(Option-2),1)*DE106*8))),0))</f>
        <v> </v>
      </c>
      <c r="BC106" s="300" t="str">
        <f aca="false">IF($A106="N/A"," ",IF(Dayrun&gt;=6,MAX(0,(xSPRDOPT(J106,($E106-'Pricing Inputs'!$X141*$D106),$CV106,0,($CN106+IF(Smile=TRUE(),VLOOKUP(MAX(-5,$H106-J106),Volsmile,2),0)),$CT106,$CU106,($A106-DateToday)+15,ABS(Option-2),1)*DE106*8)),0))</f>
        <v> </v>
      </c>
      <c r="BD106" s="300" t="str">
        <f aca="false">IF($A106="N/A"," ",IF(OR(Dayrun&lt;=2,Dayrun&gt;=9),IF(OffPeakEx=TRUE(),MAX(0,(xSPRDOPT(K106,($E106-'Pricing Inputs'!$X141*$D106),$CV106,0,($CQ106+IF(Smile=TRUE(),VLOOKUP(MAX(-5,$H106-K106),Volsmile,2),0)),$CT106,$CU106,($A106-DateToday)+15,ABS(Option-2),1)*DE106*8)),0),0))</f>
        <v> </v>
      </c>
      <c r="BE106" s="300" t="str">
        <f aca="false">IF($A106="N/A"," ",IF(OR(Dayrun=1,Dayrun=4,Dayrun=5,Dayrun=7,Dayrun=8,Dayrun=10,Dayrun=11),MAX(0,(xSPRDOPT(L106,($E106-'Pricing Inputs'!$X141*$D106),$CV106,0,($CQ106+IF(Smile=TRUE(),VLOOKUP(MAX(-5,$H106-L106),Volsmile,2),0)),$CT106,$CU106,($A106-DateToday)+15,ABS(Option-2),1)*DF106*8)),0))</f>
        <v> </v>
      </c>
      <c r="BF106" s="300" t="str">
        <f aca="false">IF($A106="N/A"," ",IF(OR(Dayrun=1,Dayrun=7,Dayrun=8,Dayrun=10,Dayrun=11),MAX(0,(xSPRDOPT(M106,($E106-'Pricing Inputs'!$X141*$D106),$CV106,0,($CQ106+IF(Smile=TRUE(),VLOOKUP(MAX(-5,$H106-M106),Volsmile,2),0)),$CT106,$CU106,($A106-DateToday)+15,ABS(Option-2),1)*DF106*8)),0))</f>
        <v> </v>
      </c>
      <c r="BG106" s="300" t="str">
        <f aca="false">IF($A106="N/A"," ",IF(OR(Dayrun&lt;=2,Dayrun&gt;=10),IF(OffPeakEx=TRUE(),MAX(0,(xSPRDOPT(N106,($E106-'Pricing Inputs'!$X141*$D106),$CV106,0,($CQ106+IF(Smile=TRUE(),VLOOKUP(MAX(-5,$H106-N106),Volsmile,2),0)),$CT106,$CU106,($A106-DateToday)+15,ABS(Option-2),1)*DF106*8)),0),0))</f>
        <v> </v>
      </c>
      <c r="BH106" s="300" t="str">
        <f aca="false">IF($A106="N/A"," ",IF(OR(Dayrun=1,Dayrun=5,Dayrun=8,Dayrun=11),MAX(0,(xSPRDOPT(O106,($E106-'Pricing Inputs'!$X141*$D106),$CV106,0,($CQ106+IF(Smile=TRUE(),VLOOKUP(MAX(-5,$H106-O106),Volsmile,2),0)),$CT106,$CU106,($A106-DateToday)+15,ABS(Option-2),1)*DG106*8)),0))</f>
        <v> </v>
      </c>
      <c r="BI106" s="300" t="str">
        <f aca="false">IF($A106="N/A"," ",IF(OR(Dayrun=1,Dayrun=8,Dayrun=11),MAX(0,(xSPRDOPT(P106,($E106-'Pricing Inputs'!$X141*$D106),$CV106,0,($CQ106+IF(Smile=TRUE(),VLOOKUP(MAX(-5,$H106-P106),Volsmile,2),0)),$CT106,$CU106,($A106-DateToday)+15,ABS(Option-2),1)*DG106*8)),0))</f>
        <v> </v>
      </c>
      <c r="BJ106" s="301" t="str">
        <f aca="false">IF($A106="N/A"," ",IF(OR(Dayrun&lt;=2,Dayrun&gt;=11),IF(OffPeakEx=TRUE(),MAX(0,(xSPRDOPT(Q106,($E106-'Pricing Inputs'!$X141*$D106),$CV106,0,($CQ106+IF(Smile=TRUE(),VLOOKUP(MAX(-5,$H106-Q106),Volsmile,2),0)),$CT106,$CU106,($A106-DateToday)+15,ABS(Option-2),1)*DG106*8)),0),0))</f>
        <v> </v>
      </c>
      <c r="BK106" s="302" t="str">
        <f aca="false">IF($A106="N/A"," ",R106*$AS106)</f>
        <v> </v>
      </c>
      <c r="BL106" s="303" t="str">
        <f aca="false">IF($A106="N/A"," ",S106*$AT106)</f>
        <v> </v>
      </c>
      <c r="BM106" s="303" t="str">
        <f aca="false">IF($A106="N/A"," ",T106*$AU106)</f>
        <v> </v>
      </c>
      <c r="BN106" s="303" t="str">
        <f aca="false">IF($A106="N/A"," ",U106*$AV106)</f>
        <v> </v>
      </c>
      <c r="BO106" s="303" t="str">
        <f aca="false">IF($A106="N/A"," ",V106*$AW106)</f>
        <v> </v>
      </c>
      <c r="BP106" s="303" t="str">
        <f aca="false">IF($A106="N/A"," ",W106*$AX106)</f>
        <v> </v>
      </c>
      <c r="BQ106" s="303" t="str">
        <f aca="false">IF($A106="N/A"," ",X106*$AY106)</f>
        <v> </v>
      </c>
      <c r="BR106" s="303" t="str">
        <f aca="false">IF($A106="N/A"," ",Y106*$AZ106)</f>
        <v> </v>
      </c>
      <c r="BS106" s="304" t="str">
        <f aca="false">IF($A106="N/A"," ",Z106*$BA106)</f>
        <v> </v>
      </c>
      <c r="BT106" s="305" t="str">
        <f aca="false">IF($A106="N/A"," ",AA106*$AS106)</f>
        <v> </v>
      </c>
      <c r="BU106" s="306" t="str">
        <f aca="false">IF($A106="N/A"," ",AB106*$AT106)</f>
        <v> </v>
      </c>
      <c r="BV106" s="306" t="str">
        <f aca="false">IF($A106="N/A"," ",AC106*$AU106)</f>
        <v> </v>
      </c>
      <c r="BW106" s="306" t="str">
        <f aca="false">IF($A106="N/A"," ",AD106*$AV106)</f>
        <v> </v>
      </c>
      <c r="BX106" s="306" t="str">
        <f aca="false">IF($A106="N/A"," ",AE106*$AW106)</f>
        <v> </v>
      </c>
      <c r="BY106" s="306" t="str">
        <f aca="false">IF($A106="N/A"," ",AF106*$AX106)</f>
        <v> </v>
      </c>
      <c r="BZ106" s="306" t="str">
        <f aca="false">IF($A106="N/A"," ",AG106*$AY106)</f>
        <v> </v>
      </c>
      <c r="CA106" s="306" t="str">
        <f aca="false">IF($A106="N/A"," ",AH106*$AZ106)</f>
        <v> </v>
      </c>
      <c r="CB106" s="307" t="str">
        <f aca="false">IF($A106="N/A"," ",AI106*$BA106)</f>
        <v> </v>
      </c>
      <c r="CC106" s="308" t="str">
        <f aca="false">IF($A106="N/A"," ",AJ106*$AS106)</f>
        <v> </v>
      </c>
      <c r="CD106" s="309" t="str">
        <f aca="false">IF($A106="N/A"," ",AK106*$AT106)</f>
        <v> </v>
      </c>
      <c r="CE106" s="309" t="str">
        <f aca="false">IF($A106="N/A"," ",AL106*$AU106)</f>
        <v> </v>
      </c>
      <c r="CF106" s="309" t="str">
        <f aca="false">IF($A106="N/A"," ",AM106*$AV106)</f>
        <v> </v>
      </c>
      <c r="CG106" s="309" t="str">
        <f aca="false">IF($A106="N/A"," ",AN106*$AW106)</f>
        <v> </v>
      </c>
      <c r="CH106" s="309" t="str">
        <f aca="false">IF($A106="N/A"," ",AO106*$AX106)</f>
        <v> </v>
      </c>
      <c r="CI106" s="309" t="str">
        <f aca="false">IF($A106="N/A"," ",AP106*$AY106)</f>
        <v> </v>
      </c>
      <c r="CJ106" s="309" t="str">
        <f aca="false">IF($A106="N/A"," ",AQ106*$AZ106)</f>
        <v> </v>
      </c>
      <c r="CK106" s="310" t="str">
        <f aca="false">IF($A106="N/A"," ",AR106*$BA106)</f>
        <v> </v>
      </c>
      <c r="CL106" s="311" t="str">
        <f aca="false">IF(A106="N/A"," ",(VLOOKUP(A106,PowerVolTable,(IF(VolBMO=2,7,IF(VolBMO=1,6,8))),FALSE())))</f>
        <v> </v>
      </c>
      <c r="CM106" s="312" t="str">
        <f aca="false">IF(A106="N/A"," ",(VLOOKUP(A106,IntraPowerVol,(IF(VolBMO=2,3,IF(VolBMO=1,2,4))),FALSE())*VLOOKUP(MONTH($A106),Volscale,2)))</f>
        <v> </v>
      </c>
      <c r="CN106" s="312" t="str">
        <f aca="false">IF($A106="N/A"," ",IF(VolType=1,CM106,CL106))</f>
        <v> </v>
      </c>
      <c r="CO106" s="312" t="str">
        <f aca="false">IF($A106="N/A"," ",(VLOOKUP($A106,OffPeakVol,(IF(VolBMO=2,7,IF(VolBMO=1,6,8))),FALSE())))</f>
        <v> </v>
      </c>
      <c r="CP106" s="312" t="str">
        <f aca="false">IF($A106="N/A"," ",(VLOOKUP($A106,OffPeakVol,(IF(VolBMO=2,3,IF(VolBMO=1,2,4))),FALSE())*VLOOKUP(MONTH($A106),Volscale,2)))</f>
        <v> </v>
      </c>
      <c r="CQ106" s="312" t="str">
        <f aca="false">IF($A106="N/A"," ",IF(VolType=1,CP106,CO106))</f>
        <v> </v>
      </c>
      <c r="CR106" s="312" t="str">
        <f aca="false">IF($A106="N/A"," ",(VLOOKUP($A106,GasVolTable,(IF(VolBMO=2,6,IF(VolBMO=1,7,5))),FALSE())))</f>
        <v> </v>
      </c>
      <c r="CS106" s="312" t="str">
        <f aca="false">IF($A106="N/A"," ",(VLOOKUP($A106,OmicronVol,(IF(VolBMO=2,3,IF(VolBMO=1,4,2))),FALSE())))</f>
        <v> </v>
      </c>
      <c r="CT106" s="312" t="str">
        <f aca="false">IF($A106="N/A"," ",(IF(DateToday&gt;$A106,$CS106,IF(VolType=1,((($CR106^2)*((($A106-1)-DateToday)/((EOMONTH($A106,0)+1)-DateToday-15)))+((($CS106)^2)*((15)/((EOMONTH($A106,0)+1)-DateToday-15))))^0.5,CR106))))</f>
        <v> </v>
      </c>
      <c r="CU106" s="312" t="str">
        <f aca="false">IF($A106="N/A"," ",IF('Pricing Inputs'!$AR$23=TRUE(),Inputs!$S$22,VLOOKUP($A106,CorrelationTable,2,FALSE())))</f>
        <v> </v>
      </c>
      <c r="CV106" s="313" t="str">
        <f aca="false">IF($A106="N/A"," ",F106+G106+(D106*('Pricing Inputs'!X141)))</f>
        <v> </v>
      </c>
      <c r="CW106" s="314" t="str">
        <f aca="false">IF($A106="N/A"," ",IF(PV=1,0,'Pricing Inputs'!Y141))</f>
        <v> </v>
      </c>
      <c r="CX106" s="315" t="str">
        <f aca="false">IF($A106="N/A"," ",(1+CW106/2)^(-2*((EOMONTH(A106,0)+20)-DateToday)/365.25))</f>
        <v> </v>
      </c>
      <c r="CY106" s="316" t="str">
        <f aca="false">IF($A106="N/A"," ",(IF(MONTH(A106)&gt;=4,IF(MONTH(A106)&lt;=10,Inputs!$S$26,Inputs!$S$27),Inputs!$S$27))*$CX106)</f>
        <v> </v>
      </c>
      <c r="CZ106" s="317" t="str">
        <f aca="false">IF($A106="N/A"," ",BK106+BL106+BN106+BO106+BQ106+BR106)</f>
        <v> </v>
      </c>
      <c r="DA106" s="318" t="str">
        <f aca="false">IF($A106="N/A"," ",BM106+BP106+BS106)</f>
        <v> </v>
      </c>
      <c r="DB106" s="319" t="str">
        <f aca="false">IF($A106="N/A"," ",BT106+BU106+BW106+BX106+BZ106+CA106)</f>
        <v> </v>
      </c>
      <c r="DC106" s="319" t="str">
        <f aca="false">IF($A106="N/A"," ",BV106+BY106+CB106)</f>
        <v> </v>
      </c>
      <c r="DD106" s="320" t="str">
        <f aca="false">IF($A106="N/A"," ",SUM(CC106:CK106))</f>
        <v> </v>
      </c>
      <c r="DE106" s="321" t="str">
        <f aca="false">IF($A106="N/A"," ",VLOOKUP($A106,NumberofDaysTable,2)*Availability)</f>
        <v> </v>
      </c>
      <c r="DF106" s="94" t="str">
        <f aca="false">IF($A106="N/A"," ",VLOOKUP($A106,NumberofDaysTable,3)*Availability)</f>
        <v> </v>
      </c>
      <c r="DG106" s="322" t="str">
        <f aca="false">IF($A106="N/A"," ",VLOOKUP($A106,NumberofDaysTable,4)*Availability)</f>
        <v> </v>
      </c>
      <c r="DH106" s="323" t="str">
        <f aca="false">IF($A106="N/A"," ",IF(Option=1,$D106*Inputs!$S$15*SUM(AS106:BA106),0))</f>
        <v> </v>
      </c>
      <c r="DI106" s="324" t="str">
        <f aca="false">IF($A106="N/A"," ",IF(Option=1,$D106*Inputs!$S$16*SUM(AS106:BA106),0))</f>
        <v> </v>
      </c>
      <c r="DJ106" s="325" t="str">
        <f aca="false">IF($A106="N/A"," ",SUM(AS106:AT106))</f>
        <v> </v>
      </c>
      <c r="DK106" s="325" t="str">
        <f aca="false">IF($A106="N/A"," ",SUM(AU106:BA106))</f>
        <v> </v>
      </c>
      <c r="DL106" s="325" t="str">
        <f aca="false">IF($A106="N/A"," ",SUM(BB106:BC106))</f>
        <v> </v>
      </c>
      <c r="DM106" s="325" t="str">
        <f aca="false">IF($A106="N/A"," ",SUM(BD106:BJ106))</f>
        <v> </v>
      </c>
    </row>
    <row r="107" customFormat="false" ht="12.75" hidden="false" customHeight="false" outlineLevel="0" collapsed="false">
      <c r="A107" s="282" t="str">
        <f aca="false">IF(A106="N/A","N/A",IF(EDATE(A106,1)&gt;Inputs!$S$5,"N/A",EDATE(A106,1)))</f>
        <v>N/A</v>
      </c>
      <c r="B107" s="283" t="str">
        <f aca="false">IF(A107="N/A"," ",YEAR(A107))</f>
        <v> </v>
      </c>
      <c r="C107" s="284" t="str">
        <f aca="false">IF(A107="N/A"," ",VLOOKUP(A107,ScaledPrice,14))</f>
        <v> </v>
      </c>
      <c r="D107" s="285" t="str">
        <f aca="false">IF(A107="N/A"," ",(VLOOKUP(MONTH($A107),Hrtable,2))/1000)</f>
        <v> </v>
      </c>
      <c r="E107" s="286" t="str">
        <f aca="false">IF($A107="N/A"," ",(C107)*D107)</f>
        <v> </v>
      </c>
      <c r="F107" s="287" t="str">
        <f aca="false">IF(A107="N/A"," ",VOM*(1+VOMesc)^(YEAR(A107)-YEAR(Today)))</f>
        <v> </v>
      </c>
      <c r="G107" s="287" t="str">
        <f aca="false">IF(A107="N/A"," ",Perstart/VLOOKUP(Dayrun,'Pricing Inputs'!$AQ$4:$AS$14,3)/(CY107/CX107))</f>
        <v> </v>
      </c>
      <c r="H107" s="288" t="str">
        <f aca="false">IF(A107="N/A"," ",SUM(E107:G107))</f>
        <v> </v>
      </c>
      <c r="I107" s="289" t="str">
        <f aca="false">VLOOKUP($A107,ScaledPrice,6)</f>
        <v> </v>
      </c>
      <c r="J107" s="290" t="str">
        <f aca="false">VLOOKUP($A107,ScaledPrice,10)</f>
        <v> </v>
      </c>
      <c r="K107" s="290" t="str">
        <f aca="false">VLOOKUP($A107,ScaledPrice,13)</f>
        <v> </v>
      </c>
      <c r="L107" s="290" t="str">
        <f aca="false">VLOOKUP($A107,ScaledPrice,7)</f>
        <v> </v>
      </c>
      <c r="M107" s="290" t="str">
        <f aca="false">VLOOKUP($A107,ScaledPrice,11)</f>
        <v> </v>
      </c>
      <c r="N107" s="290" t="str">
        <f aca="false">VLOOKUP($A107,ScaledPrice,13)</f>
        <v> </v>
      </c>
      <c r="O107" s="290" t="str">
        <f aca="false">VLOOKUP($A107,ScaledPrice,8)</f>
        <v> </v>
      </c>
      <c r="P107" s="290" t="str">
        <f aca="false">VLOOKUP($A107,ScaledPrice,12)</f>
        <v> </v>
      </c>
      <c r="Q107" s="291" t="str">
        <f aca="false">VLOOKUP($A107,ScaledPrice,13)</f>
        <v> </v>
      </c>
      <c r="R107" s="292" t="str">
        <f aca="false">IF($A107="N/A"," ",IF(Dayrun&gt;=3,IF(Option=1,MAX($I107-$H107,0),IF(Option=2,MAX($H107-$I107,0),0)),0))</f>
        <v> </v>
      </c>
      <c r="S107" s="286" t="str">
        <f aca="false">IF($A107="N/A"," ",IF(Dayrun&gt;=6,IF(Option=1,MAX($J107-H107,0),IF(Option=2,MAX(H107-$J107,0),0)),0))</f>
        <v> </v>
      </c>
      <c r="T107" s="286" t="str">
        <f aca="false">IF($A107="N/A"," ",IF(OR(Dayrun&lt;=2,Dayrun&gt;=9),IF(Option=1,MAX($K107-$H107,0),IF(Option=2,MAX($H107-$K107,0),0)),0))</f>
        <v> </v>
      </c>
      <c r="U107" s="286" t="str">
        <f aca="false">IF($A107="N/A"," ",IF(OR(Dayrun=1,Dayrun=4,Dayrun=5,Dayrun=7,Dayrun=8,Dayrun=10,Dayrun=11),IF(Option=1,MAX($L107-H107,0),IF(Option=2,MAX(H107-$L107,0),0)),0))</f>
        <v> </v>
      </c>
      <c r="V107" s="286" t="str">
        <f aca="false">IF($A107="N/A"," ",IF(OR(Dayrun=1,Dayrun=7,Dayrun=8,Dayrun=10,Dayrun=11),IF(Option=1,MAX($M107-H107,0),IF(Option=2,MAX(H107-$M107,0),0)),0))</f>
        <v> </v>
      </c>
      <c r="W107" s="286" t="str">
        <f aca="false">IF($A107="N/A"," ",IF(OR(Dayrun&lt;=2,Dayrun&gt;=10),IF(Option=1,MAX($N107-$H107,0),IF(Option=2,MAX($H107-$N107,0),0)),0))</f>
        <v> </v>
      </c>
      <c r="X107" s="286" t="str">
        <f aca="false">IF($A107="N/A"," ",IF(OR(Dayrun=1,Dayrun=5,Dayrun=8,Dayrun=11),IF(Option=1,MAX($O107-H107,0),IF(Option=2,MAX(H107-$O107,0),0)),0))</f>
        <v> </v>
      </c>
      <c r="Y107" s="286" t="str">
        <f aca="false">IF($A107="N/A"," ",IF(OR(Dayrun=1,Dayrun=8,Dayrun=11),IF(Option=1,MAX($P107-H107,0),IF(Option=2,MAX(H107-$P107,0),0)),0))</f>
        <v> </v>
      </c>
      <c r="Z107" s="293" t="str">
        <f aca="false">IF($A107="N/A"," ",IF(OR(Dayrun&lt;=2,Dayrun&gt;=11),IF(Option=1,MAX($Q107-$H107,0),IF(Option=2,MAX($H107-$Q107,0),0)),0))</f>
        <v> </v>
      </c>
      <c r="AA107" s="289" t="str">
        <f aca="false">IF($A107="N/A"," ",IF(Dayrun&gt;=3,(MAX(0,(xSPRDOPT(I107,($E107-'Pricing Inputs'!$X142*$D107),$CV107,0,($CN107+IF(Smile=TRUE(),VLOOKUP(MAX(-5,$H107-I107),Volsmile,2),0)),$CT107,$CU107,($A107-DateToday)+15,ABS(Option-2),0)-R107))),0))</f>
        <v> </v>
      </c>
      <c r="AB107" s="290" t="str">
        <f aca="false">IF($A107="N/A"," ",IF(Dayrun&gt;=6,MAX(0,(xSPRDOPT(J107,($E107-'Pricing Inputs'!$X142*$D107),$CV107,0,($CN107+IF(Smile=TRUE(),VLOOKUP(MAX(-5,$H107-J107),Volsmile,2),0)),$CT107,$CU107,($A107-DateToday)+15,ABS(Option-2),0)-S107)),0))</f>
        <v> </v>
      </c>
      <c r="AC107" s="290" t="str">
        <f aca="false">IF($A107="N/A"," ",IF(OR(Dayrun&lt;=2,Dayrun&gt;=9),IF(OffPeakEx=TRUE(),MAX(0,(xSPRDOPT(K107,($E107-'Pricing Inputs'!$X142*$D107),$CV107,0,($CQ107+IF(Smile=TRUE(),VLOOKUP(MAX(-5,$H107-K107),Volsmile,2),0)),$CT107,$CU107,($A107-DateToday)+15,ABS(Option-2),0)-T107)),0),0))</f>
        <v> </v>
      </c>
      <c r="AD107" s="290" t="str">
        <f aca="false">IF($A107="N/A"," ",IF(OR(Dayrun=1,Dayrun=4,Dayrun=5,Dayrun=7,Dayrun=8,Dayrun=10,Dayrun=11),MAX(0,(xSPRDOPT(L107,($E107-'Pricing Inputs'!$X142*$D107),$CV107,0,($CQ107+IF(Smile=TRUE(),VLOOKUP(MAX(-5,$H107-L107),Volsmile,2),0)),$CT107,$CU107,($A107-DateToday)+15,ABS(Option-2),0)-U107)),0))</f>
        <v> </v>
      </c>
      <c r="AE107" s="290" t="str">
        <f aca="false">IF($A107="N/A"," ",IF(OR(Dayrun=1,Dayrun=7,Dayrun=8,Dayrun=10,Dayrun=11),MAX(0,(xSPRDOPT(M107,($E107-'Pricing Inputs'!$X142*$D107),$CV107,0,($CQ107+IF(Smile=TRUE(),VLOOKUP(MAX(-5,$H107-M107),Volsmile,2),0)),$CT107,$CU107,($A107-DateToday)+15,ABS(Option-2),0)-V107)),0))</f>
        <v> </v>
      </c>
      <c r="AF107" s="290" t="str">
        <f aca="false">IF($A107="N/A"," ",IF(OR(Dayrun&lt;=2,Dayrun&gt;=10),IF(OffPeakEx=TRUE(),MAX(0,(xSPRDOPT(N107,($E107-'Pricing Inputs'!$X142*$D107),$CV107,0,($CQ107+IF(Smile=TRUE(),VLOOKUP(MAX(-5,$H107-N107),Volsmile,2),0)),$CT107,$CU107,($A107-DateToday)+15,ABS(Option-2),0)-W107)),0),0))</f>
        <v> </v>
      </c>
      <c r="AG107" s="290" t="str">
        <f aca="false">IF($A107="N/A"," ",IF(OR(Dayrun=1,Dayrun=5,Dayrun=8,Dayrun=11),MAX(0,(xSPRDOPT(O107,($E107-'Pricing Inputs'!$X142*$D107),$CV107,0,($CQ107+IF(Smile=TRUE(),VLOOKUP(MAX(-5,$H107-O107),Volsmile,2),0)),$CT107,$CU107,($A107-DateToday)+15,ABS(Option-2),0)-X107)),0))</f>
        <v> </v>
      </c>
      <c r="AH107" s="290" t="str">
        <f aca="false">IF($A107="N/A"," ",IF(OR(Dayrun=1,Dayrun=8,Dayrun=11),MAX(0,(xSPRDOPT(P107,($E107-'Pricing Inputs'!$X142*$D107),$CV107,0,($CQ107+IF(Smile=TRUE(),VLOOKUP(MAX(-5,$H107-P107),Volsmile,2),0)),$CT107,$CU107,($A107-DateToday)+15,ABS(Option-2),0)-Y107)),0))</f>
        <v> </v>
      </c>
      <c r="AI107" s="290" t="str">
        <f aca="false">IF($A107="N/A"," ",IF(OR(Dayrun&lt;=2,Dayrun&gt;=11),IF(OffPeakEx=TRUE(),MAX(0,(xSPRDOPT(Q107,($E107-'Pricing Inputs'!$X142*$D107),$CV107,0,($CQ107+IF(Smile=TRUE(),VLOOKUP(MAX(-5,$H107-Q107),Volsmile,2),0)),$CT107,$CU107,($A107-DateToday)+15,ABS(Option-2),0)-Z107)),0),0))</f>
        <v> </v>
      </c>
      <c r="AJ107" s="294" t="str">
        <f aca="false">IF($A107="N/A"," ",IF(Dayrun&gt;=3,IF(Option=1,$I107-$H107,IF(Option=2,$H107-$I107)),0))</f>
        <v> </v>
      </c>
      <c r="AK107" s="295" t="str">
        <f aca="false">IF($A107="N/A"," ",IF(Dayrun&gt;=6,IF(Option=1,$J107-H107,IF(Option=2,H107-$J107)),0))</f>
        <v> </v>
      </c>
      <c r="AL107" s="295" t="str">
        <f aca="false">IF($A107="N/A"," ",IF(OR(Dayrun&lt;=2,Dayrun&gt;=9),IF(Option=1,$K107-$H107,IF(Option=2,$H107-$K107)),0))</f>
        <v> </v>
      </c>
      <c r="AM107" s="295" t="str">
        <f aca="false">IF($A107="N/A"," ",IF(OR(Dayrun=1,Dayrun=4,Dayrun=5,Dayrun=7,Dayrun=8,Dayrun=10,Dayrun=11),IF(Option=1,$L107-H107,IF(Option=2,H107-$L107)),0))</f>
        <v> </v>
      </c>
      <c r="AN107" s="295" t="str">
        <f aca="false">IF($A107="N/A"," ",IF(OR(Dayrun=1,Dayrun=7,Dayrun=8,Dayrun=10,Dayrun=11),IF(Option=1,$M107-H107,IF(Option=2,H107-$M107)),0))</f>
        <v> </v>
      </c>
      <c r="AO107" s="295" t="str">
        <f aca="false">IF($A107="N/A"," ",IF(OR(Dayrun&lt;=2,Dayrun&gt;=9),IF(Option=1,$N107-$H107,IF(Option=2,$H107-$N107)),0))</f>
        <v> </v>
      </c>
      <c r="AP107" s="295" t="str">
        <f aca="false">IF($A107="N/A"," ",IF(OR(Dayrun=1,Dayrun=5,Dayrun=8,Dayrun=11),IF(Option=1,$O107-H107,IF(Option=2,H107-$O107)),0))</f>
        <v> </v>
      </c>
      <c r="AQ107" s="295" t="str">
        <f aca="false">IF($A107="N/A"," ",IF(OR(Dayrun=1,Dayrun=8,Dayrun=11),IF(Option=1,$P107-H107,IF(Option=2,H107-$P107)),0))</f>
        <v> </v>
      </c>
      <c r="AR107" s="296" t="str">
        <f aca="false">IF($A107="N/A"," ",IF(OR(Dayrun&lt;=2,Dayrun&gt;=9),IF(Option=1,$Q107-H107,IF(Option=2,H107-$Q107)),0))</f>
        <v> </v>
      </c>
      <c r="AS107" s="297" t="str">
        <f aca="false">IF($A107="N/A"," ",IF(VLOOKUP(MONTH($A107),ManualTable,2)=1,IF(Dayrun&gt;=3,$DE107*8*$CY107,0),0))</f>
        <v> </v>
      </c>
      <c r="AT107" s="297" t="str">
        <f aca="false">IF($A107="N/A"," ",IF(VLOOKUP(MONTH($A107),ManualTable,3)=1,IF(Dayrun&gt;=6,$DE107*8*$CY107,0),0))</f>
        <v> </v>
      </c>
      <c r="AU107" s="297" t="str">
        <f aca="false">IF($A107="N/A"," ",IF(VLOOKUP(MONTH($A107),ManualTable,4)=1,IF(OR(Dayrun&lt;=2,Dayrun&gt;=9),$DE107*8*$CY107,0),0))</f>
        <v> </v>
      </c>
      <c r="AV107" s="297" t="str">
        <f aca="false">IF($A107="N/A"," ",IF(VLOOKUP(MONTH($A107),ManualTable,5)=1,IF(OR(Dayrun=1,Dayrun=4,Dayrun=5,Dayrun=7,Dayrun=8,Dayrun=10,Dayrun=11),$DF107*8*$CY107,0),0))</f>
        <v> </v>
      </c>
      <c r="AW107" s="297" t="str">
        <f aca="false">IF($A107="N/A"," ",IF(VLOOKUP(MONTH($A107),ManualTable,6)=1,IF(OR(Dayrun=1,Dayrun=7,Dayrun=8,Dayrun=10,Dayrun=11),$DF107*8*$CY107,0),0))</f>
        <v> </v>
      </c>
      <c r="AX107" s="297" t="str">
        <f aca="false">IF($A107="N/A"," ",IF(VLOOKUP(MONTH($A107),ManualTable,7)=1,IF(OR(Dayrun&lt;=2,Dayrun&gt;=9),$DF107*8*$CY107,0),0))</f>
        <v> </v>
      </c>
      <c r="AY107" s="297" t="str">
        <f aca="false">IF($A107="N/A"," ",IF(VLOOKUP(MONTH($A107),ManualTable,8)=1,IF(OR(Dayrun=1,Dayrun=5,Dayrun=8,Dayrun=11),$DG107*8*$CY107,0),0))</f>
        <v> </v>
      </c>
      <c r="AZ107" s="297" t="str">
        <f aca="false">IF($A107="N/A"," ",IF(VLOOKUP(MONTH($A107),ManualTable,9)=1,IF(OR(Dayrun=1,Dayrun=8,Dayrun=11),$DG107*8*$CY107,0),0))</f>
        <v> </v>
      </c>
      <c r="BA107" s="298" t="str">
        <f aca="false">IF($A107="N/A"," ",IF(VLOOKUP(MONTH($A107),ManualTable,10)=1,IF(OR(Dayrun&lt;=2,Dayrun&gt;=9),$DG107*8*$CY107,0),0))</f>
        <v> </v>
      </c>
      <c r="BB107" s="299" t="str">
        <f aca="false">IF($A107="N/A"," ",IF(Dayrun&gt;=3,(MAX(0,(xSPRDOPT(I107,($E107-'Pricing Inputs'!$X142*$D107),$CV107,0,($CN107+IF(Smile=TRUE(),VLOOKUP(MAX(-5,$H107-I107),Volsmile,2),0)),$CT107,$CU107,($A107-DateToday)+15,ABS(Option-2),1)*DE107*8))),0))</f>
        <v> </v>
      </c>
      <c r="BC107" s="300" t="str">
        <f aca="false">IF($A107="N/A"," ",IF(Dayrun&gt;=6,MAX(0,(xSPRDOPT(J107,($E107-'Pricing Inputs'!$X142*$D107),$CV107,0,($CN107+IF(Smile=TRUE(),VLOOKUP(MAX(-5,$H107-J107),Volsmile,2),0)),$CT107,$CU107,($A107-DateToday)+15,ABS(Option-2),1)*DE107*8)),0))</f>
        <v> </v>
      </c>
      <c r="BD107" s="300" t="str">
        <f aca="false">IF($A107="N/A"," ",IF(OR(Dayrun&lt;=2,Dayrun&gt;=9),IF(OffPeakEx=TRUE(),MAX(0,(xSPRDOPT(K107,($E107-'Pricing Inputs'!$X142*$D107),$CV107,0,($CQ107+IF(Smile=TRUE(),VLOOKUP(MAX(-5,$H107-K107),Volsmile,2),0)),$CT107,$CU107,($A107-DateToday)+15,ABS(Option-2),1)*DE107*8)),0),0))</f>
        <v> </v>
      </c>
      <c r="BE107" s="300" t="str">
        <f aca="false">IF($A107="N/A"," ",IF(OR(Dayrun=1,Dayrun=4,Dayrun=5,Dayrun=7,Dayrun=8,Dayrun=10,Dayrun=11),MAX(0,(xSPRDOPT(L107,($E107-'Pricing Inputs'!$X142*$D107),$CV107,0,($CQ107+IF(Smile=TRUE(),VLOOKUP(MAX(-5,$H107-L107),Volsmile,2),0)),$CT107,$CU107,($A107-DateToday)+15,ABS(Option-2),1)*DF107*8)),0))</f>
        <v> </v>
      </c>
      <c r="BF107" s="300" t="str">
        <f aca="false">IF($A107="N/A"," ",IF(OR(Dayrun=1,Dayrun=7,Dayrun=8,Dayrun=10,Dayrun=11),MAX(0,(xSPRDOPT(M107,($E107-'Pricing Inputs'!$X142*$D107),$CV107,0,($CQ107+IF(Smile=TRUE(),VLOOKUP(MAX(-5,$H107-M107),Volsmile,2),0)),$CT107,$CU107,($A107-DateToday)+15,ABS(Option-2),1)*DF107*8)),0))</f>
        <v> </v>
      </c>
      <c r="BG107" s="300" t="str">
        <f aca="false">IF($A107="N/A"," ",IF(OR(Dayrun&lt;=2,Dayrun&gt;=10),IF(OffPeakEx=TRUE(),MAX(0,(xSPRDOPT(N107,($E107-'Pricing Inputs'!$X142*$D107),$CV107,0,($CQ107+IF(Smile=TRUE(),VLOOKUP(MAX(-5,$H107-N107),Volsmile,2),0)),$CT107,$CU107,($A107-DateToday)+15,ABS(Option-2),1)*DF107*8)),0),0))</f>
        <v> </v>
      </c>
      <c r="BH107" s="300" t="str">
        <f aca="false">IF($A107="N/A"," ",IF(OR(Dayrun=1,Dayrun=5,Dayrun=8,Dayrun=11),MAX(0,(xSPRDOPT(O107,($E107-'Pricing Inputs'!$X142*$D107),$CV107,0,($CQ107+IF(Smile=TRUE(),VLOOKUP(MAX(-5,$H107-O107),Volsmile,2),0)),$CT107,$CU107,($A107-DateToday)+15,ABS(Option-2),1)*DG107*8)),0))</f>
        <v> </v>
      </c>
      <c r="BI107" s="300" t="str">
        <f aca="false">IF($A107="N/A"," ",IF(OR(Dayrun=1,Dayrun=8,Dayrun=11),MAX(0,(xSPRDOPT(P107,($E107-'Pricing Inputs'!$X142*$D107),$CV107,0,($CQ107+IF(Smile=TRUE(),VLOOKUP(MAX(-5,$H107-P107),Volsmile,2),0)),$CT107,$CU107,($A107-DateToday)+15,ABS(Option-2),1)*DG107*8)),0))</f>
        <v> </v>
      </c>
      <c r="BJ107" s="301" t="str">
        <f aca="false">IF($A107="N/A"," ",IF(OR(Dayrun&lt;=2,Dayrun&gt;=11),IF(OffPeakEx=TRUE(),MAX(0,(xSPRDOPT(Q107,($E107-'Pricing Inputs'!$X142*$D107),$CV107,0,($CQ107+IF(Smile=TRUE(),VLOOKUP(MAX(-5,$H107-Q107),Volsmile,2),0)),$CT107,$CU107,($A107-DateToday)+15,ABS(Option-2),1)*DG107*8)),0),0))</f>
        <v> </v>
      </c>
      <c r="BK107" s="302" t="str">
        <f aca="false">IF($A107="N/A"," ",R107*$AS107)</f>
        <v> </v>
      </c>
      <c r="BL107" s="303" t="str">
        <f aca="false">IF($A107="N/A"," ",S107*$AT107)</f>
        <v> </v>
      </c>
      <c r="BM107" s="303" t="str">
        <f aca="false">IF($A107="N/A"," ",T107*$AU107)</f>
        <v> </v>
      </c>
      <c r="BN107" s="303" t="str">
        <f aca="false">IF($A107="N/A"," ",U107*$AV107)</f>
        <v> </v>
      </c>
      <c r="BO107" s="303" t="str">
        <f aca="false">IF($A107="N/A"," ",V107*$AW107)</f>
        <v> </v>
      </c>
      <c r="BP107" s="303" t="str">
        <f aca="false">IF($A107="N/A"," ",W107*$AX107)</f>
        <v> </v>
      </c>
      <c r="BQ107" s="303" t="str">
        <f aca="false">IF($A107="N/A"," ",X107*$AY107)</f>
        <v> </v>
      </c>
      <c r="BR107" s="303" t="str">
        <f aca="false">IF($A107="N/A"," ",Y107*$AZ107)</f>
        <v> </v>
      </c>
      <c r="BS107" s="304" t="str">
        <f aca="false">IF($A107="N/A"," ",Z107*$BA107)</f>
        <v> </v>
      </c>
      <c r="BT107" s="305" t="str">
        <f aca="false">IF($A107="N/A"," ",AA107*$AS107)</f>
        <v> </v>
      </c>
      <c r="BU107" s="306" t="str">
        <f aca="false">IF($A107="N/A"," ",AB107*$AT107)</f>
        <v> </v>
      </c>
      <c r="BV107" s="306" t="str">
        <f aca="false">IF($A107="N/A"," ",AC107*$AU107)</f>
        <v> </v>
      </c>
      <c r="BW107" s="306" t="str">
        <f aca="false">IF($A107="N/A"," ",AD107*$AV107)</f>
        <v> </v>
      </c>
      <c r="BX107" s="306" t="str">
        <f aca="false">IF($A107="N/A"," ",AE107*$AW107)</f>
        <v> </v>
      </c>
      <c r="BY107" s="306" t="str">
        <f aca="false">IF($A107="N/A"," ",AF107*$AX107)</f>
        <v> </v>
      </c>
      <c r="BZ107" s="306" t="str">
        <f aca="false">IF($A107="N/A"," ",AG107*$AY107)</f>
        <v> </v>
      </c>
      <c r="CA107" s="306" t="str">
        <f aca="false">IF($A107="N/A"," ",AH107*$AZ107)</f>
        <v> </v>
      </c>
      <c r="CB107" s="307" t="str">
        <f aca="false">IF($A107="N/A"," ",AI107*$BA107)</f>
        <v> </v>
      </c>
      <c r="CC107" s="308" t="str">
        <f aca="false">IF($A107="N/A"," ",AJ107*$AS107)</f>
        <v> </v>
      </c>
      <c r="CD107" s="309" t="str">
        <f aca="false">IF($A107="N/A"," ",AK107*$AT107)</f>
        <v> </v>
      </c>
      <c r="CE107" s="309" t="str">
        <f aca="false">IF($A107="N/A"," ",AL107*$AU107)</f>
        <v> </v>
      </c>
      <c r="CF107" s="309" t="str">
        <f aca="false">IF($A107="N/A"," ",AM107*$AV107)</f>
        <v> </v>
      </c>
      <c r="CG107" s="309" t="str">
        <f aca="false">IF($A107="N/A"," ",AN107*$AW107)</f>
        <v> </v>
      </c>
      <c r="CH107" s="309" t="str">
        <f aca="false">IF($A107="N/A"," ",AO107*$AX107)</f>
        <v> </v>
      </c>
      <c r="CI107" s="309" t="str">
        <f aca="false">IF($A107="N/A"," ",AP107*$AY107)</f>
        <v> </v>
      </c>
      <c r="CJ107" s="309" t="str">
        <f aca="false">IF($A107="N/A"," ",AQ107*$AZ107)</f>
        <v> </v>
      </c>
      <c r="CK107" s="310" t="str">
        <f aca="false">IF($A107="N/A"," ",AR107*$BA107)</f>
        <v> </v>
      </c>
      <c r="CL107" s="311" t="str">
        <f aca="false">IF(A107="N/A"," ",(VLOOKUP(A107,PowerVolTable,(IF(VolBMO=2,7,IF(VolBMO=1,6,8))),FALSE())))</f>
        <v> </v>
      </c>
      <c r="CM107" s="312" t="str">
        <f aca="false">IF(A107="N/A"," ",(VLOOKUP(A107,IntraPowerVol,(IF(VolBMO=2,3,IF(VolBMO=1,2,4))),FALSE())*VLOOKUP(MONTH($A107),Volscale,2)))</f>
        <v> </v>
      </c>
      <c r="CN107" s="312" t="str">
        <f aca="false">IF($A107="N/A"," ",IF(VolType=1,CM107,CL107))</f>
        <v> </v>
      </c>
      <c r="CO107" s="312" t="str">
        <f aca="false">IF($A107="N/A"," ",(VLOOKUP($A107,OffPeakVol,(IF(VolBMO=2,7,IF(VolBMO=1,6,8))),FALSE())))</f>
        <v> </v>
      </c>
      <c r="CP107" s="312" t="str">
        <f aca="false">IF($A107="N/A"," ",(VLOOKUP($A107,OffPeakVol,(IF(VolBMO=2,3,IF(VolBMO=1,2,4))),FALSE())*VLOOKUP(MONTH($A107),Volscale,2)))</f>
        <v> </v>
      </c>
      <c r="CQ107" s="312" t="str">
        <f aca="false">IF($A107="N/A"," ",IF(VolType=1,CP107,CO107))</f>
        <v> </v>
      </c>
      <c r="CR107" s="312" t="str">
        <f aca="false">IF($A107="N/A"," ",(VLOOKUP($A107,GasVolTable,(IF(VolBMO=2,6,IF(VolBMO=1,7,5))),FALSE())))</f>
        <v> </v>
      </c>
      <c r="CS107" s="312" t="str">
        <f aca="false">IF($A107="N/A"," ",(VLOOKUP($A107,OmicronVol,(IF(VolBMO=2,3,IF(VolBMO=1,4,2))),FALSE())))</f>
        <v> </v>
      </c>
      <c r="CT107" s="312" t="str">
        <f aca="false">IF($A107="N/A"," ",(IF(DateToday&gt;$A107,$CS107,IF(VolType=1,((($CR107^2)*((($A107-1)-DateToday)/((EOMONTH($A107,0)+1)-DateToday-15)))+((($CS107)^2)*((15)/((EOMONTH($A107,0)+1)-DateToday-15))))^0.5,CR107))))</f>
        <v> </v>
      </c>
      <c r="CU107" s="312" t="str">
        <f aca="false">IF($A107="N/A"," ",IF('Pricing Inputs'!$AR$23=TRUE(),Inputs!$S$22,VLOOKUP($A107,CorrelationTable,2,FALSE())))</f>
        <v> </v>
      </c>
      <c r="CV107" s="313" t="str">
        <f aca="false">IF($A107="N/A"," ",F107+G107+(D107*('Pricing Inputs'!X142)))</f>
        <v> </v>
      </c>
      <c r="CW107" s="314" t="str">
        <f aca="false">IF($A107="N/A"," ",IF(PV=1,0,'Pricing Inputs'!Y142))</f>
        <v> </v>
      </c>
      <c r="CX107" s="315" t="str">
        <f aca="false">IF($A107="N/A"," ",(1+CW107/2)^(-2*((EOMONTH(A107,0)+20)-DateToday)/365.25))</f>
        <v> </v>
      </c>
      <c r="CY107" s="316" t="str">
        <f aca="false">IF($A107="N/A"," ",(IF(MONTH(A107)&gt;=4,IF(MONTH(A107)&lt;=10,Inputs!$S$26,Inputs!$S$27),Inputs!$S$27))*$CX107)</f>
        <v> </v>
      </c>
      <c r="CZ107" s="317" t="str">
        <f aca="false">IF($A107="N/A"," ",BK107+BL107+BN107+BO107+BQ107+BR107)</f>
        <v> </v>
      </c>
      <c r="DA107" s="318" t="str">
        <f aca="false">IF($A107="N/A"," ",BM107+BP107+BS107)</f>
        <v> </v>
      </c>
      <c r="DB107" s="319" t="str">
        <f aca="false">IF($A107="N/A"," ",BT107+BU107+BW107+BX107+BZ107+CA107)</f>
        <v> </v>
      </c>
      <c r="DC107" s="319" t="str">
        <f aca="false">IF($A107="N/A"," ",BV107+BY107+CB107)</f>
        <v> </v>
      </c>
      <c r="DD107" s="320" t="str">
        <f aca="false">IF($A107="N/A"," ",SUM(CC107:CK107))</f>
        <v> </v>
      </c>
      <c r="DE107" s="321" t="str">
        <f aca="false">IF($A107="N/A"," ",VLOOKUP($A107,NumberofDaysTable,2)*Availability)</f>
        <v> </v>
      </c>
      <c r="DF107" s="94" t="str">
        <f aca="false">IF($A107="N/A"," ",VLOOKUP($A107,NumberofDaysTable,3)*Availability)</f>
        <v> </v>
      </c>
      <c r="DG107" s="322" t="str">
        <f aca="false">IF($A107="N/A"," ",VLOOKUP($A107,NumberofDaysTable,4)*Availability)</f>
        <v> </v>
      </c>
      <c r="DH107" s="323" t="str">
        <f aca="false">IF($A107="N/A"," ",IF(Option=1,$D107*Inputs!$S$15*SUM(AS107:BA107),0))</f>
        <v> </v>
      </c>
      <c r="DI107" s="324" t="str">
        <f aca="false">IF($A107="N/A"," ",IF(Option=1,$D107*Inputs!$S$16*SUM(AS107:BA107),0))</f>
        <v> </v>
      </c>
      <c r="DJ107" s="325" t="str">
        <f aca="false">IF($A107="N/A"," ",SUM(AS107:AT107))</f>
        <v> </v>
      </c>
      <c r="DK107" s="325" t="str">
        <f aca="false">IF($A107="N/A"," ",SUM(AU107:BA107))</f>
        <v> </v>
      </c>
      <c r="DL107" s="325" t="str">
        <f aca="false">IF($A107="N/A"," ",SUM(BB107:BC107))</f>
        <v> </v>
      </c>
      <c r="DM107" s="325" t="str">
        <f aca="false">IF($A107="N/A"," ",SUM(BD107:BJ107))</f>
        <v> </v>
      </c>
    </row>
    <row r="108" customFormat="false" ht="12.75" hidden="false" customHeight="false" outlineLevel="0" collapsed="false">
      <c r="A108" s="282" t="str">
        <f aca="false">IF(A107="N/A","N/A",IF(EDATE(A107,1)&gt;Inputs!$S$5,"N/A",EDATE(A107,1)))</f>
        <v>N/A</v>
      </c>
      <c r="B108" s="283" t="str">
        <f aca="false">IF(A108="N/A"," ",YEAR(A108))</f>
        <v> </v>
      </c>
      <c r="C108" s="284" t="str">
        <f aca="false">IF(A108="N/A"," ",VLOOKUP(A108,ScaledPrice,14))</f>
        <v> </v>
      </c>
      <c r="D108" s="285" t="str">
        <f aca="false">IF(A108="N/A"," ",(VLOOKUP(MONTH($A108),Hrtable,2))/1000)</f>
        <v> </v>
      </c>
      <c r="E108" s="286" t="str">
        <f aca="false">IF($A108="N/A"," ",(C108)*D108)</f>
        <v> </v>
      </c>
      <c r="F108" s="287" t="str">
        <f aca="false">IF(A108="N/A"," ",VOM*(1+VOMesc)^(YEAR(A108)-YEAR(Today)))</f>
        <v> </v>
      </c>
      <c r="G108" s="287" t="str">
        <f aca="false">IF(A108="N/A"," ",Perstart/VLOOKUP(Dayrun,'Pricing Inputs'!$AQ$4:$AS$14,3)/(CY108/CX108))</f>
        <v> </v>
      </c>
      <c r="H108" s="288" t="str">
        <f aca="false">IF(A108="N/A"," ",SUM(E108:G108))</f>
        <v> </v>
      </c>
      <c r="I108" s="289" t="str">
        <f aca="false">VLOOKUP($A108,ScaledPrice,6)</f>
        <v> </v>
      </c>
      <c r="J108" s="290" t="str">
        <f aca="false">VLOOKUP($A108,ScaledPrice,10)</f>
        <v> </v>
      </c>
      <c r="K108" s="290" t="str">
        <f aca="false">VLOOKUP($A108,ScaledPrice,13)</f>
        <v> </v>
      </c>
      <c r="L108" s="290" t="str">
        <f aca="false">VLOOKUP($A108,ScaledPrice,7)</f>
        <v> </v>
      </c>
      <c r="M108" s="290" t="str">
        <f aca="false">VLOOKUP($A108,ScaledPrice,11)</f>
        <v> </v>
      </c>
      <c r="N108" s="290" t="str">
        <f aca="false">VLOOKUP($A108,ScaledPrice,13)</f>
        <v> </v>
      </c>
      <c r="O108" s="290" t="str">
        <f aca="false">VLOOKUP($A108,ScaledPrice,8)</f>
        <v> </v>
      </c>
      <c r="P108" s="290" t="str">
        <f aca="false">VLOOKUP($A108,ScaledPrice,12)</f>
        <v> </v>
      </c>
      <c r="Q108" s="291" t="str">
        <f aca="false">VLOOKUP($A108,ScaledPrice,13)</f>
        <v> </v>
      </c>
      <c r="R108" s="292" t="str">
        <f aca="false">IF($A108="N/A"," ",IF(Dayrun&gt;=3,IF(Option=1,MAX($I108-$H108,0),IF(Option=2,MAX($H108-$I108,0),0)),0))</f>
        <v> </v>
      </c>
      <c r="S108" s="286" t="str">
        <f aca="false">IF($A108="N/A"," ",IF(Dayrun&gt;=6,IF(Option=1,MAX($J108-H108,0),IF(Option=2,MAX(H108-$J108,0),0)),0))</f>
        <v> </v>
      </c>
      <c r="T108" s="286" t="str">
        <f aca="false">IF($A108="N/A"," ",IF(OR(Dayrun&lt;=2,Dayrun&gt;=9),IF(Option=1,MAX($K108-$H108,0),IF(Option=2,MAX($H108-$K108,0),0)),0))</f>
        <v> </v>
      </c>
      <c r="U108" s="286" t="str">
        <f aca="false">IF($A108="N/A"," ",IF(OR(Dayrun=1,Dayrun=4,Dayrun=5,Dayrun=7,Dayrun=8,Dayrun=10,Dayrun=11),IF(Option=1,MAX($L108-H108,0),IF(Option=2,MAX(H108-$L108,0),0)),0))</f>
        <v> </v>
      </c>
      <c r="V108" s="286" t="str">
        <f aca="false">IF($A108="N/A"," ",IF(OR(Dayrun=1,Dayrun=7,Dayrun=8,Dayrun=10,Dayrun=11),IF(Option=1,MAX($M108-H108,0),IF(Option=2,MAX(H108-$M108,0),0)),0))</f>
        <v> </v>
      </c>
      <c r="W108" s="286" t="str">
        <f aca="false">IF($A108="N/A"," ",IF(OR(Dayrun&lt;=2,Dayrun&gt;=10),IF(Option=1,MAX($N108-$H108,0),IF(Option=2,MAX($H108-$N108,0),0)),0))</f>
        <v> </v>
      </c>
      <c r="X108" s="286" t="str">
        <f aca="false">IF($A108="N/A"," ",IF(OR(Dayrun=1,Dayrun=5,Dayrun=8,Dayrun=11),IF(Option=1,MAX($O108-H108,0),IF(Option=2,MAX(H108-$O108,0),0)),0))</f>
        <v> </v>
      </c>
      <c r="Y108" s="286" t="str">
        <f aca="false">IF($A108="N/A"," ",IF(OR(Dayrun=1,Dayrun=8,Dayrun=11),IF(Option=1,MAX($P108-H108,0),IF(Option=2,MAX(H108-$P108,0),0)),0))</f>
        <v> </v>
      </c>
      <c r="Z108" s="293" t="str">
        <f aca="false">IF($A108="N/A"," ",IF(OR(Dayrun&lt;=2,Dayrun&gt;=11),IF(Option=1,MAX($Q108-$H108,0),IF(Option=2,MAX($H108-$Q108,0),0)),0))</f>
        <v> </v>
      </c>
      <c r="AA108" s="289" t="str">
        <f aca="false">IF($A108="N/A"," ",IF(Dayrun&gt;=3,(MAX(0,(xSPRDOPT(I108,($E108-'Pricing Inputs'!$X143*$D108),$CV108,0,($CN108+IF(Smile=TRUE(),VLOOKUP(MAX(-5,$H108-I108),Volsmile,2),0)),$CT108,$CU108,($A108-DateToday)+15,ABS(Option-2),0)-R108))),0))</f>
        <v> </v>
      </c>
      <c r="AB108" s="290" t="str">
        <f aca="false">IF($A108="N/A"," ",IF(Dayrun&gt;=6,MAX(0,(xSPRDOPT(J108,($E108-'Pricing Inputs'!$X143*$D108),$CV108,0,($CN108+IF(Smile=TRUE(),VLOOKUP(MAX(-5,$H108-J108),Volsmile,2),0)),$CT108,$CU108,($A108-DateToday)+15,ABS(Option-2),0)-S108)),0))</f>
        <v> </v>
      </c>
      <c r="AC108" s="290" t="str">
        <f aca="false">IF($A108="N/A"," ",IF(OR(Dayrun&lt;=2,Dayrun&gt;=9),IF(OffPeakEx=TRUE(),MAX(0,(xSPRDOPT(K108,($E108-'Pricing Inputs'!$X143*$D108),$CV108,0,($CQ108+IF(Smile=TRUE(),VLOOKUP(MAX(-5,$H108-K108),Volsmile,2),0)),$CT108,$CU108,($A108-DateToday)+15,ABS(Option-2),0)-T108)),0),0))</f>
        <v> </v>
      </c>
      <c r="AD108" s="290" t="str">
        <f aca="false">IF($A108="N/A"," ",IF(OR(Dayrun=1,Dayrun=4,Dayrun=5,Dayrun=7,Dayrun=8,Dayrun=10,Dayrun=11),MAX(0,(xSPRDOPT(L108,($E108-'Pricing Inputs'!$X143*$D108),$CV108,0,($CQ108+IF(Smile=TRUE(),VLOOKUP(MAX(-5,$H108-L108),Volsmile,2),0)),$CT108,$CU108,($A108-DateToday)+15,ABS(Option-2),0)-U108)),0))</f>
        <v> </v>
      </c>
      <c r="AE108" s="290" t="str">
        <f aca="false">IF($A108="N/A"," ",IF(OR(Dayrun=1,Dayrun=7,Dayrun=8,Dayrun=10,Dayrun=11),MAX(0,(xSPRDOPT(M108,($E108-'Pricing Inputs'!$X143*$D108),$CV108,0,($CQ108+IF(Smile=TRUE(),VLOOKUP(MAX(-5,$H108-M108),Volsmile,2),0)),$CT108,$CU108,($A108-DateToday)+15,ABS(Option-2),0)-V108)),0))</f>
        <v> </v>
      </c>
      <c r="AF108" s="290" t="str">
        <f aca="false">IF($A108="N/A"," ",IF(OR(Dayrun&lt;=2,Dayrun&gt;=10),IF(OffPeakEx=TRUE(),MAX(0,(xSPRDOPT(N108,($E108-'Pricing Inputs'!$X143*$D108),$CV108,0,($CQ108+IF(Smile=TRUE(),VLOOKUP(MAX(-5,$H108-N108),Volsmile,2),0)),$CT108,$CU108,($A108-DateToday)+15,ABS(Option-2),0)-W108)),0),0))</f>
        <v> </v>
      </c>
      <c r="AG108" s="290" t="str">
        <f aca="false">IF($A108="N/A"," ",IF(OR(Dayrun=1,Dayrun=5,Dayrun=8,Dayrun=11),MAX(0,(xSPRDOPT(O108,($E108-'Pricing Inputs'!$X143*$D108),$CV108,0,($CQ108+IF(Smile=TRUE(),VLOOKUP(MAX(-5,$H108-O108),Volsmile,2),0)),$CT108,$CU108,($A108-DateToday)+15,ABS(Option-2),0)-X108)),0))</f>
        <v> </v>
      </c>
      <c r="AH108" s="290" t="str">
        <f aca="false">IF($A108="N/A"," ",IF(OR(Dayrun=1,Dayrun=8,Dayrun=11),MAX(0,(xSPRDOPT(P108,($E108-'Pricing Inputs'!$X143*$D108),$CV108,0,($CQ108+IF(Smile=TRUE(),VLOOKUP(MAX(-5,$H108-P108),Volsmile,2),0)),$CT108,$CU108,($A108-DateToday)+15,ABS(Option-2),0)-Y108)),0))</f>
        <v> </v>
      </c>
      <c r="AI108" s="290" t="str">
        <f aca="false">IF($A108="N/A"," ",IF(OR(Dayrun&lt;=2,Dayrun&gt;=11),IF(OffPeakEx=TRUE(),MAX(0,(xSPRDOPT(Q108,($E108-'Pricing Inputs'!$X143*$D108),$CV108,0,($CQ108+IF(Smile=TRUE(),VLOOKUP(MAX(-5,$H108-Q108),Volsmile,2),0)),$CT108,$CU108,($A108-DateToday)+15,ABS(Option-2),0)-Z108)),0),0))</f>
        <v> </v>
      </c>
      <c r="AJ108" s="294" t="str">
        <f aca="false">IF($A108="N/A"," ",IF(Dayrun&gt;=3,IF(Option=1,$I108-$H108,IF(Option=2,$H108-$I108)),0))</f>
        <v> </v>
      </c>
      <c r="AK108" s="295" t="str">
        <f aca="false">IF($A108="N/A"," ",IF(Dayrun&gt;=6,IF(Option=1,$J108-H108,IF(Option=2,H108-$J108)),0))</f>
        <v> </v>
      </c>
      <c r="AL108" s="295" t="str">
        <f aca="false">IF($A108="N/A"," ",IF(OR(Dayrun&lt;=2,Dayrun&gt;=9),IF(Option=1,$K108-$H108,IF(Option=2,$H108-$K108)),0))</f>
        <v> </v>
      </c>
      <c r="AM108" s="295" t="str">
        <f aca="false">IF($A108="N/A"," ",IF(OR(Dayrun=1,Dayrun=4,Dayrun=5,Dayrun=7,Dayrun=8,Dayrun=10,Dayrun=11),IF(Option=1,$L108-H108,IF(Option=2,H108-$L108)),0))</f>
        <v> </v>
      </c>
      <c r="AN108" s="295" t="str">
        <f aca="false">IF($A108="N/A"," ",IF(OR(Dayrun=1,Dayrun=7,Dayrun=8,Dayrun=10,Dayrun=11),IF(Option=1,$M108-H108,IF(Option=2,H108-$M108)),0))</f>
        <v> </v>
      </c>
      <c r="AO108" s="295" t="str">
        <f aca="false">IF($A108="N/A"," ",IF(OR(Dayrun&lt;=2,Dayrun&gt;=9),IF(Option=1,$N108-$H108,IF(Option=2,$H108-$N108)),0))</f>
        <v> </v>
      </c>
      <c r="AP108" s="295" t="str">
        <f aca="false">IF($A108="N/A"," ",IF(OR(Dayrun=1,Dayrun=5,Dayrun=8,Dayrun=11),IF(Option=1,$O108-H108,IF(Option=2,H108-$O108)),0))</f>
        <v> </v>
      </c>
      <c r="AQ108" s="295" t="str">
        <f aca="false">IF($A108="N/A"," ",IF(OR(Dayrun=1,Dayrun=8,Dayrun=11),IF(Option=1,$P108-H108,IF(Option=2,H108-$P108)),0))</f>
        <v> </v>
      </c>
      <c r="AR108" s="296" t="str">
        <f aca="false">IF($A108="N/A"," ",IF(OR(Dayrun&lt;=2,Dayrun&gt;=9),IF(Option=1,$Q108-H108,IF(Option=2,H108-$Q108)),0))</f>
        <v> </v>
      </c>
      <c r="AS108" s="297" t="str">
        <f aca="false">IF($A108="N/A"," ",IF(VLOOKUP(MONTH($A108),ManualTable,2)=1,IF(Dayrun&gt;=3,$DE108*8*$CY108,0),0))</f>
        <v> </v>
      </c>
      <c r="AT108" s="297" t="str">
        <f aca="false">IF($A108="N/A"," ",IF(VLOOKUP(MONTH($A108),ManualTable,3)=1,IF(Dayrun&gt;=6,$DE108*8*$CY108,0),0))</f>
        <v> </v>
      </c>
      <c r="AU108" s="297" t="str">
        <f aca="false">IF($A108="N/A"," ",IF(VLOOKUP(MONTH($A108),ManualTable,4)=1,IF(OR(Dayrun&lt;=2,Dayrun&gt;=9),$DE108*8*$CY108,0),0))</f>
        <v> </v>
      </c>
      <c r="AV108" s="297" t="str">
        <f aca="false">IF($A108="N/A"," ",IF(VLOOKUP(MONTH($A108),ManualTable,5)=1,IF(OR(Dayrun=1,Dayrun=4,Dayrun=5,Dayrun=7,Dayrun=8,Dayrun=10,Dayrun=11),$DF108*8*$CY108,0),0))</f>
        <v> </v>
      </c>
      <c r="AW108" s="297" t="str">
        <f aca="false">IF($A108="N/A"," ",IF(VLOOKUP(MONTH($A108),ManualTable,6)=1,IF(OR(Dayrun=1,Dayrun=7,Dayrun=8,Dayrun=10,Dayrun=11),$DF108*8*$CY108,0),0))</f>
        <v> </v>
      </c>
      <c r="AX108" s="297" t="str">
        <f aca="false">IF($A108="N/A"," ",IF(VLOOKUP(MONTH($A108),ManualTable,7)=1,IF(OR(Dayrun&lt;=2,Dayrun&gt;=9),$DF108*8*$CY108,0),0))</f>
        <v> </v>
      </c>
      <c r="AY108" s="297" t="str">
        <f aca="false">IF($A108="N/A"," ",IF(VLOOKUP(MONTH($A108),ManualTable,8)=1,IF(OR(Dayrun=1,Dayrun=5,Dayrun=8,Dayrun=11),$DG108*8*$CY108,0),0))</f>
        <v> </v>
      </c>
      <c r="AZ108" s="297" t="str">
        <f aca="false">IF($A108="N/A"," ",IF(VLOOKUP(MONTH($A108),ManualTable,9)=1,IF(OR(Dayrun=1,Dayrun=8,Dayrun=11),$DG108*8*$CY108,0),0))</f>
        <v> </v>
      </c>
      <c r="BA108" s="298" t="str">
        <f aca="false">IF($A108="N/A"," ",IF(VLOOKUP(MONTH($A108),ManualTable,10)=1,IF(OR(Dayrun&lt;=2,Dayrun&gt;=9),$DG108*8*$CY108,0),0))</f>
        <v> </v>
      </c>
      <c r="BB108" s="299" t="str">
        <f aca="false">IF($A108="N/A"," ",IF(Dayrun&gt;=3,(MAX(0,(xSPRDOPT(I108,($E108-'Pricing Inputs'!$X143*$D108),$CV108,0,($CN108+IF(Smile=TRUE(),VLOOKUP(MAX(-5,$H108-I108),Volsmile,2),0)),$CT108,$CU108,($A108-DateToday)+15,ABS(Option-2),1)*DE108*8))),0))</f>
        <v> </v>
      </c>
      <c r="BC108" s="300" t="str">
        <f aca="false">IF($A108="N/A"," ",IF(Dayrun&gt;=6,MAX(0,(xSPRDOPT(J108,($E108-'Pricing Inputs'!$X143*$D108),$CV108,0,($CN108+IF(Smile=TRUE(),VLOOKUP(MAX(-5,$H108-J108),Volsmile,2),0)),$CT108,$CU108,($A108-DateToday)+15,ABS(Option-2),1)*DE108*8)),0))</f>
        <v> </v>
      </c>
      <c r="BD108" s="300" t="str">
        <f aca="false">IF($A108="N/A"," ",IF(OR(Dayrun&lt;=2,Dayrun&gt;=9),IF(OffPeakEx=TRUE(),MAX(0,(xSPRDOPT(K108,($E108-'Pricing Inputs'!$X143*$D108),$CV108,0,($CQ108+IF(Smile=TRUE(),VLOOKUP(MAX(-5,$H108-K108),Volsmile,2),0)),$CT108,$CU108,($A108-DateToday)+15,ABS(Option-2),1)*DE108*8)),0),0))</f>
        <v> </v>
      </c>
      <c r="BE108" s="300" t="str">
        <f aca="false">IF($A108="N/A"," ",IF(OR(Dayrun=1,Dayrun=4,Dayrun=5,Dayrun=7,Dayrun=8,Dayrun=10,Dayrun=11),MAX(0,(xSPRDOPT(L108,($E108-'Pricing Inputs'!$X143*$D108),$CV108,0,($CQ108+IF(Smile=TRUE(),VLOOKUP(MAX(-5,$H108-L108),Volsmile,2),0)),$CT108,$CU108,($A108-DateToday)+15,ABS(Option-2),1)*DF108*8)),0))</f>
        <v> </v>
      </c>
      <c r="BF108" s="300" t="str">
        <f aca="false">IF($A108="N/A"," ",IF(OR(Dayrun=1,Dayrun=7,Dayrun=8,Dayrun=10,Dayrun=11),MAX(0,(xSPRDOPT(M108,($E108-'Pricing Inputs'!$X143*$D108),$CV108,0,($CQ108+IF(Smile=TRUE(),VLOOKUP(MAX(-5,$H108-M108),Volsmile,2),0)),$CT108,$CU108,($A108-DateToday)+15,ABS(Option-2),1)*DF108*8)),0))</f>
        <v> </v>
      </c>
      <c r="BG108" s="300" t="str">
        <f aca="false">IF($A108="N/A"," ",IF(OR(Dayrun&lt;=2,Dayrun&gt;=10),IF(OffPeakEx=TRUE(),MAX(0,(xSPRDOPT(N108,($E108-'Pricing Inputs'!$X143*$D108),$CV108,0,($CQ108+IF(Smile=TRUE(),VLOOKUP(MAX(-5,$H108-N108),Volsmile,2),0)),$CT108,$CU108,($A108-DateToday)+15,ABS(Option-2),1)*DF108*8)),0),0))</f>
        <v> </v>
      </c>
      <c r="BH108" s="300" t="str">
        <f aca="false">IF($A108="N/A"," ",IF(OR(Dayrun=1,Dayrun=5,Dayrun=8,Dayrun=11),MAX(0,(xSPRDOPT(O108,($E108-'Pricing Inputs'!$X143*$D108),$CV108,0,($CQ108+IF(Smile=TRUE(),VLOOKUP(MAX(-5,$H108-O108),Volsmile,2),0)),$CT108,$CU108,($A108-DateToday)+15,ABS(Option-2),1)*DG108*8)),0))</f>
        <v> </v>
      </c>
      <c r="BI108" s="300" t="str">
        <f aca="false">IF($A108="N/A"," ",IF(OR(Dayrun=1,Dayrun=8,Dayrun=11),MAX(0,(xSPRDOPT(P108,($E108-'Pricing Inputs'!$X143*$D108),$CV108,0,($CQ108+IF(Smile=TRUE(),VLOOKUP(MAX(-5,$H108-P108),Volsmile,2),0)),$CT108,$CU108,($A108-DateToday)+15,ABS(Option-2),1)*DG108*8)),0))</f>
        <v> </v>
      </c>
      <c r="BJ108" s="301" t="str">
        <f aca="false">IF($A108="N/A"," ",IF(OR(Dayrun&lt;=2,Dayrun&gt;=11),IF(OffPeakEx=TRUE(),MAX(0,(xSPRDOPT(Q108,($E108-'Pricing Inputs'!$X143*$D108),$CV108,0,($CQ108+IF(Smile=TRUE(),VLOOKUP(MAX(-5,$H108-Q108),Volsmile,2),0)),$CT108,$CU108,($A108-DateToday)+15,ABS(Option-2),1)*DG108*8)),0),0))</f>
        <v> </v>
      </c>
      <c r="BK108" s="302" t="str">
        <f aca="false">IF($A108="N/A"," ",R108*$AS108)</f>
        <v> </v>
      </c>
      <c r="BL108" s="303" t="str">
        <f aca="false">IF($A108="N/A"," ",S108*$AT108)</f>
        <v> </v>
      </c>
      <c r="BM108" s="303" t="str">
        <f aca="false">IF($A108="N/A"," ",T108*$AU108)</f>
        <v> </v>
      </c>
      <c r="BN108" s="303" t="str">
        <f aca="false">IF($A108="N/A"," ",U108*$AV108)</f>
        <v> </v>
      </c>
      <c r="BO108" s="303" t="str">
        <f aca="false">IF($A108="N/A"," ",V108*$AW108)</f>
        <v> </v>
      </c>
      <c r="BP108" s="303" t="str">
        <f aca="false">IF($A108="N/A"," ",W108*$AX108)</f>
        <v> </v>
      </c>
      <c r="BQ108" s="303" t="str">
        <f aca="false">IF($A108="N/A"," ",X108*$AY108)</f>
        <v> </v>
      </c>
      <c r="BR108" s="303" t="str">
        <f aca="false">IF($A108="N/A"," ",Y108*$AZ108)</f>
        <v> </v>
      </c>
      <c r="BS108" s="304" t="str">
        <f aca="false">IF($A108="N/A"," ",Z108*$BA108)</f>
        <v> </v>
      </c>
      <c r="BT108" s="305" t="str">
        <f aca="false">IF($A108="N/A"," ",AA108*$AS108)</f>
        <v> </v>
      </c>
      <c r="BU108" s="306" t="str">
        <f aca="false">IF($A108="N/A"," ",AB108*$AT108)</f>
        <v> </v>
      </c>
      <c r="BV108" s="306" t="str">
        <f aca="false">IF($A108="N/A"," ",AC108*$AU108)</f>
        <v> </v>
      </c>
      <c r="BW108" s="306" t="str">
        <f aca="false">IF($A108="N/A"," ",AD108*$AV108)</f>
        <v> </v>
      </c>
      <c r="BX108" s="306" t="str">
        <f aca="false">IF($A108="N/A"," ",AE108*$AW108)</f>
        <v> </v>
      </c>
      <c r="BY108" s="306" t="str">
        <f aca="false">IF($A108="N/A"," ",AF108*$AX108)</f>
        <v> </v>
      </c>
      <c r="BZ108" s="306" t="str">
        <f aca="false">IF($A108="N/A"," ",AG108*$AY108)</f>
        <v> </v>
      </c>
      <c r="CA108" s="306" t="str">
        <f aca="false">IF($A108="N/A"," ",AH108*$AZ108)</f>
        <v> </v>
      </c>
      <c r="CB108" s="307" t="str">
        <f aca="false">IF($A108="N/A"," ",AI108*$BA108)</f>
        <v> </v>
      </c>
      <c r="CC108" s="308" t="str">
        <f aca="false">IF($A108="N/A"," ",AJ108*$AS108)</f>
        <v> </v>
      </c>
      <c r="CD108" s="309" t="str">
        <f aca="false">IF($A108="N/A"," ",AK108*$AT108)</f>
        <v> </v>
      </c>
      <c r="CE108" s="309" t="str">
        <f aca="false">IF($A108="N/A"," ",AL108*$AU108)</f>
        <v> </v>
      </c>
      <c r="CF108" s="309" t="str">
        <f aca="false">IF($A108="N/A"," ",AM108*$AV108)</f>
        <v> </v>
      </c>
      <c r="CG108" s="309" t="str">
        <f aca="false">IF($A108="N/A"," ",AN108*$AW108)</f>
        <v> </v>
      </c>
      <c r="CH108" s="309" t="str">
        <f aca="false">IF($A108="N/A"," ",AO108*$AX108)</f>
        <v> </v>
      </c>
      <c r="CI108" s="309" t="str">
        <f aca="false">IF($A108="N/A"," ",AP108*$AY108)</f>
        <v> </v>
      </c>
      <c r="CJ108" s="309" t="str">
        <f aca="false">IF($A108="N/A"," ",AQ108*$AZ108)</f>
        <v> </v>
      </c>
      <c r="CK108" s="310" t="str">
        <f aca="false">IF($A108="N/A"," ",AR108*$BA108)</f>
        <v> </v>
      </c>
      <c r="CL108" s="311" t="str">
        <f aca="false">IF(A108="N/A"," ",(VLOOKUP(A108,PowerVolTable,(IF(VolBMO=2,7,IF(VolBMO=1,6,8))),FALSE())))</f>
        <v> </v>
      </c>
      <c r="CM108" s="312" t="str">
        <f aca="false">IF(A108="N/A"," ",(VLOOKUP(A108,IntraPowerVol,(IF(VolBMO=2,3,IF(VolBMO=1,2,4))),FALSE())*VLOOKUP(MONTH($A108),Volscale,2)))</f>
        <v> </v>
      </c>
      <c r="CN108" s="312" t="str">
        <f aca="false">IF($A108="N/A"," ",IF(VolType=1,CM108,CL108))</f>
        <v> </v>
      </c>
      <c r="CO108" s="312" t="str">
        <f aca="false">IF($A108="N/A"," ",(VLOOKUP($A108,OffPeakVol,(IF(VolBMO=2,7,IF(VolBMO=1,6,8))),FALSE())))</f>
        <v> </v>
      </c>
      <c r="CP108" s="312" t="str">
        <f aca="false">IF($A108="N/A"," ",(VLOOKUP($A108,OffPeakVol,(IF(VolBMO=2,3,IF(VolBMO=1,2,4))),FALSE())*VLOOKUP(MONTH($A108),Volscale,2)))</f>
        <v> </v>
      </c>
      <c r="CQ108" s="312" t="str">
        <f aca="false">IF($A108="N/A"," ",IF(VolType=1,CP108,CO108))</f>
        <v> </v>
      </c>
      <c r="CR108" s="312" t="str">
        <f aca="false">IF($A108="N/A"," ",(VLOOKUP($A108,GasVolTable,(IF(VolBMO=2,6,IF(VolBMO=1,7,5))),FALSE())))</f>
        <v> </v>
      </c>
      <c r="CS108" s="312" t="str">
        <f aca="false">IF($A108="N/A"," ",(VLOOKUP($A108,OmicronVol,(IF(VolBMO=2,3,IF(VolBMO=1,4,2))),FALSE())))</f>
        <v> </v>
      </c>
      <c r="CT108" s="312" t="str">
        <f aca="false">IF($A108="N/A"," ",(IF(DateToday&gt;$A108,$CS108,IF(VolType=1,((($CR108^2)*((($A108-1)-DateToday)/((EOMONTH($A108,0)+1)-DateToday-15)))+((($CS108)^2)*((15)/((EOMONTH($A108,0)+1)-DateToday-15))))^0.5,CR108))))</f>
        <v> </v>
      </c>
      <c r="CU108" s="312" t="str">
        <f aca="false">IF($A108="N/A"," ",IF('Pricing Inputs'!$AR$23=TRUE(),Inputs!$S$22,VLOOKUP($A108,CorrelationTable,2,FALSE())))</f>
        <v> </v>
      </c>
      <c r="CV108" s="313" t="str">
        <f aca="false">IF($A108="N/A"," ",F108+G108+(D108*('Pricing Inputs'!X143)))</f>
        <v> </v>
      </c>
      <c r="CW108" s="314" t="str">
        <f aca="false">IF($A108="N/A"," ",IF(PV=1,0,'Pricing Inputs'!Y143))</f>
        <v> </v>
      </c>
      <c r="CX108" s="315" t="str">
        <f aca="false">IF($A108="N/A"," ",(1+CW108/2)^(-2*((EOMONTH(A108,0)+20)-DateToday)/365.25))</f>
        <v> </v>
      </c>
      <c r="CY108" s="316" t="str">
        <f aca="false">IF($A108="N/A"," ",(IF(MONTH(A108)&gt;=4,IF(MONTH(A108)&lt;=10,Inputs!$S$26,Inputs!$S$27),Inputs!$S$27))*$CX108)</f>
        <v> </v>
      </c>
      <c r="CZ108" s="317" t="str">
        <f aca="false">IF($A108="N/A"," ",BK108+BL108+BN108+BO108+BQ108+BR108)</f>
        <v> </v>
      </c>
      <c r="DA108" s="318" t="str">
        <f aca="false">IF($A108="N/A"," ",BM108+BP108+BS108)</f>
        <v> </v>
      </c>
      <c r="DB108" s="319" t="str">
        <f aca="false">IF($A108="N/A"," ",BT108+BU108+BW108+BX108+BZ108+CA108)</f>
        <v> </v>
      </c>
      <c r="DC108" s="319" t="str">
        <f aca="false">IF($A108="N/A"," ",BV108+BY108+CB108)</f>
        <v> </v>
      </c>
      <c r="DD108" s="320" t="str">
        <f aca="false">IF($A108="N/A"," ",SUM(CC108:CK108))</f>
        <v> </v>
      </c>
      <c r="DE108" s="321" t="str">
        <f aca="false">IF($A108="N/A"," ",VLOOKUP($A108,NumberofDaysTable,2)*Availability)</f>
        <v> </v>
      </c>
      <c r="DF108" s="94" t="str">
        <f aca="false">IF($A108="N/A"," ",VLOOKUP($A108,NumberofDaysTable,3)*Availability)</f>
        <v> </v>
      </c>
      <c r="DG108" s="322" t="str">
        <f aca="false">IF($A108="N/A"," ",VLOOKUP($A108,NumberofDaysTable,4)*Availability)</f>
        <v> </v>
      </c>
      <c r="DH108" s="323" t="str">
        <f aca="false">IF($A108="N/A"," ",IF(Option=1,$D108*Inputs!$S$15*SUM(AS108:BA108),0))</f>
        <v> </v>
      </c>
      <c r="DI108" s="324" t="str">
        <f aca="false">IF($A108="N/A"," ",IF(Option=1,$D108*Inputs!$S$16*SUM(AS108:BA108),0))</f>
        <v> </v>
      </c>
      <c r="DJ108" s="325" t="str">
        <f aca="false">IF($A108="N/A"," ",SUM(AS108:AT108))</f>
        <v> </v>
      </c>
      <c r="DK108" s="325" t="str">
        <f aca="false">IF($A108="N/A"," ",SUM(AU108:BA108))</f>
        <v> </v>
      </c>
      <c r="DL108" s="325" t="str">
        <f aca="false">IF($A108="N/A"," ",SUM(BB108:BC108))</f>
        <v> </v>
      </c>
      <c r="DM108" s="325" t="str">
        <f aca="false">IF($A108="N/A"," ",SUM(BD108:BJ108))</f>
        <v> </v>
      </c>
    </row>
    <row r="109" customFormat="false" ht="12.75" hidden="false" customHeight="false" outlineLevel="0" collapsed="false">
      <c r="A109" s="282" t="str">
        <f aca="false">IF(A108="N/A","N/A",IF(EDATE(A108,1)&gt;Inputs!$S$5,"N/A",EDATE(A108,1)))</f>
        <v>N/A</v>
      </c>
      <c r="B109" s="283" t="str">
        <f aca="false">IF(A109="N/A"," ",YEAR(A109))</f>
        <v> </v>
      </c>
      <c r="C109" s="284" t="str">
        <f aca="false">IF(A109="N/A"," ",VLOOKUP(A109,ScaledPrice,14))</f>
        <v> </v>
      </c>
      <c r="D109" s="285" t="str">
        <f aca="false">IF(A109="N/A"," ",(VLOOKUP(MONTH($A109),Hrtable,2))/1000)</f>
        <v> </v>
      </c>
      <c r="E109" s="286" t="str">
        <f aca="false">IF($A109="N/A"," ",(C109)*D109)</f>
        <v> </v>
      </c>
      <c r="F109" s="287" t="str">
        <f aca="false">IF(A109="N/A"," ",VOM*(1+VOMesc)^(YEAR(A109)-YEAR(Today)))</f>
        <v> </v>
      </c>
      <c r="G109" s="287" t="str">
        <f aca="false">IF(A109="N/A"," ",Perstart/VLOOKUP(Dayrun,'Pricing Inputs'!$AQ$4:$AS$14,3)/(CY109/CX109))</f>
        <v> </v>
      </c>
      <c r="H109" s="288" t="str">
        <f aca="false">IF(A109="N/A"," ",SUM(E109:G109))</f>
        <v> </v>
      </c>
      <c r="I109" s="289" t="str">
        <f aca="false">VLOOKUP($A109,ScaledPrice,6)</f>
        <v> </v>
      </c>
      <c r="J109" s="290" t="str">
        <f aca="false">VLOOKUP($A109,ScaledPrice,10)</f>
        <v> </v>
      </c>
      <c r="K109" s="290" t="str">
        <f aca="false">VLOOKUP($A109,ScaledPrice,13)</f>
        <v> </v>
      </c>
      <c r="L109" s="290" t="str">
        <f aca="false">VLOOKUP($A109,ScaledPrice,7)</f>
        <v> </v>
      </c>
      <c r="M109" s="290" t="str">
        <f aca="false">VLOOKUP($A109,ScaledPrice,11)</f>
        <v> </v>
      </c>
      <c r="N109" s="290" t="str">
        <f aca="false">VLOOKUP($A109,ScaledPrice,13)</f>
        <v> </v>
      </c>
      <c r="O109" s="290" t="str">
        <f aca="false">VLOOKUP($A109,ScaledPrice,8)</f>
        <v> </v>
      </c>
      <c r="P109" s="290" t="str">
        <f aca="false">VLOOKUP($A109,ScaledPrice,12)</f>
        <v> </v>
      </c>
      <c r="Q109" s="291" t="str">
        <f aca="false">VLOOKUP($A109,ScaledPrice,13)</f>
        <v> </v>
      </c>
      <c r="R109" s="292" t="str">
        <f aca="false">IF($A109="N/A"," ",IF(Dayrun&gt;=3,IF(Option=1,MAX($I109-$H109,0),IF(Option=2,MAX($H109-$I109,0),0)),0))</f>
        <v> </v>
      </c>
      <c r="S109" s="286" t="str">
        <f aca="false">IF($A109="N/A"," ",IF(Dayrun&gt;=6,IF(Option=1,MAX($J109-H109,0),IF(Option=2,MAX(H109-$J109,0),0)),0))</f>
        <v> </v>
      </c>
      <c r="T109" s="286" t="str">
        <f aca="false">IF($A109="N/A"," ",IF(OR(Dayrun&lt;=2,Dayrun&gt;=9),IF(Option=1,MAX($K109-$H109,0),IF(Option=2,MAX($H109-$K109,0),0)),0))</f>
        <v> </v>
      </c>
      <c r="U109" s="286" t="str">
        <f aca="false">IF($A109="N/A"," ",IF(OR(Dayrun=1,Dayrun=4,Dayrun=5,Dayrun=7,Dayrun=8,Dayrun=10,Dayrun=11),IF(Option=1,MAX($L109-H109,0),IF(Option=2,MAX(H109-$L109,0),0)),0))</f>
        <v> </v>
      </c>
      <c r="V109" s="286" t="str">
        <f aca="false">IF($A109="N/A"," ",IF(OR(Dayrun=1,Dayrun=7,Dayrun=8,Dayrun=10,Dayrun=11),IF(Option=1,MAX($M109-H109,0),IF(Option=2,MAX(H109-$M109,0),0)),0))</f>
        <v> </v>
      </c>
      <c r="W109" s="286" t="str">
        <f aca="false">IF($A109="N/A"," ",IF(OR(Dayrun&lt;=2,Dayrun&gt;=10),IF(Option=1,MAX($N109-$H109,0),IF(Option=2,MAX($H109-$N109,0),0)),0))</f>
        <v> </v>
      </c>
      <c r="X109" s="286" t="str">
        <f aca="false">IF($A109="N/A"," ",IF(OR(Dayrun=1,Dayrun=5,Dayrun=8,Dayrun=11),IF(Option=1,MAX($O109-H109,0),IF(Option=2,MAX(H109-$O109,0),0)),0))</f>
        <v> </v>
      </c>
      <c r="Y109" s="286" t="str">
        <f aca="false">IF($A109="N/A"," ",IF(OR(Dayrun=1,Dayrun=8,Dayrun=11),IF(Option=1,MAX($P109-H109,0),IF(Option=2,MAX(H109-$P109,0),0)),0))</f>
        <v> </v>
      </c>
      <c r="Z109" s="293" t="str">
        <f aca="false">IF($A109="N/A"," ",IF(OR(Dayrun&lt;=2,Dayrun&gt;=11),IF(Option=1,MAX($Q109-$H109,0),IF(Option=2,MAX($H109-$Q109,0),0)),0))</f>
        <v> </v>
      </c>
      <c r="AA109" s="289" t="str">
        <f aca="false">IF($A109="N/A"," ",IF(Dayrun&gt;=3,(MAX(0,(xSPRDOPT(I109,($E109-'Pricing Inputs'!$X144*$D109),$CV109,0,($CN109+IF(Smile=TRUE(),VLOOKUP(MAX(-5,$H109-I109),Volsmile,2),0)),$CT109,$CU109,($A109-DateToday)+15,ABS(Option-2),0)-R109))),0))</f>
        <v> </v>
      </c>
      <c r="AB109" s="290" t="str">
        <f aca="false">IF($A109="N/A"," ",IF(Dayrun&gt;=6,MAX(0,(xSPRDOPT(J109,($E109-'Pricing Inputs'!$X144*$D109),$CV109,0,($CN109+IF(Smile=TRUE(),VLOOKUP(MAX(-5,$H109-J109),Volsmile,2),0)),$CT109,$CU109,($A109-DateToday)+15,ABS(Option-2),0)-S109)),0))</f>
        <v> </v>
      </c>
      <c r="AC109" s="290" t="str">
        <f aca="false">IF($A109="N/A"," ",IF(OR(Dayrun&lt;=2,Dayrun&gt;=9),IF(OffPeakEx=TRUE(),MAX(0,(xSPRDOPT(K109,($E109-'Pricing Inputs'!$X144*$D109),$CV109,0,($CQ109+IF(Smile=TRUE(),VLOOKUP(MAX(-5,$H109-K109),Volsmile,2),0)),$CT109,$CU109,($A109-DateToday)+15,ABS(Option-2),0)-T109)),0),0))</f>
        <v> </v>
      </c>
      <c r="AD109" s="290" t="str">
        <f aca="false">IF($A109="N/A"," ",IF(OR(Dayrun=1,Dayrun=4,Dayrun=5,Dayrun=7,Dayrun=8,Dayrun=10,Dayrun=11),MAX(0,(xSPRDOPT(L109,($E109-'Pricing Inputs'!$X144*$D109),$CV109,0,($CQ109+IF(Smile=TRUE(),VLOOKUP(MAX(-5,$H109-L109),Volsmile,2),0)),$CT109,$CU109,($A109-DateToday)+15,ABS(Option-2),0)-U109)),0))</f>
        <v> </v>
      </c>
      <c r="AE109" s="290" t="str">
        <f aca="false">IF($A109="N/A"," ",IF(OR(Dayrun=1,Dayrun=7,Dayrun=8,Dayrun=10,Dayrun=11),MAX(0,(xSPRDOPT(M109,($E109-'Pricing Inputs'!$X144*$D109),$CV109,0,($CQ109+IF(Smile=TRUE(),VLOOKUP(MAX(-5,$H109-M109),Volsmile,2),0)),$CT109,$CU109,($A109-DateToday)+15,ABS(Option-2),0)-V109)),0))</f>
        <v> </v>
      </c>
      <c r="AF109" s="290" t="str">
        <f aca="false">IF($A109="N/A"," ",IF(OR(Dayrun&lt;=2,Dayrun&gt;=10),IF(OffPeakEx=TRUE(),MAX(0,(xSPRDOPT(N109,($E109-'Pricing Inputs'!$X144*$D109),$CV109,0,($CQ109+IF(Smile=TRUE(),VLOOKUP(MAX(-5,$H109-N109),Volsmile,2),0)),$CT109,$CU109,($A109-DateToday)+15,ABS(Option-2),0)-W109)),0),0))</f>
        <v> </v>
      </c>
      <c r="AG109" s="290" t="str">
        <f aca="false">IF($A109="N/A"," ",IF(OR(Dayrun=1,Dayrun=5,Dayrun=8,Dayrun=11),MAX(0,(xSPRDOPT(O109,($E109-'Pricing Inputs'!$X144*$D109),$CV109,0,($CQ109+IF(Smile=TRUE(),VLOOKUP(MAX(-5,$H109-O109),Volsmile,2),0)),$CT109,$CU109,($A109-DateToday)+15,ABS(Option-2),0)-X109)),0))</f>
        <v> </v>
      </c>
      <c r="AH109" s="290" t="str">
        <f aca="false">IF($A109="N/A"," ",IF(OR(Dayrun=1,Dayrun=8,Dayrun=11),MAX(0,(xSPRDOPT(P109,($E109-'Pricing Inputs'!$X144*$D109),$CV109,0,($CQ109+IF(Smile=TRUE(),VLOOKUP(MAX(-5,$H109-P109),Volsmile,2),0)),$CT109,$CU109,($A109-DateToday)+15,ABS(Option-2),0)-Y109)),0))</f>
        <v> </v>
      </c>
      <c r="AI109" s="290" t="str">
        <f aca="false">IF($A109="N/A"," ",IF(OR(Dayrun&lt;=2,Dayrun&gt;=11),IF(OffPeakEx=TRUE(),MAX(0,(xSPRDOPT(Q109,($E109-'Pricing Inputs'!$X144*$D109),$CV109,0,($CQ109+IF(Smile=TRUE(),VLOOKUP(MAX(-5,$H109-Q109),Volsmile,2),0)),$CT109,$CU109,($A109-DateToday)+15,ABS(Option-2),0)-Z109)),0),0))</f>
        <v> </v>
      </c>
      <c r="AJ109" s="294" t="str">
        <f aca="false">IF($A109="N/A"," ",IF(Dayrun&gt;=3,IF(Option=1,$I109-$H109,IF(Option=2,$H109-$I109)),0))</f>
        <v> </v>
      </c>
      <c r="AK109" s="295" t="str">
        <f aca="false">IF($A109="N/A"," ",IF(Dayrun&gt;=6,IF(Option=1,$J109-H109,IF(Option=2,H109-$J109)),0))</f>
        <v> </v>
      </c>
      <c r="AL109" s="295" t="str">
        <f aca="false">IF($A109="N/A"," ",IF(OR(Dayrun&lt;=2,Dayrun&gt;=9),IF(Option=1,$K109-$H109,IF(Option=2,$H109-$K109)),0))</f>
        <v> </v>
      </c>
      <c r="AM109" s="295" t="str">
        <f aca="false">IF($A109="N/A"," ",IF(OR(Dayrun=1,Dayrun=4,Dayrun=5,Dayrun=7,Dayrun=8,Dayrun=10,Dayrun=11),IF(Option=1,$L109-H109,IF(Option=2,H109-$L109)),0))</f>
        <v> </v>
      </c>
      <c r="AN109" s="295" t="str">
        <f aca="false">IF($A109="N/A"," ",IF(OR(Dayrun=1,Dayrun=7,Dayrun=8,Dayrun=10,Dayrun=11),IF(Option=1,$M109-H109,IF(Option=2,H109-$M109)),0))</f>
        <v> </v>
      </c>
      <c r="AO109" s="295" t="str">
        <f aca="false">IF($A109="N/A"," ",IF(OR(Dayrun&lt;=2,Dayrun&gt;=9),IF(Option=1,$N109-$H109,IF(Option=2,$H109-$N109)),0))</f>
        <v> </v>
      </c>
      <c r="AP109" s="295" t="str">
        <f aca="false">IF($A109="N/A"," ",IF(OR(Dayrun=1,Dayrun=5,Dayrun=8,Dayrun=11),IF(Option=1,$O109-H109,IF(Option=2,H109-$O109)),0))</f>
        <v> </v>
      </c>
      <c r="AQ109" s="295" t="str">
        <f aca="false">IF($A109="N/A"," ",IF(OR(Dayrun=1,Dayrun=8,Dayrun=11),IF(Option=1,$P109-H109,IF(Option=2,H109-$P109)),0))</f>
        <v> </v>
      </c>
      <c r="AR109" s="296" t="str">
        <f aca="false">IF($A109="N/A"," ",IF(OR(Dayrun&lt;=2,Dayrun&gt;=9),IF(Option=1,$Q109-H109,IF(Option=2,H109-$Q109)),0))</f>
        <v> </v>
      </c>
      <c r="AS109" s="297" t="str">
        <f aca="false">IF($A109="N/A"," ",IF(VLOOKUP(MONTH($A109),ManualTable,2)=1,IF(Dayrun&gt;=3,$DE109*8*$CY109,0),0))</f>
        <v> </v>
      </c>
      <c r="AT109" s="297" t="str">
        <f aca="false">IF($A109="N/A"," ",IF(VLOOKUP(MONTH($A109),ManualTable,3)=1,IF(Dayrun&gt;=6,$DE109*8*$CY109,0),0))</f>
        <v> </v>
      </c>
      <c r="AU109" s="297" t="str">
        <f aca="false">IF($A109="N/A"," ",IF(VLOOKUP(MONTH($A109),ManualTable,4)=1,IF(OR(Dayrun&lt;=2,Dayrun&gt;=9),$DE109*8*$CY109,0),0))</f>
        <v> </v>
      </c>
      <c r="AV109" s="297" t="str">
        <f aca="false">IF($A109="N/A"," ",IF(VLOOKUP(MONTH($A109),ManualTable,5)=1,IF(OR(Dayrun=1,Dayrun=4,Dayrun=5,Dayrun=7,Dayrun=8,Dayrun=10,Dayrun=11),$DF109*8*$CY109,0),0))</f>
        <v> </v>
      </c>
      <c r="AW109" s="297" t="str">
        <f aca="false">IF($A109="N/A"," ",IF(VLOOKUP(MONTH($A109),ManualTable,6)=1,IF(OR(Dayrun=1,Dayrun=7,Dayrun=8,Dayrun=10,Dayrun=11),$DF109*8*$CY109,0),0))</f>
        <v> </v>
      </c>
      <c r="AX109" s="297" t="str">
        <f aca="false">IF($A109="N/A"," ",IF(VLOOKUP(MONTH($A109),ManualTable,7)=1,IF(OR(Dayrun&lt;=2,Dayrun&gt;=9),$DF109*8*$CY109,0),0))</f>
        <v> </v>
      </c>
      <c r="AY109" s="297" t="str">
        <f aca="false">IF($A109="N/A"," ",IF(VLOOKUP(MONTH($A109),ManualTable,8)=1,IF(OR(Dayrun=1,Dayrun=5,Dayrun=8,Dayrun=11),$DG109*8*$CY109,0),0))</f>
        <v> </v>
      </c>
      <c r="AZ109" s="297" t="str">
        <f aca="false">IF($A109="N/A"," ",IF(VLOOKUP(MONTH($A109),ManualTable,9)=1,IF(OR(Dayrun=1,Dayrun=8,Dayrun=11),$DG109*8*$CY109,0),0))</f>
        <v> </v>
      </c>
      <c r="BA109" s="298" t="str">
        <f aca="false">IF($A109="N/A"," ",IF(VLOOKUP(MONTH($A109),ManualTable,10)=1,IF(OR(Dayrun&lt;=2,Dayrun&gt;=9),$DG109*8*$CY109,0),0))</f>
        <v> </v>
      </c>
      <c r="BB109" s="299" t="str">
        <f aca="false">IF($A109="N/A"," ",IF(Dayrun&gt;=3,(MAX(0,(xSPRDOPT(I109,($E109-'Pricing Inputs'!$X144*$D109),$CV109,0,($CN109+IF(Smile=TRUE(),VLOOKUP(MAX(-5,$H109-I109),Volsmile,2),0)),$CT109,$CU109,($A109-DateToday)+15,ABS(Option-2),1)*DE109*8))),0))</f>
        <v> </v>
      </c>
      <c r="BC109" s="300" t="str">
        <f aca="false">IF($A109="N/A"," ",IF(Dayrun&gt;=6,MAX(0,(xSPRDOPT(J109,($E109-'Pricing Inputs'!$X144*$D109),$CV109,0,($CN109+IF(Smile=TRUE(),VLOOKUP(MAX(-5,$H109-J109),Volsmile,2),0)),$CT109,$CU109,($A109-DateToday)+15,ABS(Option-2),1)*DE109*8)),0))</f>
        <v> </v>
      </c>
      <c r="BD109" s="300" t="str">
        <f aca="false">IF($A109="N/A"," ",IF(OR(Dayrun&lt;=2,Dayrun&gt;=9),IF(OffPeakEx=TRUE(),MAX(0,(xSPRDOPT(K109,($E109-'Pricing Inputs'!$X144*$D109),$CV109,0,($CQ109+IF(Smile=TRUE(),VLOOKUP(MAX(-5,$H109-K109),Volsmile,2),0)),$CT109,$CU109,($A109-DateToday)+15,ABS(Option-2),1)*DE109*8)),0),0))</f>
        <v> </v>
      </c>
      <c r="BE109" s="300" t="str">
        <f aca="false">IF($A109="N/A"," ",IF(OR(Dayrun=1,Dayrun=4,Dayrun=5,Dayrun=7,Dayrun=8,Dayrun=10,Dayrun=11),MAX(0,(xSPRDOPT(L109,($E109-'Pricing Inputs'!$X144*$D109),$CV109,0,($CQ109+IF(Smile=TRUE(),VLOOKUP(MAX(-5,$H109-L109),Volsmile,2),0)),$CT109,$CU109,($A109-DateToday)+15,ABS(Option-2),1)*DF109*8)),0))</f>
        <v> </v>
      </c>
      <c r="BF109" s="300" t="str">
        <f aca="false">IF($A109="N/A"," ",IF(OR(Dayrun=1,Dayrun=7,Dayrun=8,Dayrun=10,Dayrun=11),MAX(0,(xSPRDOPT(M109,($E109-'Pricing Inputs'!$X144*$D109),$CV109,0,($CQ109+IF(Smile=TRUE(),VLOOKUP(MAX(-5,$H109-M109),Volsmile,2),0)),$CT109,$CU109,($A109-DateToday)+15,ABS(Option-2),1)*DF109*8)),0))</f>
        <v> </v>
      </c>
      <c r="BG109" s="300" t="str">
        <f aca="false">IF($A109="N/A"," ",IF(OR(Dayrun&lt;=2,Dayrun&gt;=10),IF(OffPeakEx=TRUE(),MAX(0,(xSPRDOPT(N109,($E109-'Pricing Inputs'!$X144*$D109),$CV109,0,($CQ109+IF(Smile=TRUE(),VLOOKUP(MAX(-5,$H109-N109),Volsmile,2),0)),$CT109,$CU109,($A109-DateToday)+15,ABS(Option-2),1)*DF109*8)),0),0))</f>
        <v> </v>
      </c>
      <c r="BH109" s="300" t="str">
        <f aca="false">IF($A109="N/A"," ",IF(OR(Dayrun=1,Dayrun=5,Dayrun=8,Dayrun=11),MAX(0,(xSPRDOPT(O109,($E109-'Pricing Inputs'!$X144*$D109),$CV109,0,($CQ109+IF(Smile=TRUE(),VLOOKUP(MAX(-5,$H109-O109),Volsmile,2),0)),$CT109,$CU109,($A109-DateToday)+15,ABS(Option-2),1)*DG109*8)),0))</f>
        <v> </v>
      </c>
      <c r="BI109" s="300" t="str">
        <f aca="false">IF($A109="N/A"," ",IF(OR(Dayrun=1,Dayrun=8,Dayrun=11),MAX(0,(xSPRDOPT(P109,($E109-'Pricing Inputs'!$X144*$D109),$CV109,0,($CQ109+IF(Smile=TRUE(),VLOOKUP(MAX(-5,$H109-P109),Volsmile,2),0)),$CT109,$CU109,($A109-DateToday)+15,ABS(Option-2),1)*DG109*8)),0))</f>
        <v> </v>
      </c>
      <c r="BJ109" s="301" t="str">
        <f aca="false">IF($A109="N/A"," ",IF(OR(Dayrun&lt;=2,Dayrun&gt;=11),IF(OffPeakEx=TRUE(),MAX(0,(xSPRDOPT(Q109,($E109-'Pricing Inputs'!$X144*$D109),$CV109,0,($CQ109+IF(Smile=TRUE(),VLOOKUP(MAX(-5,$H109-Q109),Volsmile,2),0)),$CT109,$CU109,($A109-DateToday)+15,ABS(Option-2),1)*DG109*8)),0),0))</f>
        <v> </v>
      </c>
      <c r="BK109" s="302" t="str">
        <f aca="false">IF($A109="N/A"," ",R109*$AS109)</f>
        <v> </v>
      </c>
      <c r="BL109" s="303" t="str">
        <f aca="false">IF($A109="N/A"," ",S109*$AT109)</f>
        <v> </v>
      </c>
      <c r="BM109" s="303" t="str">
        <f aca="false">IF($A109="N/A"," ",T109*$AU109)</f>
        <v> </v>
      </c>
      <c r="BN109" s="303" t="str">
        <f aca="false">IF($A109="N/A"," ",U109*$AV109)</f>
        <v> </v>
      </c>
      <c r="BO109" s="303" t="str">
        <f aca="false">IF($A109="N/A"," ",V109*$AW109)</f>
        <v> </v>
      </c>
      <c r="BP109" s="303" t="str">
        <f aca="false">IF($A109="N/A"," ",W109*$AX109)</f>
        <v> </v>
      </c>
      <c r="BQ109" s="303" t="str">
        <f aca="false">IF($A109="N/A"," ",X109*$AY109)</f>
        <v> </v>
      </c>
      <c r="BR109" s="303" t="str">
        <f aca="false">IF($A109="N/A"," ",Y109*$AZ109)</f>
        <v> </v>
      </c>
      <c r="BS109" s="304" t="str">
        <f aca="false">IF($A109="N/A"," ",Z109*$BA109)</f>
        <v> </v>
      </c>
      <c r="BT109" s="305" t="str">
        <f aca="false">IF($A109="N/A"," ",AA109*$AS109)</f>
        <v> </v>
      </c>
      <c r="BU109" s="306" t="str">
        <f aca="false">IF($A109="N/A"," ",AB109*$AT109)</f>
        <v> </v>
      </c>
      <c r="BV109" s="306" t="str">
        <f aca="false">IF($A109="N/A"," ",AC109*$AU109)</f>
        <v> </v>
      </c>
      <c r="BW109" s="306" t="str">
        <f aca="false">IF($A109="N/A"," ",AD109*$AV109)</f>
        <v> </v>
      </c>
      <c r="BX109" s="306" t="str">
        <f aca="false">IF($A109="N/A"," ",AE109*$AW109)</f>
        <v> </v>
      </c>
      <c r="BY109" s="306" t="str">
        <f aca="false">IF($A109="N/A"," ",AF109*$AX109)</f>
        <v> </v>
      </c>
      <c r="BZ109" s="306" t="str">
        <f aca="false">IF($A109="N/A"," ",AG109*$AY109)</f>
        <v> </v>
      </c>
      <c r="CA109" s="306" t="str">
        <f aca="false">IF($A109="N/A"," ",AH109*$AZ109)</f>
        <v> </v>
      </c>
      <c r="CB109" s="307" t="str">
        <f aca="false">IF($A109="N/A"," ",AI109*$BA109)</f>
        <v> </v>
      </c>
      <c r="CC109" s="308" t="str">
        <f aca="false">IF($A109="N/A"," ",AJ109*$AS109)</f>
        <v> </v>
      </c>
      <c r="CD109" s="309" t="str">
        <f aca="false">IF($A109="N/A"," ",AK109*$AT109)</f>
        <v> </v>
      </c>
      <c r="CE109" s="309" t="str">
        <f aca="false">IF($A109="N/A"," ",AL109*$AU109)</f>
        <v> </v>
      </c>
      <c r="CF109" s="309" t="str">
        <f aca="false">IF($A109="N/A"," ",AM109*$AV109)</f>
        <v> </v>
      </c>
      <c r="CG109" s="309" t="str">
        <f aca="false">IF($A109="N/A"," ",AN109*$AW109)</f>
        <v> </v>
      </c>
      <c r="CH109" s="309" t="str">
        <f aca="false">IF($A109="N/A"," ",AO109*$AX109)</f>
        <v> </v>
      </c>
      <c r="CI109" s="309" t="str">
        <f aca="false">IF($A109="N/A"," ",AP109*$AY109)</f>
        <v> </v>
      </c>
      <c r="CJ109" s="309" t="str">
        <f aca="false">IF($A109="N/A"," ",AQ109*$AZ109)</f>
        <v> </v>
      </c>
      <c r="CK109" s="310" t="str">
        <f aca="false">IF($A109="N/A"," ",AR109*$BA109)</f>
        <v> </v>
      </c>
      <c r="CL109" s="311" t="str">
        <f aca="false">IF(A109="N/A"," ",(VLOOKUP(A109,PowerVolTable,(IF(VolBMO=2,7,IF(VolBMO=1,6,8))),FALSE())))</f>
        <v> </v>
      </c>
      <c r="CM109" s="312" t="str">
        <f aca="false">IF(A109="N/A"," ",(VLOOKUP(A109,IntraPowerVol,(IF(VolBMO=2,3,IF(VolBMO=1,2,4))),FALSE())*VLOOKUP(MONTH($A109),Volscale,2)))</f>
        <v> </v>
      </c>
      <c r="CN109" s="312" t="str">
        <f aca="false">IF($A109="N/A"," ",IF(VolType=1,CM109,CL109))</f>
        <v> </v>
      </c>
      <c r="CO109" s="312" t="str">
        <f aca="false">IF($A109="N/A"," ",(VLOOKUP($A109,OffPeakVol,(IF(VolBMO=2,7,IF(VolBMO=1,6,8))),FALSE())))</f>
        <v> </v>
      </c>
      <c r="CP109" s="312" t="str">
        <f aca="false">IF($A109="N/A"," ",(VLOOKUP($A109,OffPeakVol,(IF(VolBMO=2,3,IF(VolBMO=1,2,4))),FALSE())*VLOOKUP(MONTH($A109),Volscale,2)))</f>
        <v> </v>
      </c>
      <c r="CQ109" s="312" t="str">
        <f aca="false">IF($A109="N/A"," ",IF(VolType=1,CP109,CO109))</f>
        <v> </v>
      </c>
      <c r="CR109" s="312" t="str">
        <f aca="false">IF($A109="N/A"," ",(VLOOKUP($A109,GasVolTable,(IF(VolBMO=2,6,IF(VolBMO=1,7,5))),FALSE())))</f>
        <v> </v>
      </c>
      <c r="CS109" s="312" t="str">
        <f aca="false">IF($A109="N/A"," ",(VLOOKUP($A109,OmicronVol,(IF(VolBMO=2,3,IF(VolBMO=1,4,2))),FALSE())))</f>
        <v> </v>
      </c>
      <c r="CT109" s="312" t="str">
        <f aca="false">IF($A109="N/A"," ",(IF(DateToday&gt;$A109,$CS109,IF(VolType=1,((($CR109^2)*((($A109-1)-DateToday)/((EOMONTH($A109,0)+1)-DateToday-15)))+((($CS109)^2)*((15)/((EOMONTH($A109,0)+1)-DateToday-15))))^0.5,CR109))))</f>
        <v> </v>
      </c>
      <c r="CU109" s="312" t="str">
        <f aca="false">IF($A109="N/A"," ",IF('Pricing Inputs'!$AR$23=TRUE(),Inputs!$S$22,VLOOKUP($A109,CorrelationTable,2,FALSE())))</f>
        <v> </v>
      </c>
      <c r="CV109" s="313" t="str">
        <f aca="false">IF($A109="N/A"," ",F109+G109+(D109*('Pricing Inputs'!X144)))</f>
        <v> </v>
      </c>
      <c r="CW109" s="314" t="str">
        <f aca="false">IF($A109="N/A"," ",IF(PV=1,0,'Pricing Inputs'!Y144))</f>
        <v> </v>
      </c>
      <c r="CX109" s="315" t="str">
        <f aca="false">IF($A109="N/A"," ",(1+CW109/2)^(-2*((EOMONTH(A109,0)+20)-DateToday)/365.25))</f>
        <v> </v>
      </c>
      <c r="CY109" s="316" t="str">
        <f aca="false">IF($A109="N/A"," ",(IF(MONTH(A109)&gt;=4,IF(MONTH(A109)&lt;=10,Inputs!$S$26,Inputs!$S$27),Inputs!$S$27))*$CX109)</f>
        <v> </v>
      </c>
      <c r="CZ109" s="317" t="str">
        <f aca="false">IF($A109="N/A"," ",BK109+BL109+BN109+BO109+BQ109+BR109)</f>
        <v> </v>
      </c>
      <c r="DA109" s="318" t="str">
        <f aca="false">IF($A109="N/A"," ",BM109+BP109+BS109)</f>
        <v> </v>
      </c>
      <c r="DB109" s="319" t="str">
        <f aca="false">IF($A109="N/A"," ",BT109+BU109+BW109+BX109+BZ109+CA109)</f>
        <v> </v>
      </c>
      <c r="DC109" s="319" t="str">
        <f aca="false">IF($A109="N/A"," ",BV109+BY109+CB109)</f>
        <v> </v>
      </c>
      <c r="DD109" s="320" t="str">
        <f aca="false">IF($A109="N/A"," ",SUM(CC109:CK109))</f>
        <v> </v>
      </c>
      <c r="DE109" s="321" t="str">
        <f aca="false">IF($A109="N/A"," ",VLOOKUP($A109,NumberofDaysTable,2)*Availability)</f>
        <v> </v>
      </c>
      <c r="DF109" s="94" t="str">
        <f aca="false">IF($A109="N/A"," ",VLOOKUP($A109,NumberofDaysTable,3)*Availability)</f>
        <v> </v>
      </c>
      <c r="DG109" s="322" t="str">
        <f aca="false">IF($A109="N/A"," ",VLOOKUP($A109,NumberofDaysTable,4)*Availability)</f>
        <v> </v>
      </c>
      <c r="DH109" s="323" t="str">
        <f aca="false">IF($A109="N/A"," ",IF(Option=1,$D109*Inputs!$S$15*SUM(AS109:BA109),0))</f>
        <v> </v>
      </c>
      <c r="DI109" s="324" t="str">
        <f aca="false">IF($A109="N/A"," ",IF(Option=1,$D109*Inputs!$S$16*SUM(AS109:BA109),0))</f>
        <v> </v>
      </c>
      <c r="DJ109" s="325" t="str">
        <f aca="false">IF($A109="N/A"," ",SUM(AS109:AT109))</f>
        <v> </v>
      </c>
      <c r="DK109" s="325" t="str">
        <f aca="false">IF($A109="N/A"," ",SUM(AU109:BA109))</f>
        <v> </v>
      </c>
      <c r="DL109" s="325" t="str">
        <f aca="false">IF($A109="N/A"," ",SUM(BB109:BC109))</f>
        <v> </v>
      </c>
      <c r="DM109" s="325" t="str">
        <f aca="false">IF($A109="N/A"," ",SUM(BD109:BJ109))</f>
        <v> </v>
      </c>
    </row>
    <row r="110" customFormat="false" ht="12.75" hidden="false" customHeight="false" outlineLevel="0" collapsed="false">
      <c r="A110" s="282" t="str">
        <f aca="false">IF(A109="N/A","N/A",IF(EDATE(A109,1)&gt;Inputs!$S$5,"N/A",EDATE(A109,1)))</f>
        <v>N/A</v>
      </c>
      <c r="B110" s="283" t="str">
        <f aca="false">IF(A110="N/A"," ",YEAR(A110))</f>
        <v> </v>
      </c>
      <c r="C110" s="284" t="str">
        <f aca="false">IF(A110="N/A"," ",VLOOKUP(A110,ScaledPrice,14))</f>
        <v> </v>
      </c>
      <c r="D110" s="285" t="str">
        <f aca="false">IF(A110="N/A"," ",(VLOOKUP(MONTH($A110),Hrtable,2))/1000)</f>
        <v> </v>
      </c>
      <c r="E110" s="286" t="str">
        <f aca="false">IF($A110="N/A"," ",(C110)*D110)</f>
        <v> </v>
      </c>
      <c r="F110" s="287" t="str">
        <f aca="false">IF(A110="N/A"," ",VOM*(1+VOMesc)^(YEAR(A110)-YEAR(Today)))</f>
        <v> </v>
      </c>
      <c r="G110" s="287" t="str">
        <f aca="false">IF(A110="N/A"," ",Perstart/VLOOKUP(Dayrun,'Pricing Inputs'!$AQ$4:$AS$14,3)/(CY110/CX110))</f>
        <v> </v>
      </c>
      <c r="H110" s="288" t="str">
        <f aca="false">IF(A110="N/A"," ",SUM(E110:G110))</f>
        <v> </v>
      </c>
      <c r="I110" s="289" t="str">
        <f aca="false">VLOOKUP($A110,ScaledPrice,6)</f>
        <v> </v>
      </c>
      <c r="J110" s="290" t="str">
        <f aca="false">VLOOKUP($A110,ScaledPrice,10)</f>
        <v> </v>
      </c>
      <c r="K110" s="290" t="str">
        <f aca="false">VLOOKUP($A110,ScaledPrice,13)</f>
        <v> </v>
      </c>
      <c r="L110" s="290" t="str">
        <f aca="false">VLOOKUP($A110,ScaledPrice,7)</f>
        <v> </v>
      </c>
      <c r="M110" s="290" t="str">
        <f aca="false">VLOOKUP($A110,ScaledPrice,11)</f>
        <v> </v>
      </c>
      <c r="N110" s="290" t="str">
        <f aca="false">VLOOKUP($A110,ScaledPrice,13)</f>
        <v> </v>
      </c>
      <c r="O110" s="290" t="str">
        <f aca="false">VLOOKUP($A110,ScaledPrice,8)</f>
        <v> </v>
      </c>
      <c r="P110" s="290" t="str">
        <f aca="false">VLOOKUP($A110,ScaledPrice,12)</f>
        <v> </v>
      </c>
      <c r="Q110" s="291" t="str">
        <f aca="false">VLOOKUP($A110,ScaledPrice,13)</f>
        <v> </v>
      </c>
      <c r="R110" s="292" t="str">
        <f aca="false">IF($A110="N/A"," ",IF(Dayrun&gt;=3,IF(Option=1,MAX($I110-$H110,0),IF(Option=2,MAX($H110-$I110,0),0)),0))</f>
        <v> </v>
      </c>
      <c r="S110" s="286" t="str">
        <f aca="false">IF($A110="N/A"," ",IF(Dayrun&gt;=6,IF(Option=1,MAX($J110-H110,0),IF(Option=2,MAX(H110-$J110,0),0)),0))</f>
        <v> </v>
      </c>
      <c r="T110" s="286" t="str">
        <f aca="false">IF($A110="N/A"," ",IF(OR(Dayrun&lt;=2,Dayrun&gt;=9),IF(Option=1,MAX($K110-$H110,0),IF(Option=2,MAX($H110-$K110,0),0)),0))</f>
        <v> </v>
      </c>
      <c r="U110" s="286" t="str">
        <f aca="false">IF($A110="N/A"," ",IF(OR(Dayrun=1,Dayrun=4,Dayrun=5,Dayrun=7,Dayrun=8,Dayrun=10,Dayrun=11),IF(Option=1,MAX($L110-H110,0),IF(Option=2,MAX(H110-$L110,0),0)),0))</f>
        <v> </v>
      </c>
      <c r="V110" s="286" t="str">
        <f aca="false">IF($A110="N/A"," ",IF(OR(Dayrun=1,Dayrun=7,Dayrun=8,Dayrun=10,Dayrun=11),IF(Option=1,MAX($M110-H110,0),IF(Option=2,MAX(H110-$M110,0),0)),0))</f>
        <v> </v>
      </c>
      <c r="W110" s="286" t="str">
        <f aca="false">IF($A110="N/A"," ",IF(OR(Dayrun&lt;=2,Dayrun&gt;=10),IF(Option=1,MAX($N110-$H110,0),IF(Option=2,MAX($H110-$N110,0),0)),0))</f>
        <v> </v>
      </c>
      <c r="X110" s="286" t="str">
        <f aca="false">IF($A110="N/A"," ",IF(OR(Dayrun=1,Dayrun=5,Dayrun=8,Dayrun=11),IF(Option=1,MAX($O110-H110,0),IF(Option=2,MAX(H110-$O110,0),0)),0))</f>
        <v> </v>
      </c>
      <c r="Y110" s="286" t="str">
        <f aca="false">IF($A110="N/A"," ",IF(OR(Dayrun=1,Dayrun=8,Dayrun=11),IF(Option=1,MAX($P110-H110,0),IF(Option=2,MAX(H110-$P110,0),0)),0))</f>
        <v> </v>
      </c>
      <c r="Z110" s="293" t="str">
        <f aca="false">IF($A110="N/A"," ",IF(OR(Dayrun&lt;=2,Dayrun&gt;=11),IF(Option=1,MAX($Q110-$H110,0),IF(Option=2,MAX($H110-$Q110,0),0)),0))</f>
        <v> </v>
      </c>
      <c r="AA110" s="289" t="str">
        <f aca="false">IF($A110="N/A"," ",IF(Dayrun&gt;=3,(MAX(0,(xSPRDOPT(I110,($E110-'Pricing Inputs'!$X145*$D110),$CV110,0,($CN110+IF(Smile=TRUE(),VLOOKUP(MAX(-5,$H110-I110),Volsmile,2),0)),$CT110,$CU110,($A110-DateToday)+15,ABS(Option-2),0)-R110))),0))</f>
        <v> </v>
      </c>
      <c r="AB110" s="290" t="str">
        <f aca="false">IF($A110="N/A"," ",IF(Dayrun&gt;=6,MAX(0,(xSPRDOPT(J110,($E110-'Pricing Inputs'!$X145*$D110),$CV110,0,($CN110+IF(Smile=TRUE(),VLOOKUP(MAX(-5,$H110-J110),Volsmile,2),0)),$CT110,$CU110,($A110-DateToday)+15,ABS(Option-2),0)-S110)),0))</f>
        <v> </v>
      </c>
      <c r="AC110" s="290" t="str">
        <f aca="false">IF($A110="N/A"," ",IF(OR(Dayrun&lt;=2,Dayrun&gt;=9),IF(OffPeakEx=TRUE(),MAX(0,(xSPRDOPT(K110,($E110-'Pricing Inputs'!$X145*$D110),$CV110,0,($CQ110+IF(Smile=TRUE(),VLOOKUP(MAX(-5,$H110-K110),Volsmile,2),0)),$CT110,$CU110,($A110-DateToday)+15,ABS(Option-2),0)-T110)),0),0))</f>
        <v> </v>
      </c>
      <c r="AD110" s="290" t="str">
        <f aca="false">IF($A110="N/A"," ",IF(OR(Dayrun=1,Dayrun=4,Dayrun=5,Dayrun=7,Dayrun=8,Dayrun=10,Dayrun=11),MAX(0,(xSPRDOPT(L110,($E110-'Pricing Inputs'!$X145*$D110),$CV110,0,($CQ110+IF(Smile=TRUE(),VLOOKUP(MAX(-5,$H110-L110),Volsmile,2),0)),$CT110,$CU110,($A110-DateToday)+15,ABS(Option-2),0)-U110)),0))</f>
        <v> </v>
      </c>
      <c r="AE110" s="290" t="str">
        <f aca="false">IF($A110="N/A"," ",IF(OR(Dayrun=1,Dayrun=7,Dayrun=8,Dayrun=10,Dayrun=11),MAX(0,(xSPRDOPT(M110,($E110-'Pricing Inputs'!$X145*$D110),$CV110,0,($CQ110+IF(Smile=TRUE(),VLOOKUP(MAX(-5,$H110-M110),Volsmile,2),0)),$CT110,$CU110,($A110-DateToday)+15,ABS(Option-2),0)-V110)),0))</f>
        <v> </v>
      </c>
      <c r="AF110" s="290" t="str">
        <f aca="false">IF($A110="N/A"," ",IF(OR(Dayrun&lt;=2,Dayrun&gt;=10),IF(OffPeakEx=TRUE(),MAX(0,(xSPRDOPT(N110,($E110-'Pricing Inputs'!$X145*$D110),$CV110,0,($CQ110+IF(Smile=TRUE(),VLOOKUP(MAX(-5,$H110-N110),Volsmile,2),0)),$CT110,$CU110,($A110-DateToday)+15,ABS(Option-2),0)-W110)),0),0))</f>
        <v> </v>
      </c>
      <c r="AG110" s="290" t="str">
        <f aca="false">IF($A110="N/A"," ",IF(OR(Dayrun=1,Dayrun=5,Dayrun=8,Dayrun=11),MAX(0,(xSPRDOPT(O110,($E110-'Pricing Inputs'!$X145*$D110),$CV110,0,($CQ110+IF(Smile=TRUE(),VLOOKUP(MAX(-5,$H110-O110),Volsmile,2),0)),$CT110,$CU110,($A110-DateToday)+15,ABS(Option-2),0)-X110)),0))</f>
        <v> </v>
      </c>
      <c r="AH110" s="290" t="str">
        <f aca="false">IF($A110="N/A"," ",IF(OR(Dayrun=1,Dayrun=8,Dayrun=11),MAX(0,(xSPRDOPT(P110,($E110-'Pricing Inputs'!$X145*$D110),$CV110,0,($CQ110+IF(Smile=TRUE(),VLOOKUP(MAX(-5,$H110-P110),Volsmile,2),0)),$CT110,$CU110,($A110-DateToday)+15,ABS(Option-2),0)-Y110)),0))</f>
        <v> </v>
      </c>
      <c r="AI110" s="290" t="str">
        <f aca="false">IF($A110="N/A"," ",IF(OR(Dayrun&lt;=2,Dayrun&gt;=11),IF(OffPeakEx=TRUE(),MAX(0,(xSPRDOPT(Q110,($E110-'Pricing Inputs'!$X145*$D110),$CV110,0,($CQ110+IF(Smile=TRUE(),VLOOKUP(MAX(-5,$H110-Q110),Volsmile,2),0)),$CT110,$CU110,($A110-DateToday)+15,ABS(Option-2),0)-Z110)),0),0))</f>
        <v> </v>
      </c>
      <c r="AJ110" s="294" t="str">
        <f aca="false">IF($A110="N/A"," ",IF(Dayrun&gt;=3,IF(Option=1,$I110-$H110,IF(Option=2,$H110-$I110)),0))</f>
        <v> </v>
      </c>
      <c r="AK110" s="295" t="str">
        <f aca="false">IF($A110="N/A"," ",IF(Dayrun&gt;=6,IF(Option=1,$J110-H110,IF(Option=2,H110-$J110)),0))</f>
        <v> </v>
      </c>
      <c r="AL110" s="295" t="str">
        <f aca="false">IF($A110="N/A"," ",IF(OR(Dayrun&lt;=2,Dayrun&gt;=9),IF(Option=1,$K110-$H110,IF(Option=2,$H110-$K110)),0))</f>
        <v> </v>
      </c>
      <c r="AM110" s="295" t="str">
        <f aca="false">IF($A110="N/A"," ",IF(OR(Dayrun=1,Dayrun=4,Dayrun=5,Dayrun=7,Dayrun=8,Dayrun=10,Dayrun=11),IF(Option=1,$L110-H110,IF(Option=2,H110-$L110)),0))</f>
        <v> </v>
      </c>
      <c r="AN110" s="295" t="str">
        <f aca="false">IF($A110="N/A"," ",IF(OR(Dayrun=1,Dayrun=7,Dayrun=8,Dayrun=10,Dayrun=11),IF(Option=1,$M110-H110,IF(Option=2,H110-$M110)),0))</f>
        <v> </v>
      </c>
      <c r="AO110" s="295" t="str">
        <f aca="false">IF($A110="N/A"," ",IF(OR(Dayrun&lt;=2,Dayrun&gt;=9),IF(Option=1,$N110-$H110,IF(Option=2,$H110-$N110)),0))</f>
        <v> </v>
      </c>
      <c r="AP110" s="295" t="str">
        <f aca="false">IF($A110="N/A"," ",IF(OR(Dayrun=1,Dayrun=5,Dayrun=8,Dayrun=11),IF(Option=1,$O110-H110,IF(Option=2,H110-$O110)),0))</f>
        <v> </v>
      </c>
      <c r="AQ110" s="295" t="str">
        <f aca="false">IF($A110="N/A"," ",IF(OR(Dayrun=1,Dayrun=8,Dayrun=11),IF(Option=1,$P110-H110,IF(Option=2,H110-$P110)),0))</f>
        <v> </v>
      </c>
      <c r="AR110" s="296" t="str">
        <f aca="false">IF($A110="N/A"," ",IF(OR(Dayrun&lt;=2,Dayrun&gt;=9),IF(Option=1,$Q110-H110,IF(Option=2,H110-$Q110)),0))</f>
        <v> </v>
      </c>
      <c r="AS110" s="297" t="str">
        <f aca="false">IF($A110="N/A"," ",IF(VLOOKUP(MONTH($A110),ManualTable,2)=1,IF(Dayrun&gt;=3,$DE110*8*$CY110,0),0))</f>
        <v> </v>
      </c>
      <c r="AT110" s="297" t="str">
        <f aca="false">IF($A110="N/A"," ",IF(VLOOKUP(MONTH($A110),ManualTable,3)=1,IF(Dayrun&gt;=6,$DE110*8*$CY110,0),0))</f>
        <v> </v>
      </c>
      <c r="AU110" s="297" t="str">
        <f aca="false">IF($A110="N/A"," ",IF(VLOOKUP(MONTH($A110),ManualTable,4)=1,IF(OR(Dayrun&lt;=2,Dayrun&gt;=9),$DE110*8*$CY110,0),0))</f>
        <v> </v>
      </c>
      <c r="AV110" s="297" t="str">
        <f aca="false">IF($A110="N/A"," ",IF(VLOOKUP(MONTH($A110),ManualTable,5)=1,IF(OR(Dayrun=1,Dayrun=4,Dayrun=5,Dayrun=7,Dayrun=8,Dayrun=10,Dayrun=11),$DF110*8*$CY110,0),0))</f>
        <v> </v>
      </c>
      <c r="AW110" s="297" t="str">
        <f aca="false">IF($A110="N/A"," ",IF(VLOOKUP(MONTH($A110),ManualTable,6)=1,IF(OR(Dayrun=1,Dayrun=7,Dayrun=8,Dayrun=10,Dayrun=11),$DF110*8*$CY110,0),0))</f>
        <v> </v>
      </c>
      <c r="AX110" s="297" t="str">
        <f aca="false">IF($A110="N/A"," ",IF(VLOOKUP(MONTH($A110),ManualTable,7)=1,IF(OR(Dayrun&lt;=2,Dayrun&gt;=9),$DF110*8*$CY110,0),0))</f>
        <v> </v>
      </c>
      <c r="AY110" s="297" t="str">
        <f aca="false">IF($A110="N/A"," ",IF(VLOOKUP(MONTH($A110),ManualTable,8)=1,IF(OR(Dayrun=1,Dayrun=5,Dayrun=8,Dayrun=11),$DG110*8*$CY110,0),0))</f>
        <v> </v>
      </c>
      <c r="AZ110" s="297" t="str">
        <f aca="false">IF($A110="N/A"," ",IF(VLOOKUP(MONTH($A110),ManualTable,9)=1,IF(OR(Dayrun=1,Dayrun=8,Dayrun=11),$DG110*8*$CY110,0),0))</f>
        <v> </v>
      </c>
      <c r="BA110" s="298" t="str">
        <f aca="false">IF($A110="N/A"," ",IF(VLOOKUP(MONTH($A110),ManualTable,10)=1,IF(OR(Dayrun&lt;=2,Dayrun&gt;=9),$DG110*8*$CY110,0),0))</f>
        <v> </v>
      </c>
      <c r="BB110" s="299" t="str">
        <f aca="false">IF($A110="N/A"," ",IF(Dayrun&gt;=3,(MAX(0,(xSPRDOPT(I110,($E110-'Pricing Inputs'!$X145*$D110),$CV110,0,($CN110+IF(Smile=TRUE(),VLOOKUP(MAX(-5,$H110-I110),Volsmile,2),0)),$CT110,$CU110,($A110-DateToday)+15,ABS(Option-2),1)*DE110*8))),0))</f>
        <v> </v>
      </c>
      <c r="BC110" s="300" t="str">
        <f aca="false">IF($A110="N/A"," ",IF(Dayrun&gt;=6,MAX(0,(xSPRDOPT(J110,($E110-'Pricing Inputs'!$X145*$D110),$CV110,0,($CN110+IF(Smile=TRUE(),VLOOKUP(MAX(-5,$H110-J110),Volsmile,2),0)),$CT110,$CU110,($A110-DateToday)+15,ABS(Option-2),1)*DE110*8)),0))</f>
        <v> </v>
      </c>
      <c r="BD110" s="300" t="str">
        <f aca="false">IF($A110="N/A"," ",IF(OR(Dayrun&lt;=2,Dayrun&gt;=9),IF(OffPeakEx=TRUE(),MAX(0,(xSPRDOPT(K110,($E110-'Pricing Inputs'!$X145*$D110),$CV110,0,($CQ110+IF(Smile=TRUE(),VLOOKUP(MAX(-5,$H110-K110),Volsmile,2),0)),$CT110,$CU110,($A110-DateToday)+15,ABS(Option-2),1)*DE110*8)),0),0))</f>
        <v> </v>
      </c>
      <c r="BE110" s="300" t="str">
        <f aca="false">IF($A110="N/A"," ",IF(OR(Dayrun=1,Dayrun=4,Dayrun=5,Dayrun=7,Dayrun=8,Dayrun=10,Dayrun=11),MAX(0,(xSPRDOPT(L110,($E110-'Pricing Inputs'!$X145*$D110),$CV110,0,($CQ110+IF(Smile=TRUE(),VLOOKUP(MAX(-5,$H110-L110),Volsmile,2),0)),$CT110,$CU110,($A110-DateToday)+15,ABS(Option-2),1)*DF110*8)),0))</f>
        <v> </v>
      </c>
      <c r="BF110" s="300" t="str">
        <f aca="false">IF($A110="N/A"," ",IF(OR(Dayrun=1,Dayrun=7,Dayrun=8,Dayrun=10,Dayrun=11),MAX(0,(xSPRDOPT(M110,($E110-'Pricing Inputs'!$X145*$D110),$CV110,0,($CQ110+IF(Smile=TRUE(),VLOOKUP(MAX(-5,$H110-M110),Volsmile,2),0)),$CT110,$CU110,($A110-DateToday)+15,ABS(Option-2),1)*DF110*8)),0))</f>
        <v> </v>
      </c>
      <c r="BG110" s="300" t="str">
        <f aca="false">IF($A110="N/A"," ",IF(OR(Dayrun&lt;=2,Dayrun&gt;=10),IF(OffPeakEx=TRUE(),MAX(0,(xSPRDOPT(N110,($E110-'Pricing Inputs'!$X145*$D110),$CV110,0,($CQ110+IF(Smile=TRUE(),VLOOKUP(MAX(-5,$H110-N110),Volsmile,2),0)),$CT110,$CU110,($A110-DateToday)+15,ABS(Option-2),1)*DF110*8)),0),0))</f>
        <v> </v>
      </c>
      <c r="BH110" s="300" t="str">
        <f aca="false">IF($A110="N/A"," ",IF(OR(Dayrun=1,Dayrun=5,Dayrun=8,Dayrun=11),MAX(0,(xSPRDOPT(O110,($E110-'Pricing Inputs'!$X145*$D110),$CV110,0,($CQ110+IF(Smile=TRUE(),VLOOKUP(MAX(-5,$H110-O110),Volsmile,2),0)),$CT110,$CU110,($A110-DateToday)+15,ABS(Option-2),1)*DG110*8)),0))</f>
        <v> </v>
      </c>
      <c r="BI110" s="300" t="str">
        <f aca="false">IF($A110="N/A"," ",IF(OR(Dayrun=1,Dayrun=8,Dayrun=11),MAX(0,(xSPRDOPT(P110,($E110-'Pricing Inputs'!$X145*$D110),$CV110,0,($CQ110+IF(Smile=TRUE(),VLOOKUP(MAX(-5,$H110-P110),Volsmile,2),0)),$CT110,$CU110,($A110-DateToday)+15,ABS(Option-2),1)*DG110*8)),0))</f>
        <v> </v>
      </c>
      <c r="BJ110" s="301" t="str">
        <f aca="false">IF($A110="N/A"," ",IF(OR(Dayrun&lt;=2,Dayrun&gt;=11),IF(OffPeakEx=TRUE(),MAX(0,(xSPRDOPT(Q110,($E110-'Pricing Inputs'!$X145*$D110),$CV110,0,($CQ110+IF(Smile=TRUE(),VLOOKUP(MAX(-5,$H110-Q110),Volsmile,2),0)),$CT110,$CU110,($A110-DateToday)+15,ABS(Option-2),1)*DG110*8)),0),0))</f>
        <v> </v>
      </c>
      <c r="BK110" s="302" t="str">
        <f aca="false">IF($A110="N/A"," ",R110*$AS110)</f>
        <v> </v>
      </c>
      <c r="BL110" s="303" t="str">
        <f aca="false">IF($A110="N/A"," ",S110*$AT110)</f>
        <v> </v>
      </c>
      <c r="BM110" s="303" t="str">
        <f aca="false">IF($A110="N/A"," ",T110*$AU110)</f>
        <v> </v>
      </c>
      <c r="BN110" s="303" t="str">
        <f aca="false">IF($A110="N/A"," ",U110*$AV110)</f>
        <v> </v>
      </c>
      <c r="BO110" s="303" t="str">
        <f aca="false">IF($A110="N/A"," ",V110*$AW110)</f>
        <v> </v>
      </c>
      <c r="BP110" s="303" t="str">
        <f aca="false">IF($A110="N/A"," ",W110*$AX110)</f>
        <v> </v>
      </c>
      <c r="BQ110" s="303" t="str">
        <f aca="false">IF($A110="N/A"," ",X110*$AY110)</f>
        <v> </v>
      </c>
      <c r="BR110" s="303" t="str">
        <f aca="false">IF($A110="N/A"," ",Y110*$AZ110)</f>
        <v> </v>
      </c>
      <c r="BS110" s="304" t="str">
        <f aca="false">IF($A110="N/A"," ",Z110*$BA110)</f>
        <v> </v>
      </c>
      <c r="BT110" s="305" t="str">
        <f aca="false">IF($A110="N/A"," ",AA110*$AS110)</f>
        <v> </v>
      </c>
      <c r="BU110" s="306" t="str">
        <f aca="false">IF($A110="N/A"," ",AB110*$AT110)</f>
        <v> </v>
      </c>
      <c r="BV110" s="306" t="str">
        <f aca="false">IF($A110="N/A"," ",AC110*$AU110)</f>
        <v> </v>
      </c>
      <c r="BW110" s="306" t="str">
        <f aca="false">IF($A110="N/A"," ",AD110*$AV110)</f>
        <v> </v>
      </c>
      <c r="BX110" s="306" t="str">
        <f aca="false">IF($A110="N/A"," ",AE110*$AW110)</f>
        <v> </v>
      </c>
      <c r="BY110" s="306" t="str">
        <f aca="false">IF($A110="N/A"," ",AF110*$AX110)</f>
        <v> </v>
      </c>
      <c r="BZ110" s="306" t="str">
        <f aca="false">IF($A110="N/A"," ",AG110*$AY110)</f>
        <v> </v>
      </c>
      <c r="CA110" s="306" t="str">
        <f aca="false">IF($A110="N/A"," ",AH110*$AZ110)</f>
        <v> </v>
      </c>
      <c r="CB110" s="307" t="str">
        <f aca="false">IF($A110="N/A"," ",AI110*$BA110)</f>
        <v> </v>
      </c>
      <c r="CC110" s="308" t="str">
        <f aca="false">IF($A110="N/A"," ",AJ110*$AS110)</f>
        <v> </v>
      </c>
      <c r="CD110" s="309" t="str">
        <f aca="false">IF($A110="N/A"," ",AK110*$AT110)</f>
        <v> </v>
      </c>
      <c r="CE110" s="309" t="str">
        <f aca="false">IF($A110="N/A"," ",AL110*$AU110)</f>
        <v> </v>
      </c>
      <c r="CF110" s="309" t="str">
        <f aca="false">IF($A110="N/A"," ",AM110*$AV110)</f>
        <v> </v>
      </c>
      <c r="CG110" s="309" t="str">
        <f aca="false">IF($A110="N/A"," ",AN110*$AW110)</f>
        <v> </v>
      </c>
      <c r="CH110" s="309" t="str">
        <f aca="false">IF($A110="N/A"," ",AO110*$AX110)</f>
        <v> </v>
      </c>
      <c r="CI110" s="309" t="str">
        <f aca="false">IF($A110="N/A"," ",AP110*$AY110)</f>
        <v> </v>
      </c>
      <c r="CJ110" s="309" t="str">
        <f aca="false">IF($A110="N/A"," ",AQ110*$AZ110)</f>
        <v> </v>
      </c>
      <c r="CK110" s="310" t="str">
        <f aca="false">IF($A110="N/A"," ",AR110*$BA110)</f>
        <v> </v>
      </c>
      <c r="CL110" s="311" t="str">
        <f aca="false">IF(A110="N/A"," ",(VLOOKUP(A110,PowerVolTable,(IF(VolBMO=2,7,IF(VolBMO=1,6,8))),FALSE())))</f>
        <v> </v>
      </c>
      <c r="CM110" s="312" t="str">
        <f aca="false">IF(A110="N/A"," ",(VLOOKUP(A110,IntraPowerVol,(IF(VolBMO=2,3,IF(VolBMO=1,2,4))),FALSE())*VLOOKUP(MONTH($A110),Volscale,2)))</f>
        <v> </v>
      </c>
      <c r="CN110" s="312" t="str">
        <f aca="false">IF($A110="N/A"," ",IF(VolType=1,CM110,CL110))</f>
        <v> </v>
      </c>
      <c r="CO110" s="312" t="str">
        <f aca="false">IF($A110="N/A"," ",(VLOOKUP($A110,OffPeakVol,(IF(VolBMO=2,7,IF(VolBMO=1,6,8))),FALSE())))</f>
        <v> </v>
      </c>
      <c r="CP110" s="312" t="str">
        <f aca="false">IF($A110="N/A"," ",(VLOOKUP($A110,OffPeakVol,(IF(VolBMO=2,3,IF(VolBMO=1,2,4))),FALSE())*VLOOKUP(MONTH($A110),Volscale,2)))</f>
        <v> </v>
      </c>
      <c r="CQ110" s="312" t="str">
        <f aca="false">IF($A110="N/A"," ",IF(VolType=1,CP110,CO110))</f>
        <v> </v>
      </c>
      <c r="CR110" s="312" t="str">
        <f aca="false">IF($A110="N/A"," ",(VLOOKUP($A110,GasVolTable,(IF(VolBMO=2,6,IF(VolBMO=1,7,5))),FALSE())))</f>
        <v> </v>
      </c>
      <c r="CS110" s="312" t="str">
        <f aca="false">IF($A110="N/A"," ",(VLOOKUP($A110,OmicronVol,(IF(VolBMO=2,3,IF(VolBMO=1,4,2))),FALSE())))</f>
        <v> </v>
      </c>
      <c r="CT110" s="312" t="str">
        <f aca="false">IF($A110="N/A"," ",(IF(DateToday&gt;$A110,$CS110,IF(VolType=1,((($CR110^2)*((($A110-1)-DateToday)/((EOMONTH($A110,0)+1)-DateToday-15)))+((($CS110)^2)*((15)/((EOMONTH($A110,0)+1)-DateToday-15))))^0.5,CR110))))</f>
        <v> </v>
      </c>
      <c r="CU110" s="312" t="str">
        <f aca="false">IF($A110="N/A"," ",IF('Pricing Inputs'!$AR$23=TRUE(),Inputs!$S$22,VLOOKUP($A110,CorrelationTable,2,FALSE())))</f>
        <v> </v>
      </c>
      <c r="CV110" s="313" t="str">
        <f aca="false">IF($A110="N/A"," ",F110+G110+(D110*('Pricing Inputs'!X145)))</f>
        <v> </v>
      </c>
      <c r="CW110" s="314" t="str">
        <f aca="false">IF($A110="N/A"," ",IF(PV=1,0,'Pricing Inputs'!Y145))</f>
        <v> </v>
      </c>
      <c r="CX110" s="315" t="str">
        <f aca="false">IF($A110="N/A"," ",(1+CW110/2)^(-2*((EOMONTH(A110,0)+20)-DateToday)/365.25))</f>
        <v> </v>
      </c>
      <c r="CY110" s="316" t="str">
        <f aca="false">IF($A110="N/A"," ",(IF(MONTH(A110)&gt;=4,IF(MONTH(A110)&lt;=10,Inputs!$S$26,Inputs!$S$27),Inputs!$S$27))*$CX110)</f>
        <v> </v>
      </c>
      <c r="CZ110" s="317" t="str">
        <f aca="false">IF($A110="N/A"," ",BK110+BL110+BN110+BO110+BQ110+BR110)</f>
        <v> </v>
      </c>
      <c r="DA110" s="318" t="str">
        <f aca="false">IF($A110="N/A"," ",BM110+BP110+BS110)</f>
        <v> </v>
      </c>
      <c r="DB110" s="319" t="str">
        <f aca="false">IF($A110="N/A"," ",BT110+BU110+BW110+BX110+BZ110+CA110)</f>
        <v> </v>
      </c>
      <c r="DC110" s="319" t="str">
        <f aca="false">IF($A110="N/A"," ",BV110+BY110+CB110)</f>
        <v> </v>
      </c>
      <c r="DD110" s="320" t="str">
        <f aca="false">IF($A110="N/A"," ",SUM(CC110:CK110))</f>
        <v> </v>
      </c>
      <c r="DE110" s="321" t="str">
        <f aca="false">IF($A110="N/A"," ",VLOOKUP($A110,NumberofDaysTable,2)*Availability)</f>
        <v> </v>
      </c>
      <c r="DF110" s="94" t="str">
        <f aca="false">IF($A110="N/A"," ",VLOOKUP($A110,NumberofDaysTable,3)*Availability)</f>
        <v> </v>
      </c>
      <c r="DG110" s="322" t="str">
        <f aca="false">IF($A110="N/A"," ",VLOOKUP($A110,NumberofDaysTable,4)*Availability)</f>
        <v> </v>
      </c>
      <c r="DH110" s="323" t="str">
        <f aca="false">IF($A110="N/A"," ",IF(Option=1,$D110*Inputs!$S$15*SUM(AS110:BA110),0))</f>
        <v> </v>
      </c>
      <c r="DI110" s="324" t="str">
        <f aca="false">IF($A110="N/A"," ",IF(Option=1,$D110*Inputs!$S$16*SUM(AS110:BA110),0))</f>
        <v> </v>
      </c>
      <c r="DJ110" s="325" t="str">
        <f aca="false">IF($A110="N/A"," ",SUM(AS110:AT110))</f>
        <v> </v>
      </c>
      <c r="DK110" s="325" t="str">
        <f aca="false">IF($A110="N/A"," ",SUM(AU110:BA110))</f>
        <v> </v>
      </c>
      <c r="DL110" s="325" t="str">
        <f aca="false">IF($A110="N/A"," ",SUM(BB110:BC110))</f>
        <v> </v>
      </c>
      <c r="DM110" s="325" t="str">
        <f aca="false">IF($A110="N/A"," ",SUM(BD110:BJ110))</f>
        <v> </v>
      </c>
    </row>
    <row r="111" customFormat="false" ht="12.75" hidden="false" customHeight="false" outlineLevel="0" collapsed="false">
      <c r="A111" s="282" t="str">
        <f aca="false">IF(A110="N/A","N/A",IF(EDATE(A110,1)&gt;Inputs!$S$5,"N/A",EDATE(A110,1)))</f>
        <v>N/A</v>
      </c>
      <c r="B111" s="283" t="str">
        <f aca="false">IF(A111="N/A"," ",YEAR(A111))</f>
        <v> </v>
      </c>
      <c r="C111" s="284" t="str">
        <f aca="false">IF(A111="N/A"," ",VLOOKUP(A111,ScaledPrice,14))</f>
        <v> </v>
      </c>
      <c r="D111" s="285" t="str">
        <f aca="false">IF(A111="N/A"," ",(VLOOKUP(MONTH($A111),Hrtable,2))/1000)</f>
        <v> </v>
      </c>
      <c r="E111" s="286" t="str">
        <f aca="false">IF($A111="N/A"," ",(C111)*D111)</f>
        <v> </v>
      </c>
      <c r="F111" s="287" t="str">
        <f aca="false">IF(A111="N/A"," ",VOM*(1+VOMesc)^(YEAR(A111)-YEAR(Today)))</f>
        <v> </v>
      </c>
      <c r="G111" s="287" t="str">
        <f aca="false">IF(A111="N/A"," ",Perstart/VLOOKUP(Dayrun,'Pricing Inputs'!$AQ$4:$AS$14,3)/(CY111/CX111))</f>
        <v> </v>
      </c>
      <c r="H111" s="288" t="str">
        <f aca="false">IF(A111="N/A"," ",SUM(E111:G111))</f>
        <v> </v>
      </c>
      <c r="I111" s="289" t="str">
        <f aca="false">VLOOKUP($A111,ScaledPrice,6)</f>
        <v> </v>
      </c>
      <c r="J111" s="290" t="str">
        <f aca="false">VLOOKUP($A111,ScaledPrice,10)</f>
        <v> </v>
      </c>
      <c r="K111" s="290" t="str">
        <f aca="false">VLOOKUP($A111,ScaledPrice,13)</f>
        <v> </v>
      </c>
      <c r="L111" s="290" t="str">
        <f aca="false">VLOOKUP($A111,ScaledPrice,7)</f>
        <v> </v>
      </c>
      <c r="M111" s="290" t="str">
        <f aca="false">VLOOKUP($A111,ScaledPrice,11)</f>
        <v> </v>
      </c>
      <c r="N111" s="290" t="str">
        <f aca="false">VLOOKUP($A111,ScaledPrice,13)</f>
        <v> </v>
      </c>
      <c r="O111" s="290" t="str">
        <f aca="false">VLOOKUP($A111,ScaledPrice,8)</f>
        <v> </v>
      </c>
      <c r="P111" s="290" t="str">
        <f aca="false">VLOOKUP($A111,ScaledPrice,12)</f>
        <v> </v>
      </c>
      <c r="Q111" s="291" t="str">
        <f aca="false">VLOOKUP($A111,ScaledPrice,13)</f>
        <v> </v>
      </c>
      <c r="R111" s="292" t="str">
        <f aca="false">IF($A111="N/A"," ",IF(Dayrun&gt;=3,IF(Option=1,MAX($I111-$H111,0),IF(Option=2,MAX($H111-$I111,0),0)),0))</f>
        <v> </v>
      </c>
      <c r="S111" s="286" t="str">
        <f aca="false">IF($A111="N/A"," ",IF(Dayrun&gt;=6,IF(Option=1,MAX($J111-H111,0),IF(Option=2,MAX(H111-$J111,0),0)),0))</f>
        <v> </v>
      </c>
      <c r="T111" s="286" t="str">
        <f aca="false">IF($A111="N/A"," ",IF(OR(Dayrun&lt;=2,Dayrun&gt;=9),IF(Option=1,MAX($K111-$H111,0),IF(Option=2,MAX($H111-$K111,0),0)),0))</f>
        <v> </v>
      </c>
      <c r="U111" s="286" t="str">
        <f aca="false">IF($A111="N/A"," ",IF(OR(Dayrun=1,Dayrun=4,Dayrun=5,Dayrun=7,Dayrun=8,Dayrun=10,Dayrun=11),IF(Option=1,MAX($L111-H111,0),IF(Option=2,MAX(H111-$L111,0),0)),0))</f>
        <v> </v>
      </c>
      <c r="V111" s="286" t="str">
        <f aca="false">IF($A111="N/A"," ",IF(OR(Dayrun=1,Dayrun=7,Dayrun=8,Dayrun=10,Dayrun=11),IF(Option=1,MAX($M111-H111,0),IF(Option=2,MAX(H111-$M111,0),0)),0))</f>
        <v> </v>
      </c>
      <c r="W111" s="286" t="str">
        <f aca="false">IF($A111="N/A"," ",IF(OR(Dayrun&lt;=2,Dayrun&gt;=10),IF(Option=1,MAX($N111-$H111,0),IF(Option=2,MAX($H111-$N111,0),0)),0))</f>
        <v> </v>
      </c>
      <c r="X111" s="286" t="str">
        <f aca="false">IF($A111="N/A"," ",IF(OR(Dayrun=1,Dayrun=5,Dayrun=8,Dayrun=11),IF(Option=1,MAX($O111-H111,0),IF(Option=2,MAX(H111-$O111,0),0)),0))</f>
        <v> </v>
      </c>
      <c r="Y111" s="286" t="str">
        <f aca="false">IF($A111="N/A"," ",IF(OR(Dayrun=1,Dayrun=8,Dayrun=11),IF(Option=1,MAX($P111-H111,0),IF(Option=2,MAX(H111-$P111,0),0)),0))</f>
        <v> </v>
      </c>
      <c r="Z111" s="293" t="str">
        <f aca="false">IF($A111="N/A"," ",IF(OR(Dayrun&lt;=2,Dayrun&gt;=11),IF(Option=1,MAX($Q111-$H111,0),IF(Option=2,MAX($H111-$Q111,0),0)),0))</f>
        <v> </v>
      </c>
      <c r="AA111" s="289" t="str">
        <f aca="false">IF($A111="N/A"," ",IF(Dayrun&gt;=3,(MAX(0,(xSPRDOPT(I111,($E111-'Pricing Inputs'!$X146*$D111),$CV111,0,($CN111+IF(Smile=TRUE(),VLOOKUP(MAX(-5,$H111-I111),Volsmile,2),0)),$CT111,$CU111,($A111-DateToday)+15,ABS(Option-2),0)-R111))),0))</f>
        <v> </v>
      </c>
      <c r="AB111" s="290" t="str">
        <f aca="false">IF($A111="N/A"," ",IF(Dayrun&gt;=6,MAX(0,(xSPRDOPT(J111,($E111-'Pricing Inputs'!$X146*$D111),$CV111,0,($CN111+IF(Smile=TRUE(),VLOOKUP(MAX(-5,$H111-J111),Volsmile,2),0)),$CT111,$CU111,($A111-DateToday)+15,ABS(Option-2),0)-S111)),0))</f>
        <v> </v>
      </c>
      <c r="AC111" s="290" t="str">
        <f aca="false">IF($A111="N/A"," ",IF(OR(Dayrun&lt;=2,Dayrun&gt;=9),IF(OffPeakEx=TRUE(),MAX(0,(xSPRDOPT(K111,($E111-'Pricing Inputs'!$X146*$D111),$CV111,0,($CQ111+IF(Smile=TRUE(),VLOOKUP(MAX(-5,$H111-K111),Volsmile,2),0)),$CT111,$CU111,($A111-DateToday)+15,ABS(Option-2),0)-T111)),0),0))</f>
        <v> </v>
      </c>
      <c r="AD111" s="290" t="str">
        <f aca="false">IF($A111="N/A"," ",IF(OR(Dayrun=1,Dayrun=4,Dayrun=5,Dayrun=7,Dayrun=8,Dayrun=10,Dayrun=11),MAX(0,(xSPRDOPT(L111,($E111-'Pricing Inputs'!$X146*$D111),$CV111,0,($CQ111+IF(Smile=TRUE(),VLOOKUP(MAX(-5,$H111-L111),Volsmile,2),0)),$CT111,$CU111,($A111-DateToday)+15,ABS(Option-2),0)-U111)),0))</f>
        <v> </v>
      </c>
      <c r="AE111" s="290" t="str">
        <f aca="false">IF($A111="N/A"," ",IF(OR(Dayrun=1,Dayrun=7,Dayrun=8,Dayrun=10,Dayrun=11),MAX(0,(xSPRDOPT(M111,($E111-'Pricing Inputs'!$X146*$D111),$CV111,0,($CQ111+IF(Smile=TRUE(),VLOOKUP(MAX(-5,$H111-M111),Volsmile,2),0)),$CT111,$CU111,($A111-DateToday)+15,ABS(Option-2),0)-V111)),0))</f>
        <v> </v>
      </c>
      <c r="AF111" s="290" t="str">
        <f aca="false">IF($A111="N/A"," ",IF(OR(Dayrun&lt;=2,Dayrun&gt;=10),IF(OffPeakEx=TRUE(),MAX(0,(xSPRDOPT(N111,($E111-'Pricing Inputs'!$X146*$D111),$CV111,0,($CQ111+IF(Smile=TRUE(),VLOOKUP(MAX(-5,$H111-N111),Volsmile,2),0)),$CT111,$CU111,($A111-DateToday)+15,ABS(Option-2),0)-W111)),0),0))</f>
        <v> </v>
      </c>
      <c r="AG111" s="290" t="str">
        <f aca="false">IF($A111="N/A"," ",IF(OR(Dayrun=1,Dayrun=5,Dayrun=8,Dayrun=11),MAX(0,(xSPRDOPT(O111,($E111-'Pricing Inputs'!$X146*$D111),$CV111,0,($CQ111+IF(Smile=TRUE(),VLOOKUP(MAX(-5,$H111-O111),Volsmile,2),0)),$CT111,$CU111,($A111-DateToday)+15,ABS(Option-2),0)-X111)),0))</f>
        <v> </v>
      </c>
      <c r="AH111" s="290" t="str">
        <f aca="false">IF($A111="N/A"," ",IF(OR(Dayrun=1,Dayrun=8,Dayrun=11),MAX(0,(xSPRDOPT(P111,($E111-'Pricing Inputs'!$X146*$D111),$CV111,0,($CQ111+IF(Smile=TRUE(),VLOOKUP(MAX(-5,$H111-P111),Volsmile,2),0)),$CT111,$CU111,($A111-DateToday)+15,ABS(Option-2),0)-Y111)),0))</f>
        <v> </v>
      </c>
      <c r="AI111" s="290" t="str">
        <f aca="false">IF($A111="N/A"," ",IF(OR(Dayrun&lt;=2,Dayrun&gt;=11),IF(OffPeakEx=TRUE(),MAX(0,(xSPRDOPT(Q111,($E111-'Pricing Inputs'!$X146*$D111),$CV111,0,($CQ111+IF(Smile=TRUE(),VLOOKUP(MAX(-5,$H111-Q111),Volsmile,2),0)),$CT111,$CU111,($A111-DateToday)+15,ABS(Option-2),0)-Z111)),0),0))</f>
        <v> </v>
      </c>
      <c r="AJ111" s="294" t="str">
        <f aca="false">IF($A111="N/A"," ",IF(Dayrun&gt;=3,IF(Option=1,$I111-$H111,IF(Option=2,$H111-$I111)),0))</f>
        <v> </v>
      </c>
      <c r="AK111" s="295" t="str">
        <f aca="false">IF($A111="N/A"," ",IF(Dayrun&gt;=6,IF(Option=1,$J111-H111,IF(Option=2,H111-$J111)),0))</f>
        <v> </v>
      </c>
      <c r="AL111" s="295" t="str">
        <f aca="false">IF($A111="N/A"," ",IF(OR(Dayrun&lt;=2,Dayrun&gt;=9),IF(Option=1,$K111-$H111,IF(Option=2,$H111-$K111)),0))</f>
        <v> </v>
      </c>
      <c r="AM111" s="295" t="str">
        <f aca="false">IF($A111="N/A"," ",IF(OR(Dayrun=1,Dayrun=4,Dayrun=5,Dayrun=7,Dayrun=8,Dayrun=10,Dayrun=11),IF(Option=1,$L111-H111,IF(Option=2,H111-$L111)),0))</f>
        <v> </v>
      </c>
      <c r="AN111" s="295" t="str">
        <f aca="false">IF($A111="N/A"," ",IF(OR(Dayrun=1,Dayrun=7,Dayrun=8,Dayrun=10,Dayrun=11),IF(Option=1,$M111-H111,IF(Option=2,H111-$M111)),0))</f>
        <v> </v>
      </c>
      <c r="AO111" s="295" t="str">
        <f aca="false">IF($A111="N/A"," ",IF(OR(Dayrun&lt;=2,Dayrun&gt;=9),IF(Option=1,$N111-$H111,IF(Option=2,$H111-$N111)),0))</f>
        <v> </v>
      </c>
      <c r="AP111" s="295" t="str">
        <f aca="false">IF($A111="N/A"," ",IF(OR(Dayrun=1,Dayrun=5,Dayrun=8,Dayrun=11),IF(Option=1,$O111-H111,IF(Option=2,H111-$O111)),0))</f>
        <v> </v>
      </c>
      <c r="AQ111" s="295" t="str">
        <f aca="false">IF($A111="N/A"," ",IF(OR(Dayrun=1,Dayrun=8,Dayrun=11),IF(Option=1,$P111-H111,IF(Option=2,H111-$P111)),0))</f>
        <v> </v>
      </c>
      <c r="AR111" s="296" t="str">
        <f aca="false">IF($A111="N/A"," ",IF(OR(Dayrun&lt;=2,Dayrun&gt;=9),IF(Option=1,$Q111-H111,IF(Option=2,H111-$Q111)),0))</f>
        <v> </v>
      </c>
      <c r="AS111" s="297" t="str">
        <f aca="false">IF($A111="N/A"," ",IF(VLOOKUP(MONTH($A111),ManualTable,2)=1,IF(Dayrun&gt;=3,$DE111*8*$CY111,0),0))</f>
        <v> </v>
      </c>
      <c r="AT111" s="297" t="str">
        <f aca="false">IF($A111="N/A"," ",IF(VLOOKUP(MONTH($A111),ManualTable,3)=1,IF(Dayrun&gt;=6,$DE111*8*$CY111,0),0))</f>
        <v> </v>
      </c>
      <c r="AU111" s="297" t="str">
        <f aca="false">IF($A111="N/A"," ",IF(VLOOKUP(MONTH($A111),ManualTable,4)=1,IF(OR(Dayrun&lt;=2,Dayrun&gt;=9),$DE111*8*$CY111,0),0))</f>
        <v> </v>
      </c>
      <c r="AV111" s="297" t="str">
        <f aca="false">IF($A111="N/A"," ",IF(VLOOKUP(MONTH($A111),ManualTable,5)=1,IF(OR(Dayrun=1,Dayrun=4,Dayrun=5,Dayrun=7,Dayrun=8,Dayrun=10,Dayrun=11),$DF111*8*$CY111,0),0))</f>
        <v> </v>
      </c>
      <c r="AW111" s="297" t="str">
        <f aca="false">IF($A111="N/A"," ",IF(VLOOKUP(MONTH($A111),ManualTable,6)=1,IF(OR(Dayrun=1,Dayrun=7,Dayrun=8,Dayrun=10,Dayrun=11),$DF111*8*$CY111,0),0))</f>
        <v> </v>
      </c>
      <c r="AX111" s="297" t="str">
        <f aca="false">IF($A111="N/A"," ",IF(VLOOKUP(MONTH($A111),ManualTable,7)=1,IF(OR(Dayrun&lt;=2,Dayrun&gt;=9),$DF111*8*$CY111,0),0))</f>
        <v> </v>
      </c>
      <c r="AY111" s="297" t="str">
        <f aca="false">IF($A111="N/A"," ",IF(VLOOKUP(MONTH($A111),ManualTable,8)=1,IF(OR(Dayrun=1,Dayrun=5,Dayrun=8,Dayrun=11),$DG111*8*$CY111,0),0))</f>
        <v> </v>
      </c>
      <c r="AZ111" s="297" t="str">
        <f aca="false">IF($A111="N/A"," ",IF(VLOOKUP(MONTH($A111),ManualTable,9)=1,IF(OR(Dayrun=1,Dayrun=8,Dayrun=11),$DG111*8*$CY111,0),0))</f>
        <v> </v>
      </c>
      <c r="BA111" s="298" t="str">
        <f aca="false">IF($A111="N/A"," ",IF(VLOOKUP(MONTH($A111),ManualTable,10)=1,IF(OR(Dayrun&lt;=2,Dayrun&gt;=9),$DG111*8*$CY111,0),0))</f>
        <v> </v>
      </c>
      <c r="BB111" s="299" t="str">
        <f aca="false">IF($A111="N/A"," ",IF(Dayrun&gt;=3,(MAX(0,(xSPRDOPT(I111,($E111-'Pricing Inputs'!$X146*$D111),$CV111,0,($CN111+IF(Smile=TRUE(),VLOOKUP(MAX(-5,$H111-I111),Volsmile,2),0)),$CT111,$CU111,($A111-DateToday)+15,ABS(Option-2),1)*DE111*8))),0))</f>
        <v> </v>
      </c>
      <c r="BC111" s="300" t="str">
        <f aca="false">IF($A111="N/A"," ",IF(Dayrun&gt;=6,MAX(0,(xSPRDOPT(J111,($E111-'Pricing Inputs'!$X146*$D111),$CV111,0,($CN111+IF(Smile=TRUE(),VLOOKUP(MAX(-5,$H111-J111),Volsmile,2),0)),$CT111,$CU111,($A111-DateToday)+15,ABS(Option-2),1)*DE111*8)),0))</f>
        <v> </v>
      </c>
      <c r="BD111" s="300" t="str">
        <f aca="false">IF($A111="N/A"," ",IF(OR(Dayrun&lt;=2,Dayrun&gt;=9),IF(OffPeakEx=TRUE(),MAX(0,(xSPRDOPT(K111,($E111-'Pricing Inputs'!$X146*$D111),$CV111,0,($CQ111+IF(Smile=TRUE(),VLOOKUP(MAX(-5,$H111-K111),Volsmile,2),0)),$CT111,$CU111,($A111-DateToday)+15,ABS(Option-2),1)*DE111*8)),0),0))</f>
        <v> </v>
      </c>
      <c r="BE111" s="300" t="str">
        <f aca="false">IF($A111="N/A"," ",IF(OR(Dayrun=1,Dayrun=4,Dayrun=5,Dayrun=7,Dayrun=8,Dayrun=10,Dayrun=11),MAX(0,(xSPRDOPT(L111,($E111-'Pricing Inputs'!$X146*$D111),$CV111,0,($CQ111+IF(Smile=TRUE(),VLOOKUP(MAX(-5,$H111-L111),Volsmile,2),0)),$CT111,$CU111,($A111-DateToday)+15,ABS(Option-2),1)*DF111*8)),0))</f>
        <v> </v>
      </c>
      <c r="BF111" s="300" t="str">
        <f aca="false">IF($A111="N/A"," ",IF(OR(Dayrun=1,Dayrun=7,Dayrun=8,Dayrun=10,Dayrun=11),MAX(0,(xSPRDOPT(M111,($E111-'Pricing Inputs'!$X146*$D111),$CV111,0,($CQ111+IF(Smile=TRUE(),VLOOKUP(MAX(-5,$H111-M111),Volsmile,2),0)),$CT111,$CU111,($A111-DateToday)+15,ABS(Option-2),1)*DF111*8)),0))</f>
        <v> </v>
      </c>
      <c r="BG111" s="300" t="str">
        <f aca="false">IF($A111="N/A"," ",IF(OR(Dayrun&lt;=2,Dayrun&gt;=10),IF(OffPeakEx=TRUE(),MAX(0,(xSPRDOPT(N111,($E111-'Pricing Inputs'!$X146*$D111),$CV111,0,($CQ111+IF(Smile=TRUE(),VLOOKUP(MAX(-5,$H111-N111),Volsmile,2),0)),$CT111,$CU111,($A111-DateToday)+15,ABS(Option-2),1)*DF111*8)),0),0))</f>
        <v> </v>
      </c>
      <c r="BH111" s="300" t="str">
        <f aca="false">IF($A111="N/A"," ",IF(OR(Dayrun=1,Dayrun=5,Dayrun=8,Dayrun=11),MAX(0,(xSPRDOPT(O111,($E111-'Pricing Inputs'!$X146*$D111),$CV111,0,($CQ111+IF(Smile=TRUE(),VLOOKUP(MAX(-5,$H111-O111),Volsmile,2),0)),$CT111,$CU111,($A111-DateToday)+15,ABS(Option-2),1)*DG111*8)),0))</f>
        <v> </v>
      </c>
      <c r="BI111" s="300" t="str">
        <f aca="false">IF($A111="N/A"," ",IF(OR(Dayrun=1,Dayrun=8,Dayrun=11),MAX(0,(xSPRDOPT(P111,($E111-'Pricing Inputs'!$X146*$D111),$CV111,0,($CQ111+IF(Smile=TRUE(),VLOOKUP(MAX(-5,$H111-P111),Volsmile,2),0)),$CT111,$CU111,($A111-DateToday)+15,ABS(Option-2),1)*DG111*8)),0))</f>
        <v> </v>
      </c>
      <c r="BJ111" s="301" t="str">
        <f aca="false">IF($A111="N/A"," ",IF(OR(Dayrun&lt;=2,Dayrun&gt;=11),IF(OffPeakEx=TRUE(),MAX(0,(xSPRDOPT(Q111,($E111-'Pricing Inputs'!$X146*$D111),$CV111,0,($CQ111+IF(Smile=TRUE(),VLOOKUP(MAX(-5,$H111-Q111),Volsmile,2),0)),$CT111,$CU111,($A111-DateToday)+15,ABS(Option-2),1)*DG111*8)),0),0))</f>
        <v> </v>
      </c>
      <c r="BK111" s="302" t="str">
        <f aca="false">IF($A111="N/A"," ",R111*$AS111)</f>
        <v> </v>
      </c>
      <c r="BL111" s="303" t="str">
        <f aca="false">IF($A111="N/A"," ",S111*$AT111)</f>
        <v> </v>
      </c>
      <c r="BM111" s="303" t="str">
        <f aca="false">IF($A111="N/A"," ",T111*$AU111)</f>
        <v> </v>
      </c>
      <c r="BN111" s="303" t="str">
        <f aca="false">IF($A111="N/A"," ",U111*$AV111)</f>
        <v> </v>
      </c>
      <c r="BO111" s="303" t="str">
        <f aca="false">IF($A111="N/A"," ",V111*$AW111)</f>
        <v> </v>
      </c>
      <c r="BP111" s="303" t="str">
        <f aca="false">IF($A111="N/A"," ",W111*$AX111)</f>
        <v> </v>
      </c>
      <c r="BQ111" s="303" t="str">
        <f aca="false">IF($A111="N/A"," ",X111*$AY111)</f>
        <v> </v>
      </c>
      <c r="BR111" s="303" t="str">
        <f aca="false">IF($A111="N/A"," ",Y111*$AZ111)</f>
        <v> </v>
      </c>
      <c r="BS111" s="304" t="str">
        <f aca="false">IF($A111="N/A"," ",Z111*$BA111)</f>
        <v> </v>
      </c>
      <c r="BT111" s="305" t="str">
        <f aca="false">IF($A111="N/A"," ",AA111*$AS111)</f>
        <v> </v>
      </c>
      <c r="BU111" s="306" t="str">
        <f aca="false">IF($A111="N/A"," ",AB111*$AT111)</f>
        <v> </v>
      </c>
      <c r="BV111" s="306" t="str">
        <f aca="false">IF($A111="N/A"," ",AC111*$AU111)</f>
        <v> </v>
      </c>
      <c r="BW111" s="306" t="str">
        <f aca="false">IF($A111="N/A"," ",AD111*$AV111)</f>
        <v> </v>
      </c>
      <c r="BX111" s="306" t="str">
        <f aca="false">IF($A111="N/A"," ",AE111*$AW111)</f>
        <v> </v>
      </c>
      <c r="BY111" s="306" t="str">
        <f aca="false">IF($A111="N/A"," ",AF111*$AX111)</f>
        <v> </v>
      </c>
      <c r="BZ111" s="306" t="str">
        <f aca="false">IF($A111="N/A"," ",AG111*$AY111)</f>
        <v> </v>
      </c>
      <c r="CA111" s="306" t="str">
        <f aca="false">IF($A111="N/A"," ",AH111*$AZ111)</f>
        <v> </v>
      </c>
      <c r="CB111" s="307" t="str">
        <f aca="false">IF($A111="N/A"," ",AI111*$BA111)</f>
        <v> </v>
      </c>
      <c r="CC111" s="308" t="str">
        <f aca="false">IF($A111="N/A"," ",AJ111*$AS111)</f>
        <v> </v>
      </c>
      <c r="CD111" s="309" t="str">
        <f aca="false">IF($A111="N/A"," ",AK111*$AT111)</f>
        <v> </v>
      </c>
      <c r="CE111" s="309" t="str">
        <f aca="false">IF($A111="N/A"," ",AL111*$AU111)</f>
        <v> </v>
      </c>
      <c r="CF111" s="309" t="str">
        <f aca="false">IF($A111="N/A"," ",AM111*$AV111)</f>
        <v> </v>
      </c>
      <c r="CG111" s="309" t="str">
        <f aca="false">IF($A111="N/A"," ",AN111*$AW111)</f>
        <v> </v>
      </c>
      <c r="CH111" s="309" t="str">
        <f aca="false">IF($A111="N/A"," ",AO111*$AX111)</f>
        <v> </v>
      </c>
      <c r="CI111" s="309" t="str">
        <f aca="false">IF($A111="N/A"," ",AP111*$AY111)</f>
        <v> </v>
      </c>
      <c r="CJ111" s="309" t="str">
        <f aca="false">IF($A111="N/A"," ",AQ111*$AZ111)</f>
        <v> </v>
      </c>
      <c r="CK111" s="310" t="str">
        <f aca="false">IF($A111="N/A"," ",AR111*$BA111)</f>
        <v> </v>
      </c>
      <c r="CL111" s="311" t="str">
        <f aca="false">IF(A111="N/A"," ",(VLOOKUP(A111,PowerVolTable,(IF(VolBMO=2,7,IF(VolBMO=1,6,8))),FALSE())))</f>
        <v> </v>
      </c>
      <c r="CM111" s="312" t="str">
        <f aca="false">IF(A111="N/A"," ",(VLOOKUP(A111,IntraPowerVol,(IF(VolBMO=2,3,IF(VolBMO=1,2,4))),FALSE())*VLOOKUP(MONTH($A111),Volscale,2)))</f>
        <v> </v>
      </c>
      <c r="CN111" s="312" t="str">
        <f aca="false">IF($A111="N/A"," ",IF(VolType=1,CM111,CL111))</f>
        <v> </v>
      </c>
      <c r="CO111" s="312" t="str">
        <f aca="false">IF($A111="N/A"," ",(VLOOKUP($A111,OffPeakVol,(IF(VolBMO=2,7,IF(VolBMO=1,6,8))),FALSE())))</f>
        <v> </v>
      </c>
      <c r="CP111" s="312" t="str">
        <f aca="false">IF($A111="N/A"," ",(VLOOKUP($A111,OffPeakVol,(IF(VolBMO=2,3,IF(VolBMO=1,2,4))),FALSE())*VLOOKUP(MONTH($A111),Volscale,2)))</f>
        <v> </v>
      </c>
      <c r="CQ111" s="312" t="str">
        <f aca="false">IF($A111="N/A"," ",IF(VolType=1,CP111,CO111))</f>
        <v> </v>
      </c>
      <c r="CR111" s="312" t="str">
        <f aca="false">IF($A111="N/A"," ",(VLOOKUP($A111,GasVolTable,(IF(VolBMO=2,6,IF(VolBMO=1,7,5))),FALSE())))</f>
        <v> </v>
      </c>
      <c r="CS111" s="312" t="str">
        <f aca="false">IF($A111="N/A"," ",(VLOOKUP($A111,OmicronVol,(IF(VolBMO=2,3,IF(VolBMO=1,4,2))),FALSE())))</f>
        <v> </v>
      </c>
      <c r="CT111" s="312" t="str">
        <f aca="false">IF($A111="N/A"," ",(IF(DateToday&gt;$A111,$CS111,IF(VolType=1,((($CR111^2)*((($A111-1)-DateToday)/((EOMONTH($A111,0)+1)-DateToday-15)))+((($CS111)^2)*((15)/((EOMONTH($A111,0)+1)-DateToday-15))))^0.5,CR111))))</f>
        <v> </v>
      </c>
      <c r="CU111" s="312" t="str">
        <f aca="false">IF($A111="N/A"," ",IF('Pricing Inputs'!$AR$23=TRUE(),Inputs!$S$22,VLOOKUP($A111,CorrelationTable,2,FALSE())))</f>
        <v> </v>
      </c>
      <c r="CV111" s="313" t="str">
        <f aca="false">IF($A111="N/A"," ",F111+G111+(D111*('Pricing Inputs'!X146)))</f>
        <v> </v>
      </c>
      <c r="CW111" s="314" t="str">
        <f aca="false">IF($A111="N/A"," ",IF(PV=1,0,'Pricing Inputs'!Y146))</f>
        <v> </v>
      </c>
      <c r="CX111" s="315" t="str">
        <f aca="false">IF($A111="N/A"," ",(1+CW111/2)^(-2*((EOMONTH(A111,0)+20)-DateToday)/365.25))</f>
        <v> </v>
      </c>
      <c r="CY111" s="316" t="str">
        <f aca="false">IF($A111="N/A"," ",(IF(MONTH(A111)&gt;=4,IF(MONTH(A111)&lt;=10,Inputs!$S$26,Inputs!$S$27),Inputs!$S$27))*$CX111)</f>
        <v> </v>
      </c>
      <c r="CZ111" s="317" t="str">
        <f aca="false">IF($A111="N/A"," ",BK111+BL111+BN111+BO111+BQ111+BR111)</f>
        <v> </v>
      </c>
      <c r="DA111" s="318" t="str">
        <f aca="false">IF($A111="N/A"," ",BM111+BP111+BS111)</f>
        <v> </v>
      </c>
      <c r="DB111" s="319" t="str">
        <f aca="false">IF($A111="N/A"," ",BT111+BU111+BW111+BX111+BZ111+CA111)</f>
        <v> </v>
      </c>
      <c r="DC111" s="319" t="str">
        <f aca="false">IF($A111="N/A"," ",BV111+BY111+CB111)</f>
        <v> </v>
      </c>
      <c r="DD111" s="320" t="str">
        <f aca="false">IF($A111="N/A"," ",SUM(CC111:CK111))</f>
        <v> </v>
      </c>
      <c r="DE111" s="321" t="str">
        <f aca="false">IF($A111="N/A"," ",VLOOKUP($A111,NumberofDaysTable,2)*Availability)</f>
        <v> </v>
      </c>
      <c r="DF111" s="94" t="str">
        <f aca="false">IF($A111="N/A"," ",VLOOKUP($A111,NumberofDaysTable,3)*Availability)</f>
        <v> </v>
      </c>
      <c r="DG111" s="322" t="str">
        <f aca="false">IF($A111="N/A"," ",VLOOKUP($A111,NumberofDaysTable,4)*Availability)</f>
        <v> </v>
      </c>
      <c r="DH111" s="323" t="str">
        <f aca="false">IF($A111="N/A"," ",IF(Option=1,$D111*Inputs!$S$15*SUM(AS111:BA111),0))</f>
        <v> </v>
      </c>
      <c r="DI111" s="324" t="str">
        <f aca="false">IF($A111="N/A"," ",IF(Option=1,$D111*Inputs!$S$16*SUM(AS111:BA111),0))</f>
        <v> </v>
      </c>
      <c r="DJ111" s="325" t="str">
        <f aca="false">IF($A111="N/A"," ",SUM(AS111:AT111))</f>
        <v> </v>
      </c>
      <c r="DK111" s="325" t="str">
        <f aca="false">IF($A111="N/A"," ",SUM(AU111:BA111))</f>
        <v> </v>
      </c>
      <c r="DL111" s="325" t="str">
        <f aca="false">IF($A111="N/A"," ",SUM(BB111:BC111))</f>
        <v> </v>
      </c>
      <c r="DM111" s="325" t="str">
        <f aca="false">IF($A111="N/A"," ",SUM(BD111:BJ111))</f>
        <v> </v>
      </c>
    </row>
    <row r="112" customFormat="false" ht="12.75" hidden="false" customHeight="false" outlineLevel="0" collapsed="false">
      <c r="A112" s="282" t="str">
        <f aca="false">IF(A111="N/A","N/A",IF(EDATE(A111,1)&gt;Inputs!$S$5,"N/A",EDATE(A111,1)))</f>
        <v>N/A</v>
      </c>
      <c r="B112" s="283" t="str">
        <f aca="false">IF(A112="N/A"," ",YEAR(A112))</f>
        <v> </v>
      </c>
      <c r="C112" s="284" t="str">
        <f aca="false">IF(A112="N/A"," ",VLOOKUP(A112,ScaledPrice,14))</f>
        <v> </v>
      </c>
      <c r="D112" s="285" t="str">
        <f aca="false">IF(A112="N/A"," ",(VLOOKUP(MONTH($A112),Hrtable,2))/1000)</f>
        <v> </v>
      </c>
      <c r="E112" s="286" t="str">
        <f aca="false">IF($A112="N/A"," ",(C112)*D112)</f>
        <v> </v>
      </c>
      <c r="F112" s="287" t="str">
        <f aca="false">IF(A112="N/A"," ",VOM*(1+VOMesc)^(YEAR(A112)-YEAR(Today)))</f>
        <v> </v>
      </c>
      <c r="G112" s="287" t="str">
        <f aca="false">IF(A112="N/A"," ",Perstart/VLOOKUP(Dayrun,'Pricing Inputs'!$AQ$4:$AS$14,3)/(CY112/CX112))</f>
        <v> </v>
      </c>
      <c r="H112" s="288" t="str">
        <f aca="false">IF(A112="N/A"," ",SUM(E112:G112))</f>
        <v> </v>
      </c>
      <c r="I112" s="289" t="str">
        <f aca="false">VLOOKUP($A112,ScaledPrice,6)</f>
        <v> </v>
      </c>
      <c r="J112" s="290" t="str">
        <f aca="false">VLOOKUP($A112,ScaledPrice,10)</f>
        <v> </v>
      </c>
      <c r="K112" s="290" t="str">
        <f aca="false">VLOOKUP($A112,ScaledPrice,13)</f>
        <v> </v>
      </c>
      <c r="L112" s="290" t="str">
        <f aca="false">VLOOKUP($A112,ScaledPrice,7)</f>
        <v> </v>
      </c>
      <c r="M112" s="290" t="str">
        <f aca="false">VLOOKUP($A112,ScaledPrice,11)</f>
        <v> </v>
      </c>
      <c r="N112" s="290" t="str">
        <f aca="false">VLOOKUP($A112,ScaledPrice,13)</f>
        <v> </v>
      </c>
      <c r="O112" s="290" t="str">
        <f aca="false">VLOOKUP($A112,ScaledPrice,8)</f>
        <v> </v>
      </c>
      <c r="P112" s="290" t="str">
        <f aca="false">VLOOKUP($A112,ScaledPrice,12)</f>
        <v> </v>
      </c>
      <c r="Q112" s="291" t="str">
        <f aca="false">VLOOKUP($A112,ScaledPrice,13)</f>
        <v> </v>
      </c>
      <c r="R112" s="292" t="str">
        <f aca="false">IF($A112="N/A"," ",IF(Dayrun&gt;=3,IF(Option=1,MAX($I112-$H112,0),IF(Option=2,MAX($H112-$I112,0),0)),0))</f>
        <v> </v>
      </c>
      <c r="S112" s="286" t="str">
        <f aca="false">IF($A112="N/A"," ",IF(Dayrun&gt;=6,IF(Option=1,MAX($J112-H112,0),IF(Option=2,MAX(H112-$J112,0),0)),0))</f>
        <v> </v>
      </c>
      <c r="T112" s="286" t="str">
        <f aca="false">IF($A112="N/A"," ",IF(OR(Dayrun&lt;=2,Dayrun&gt;=9),IF(Option=1,MAX($K112-$H112,0),IF(Option=2,MAX($H112-$K112,0),0)),0))</f>
        <v> </v>
      </c>
      <c r="U112" s="286" t="str">
        <f aca="false">IF($A112="N/A"," ",IF(OR(Dayrun=1,Dayrun=4,Dayrun=5,Dayrun=7,Dayrun=8,Dayrun=10,Dayrun=11),IF(Option=1,MAX($L112-H112,0),IF(Option=2,MAX(H112-$L112,0),0)),0))</f>
        <v> </v>
      </c>
      <c r="V112" s="286" t="str">
        <f aca="false">IF($A112="N/A"," ",IF(OR(Dayrun=1,Dayrun=7,Dayrun=8,Dayrun=10,Dayrun=11),IF(Option=1,MAX($M112-H112,0),IF(Option=2,MAX(H112-$M112,0),0)),0))</f>
        <v> </v>
      </c>
      <c r="W112" s="286" t="str">
        <f aca="false">IF($A112="N/A"," ",IF(OR(Dayrun&lt;=2,Dayrun&gt;=10),IF(Option=1,MAX($N112-$H112,0),IF(Option=2,MAX($H112-$N112,0),0)),0))</f>
        <v> </v>
      </c>
      <c r="X112" s="286" t="str">
        <f aca="false">IF($A112="N/A"," ",IF(OR(Dayrun=1,Dayrun=5,Dayrun=8,Dayrun=11),IF(Option=1,MAX($O112-H112,0),IF(Option=2,MAX(H112-$O112,0),0)),0))</f>
        <v> </v>
      </c>
      <c r="Y112" s="286" t="str">
        <f aca="false">IF($A112="N/A"," ",IF(OR(Dayrun=1,Dayrun=8,Dayrun=11),IF(Option=1,MAX($P112-H112,0),IF(Option=2,MAX(H112-$P112,0),0)),0))</f>
        <v> </v>
      </c>
      <c r="Z112" s="293" t="str">
        <f aca="false">IF($A112="N/A"," ",IF(OR(Dayrun&lt;=2,Dayrun&gt;=11),IF(Option=1,MAX($Q112-$H112,0),IF(Option=2,MAX($H112-$Q112,0),0)),0))</f>
        <v> </v>
      </c>
      <c r="AA112" s="289" t="str">
        <f aca="false">IF($A112="N/A"," ",IF(Dayrun&gt;=3,(MAX(0,(xSPRDOPT(I112,($E112-'Pricing Inputs'!$X147*$D112),$CV112,0,($CN112+IF(Smile=TRUE(),VLOOKUP(MAX(-5,$H112-I112),Volsmile,2),0)),$CT112,$CU112,($A112-DateToday)+15,ABS(Option-2),0)-R112))),0))</f>
        <v> </v>
      </c>
      <c r="AB112" s="290" t="str">
        <f aca="false">IF($A112="N/A"," ",IF(Dayrun&gt;=6,MAX(0,(xSPRDOPT(J112,($E112-'Pricing Inputs'!$X147*$D112),$CV112,0,($CN112+IF(Smile=TRUE(),VLOOKUP(MAX(-5,$H112-J112),Volsmile,2),0)),$CT112,$CU112,($A112-DateToday)+15,ABS(Option-2),0)-S112)),0))</f>
        <v> </v>
      </c>
      <c r="AC112" s="290" t="str">
        <f aca="false">IF($A112="N/A"," ",IF(OR(Dayrun&lt;=2,Dayrun&gt;=9),IF(OffPeakEx=TRUE(),MAX(0,(xSPRDOPT(K112,($E112-'Pricing Inputs'!$X147*$D112),$CV112,0,($CQ112+IF(Smile=TRUE(),VLOOKUP(MAX(-5,$H112-K112),Volsmile,2),0)),$CT112,$CU112,($A112-DateToday)+15,ABS(Option-2),0)-T112)),0),0))</f>
        <v> </v>
      </c>
      <c r="AD112" s="290" t="str">
        <f aca="false">IF($A112="N/A"," ",IF(OR(Dayrun=1,Dayrun=4,Dayrun=5,Dayrun=7,Dayrun=8,Dayrun=10,Dayrun=11),MAX(0,(xSPRDOPT(L112,($E112-'Pricing Inputs'!$X147*$D112),$CV112,0,($CQ112+IF(Smile=TRUE(),VLOOKUP(MAX(-5,$H112-L112),Volsmile,2),0)),$CT112,$CU112,($A112-DateToday)+15,ABS(Option-2),0)-U112)),0))</f>
        <v> </v>
      </c>
      <c r="AE112" s="290" t="str">
        <f aca="false">IF($A112="N/A"," ",IF(OR(Dayrun=1,Dayrun=7,Dayrun=8,Dayrun=10,Dayrun=11),MAX(0,(xSPRDOPT(M112,($E112-'Pricing Inputs'!$X147*$D112),$CV112,0,($CQ112+IF(Smile=TRUE(),VLOOKUP(MAX(-5,$H112-M112),Volsmile,2),0)),$CT112,$CU112,($A112-DateToday)+15,ABS(Option-2),0)-V112)),0))</f>
        <v> </v>
      </c>
      <c r="AF112" s="290" t="str">
        <f aca="false">IF($A112="N/A"," ",IF(OR(Dayrun&lt;=2,Dayrun&gt;=10),IF(OffPeakEx=TRUE(),MAX(0,(xSPRDOPT(N112,($E112-'Pricing Inputs'!$X147*$D112),$CV112,0,($CQ112+IF(Smile=TRUE(),VLOOKUP(MAX(-5,$H112-N112),Volsmile,2),0)),$CT112,$CU112,($A112-DateToday)+15,ABS(Option-2),0)-W112)),0),0))</f>
        <v> </v>
      </c>
      <c r="AG112" s="290" t="str">
        <f aca="false">IF($A112="N/A"," ",IF(OR(Dayrun=1,Dayrun=5,Dayrun=8,Dayrun=11),MAX(0,(xSPRDOPT(O112,($E112-'Pricing Inputs'!$X147*$D112),$CV112,0,($CQ112+IF(Smile=TRUE(),VLOOKUP(MAX(-5,$H112-O112),Volsmile,2),0)),$CT112,$CU112,($A112-DateToday)+15,ABS(Option-2),0)-X112)),0))</f>
        <v> </v>
      </c>
      <c r="AH112" s="290" t="str">
        <f aca="false">IF($A112="N/A"," ",IF(OR(Dayrun=1,Dayrun=8,Dayrun=11),MAX(0,(xSPRDOPT(P112,($E112-'Pricing Inputs'!$X147*$D112),$CV112,0,($CQ112+IF(Smile=TRUE(),VLOOKUP(MAX(-5,$H112-P112),Volsmile,2),0)),$CT112,$CU112,($A112-DateToday)+15,ABS(Option-2),0)-Y112)),0))</f>
        <v> </v>
      </c>
      <c r="AI112" s="290" t="str">
        <f aca="false">IF($A112="N/A"," ",IF(OR(Dayrun&lt;=2,Dayrun&gt;=11),IF(OffPeakEx=TRUE(),MAX(0,(xSPRDOPT(Q112,($E112-'Pricing Inputs'!$X147*$D112),$CV112,0,($CQ112+IF(Smile=TRUE(),VLOOKUP(MAX(-5,$H112-Q112),Volsmile,2),0)),$CT112,$CU112,($A112-DateToday)+15,ABS(Option-2),0)-Z112)),0),0))</f>
        <v> </v>
      </c>
      <c r="AJ112" s="294" t="str">
        <f aca="false">IF($A112="N/A"," ",IF(Dayrun&gt;=3,IF(Option=1,$I112-$H112,IF(Option=2,$H112-$I112)),0))</f>
        <v> </v>
      </c>
      <c r="AK112" s="295" t="str">
        <f aca="false">IF($A112="N/A"," ",IF(Dayrun&gt;=6,IF(Option=1,$J112-H112,IF(Option=2,H112-$J112)),0))</f>
        <v> </v>
      </c>
      <c r="AL112" s="295" t="str">
        <f aca="false">IF($A112="N/A"," ",IF(OR(Dayrun&lt;=2,Dayrun&gt;=9),IF(Option=1,$K112-$H112,IF(Option=2,$H112-$K112)),0))</f>
        <v> </v>
      </c>
      <c r="AM112" s="295" t="str">
        <f aca="false">IF($A112="N/A"," ",IF(OR(Dayrun=1,Dayrun=4,Dayrun=5,Dayrun=7,Dayrun=8,Dayrun=10,Dayrun=11),IF(Option=1,$L112-H112,IF(Option=2,H112-$L112)),0))</f>
        <v> </v>
      </c>
      <c r="AN112" s="295" t="str">
        <f aca="false">IF($A112="N/A"," ",IF(OR(Dayrun=1,Dayrun=7,Dayrun=8,Dayrun=10,Dayrun=11),IF(Option=1,$M112-H112,IF(Option=2,H112-$M112)),0))</f>
        <v> </v>
      </c>
      <c r="AO112" s="295" t="str">
        <f aca="false">IF($A112="N/A"," ",IF(OR(Dayrun&lt;=2,Dayrun&gt;=9),IF(Option=1,$N112-$H112,IF(Option=2,$H112-$N112)),0))</f>
        <v> </v>
      </c>
      <c r="AP112" s="295" t="str">
        <f aca="false">IF($A112="N/A"," ",IF(OR(Dayrun=1,Dayrun=5,Dayrun=8,Dayrun=11),IF(Option=1,$O112-H112,IF(Option=2,H112-$O112)),0))</f>
        <v> </v>
      </c>
      <c r="AQ112" s="295" t="str">
        <f aca="false">IF($A112="N/A"," ",IF(OR(Dayrun=1,Dayrun=8,Dayrun=11),IF(Option=1,$P112-H112,IF(Option=2,H112-$P112)),0))</f>
        <v> </v>
      </c>
      <c r="AR112" s="296" t="str">
        <f aca="false">IF($A112="N/A"," ",IF(OR(Dayrun&lt;=2,Dayrun&gt;=9),IF(Option=1,$Q112-H112,IF(Option=2,H112-$Q112)),0))</f>
        <v> </v>
      </c>
      <c r="AS112" s="297" t="str">
        <f aca="false">IF($A112="N/A"," ",IF(VLOOKUP(MONTH($A112),ManualTable,2)=1,IF(Dayrun&gt;=3,$DE112*8*$CY112,0),0))</f>
        <v> </v>
      </c>
      <c r="AT112" s="297" t="str">
        <f aca="false">IF($A112="N/A"," ",IF(VLOOKUP(MONTH($A112),ManualTable,3)=1,IF(Dayrun&gt;=6,$DE112*8*$CY112,0),0))</f>
        <v> </v>
      </c>
      <c r="AU112" s="297" t="str">
        <f aca="false">IF($A112="N/A"," ",IF(VLOOKUP(MONTH($A112),ManualTable,4)=1,IF(OR(Dayrun&lt;=2,Dayrun&gt;=9),$DE112*8*$CY112,0),0))</f>
        <v> </v>
      </c>
      <c r="AV112" s="297" t="str">
        <f aca="false">IF($A112="N/A"," ",IF(VLOOKUP(MONTH($A112),ManualTable,5)=1,IF(OR(Dayrun=1,Dayrun=4,Dayrun=5,Dayrun=7,Dayrun=8,Dayrun=10,Dayrun=11),$DF112*8*$CY112,0),0))</f>
        <v> </v>
      </c>
      <c r="AW112" s="297" t="str">
        <f aca="false">IF($A112="N/A"," ",IF(VLOOKUP(MONTH($A112),ManualTable,6)=1,IF(OR(Dayrun=1,Dayrun=7,Dayrun=8,Dayrun=10,Dayrun=11),$DF112*8*$CY112,0),0))</f>
        <v> </v>
      </c>
      <c r="AX112" s="297" t="str">
        <f aca="false">IF($A112="N/A"," ",IF(VLOOKUP(MONTH($A112),ManualTable,7)=1,IF(OR(Dayrun&lt;=2,Dayrun&gt;=9),$DF112*8*$CY112,0),0))</f>
        <v> </v>
      </c>
      <c r="AY112" s="297" t="str">
        <f aca="false">IF($A112="N/A"," ",IF(VLOOKUP(MONTH($A112),ManualTable,8)=1,IF(OR(Dayrun=1,Dayrun=5,Dayrun=8,Dayrun=11),$DG112*8*$CY112,0),0))</f>
        <v> </v>
      </c>
      <c r="AZ112" s="297" t="str">
        <f aca="false">IF($A112="N/A"," ",IF(VLOOKUP(MONTH($A112),ManualTable,9)=1,IF(OR(Dayrun=1,Dayrun=8,Dayrun=11),$DG112*8*$CY112,0),0))</f>
        <v> </v>
      </c>
      <c r="BA112" s="298" t="str">
        <f aca="false">IF($A112="N/A"," ",IF(VLOOKUP(MONTH($A112),ManualTable,10)=1,IF(OR(Dayrun&lt;=2,Dayrun&gt;=9),$DG112*8*$CY112,0),0))</f>
        <v> </v>
      </c>
      <c r="BB112" s="299" t="str">
        <f aca="false">IF($A112="N/A"," ",IF(Dayrun&gt;=3,(MAX(0,(xSPRDOPT(I112,($E112-'Pricing Inputs'!$X147*$D112),$CV112,0,($CN112+IF(Smile=TRUE(),VLOOKUP(MAX(-5,$H112-I112),Volsmile,2),0)),$CT112,$CU112,($A112-DateToday)+15,ABS(Option-2),1)*DE112*8))),0))</f>
        <v> </v>
      </c>
      <c r="BC112" s="300" t="str">
        <f aca="false">IF($A112="N/A"," ",IF(Dayrun&gt;=6,MAX(0,(xSPRDOPT(J112,($E112-'Pricing Inputs'!$X147*$D112),$CV112,0,($CN112+IF(Smile=TRUE(),VLOOKUP(MAX(-5,$H112-J112),Volsmile,2),0)),$CT112,$CU112,($A112-DateToday)+15,ABS(Option-2),1)*DE112*8)),0))</f>
        <v> </v>
      </c>
      <c r="BD112" s="300" t="str">
        <f aca="false">IF($A112="N/A"," ",IF(OR(Dayrun&lt;=2,Dayrun&gt;=9),IF(OffPeakEx=TRUE(),MAX(0,(xSPRDOPT(K112,($E112-'Pricing Inputs'!$X147*$D112),$CV112,0,($CQ112+IF(Smile=TRUE(),VLOOKUP(MAX(-5,$H112-K112),Volsmile,2),0)),$CT112,$CU112,($A112-DateToday)+15,ABS(Option-2),1)*DE112*8)),0),0))</f>
        <v> </v>
      </c>
      <c r="BE112" s="300" t="str">
        <f aca="false">IF($A112="N/A"," ",IF(OR(Dayrun=1,Dayrun=4,Dayrun=5,Dayrun=7,Dayrun=8,Dayrun=10,Dayrun=11),MAX(0,(xSPRDOPT(L112,($E112-'Pricing Inputs'!$X147*$D112),$CV112,0,($CQ112+IF(Smile=TRUE(),VLOOKUP(MAX(-5,$H112-L112),Volsmile,2),0)),$CT112,$CU112,($A112-DateToday)+15,ABS(Option-2),1)*DF112*8)),0))</f>
        <v> </v>
      </c>
      <c r="BF112" s="300" t="str">
        <f aca="false">IF($A112="N/A"," ",IF(OR(Dayrun=1,Dayrun=7,Dayrun=8,Dayrun=10,Dayrun=11),MAX(0,(xSPRDOPT(M112,($E112-'Pricing Inputs'!$X147*$D112),$CV112,0,($CQ112+IF(Smile=TRUE(),VLOOKUP(MAX(-5,$H112-M112),Volsmile,2),0)),$CT112,$CU112,($A112-DateToday)+15,ABS(Option-2),1)*DF112*8)),0))</f>
        <v> </v>
      </c>
      <c r="BG112" s="300" t="str">
        <f aca="false">IF($A112="N/A"," ",IF(OR(Dayrun&lt;=2,Dayrun&gt;=10),IF(OffPeakEx=TRUE(),MAX(0,(xSPRDOPT(N112,($E112-'Pricing Inputs'!$X147*$D112),$CV112,0,($CQ112+IF(Smile=TRUE(),VLOOKUP(MAX(-5,$H112-N112),Volsmile,2),0)),$CT112,$CU112,($A112-DateToday)+15,ABS(Option-2),1)*DF112*8)),0),0))</f>
        <v> </v>
      </c>
      <c r="BH112" s="300" t="str">
        <f aca="false">IF($A112="N/A"," ",IF(OR(Dayrun=1,Dayrun=5,Dayrun=8,Dayrun=11),MAX(0,(xSPRDOPT(O112,($E112-'Pricing Inputs'!$X147*$D112),$CV112,0,($CQ112+IF(Smile=TRUE(),VLOOKUP(MAX(-5,$H112-O112),Volsmile,2),0)),$CT112,$CU112,($A112-DateToday)+15,ABS(Option-2),1)*DG112*8)),0))</f>
        <v> </v>
      </c>
      <c r="BI112" s="300" t="str">
        <f aca="false">IF($A112="N/A"," ",IF(OR(Dayrun=1,Dayrun=8,Dayrun=11),MAX(0,(xSPRDOPT(P112,($E112-'Pricing Inputs'!$X147*$D112),$CV112,0,($CQ112+IF(Smile=TRUE(),VLOOKUP(MAX(-5,$H112-P112),Volsmile,2),0)),$CT112,$CU112,($A112-DateToday)+15,ABS(Option-2),1)*DG112*8)),0))</f>
        <v> </v>
      </c>
      <c r="BJ112" s="301" t="str">
        <f aca="false">IF($A112="N/A"," ",IF(OR(Dayrun&lt;=2,Dayrun&gt;=11),IF(OffPeakEx=TRUE(),MAX(0,(xSPRDOPT(Q112,($E112-'Pricing Inputs'!$X147*$D112),$CV112,0,($CQ112+IF(Smile=TRUE(),VLOOKUP(MAX(-5,$H112-Q112),Volsmile,2),0)),$CT112,$CU112,($A112-DateToday)+15,ABS(Option-2),1)*DG112*8)),0),0))</f>
        <v> </v>
      </c>
      <c r="BK112" s="302" t="str">
        <f aca="false">IF($A112="N/A"," ",R112*$AS112)</f>
        <v> </v>
      </c>
      <c r="BL112" s="303" t="str">
        <f aca="false">IF($A112="N/A"," ",S112*$AT112)</f>
        <v> </v>
      </c>
      <c r="BM112" s="303" t="str">
        <f aca="false">IF($A112="N/A"," ",T112*$AU112)</f>
        <v> </v>
      </c>
      <c r="BN112" s="303" t="str">
        <f aca="false">IF($A112="N/A"," ",U112*$AV112)</f>
        <v> </v>
      </c>
      <c r="BO112" s="303" t="str">
        <f aca="false">IF($A112="N/A"," ",V112*$AW112)</f>
        <v> </v>
      </c>
      <c r="BP112" s="303" t="str">
        <f aca="false">IF($A112="N/A"," ",W112*$AX112)</f>
        <v> </v>
      </c>
      <c r="BQ112" s="303" t="str">
        <f aca="false">IF($A112="N/A"," ",X112*$AY112)</f>
        <v> </v>
      </c>
      <c r="BR112" s="303" t="str">
        <f aca="false">IF($A112="N/A"," ",Y112*$AZ112)</f>
        <v> </v>
      </c>
      <c r="BS112" s="304" t="str">
        <f aca="false">IF($A112="N/A"," ",Z112*$BA112)</f>
        <v> </v>
      </c>
      <c r="BT112" s="305" t="str">
        <f aca="false">IF($A112="N/A"," ",AA112*$AS112)</f>
        <v> </v>
      </c>
      <c r="BU112" s="306" t="str">
        <f aca="false">IF($A112="N/A"," ",AB112*$AT112)</f>
        <v> </v>
      </c>
      <c r="BV112" s="306" t="str">
        <f aca="false">IF($A112="N/A"," ",AC112*$AU112)</f>
        <v> </v>
      </c>
      <c r="BW112" s="306" t="str">
        <f aca="false">IF($A112="N/A"," ",AD112*$AV112)</f>
        <v> </v>
      </c>
      <c r="BX112" s="306" t="str">
        <f aca="false">IF($A112="N/A"," ",AE112*$AW112)</f>
        <v> </v>
      </c>
      <c r="BY112" s="306" t="str">
        <f aca="false">IF($A112="N/A"," ",AF112*$AX112)</f>
        <v> </v>
      </c>
      <c r="BZ112" s="306" t="str">
        <f aca="false">IF($A112="N/A"," ",AG112*$AY112)</f>
        <v> </v>
      </c>
      <c r="CA112" s="306" t="str">
        <f aca="false">IF($A112="N/A"," ",AH112*$AZ112)</f>
        <v> </v>
      </c>
      <c r="CB112" s="307" t="str">
        <f aca="false">IF($A112="N/A"," ",AI112*$BA112)</f>
        <v> </v>
      </c>
      <c r="CC112" s="308" t="str">
        <f aca="false">IF($A112="N/A"," ",AJ112*$AS112)</f>
        <v> </v>
      </c>
      <c r="CD112" s="309" t="str">
        <f aca="false">IF($A112="N/A"," ",AK112*$AT112)</f>
        <v> </v>
      </c>
      <c r="CE112" s="309" t="str">
        <f aca="false">IF($A112="N/A"," ",AL112*$AU112)</f>
        <v> </v>
      </c>
      <c r="CF112" s="309" t="str">
        <f aca="false">IF($A112="N/A"," ",AM112*$AV112)</f>
        <v> </v>
      </c>
      <c r="CG112" s="309" t="str">
        <f aca="false">IF($A112="N/A"," ",AN112*$AW112)</f>
        <v> </v>
      </c>
      <c r="CH112" s="309" t="str">
        <f aca="false">IF($A112="N/A"," ",AO112*$AX112)</f>
        <v> </v>
      </c>
      <c r="CI112" s="309" t="str">
        <f aca="false">IF($A112="N/A"," ",AP112*$AY112)</f>
        <v> </v>
      </c>
      <c r="CJ112" s="309" t="str">
        <f aca="false">IF($A112="N/A"," ",AQ112*$AZ112)</f>
        <v> </v>
      </c>
      <c r="CK112" s="310" t="str">
        <f aca="false">IF($A112="N/A"," ",AR112*$BA112)</f>
        <v> </v>
      </c>
      <c r="CL112" s="311" t="str">
        <f aca="false">IF(A112="N/A"," ",(VLOOKUP(A112,PowerVolTable,(IF(VolBMO=2,7,IF(VolBMO=1,6,8))),FALSE())))</f>
        <v> </v>
      </c>
      <c r="CM112" s="312" t="str">
        <f aca="false">IF(A112="N/A"," ",(VLOOKUP(A112,IntraPowerVol,(IF(VolBMO=2,3,IF(VolBMO=1,2,4))),FALSE())*VLOOKUP(MONTH($A112),Volscale,2)))</f>
        <v> </v>
      </c>
      <c r="CN112" s="312" t="str">
        <f aca="false">IF($A112="N/A"," ",IF(VolType=1,CM112,CL112))</f>
        <v> </v>
      </c>
      <c r="CO112" s="312" t="str">
        <f aca="false">IF($A112="N/A"," ",(VLOOKUP($A112,OffPeakVol,(IF(VolBMO=2,7,IF(VolBMO=1,6,8))),FALSE())))</f>
        <v> </v>
      </c>
      <c r="CP112" s="312" t="str">
        <f aca="false">IF($A112="N/A"," ",(VLOOKUP($A112,OffPeakVol,(IF(VolBMO=2,3,IF(VolBMO=1,2,4))),FALSE())*VLOOKUP(MONTH($A112),Volscale,2)))</f>
        <v> </v>
      </c>
      <c r="CQ112" s="312" t="str">
        <f aca="false">IF($A112="N/A"," ",IF(VolType=1,CP112,CO112))</f>
        <v> </v>
      </c>
      <c r="CR112" s="312" t="str">
        <f aca="false">IF($A112="N/A"," ",(VLOOKUP($A112,GasVolTable,(IF(VolBMO=2,6,IF(VolBMO=1,7,5))),FALSE())))</f>
        <v> </v>
      </c>
      <c r="CS112" s="312" t="str">
        <f aca="false">IF($A112="N/A"," ",(VLOOKUP($A112,OmicronVol,(IF(VolBMO=2,3,IF(VolBMO=1,4,2))),FALSE())))</f>
        <v> </v>
      </c>
      <c r="CT112" s="312" t="str">
        <f aca="false">IF($A112="N/A"," ",(IF(DateToday&gt;$A112,$CS112,IF(VolType=1,((($CR112^2)*((($A112-1)-DateToday)/((EOMONTH($A112,0)+1)-DateToday-15)))+((($CS112)^2)*((15)/((EOMONTH($A112,0)+1)-DateToday-15))))^0.5,CR112))))</f>
        <v> </v>
      </c>
      <c r="CU112" s="312" t="str">
        <f aca="false">IF($A112="N/A"," ",IF('Pricing Inputs'!$AR$23=TRUE(),Inputs!$S$22,VLOOKUP($A112,CorrelationTable,2,FALSE())))</f>
        <v> </v>
      </c>
      <c r="CV112" s="313" t="str">
        <f aca="false">IF($A112="N/A"," ",F112+G112+(D112*('Pricing Inputs'!X147)))</f>
        <v> </v>
      </c>
      <c r="CW112" s="314" t="str">
        <f aca="false">IF($A112="N/A"," ",IF(PV=1,0,'Pricing Inputs'!Y147))</f>
        <v> </v>
      </c>
      <c r="CX112" s="315" t="str">
        <f aca="false">IF($A112="N/A"," ",(1+CW112/2)^(-2*((EOMONTH(A112,0)+20)-DateToday)/365.25))</f>
        <v> </v>
      </c>
      <c r="CY112" s="316" t="str">
        <f aca="false">IF($A112="N/A"," ",(IF(MONTH(A112)&gt;=4,IF(MONTH(A112)&lt;=10,Inputs!$S$26,Inputs!$S$27),Inputs!$S$27))*$CX112)</f>
        <v> </v>
      </c>
      <c r="CZ112" s="317" t="str">
        <f aca="false">IF($A112="N/A"," ",BK112+BL112+BN112+BO112+BQ112+BR112)</f>
        <v> </v>
      </c>
      <c r="DA112" s="318" t="str">
        <f aca="false">IF($A112="N/A"," ",BM112+BP112+BS112)</f>
        <v> </v>
      </c>
      <c r="DB112" s="319" t="str">
        <f aca="false">IF($A112="N/A"," ",BT112+BU112+BW112+BX112+BZ112+CA112)</f>
        <v> </v>
      </c>
      <c r="DC112" s="319" t="str">
        <f aca="false">IF($A112="N/A"," ",BV112+BY112+CB112)</f>
        <v> </v>
      </c>
      <c r="DD112" s="320" t="str">
        <f aca="false">IF($A112="N/A"," ",SUM(CC112:CK112))</f>
        <v> </v>
      </c>
      <c r="DE112" s="321" t="str">
        <f aca="false">IF($A112="N/A"," ",VLOOKUP($A112,NumberofDaysTable,2)*Availability)</f>
        <v> </v>
      </c>
      <c r="DF112" s="94" t="str">
        <f aca="false">IF($A112="N/A"," ",VLOOKUP($A112,NumberofDaysTable,3)*Availability)</f>
        <v> </v>
      </c>
      <c r="DG112" s="322" t="str">
        <f aca="false">IF($A112="N/A"," ",VLOOKUP($A112,NumberofDaysTable,4)*Availability)</f>
        <v> </v>
      </c>
      <c r="DH112" s="323" t="str">
        <f aca="false">IF($A112="N/A"," ",IF(Option=1,$D112*Inputs!$S$15*SUM(AS112:BA112),0))</f>
        <v> </v>
      </c>
      <c r="DI112" s="324" t="str">
        <f aca="false">IF($A112="N/A"," ",IF(Option=1,$D112*Inputs!$S$16*SUM(AS112:BA112),0))</f>
        <v> </v>
      </c>
      <c r="DJ112" s="325" t="str">
        <f aca="false">IF($A112="N/A"," ",SUM(AS112:AT112))</f>
        <v> </v>
      </c>
      <c r="DK112" s="325" t="str">
        <f aca="false">IF($A112="N/A"," ",SUM(AU112:BA112))</f>
        <v> </v>
      </c>
      <c r="DL112" s="325" t="str">
        <f aca="false">IF($A112="N/A"," ",SUM(BB112:BC112))</f>
        <v> </v>
      </c>
      <c r="DM112" s="325" t="str">
        <f aca="false">IF($A112="N/A"," ",SUM(BD112:BJ112))</f>
        <v> </v>
      </c>
    </row>
    <row r="113" customFormat="false" ht="12.75" hidden="false" customHeight="false" outlineLevel="0" collapsed="false">
      <c r="A113" s="282" t="str">
        <f aca="false">IF(A112="N/A","N/A",IF(EDATE(A112,1)&gt;Inputs!$S$5,"N/A",EDATE(A112,1)))</f>
        <v>N/A</v>
      </c>
      <c r="B113" s="283" t="str">
        <f aca="false">IF(A113="N/A"," ",YEAR(A113))</f>
        <v> </v>
      </c>
      <c r="C113" s="284" t="str">
        <f aca="false">IF(A113="N/A"," ",VLOOKUP(A113,ScaledPrice,14))</f>
        <v> </v>
      </c>
      <c r="D113" s="285" t="str">
        <f aca="false">IF(A113="N/A"," ",(VLOOKUP(MONTH($A113),Hrtable,2))/1000)</f>
        <v> </v>
      </c>
      <c r="E113" s="286" t="str">
        <f aca="false">IF($A113="N/A"," ",(C113)*D113)</f>
        <v> </v>
      </c>
      <c r="F113" s="287" t="str">
        <f aca="false">IF(A113="N/A"," ",VOM*(1+VOMesc)^(YEAR(A113)-YEAR(Today)))</f>
        <v> </v>
      </c>
      <c r="G113" s="287" t="str">
        <f aca="false">IF(A113="N/A"," ",Perstart/VLOOKUP(Dayrun,'Pricing Inputs'!$AQ$4:$AS$14,3)/(CY113/CX113))</f>
        <v> </v>
      </c>
      <c r="H113" s="288" t="str">
        <f aca="false">IF(A113="N/A"," ",SUM(E113:G113))</f>
        <v> </v>
      </c>
      <c r="I113" s="289" t="str">
        <f aca="false">VLOOKUP($A113,ScaledPrice,6)</f>
        <v> </v>
      </c>
      <c r="J113" s="290" t="str">
        <f aca="false">VLOOKUP($A113,ScaledPrice,10)</f>
        <v> </v>
      </c>
      <c r="K113" s="290" t="str">
        <f aca="false">VLOOKUP($A113,ScaledPrice,13)</f>
        <v> </v>
      </c>
      <c r="L113" s="290" t="str">
        <f aca="false">VLOOKUP($A113,ScaledPrice,7)</f>
        <v> </v>
      </c>
      <c r="M113" s="290" t="str">
        <f aca="false">VLOOKUP($A113,ScaledPrice,11)</f>
        <v> </v>
      </c>
      <c r="N113" s="290" t="str">
        <f aca="false">VLOOKUP($A113,ScaledPrice,13)</f>
        <v> </v>
      </c>
      <c r="O113" s="290" t="str">
        <f aca="false">VLOOKUP($A113,ScaledPrice,8)</f>
        <v> </v>
      </c>
      <c r="P113" s="290" t="str">
        <f aca="false">VLOOKUP($A113,ScaledPrice,12)</f>
        <v> </v>
      </c>
      <c r="Q113" s="291" t="str">
        <f aca="false">VLOOKUP($A113,ScaledPrice,13)</f>
        <v> </v>
      </c>
      <c r="R113" s="292" t="str">
        <f aca="false">IF($A113="N/A"," ",IF(Dayrun&gt;=3,IF(Option=1,MAX($I113-$H113,0),IF(Option=2,MAX($H113-$I113,0),0)),0))</f>
        <v> </v>
      </c>
      <c r="S113" s="286" t="str">
        <f aca="false">IF($A113="N/A"," ",IF(Dayrun&gt;=6,IF(Option=1,MAX($J113-H113,0),IF(Option=2,MAX(H113-$J113,0),0)),0))</f>
        <v> </v>
      </c>
      <c r="T113" s="286" t="str">
        <f aca="false">IF($A113="N/A"," ",IF(OR(Dayrun&lt;=2,Dayrun&gt;=9),IF(Option=1,MAX($K113-$H113,0),IF(Option=2,MAX($H113-$K113,0),0)),0))</f>
        <v> </v>
      </c>
      <c r="U113" s="286" t="str">
        <f aca="false">IF($A113="N/A"," ",IF(OR(Dayrun=1,Dayrun=4,Dayrun=5,Dayrun=7,Dayrun=8,Dayrun=10,Dayrun=11),IF(Option=1,MAX($L113-H113,0),IF(Option=2,MAX(H113-$L113,0),0)),0))</f>
        <v> </v>
      </c>
      <c r="V113" s="286" t="str">
        <f aca="false">IF($A113="N/A"," ",IF(OR(Dayrun=1,Dayrun=7,Dayrun=8,Dayrun=10,Dayrun=11),IF(Option=1,MAX($M113-H113,0),IF(Option=2,MAX(H113-$M113,0),0)),0))</f>
        <v> </v>
      </c>
      <c r="W113" s="286" t="str">
        <f aca="false">IF($A113="N/A"," ",IF(OR(Dayrun&lt;=2,Dayrun&gt;=10),IF(Option=1,MAX($N113-$H113,0),IF(Option=2,MAX($H113-$N113,0),0)),0))</f>
        <v> </v>
      </c>
      <c r="X113" s="286" t="str">
        <f aca="false">IF($A113="N/A"," ",IF(OR(Dayrun=1,Dayrun=5,Dayrun=8,Dayrun=11),IF(Option=1,MAX($O113-H113,0),IF(Option=2,MAX(H113-$O113,0),0)),0))</f>
        <v> </v>
      </c>
      <c r="Y113" s="286" t="str">
        <f aca="false">IF($A113="N/A"," ",IF(OR(Dayrun=1,Dayrun=8,Dayrun=11),IF(Option=1,MAX($P113-H113,0),IF(Option=2,MAX(H113-$P113,0),0)),0))</f>
        <v> </v>
      </c>
      <c r="Z113" s="293" t="str">
        <f aca="false">IF($A113="N/A"," ",IF(OR(Dayrun&lt;=2,Dayrun&gt;=11),IF(Option=1,MAX($Q113-$H113,0),IF(Option=2,MAX($H113-$Q113,0),0)),0))</f>
        <v> </v>
      </c>
      <c r="AA113" s="289" t="str">
        <f aca="false">IF($A113="N/A"," ",IF(Dayrun&gt;=3,(MAX(0,(xSPRDOPT(I113,($E113-'Pricing Inputs'!$X148*$D113),$CV113,0,($CN113+IF(Smile=TRUE(),VLOOKUP(MAX(-5,$H113-I113),Volsmile,2),0)),$CT113,$CU113,($A113-DateToday)+15,ABS(Option-2),0)-R113))),0))</f>
        <v> </v>
      </c>
      <c r="AB113" s="290" t="str">
        <f aca="false">IF($A113="N/A"," ",IF(Dayrun&gt;=6,MAX(0,(xSPRDOPT(J113,($E113-'Pricing Inputs'!$X148*$D113),$CV113,0,($CN113+IF(Smile=TRUE(),VLOOKUP(MAX(-5,$H113-J113),Volsmile,2),0)),$CT113,$CU113,($A113-DateToday)+15,ABS(Option-2),0)-S113)),0))</f>
        <v> </v>
      </c>
      <c r="AC113" s="290" t="str">
        <f aca="false">IF($A113="N/A"," ",IF(OR(Dayrun&lt;=2,Dayrun&gt;=9),IF(OffPeakEx=TRUE(),MAX(0,(xSPRDOPT(K113,($E113-'Pricing Inputs'!$X148*$D113),$CV113,0,($CQ113+IF(Smile=TRUE(),VLOOKUP(MAX(-5,$H113-K113),Volsmile,2),0)),$CT113,$CU113,($A113-DateToday)+15,ABS(Option-2),0)-T113)),0),0))</f>
        <v> </v>
      </c>
      <c r="AD113" s="290" t="str">
        <f aca="false">IF($A113="N/A"," ",IF(OR(Dayrun=1,Dayrun=4,Dayrun=5,Dayrun=7,Dayrun=8,Dayrun=10,Dayrun=11),MAX(0,(xSPRDOPT(L113,($E113-'Pricing Inputs'!$X148*$D113),$CV113,0,($CQ113+IF(Smile=TRUE(),VLOOKUP(MAX(-5,$H113-L113),Volsmile,2),0)),$CT113,$CU113,($A113-DateToday)+15,ABS(Option-2),0)-U113)),0))</f>
        <v> </v>
      </c>
      <c r="AE113" s="290" t="str">
        <f aca="false">IF($A113="N/A"," ",IF(OR(Dayrun=1,Dayrun=7,Dayrun=8,Dayrun=10,Dayrun=11),MAX(0,(xSPRDOPT(M113,($E113-'Pricing Inputs'!$X148*$D113),$CV113,0,($CQ113+IF(Smile=TRUE(),VLOOKUP(MAX(-5,$H113-M113),Volsmile,2),0)),$CT113,$CU113,($A113-DateToday)+15,ABS(Option-2),0)-V113)),0))</f>
        <v> </v>
      </c>
      <c r="AF113" s="290" t="str">
        <f aca="false">IF($A113="N/A"," ",IF(OR(Dayrun&lt;=2,Dayrun&gt;=10),IF(OffPeakEx=TRUE(),MAX(0,(xSPRDOPT(N113,($E113-'Pricing Inputs'!$X148*$D113),$CV113,0,($CQ113+IF(Smile=TRUE(),VLOOKUP(MAX(-5,$H113-N113),Volsmile,2),0)),$CT113,$CU113,($A113-DateToday)+15,ABS(Option-2),0)-W113)),0),0))</f>
        <v> </v>
      </c>
      <c r="AG113" s="290" t="str">
        <f aca="false">IF($A113="N/A"," ",IF(OR(Dayrun=1,Dayrun=5,Dayrun=8,Dayrun=11),MAX(0,(xSPRDOPT(O113,($E113-'Pricing Inputs'!$X148*$D113),$CV113,0,($CQ113+IF(Smile=TRUE(),VLOOKUP(MAX(-5,$H113-O113),Volsmile,2),0)),$CT113,$CU113,($A113-DateToday)+15,ABS(Option-2),0)-X113)),0))</f>
        <v> </v>
      </c>
      <c r="AH113" s="290" t="str">
        <f aca="false">IF($A113="N/A"," ",IF(OR(Dayrun=1,Dayrun=8,Dayrun=11),MAX(0,(xSPRDOPT(P113,($E113-'Pricing Inputs'!$X148*$D113),$CV113,0,($CQ113+IF(Smile=TRUE(),VLOOKUP(MAX(-5,$H113-P113),Volsmile,2),0)),$CT113,$CU113,($A113-DateToday)+15,ABS(Option-2),0)-Y113)),0))</f>
        <v> </v>
      </c>
      <c r="AI113" s="290" t="str">
        <f aca="false">IF($A113="N/A"," ",IF(OR(Dayrun&lt;=2,Dayrun&gt;=11),IF(OffPeakEx=TRUE(),MAX(0,(xSPRDOPT(Q113,($E113-'Pricing Inputs'!$X148*$D113),$CV113,0,($CQ113+IF(Smile=TRUE(),VLOOKUP(MAX(-5,$H113-Q113),Volsmile,2),0)),$CT113,$CU113,($A113-DateToday)+15,ABS(Option-2),0)-Z113)),0),0))</f>
        <v> </v>
      </c>
      <c r="AJ113" s="294" t="str">
        <f aca="false">IF($A113="N/A"," ",IF(Dayrun&gt;=3,IF(Option=1,$I113-$H113,IF(Option=2,$H113-$I113)),0))</f>
        <v> </v>
      </c>
      <c r="AK113" s="295" t="str">
        <f aca="false">IF($A113="N/A"," ",IF(Dayrun&gt;=6,IF(Option=1,$J113-H113,IF(Option=2,H113-$J113)),0))</f>
        <v> </v>
      </c>
      <c r="AL113" s="295" t="str">
        <f aca="false">IF($A113="N/A"," ",IF(OR(Dayrun&lt;=2,Dayrun&gt;=9),IF(Option=1,$K113-$H113,IF(Option=2,$H113-$K113)),0))</f>
        <v> </v>
      </c>
      <c r="AM113" s="295" t="str">
        <f aca="false">IF($A113="N/A"," ",IF(OR(Dayrun=1,Dayrun=4,Dayrun=5,Dayrun=7,Dayrun=8,Dayrun=10,Dayrun=11),IF(Option=1,$L113-H113,IF(Option=2,H113-$L113)),0))</f>
        <v> </v>
      </c>
      <c r="AN113" s="295" t="str">
        <f aca="false">IF($A113="N/A"," ",IF(OR(Dayrun=1,Dayrun=7,Dayrun=8,Dayrun=10,Dayrun=11),IF(Option=1,$M113-H113,IF(Option=2,H113-$M113)),0))</f>
        <v> </v>
      </c>
      <c r="AO113" s="295" t="str">
        <f aca="false">IF($A113="N/A"," ",IF(OR(Dayrun&lt;=2,Dayrun&gt;=9),IF(Option=1,$N113-$H113,IF(Option=2,$H113-$N113)),0))</f>
        <v> </v>
      </c>
      <c r="AP113" s="295" t="str">
        <f aca="false">IF($A113="N/A"," ",IF(OR(Dayrun=1,Dayrun=5,Dayrun=8,Dayrun=11),IF(Option=1,$O113-H113,IF(Option=2,H113-$O113)),0))</f>
        <v> </v>
      </c>
      <c r="AQ113" s="295" t="str">
        <f aca="false">IF($A113="N/A"," ",IF(OR(Dayrun=1,Dayrun=8,Dayrun=11),IF(Option=1,$P113-H113,IF(Option=2,H113-$P113)),0))</f>
        <v> </v>
      </c>
      <c r="AR113" s="296" t="str">
        <f aca="false">IF($A113="N/A"," ",IF(OR(Dayrun&lt;=2,Dayrun&gt;=9),IF(Option=1,$Q113-H113,IF(Option=2,H113-$Q113)),0))</f>
        <v> </v>
      </c>
      <c r="AS113" s="297" t="str">
        <f aca="false">IF($A113="N/A"," ",IF(VLOOKUP(MONTH($A113),ManualTable,2)=1,IF(Dayrun&gt;=3,$DE113*8*$CY113,0),0))</f>
        <v> </v>
      </c>
      <c r="AT113" s="297" t="str">
        <f aca="false">IF($A113="N/A"," ",IF(VLOOKUP(MONTH($A113),ManualTable,3)=1,IF(Dayrun&gt;=6,$DE113*8*$CY113,0),0))</f>
        <v> </v>
      </c>
      <c r="AU113" s="297" t="str">
        <f aca="false">IF($A113="N/A"," ",IF(VLOOKUP(MONTH($A113),ManualTable,4)=1,IF(OR(Dayrun&lt;=2,Dayrun&gt;=9),$DE113*8*$CY113,0),0))</f>
        <v> </v>
      </c>
      <c r="AV113" s="297" t="str">
        <f aca="false">IF($A113="N/A"," ",IF(VLOOKUP(MONTH($A113),ManualTable,5)=1,IF(OR(Dayrun=1,Dayrun=4,Dayrun=5,Dayrun=7,Dayrun=8,Dayrun=10,Dayrun=11),$DF113*8*$CY113,0),0))</f>
        <v> </v>
      </c>
      <c r="AW113" s="297" t="str">
        <f aca="false">IF($A113="N/A"," ",IF(VLOOKUP(MONTH($A113),ManualTable,6)=1,IF(OR(Dayrun=1,Dayrun=7,Dayrun=8,Dayrun=10,Dayrun=11),$DF113*8*$CY113,0),0))</f>
        <v> </v>
      </c>
      <c r="AX113" s="297" t="str">
        <f aca="false">IF($A113="N/A"," ",IF(VLOOKUP(MONTH($A113),ManualTable,7)=1,IF(OR(Dayrun&lt;=2,Dayrun&gt;=9),$DF113*8*$CY113,0),0))</f>
        <v> </v>
      </c>
      <c r="AY113" s="297" t="str">
        <f aca="false">IF($A113="N/A"," ",IF(VLOOKUP(MONTH($A113),ManualTable,8)=1,IF(OR(Dayrun=1,Dayrun=5,Dayrun=8,Dayrun=11),$DG113*8*$CY113,0),0))</f>
        <v> </v>
      </c>
      <c r="AZ113" s="297" t="str">
        <f aca="false">IF($A113="N/A"," ",IF(VLOOKUP(MONTH($A113),ManualTable,9)=1,IF(OR(Dayrun=1,Dayrun=8,Dayrun=11),$DG113*8*$CY113,0),0))</f>
        <v> </v>
      </c>
      <c r="BA113" s="298" t="str">
        <f aca="false">IF($A113="N/A"," ",IF(VLOOKUP(MONTH($A113),ManualTable,10)=1,IF(OR(Dayrun&lt;=2,Dayrun&gt;=9),$DG113*8*$CY113,0),0))</f>
        <v> </v>
      </c>
      <c r="BB113" s="299" t="str">
        <f aca="false">IF($A113="N/A"," ",IF(Dayrun&gt;=3,(MAX(0,(xSPRDOPT(I113,($E113-'Pricing Inputs'!$X148*$D113),$CV113,0,($CN113+IF(Smile=TRUE(),VLOOKUP(MAX(-5,$H113-I113),Volsmile,2),0)),$CT113,$CU113,($A113-DateToday)+15,ABS(Option-2),1)*DE113*8))),0))</f>
        <v> </v>
      </c>
      <c r="BC113" s="300" t="str">
        <f aca="false">IF($A113="N/A"," ",IF(Dayrun&gt;=6,MAX(0,(xSPRDOPT(J113,($E113-'Pricing Inputs'!$X148*$D113),$CV113,0,($CN113+IF(Smile=TRUE(),VLOOKUP(MAX(-5,$H113-J113),Volsmile,2),0)),$CT113,$CU113,($A113-DateToday)+15,ABS(Option-2),1)*DE113*8)),0))</f>
        <v> </v>
      </c>
      <c r="BD113" s="300" t="str">
        <f aca="false">IF($A113="N/A"," ",IF(OR(Dayrun&lt;=2,Dayrun&gt;=9),IF(OffPeakEx=TRUE(),MAX(0,(xSPRDOPT(K113,($E113-'Pricing Inputs'!$X148*$D113),$CV113,0,($CQ113+IF(Smile=TRUE(),VLOOKUP(MAX(-5,$H113-K113),Volsmile,2),0)),$CT113,$CU113,($A113-DateToday)+15,ABS(Option-2),1)*DE113*8)),0),0))</f>
        <v> </v>
      </c>
      <c r="BE113" s="300" t="str">
        <f aca="false">IF($A113="N/A"," ",IF(OR(Dayrun=1,Dayrun=4,Dayrun=5,Dayrun=7,Dayrun=8,Dayrun=10,Dayrun=11),MAX(0,(xSPRDOPT(L113,($E113-'Pricing Inputs'!$X148*$D113),$CV113,0,($CQ113+IF(Smile=TRUE(),VLOOKUP(MAX(-5,$H113-L113),Volsmile,2),0)),$CT113,$CU113,($A113-DateToday)+15,ABS(Option-2),1)*DF113*8)),0))</f>
        <v> </v>
      </c>
      <c r="BF113" s="300" t="str">
        <f aca="false">IF($A113="N/A"," ",IF(OR(Dayrun=1,Dayrun=7,Dayrun=8,Dayrun=10,Dayrun=11),MAX(0,(xSPRDOPT(M113,($E113-'Pricing Inputs'!$X148*$D113),$CV113,0,($CQ113+IF(Smile=TRUE(),VLOOKUP(MAX(-5,$H113-M113),Volsmile,2),0)),$CT113,$CU113,($A113-DateToday)+15,ABS(Option-2),1)*DF113*8)),0))</f>
        <v> </v>
      </c>
      <c r="BG113" s="300" t="str">
        <f aca="false">IF($A113="N/A"," ",IF(OR(Dayrun&lt;=2,Dayrun&gt;=10),IF(OffPeakEx=TRUE(),MAX(0,(xSPRDOPT(N113,($E113-'Pricing Inputs'!$X148*$D113),$CV113,0,($CQ113+IF(Smile=TRUE(),VLOOKUP(MAX(-5,$H113-N113),Volsmile,2),0)),$CT113,$CU113,($A113-DateToday)+15,ABS(Option-2),1)*DF113*8)),0),0))</f>
        <v> </v>
      </c>
      <c r="BH113" s="300" t="str">
        <f aca="false">IF($A113="N/A"," ",IF(OR(Dayrun=1,Dayrun=5,Dayrun=8,Dayrun=11),MAX(0,(xSPRDOPT(O113,($E113-'Pricing Inputs'!$X148*$D113),$CV113,0,($CQ113+IF(Smile=TRUE(),VLOOKUP(MAX(-5,$H113-O113),Volsmile,2),0)),$CT113,$CU113,($A113-DateToday)+15,ABS(Option-2),1)*DG113*8)),0))</f>
        <v> </v>
      </c>
      <c r="BI113" s="300" t="str">
        <f aca="false">IF($A113="N/A"," ",IF(OR(Dayrun=1,Dayrun=8,Dayrun=11),MAX(0,(xSPRDOPT(P113,($E113-'Pricing Inputs'!$X148*$D113),$CV113,0,($CQ113+IF(Smile=TRUE(),VLOOKUP(MAX(-5,$H113-P113),Volsmile,2),0)),$CT113,$CU113,($A113-DateToday)+15,ABS(Option-2),1)*DG113*8)),0))</f>
        <v> </v>
      </c>
      <c r="BJ113" s="301" t="str">
        <f aca="false">IF($A113="N/A"," ",IF(OR(Dayrun&lt;=2,Dayrun&gt;=11),IF(OffPeakEx=TRUE(),MAX(0,(xSPRDOPT(Q113,($E113-'Pricing Inputs'!$X148*$D113),$CV113,0,($CQ113+IF(Smile=TRUE(),VLOOKUP(MAX(-5,$H113-Q113),Volsmile,2),0)),$CT113,$CU113,($A113-DateToday)+15,ABS(Option-2),1)*DG113*8)),0),0))</f>
        <v> </v>
      </c>
      <c r="BK113" s="302" t="str">
        <f aca="false">IF($A113="N/A"," ",R113*$AS113)</f>
        <v> </v>
      </c>
      <c r="BL113" s="303" t="str">
        <f aca="false">IF($A113="N/A"," ",S113*$AT113)</f>
        <v> </v>
      </c>
      <c r="BM113" s="303" t="str">
        <f aca="false">IF($A113="N/A"," ",T113*$AU113)</f>
        <v> </v>
      </c>
      <c r="BN113" s="303" t="str">
        <f aca="false">IF($A113="N/A"," ",U113*$AV113)</f>
        <v> </v>
      </c>
      <c r="BO113" s="303" t="str">
        <f aca="false">IF($A113="N/A"," ",V113*$AW113)</f>
        <v> </v>
      </c>
      <c r="BP113" s="303" t="str">
        <f aca="false">IF($A113="N/A"," ",W113*$AX113)</f>
        <v> </v>
      </c>
      <c r="BQ113" s="303" t="str">
        <f aca="false">IF($A113="N/A"," ",X113*$AY113)</f>
        <v> </v>
      </c>
      <c r="BR113" s="303" t="str">
        <f aca="false">IF($A113="N/A"," ",Y113*$AZ113)</f>
        <v> </v>
      </c>
      <c r="BS113" s="304" t="str">
        <f aca="false">IF($A113="N/A"," ",Z113*$BA113)</f>
        <v> </v>
      </c>
      <c r="BT113" s="305" t="str">
        <f aca="false">IF($A113="N/A"," ",AA113*$AS113)</f>
        <v> </v>
      </c>
      <c r="BU113" s="306" t="str">
        <f aca="false">IF($A113="N/A"," ",AB113*$AT113)</f>
        <v> </v>
      </c>
      <c r="BV113" s="306" t="str">
        <f aca="false">IF($A113="N/A"," ",AC113*$AU113)</f>
        <v> </v>
      </c>
      <c r="BW113" s="306" t="str">
        <f aca="false">IF($A113="N/A"," ",AD113*$AV113)</f>
        <v> </v>
      </c>
      <c r="BX113" s="306" t="str">
        <f aca="false">IF($A113="N/A"," ",AE113*$AW113)</f>
        <v> </v>
      </c>
      <c r="BY113" s="306" t="str">
        <f aca="false">IF($A113="N/A"," ",AF113*$AX113)</f>
        <v> </v>
      </c>
      <c r="BZ113" s="306" t="str">
        <f aca="false">IF($A113="N/A"," ",AG113*$AY113)</f>
        <v> </v>
      </c>
      <c r="CA113" s="306" t="str">
        <f aca="false">IF($A113="N/A"," ",AH113*$AZ113)</f>
        <v> </v>
      </c>
      <c r="CB113" s="307" t="str">
        <f aca="false">IF($A113="N/A"," ",AI113*$BA113)</f>
        <v> </v>
      </c>
      <c r="CC113" s="308" t="str">
        <f aca="false">IF($A113="N/A"," ",AJ113*$AS113)</f>
        <v> </v>
      </c>
      <c r="CD113" s="309" t="str">
        <f aca="false">IF($A113="N/A"," ",AK113*$AT113)</f>
        <v> </v>
      </c>
      <c r="CE113" s="309" t="str">
        <f aca="false">IF($A113="N/A"," ",AL113*$AU113)</f>
        <v> </v>
      </c>
      <c r="CF113" s="309" t="str">
        <f aca="false">IF($A113="N/A"," ",AM113*$AV113)</f>
        <v> </v>
      </c>
      <c r="CG113" s="309" t="str">
        <f aca="false">IF($A113="N/A"," ",AN113*$AW113)</f>
        <v> </v>
      </c>
      <c r="CH113" s="309" t="str">
        <f aca="false">IF($A113="N/A"," ",AO113*$AX113)</f>
        <v> </v>
      </c>
      <c r="CI113" s="309" t="str">
        <f aca="false">IF($A113="N/A"," ",AP113*$AY113)</f>
        <v> </v>
      </c>
      <c r="CJ113" s="309" t="str">
        <f aca="false">IF($A113="N/A"," ",AQ113*$AZ113)</f>
        <v> </v>
      </c>
      <c r="CK113" s="310" t="str">
        <f aca="false">IF($A113="N/A"," ",AR113*$BA113)</f>
        <v> </v>
      </c>
      <c r="CL113" s="311" t="str">
        <f aca="false">IF(A113="N/A"," ",(VLOOKUP(A113,PowerVolTable,(IF(VolBMO=2,7,IF(VolBMO=1,6,8))),FALSE())))</f>
        <v> </v>
      </c>
      <c r="CM113" s="312" t="str">
        <f aca="false">IF(A113="N/A"," ",(VLOOKUP(A113,IntraPowerVol,(IF(VolBMO=2,3,IF(VolBMO=1,2,4))),FALSE())*VLOOKUP(MONTH($A113),Volscale,2)))</f>
        <v> </v>
      </c>
      <c r="CN113" s="312" t="str">
        <f aca="false">IF($A113="N/A"," ",IF(VolType=1,CM113,CL113))</f>
        <v> </v>
      </c>
      <c r="CO113" s="312" t="str">
        <f aca="false">IF($A113="N/A"," ",(VLOOKUP($A113,OffPeakVol,(IF(VolBMO=2,7,IF(VolBMO=1,6,8))),FALSE())))</f>
        <v> </v>
      </c>
      <c r="CP113" s="312" t="str">
        <f aca="false">IF($A113="N/A"," ",(VLOOKUP($A113,OffPeakVol,(IF(VolBMO=2,3,IF(VolBMO=1,2,4))),FALSE())*VLOOKUP(MONTH($A113),Volscale,2)))</f>
        <v> </v>
      </c>
      <c r="CQ113" s="312" t="str">
        <f aca="false">IF($A113="N/A"," ",IF(VolType=1,CP113,CO113))</f>
        <v> </v>
      </c>
      <c r="CR113" s="312" t="str">
        <f aca="false">IF($A113="N/A"," ",(VLOOKUP($A113,GasVolTable,(IF(VolBMO=2,6,IF(VolBMO=1,7,5))),FALSE())))</f>
        <v> </v>
      </c>
      <c r="CS113" s="312" t="str">
        <f aca="false">IF($A113="N/A"," ",(VLOOKUP($A113,OmicronVol,(IF(VolBMO=2,3,IF(VolBMO=1,4,2))),FALSE())))</f>
        <v> </v>
      </c>
      <c r="CT113" s="312" t="str">
        <f aca="false">IF($A113="N/A"," ",(IF(DateToday&gt;$A113,$CS113,IF(VolType=1,((($CR113^2)*((($A113-1)-DateToday)/((EOMONTH($A113,0)+1)-DateToday-15)))+((($CS113)^2)*((15)/((EOMONTH($A113,0)+1)-DateToday-15))))^0.5,CR113))))</f>
        <v> </v>
      </c>
      <c r="CU113" s="312" t="str">
        <f aca="false">IF($A113="N/A"," ",IF('Pricing Inputs'!$AR$23=TRUE(),Inputs!$S$22,VLOOKUP($A113,CorrelationTable,2,FALSE())))</f>
        <v> </v>
      </c>
      <c r="CV113" s="313" t="str">
        <f aca="false">IF($A113="N/A"," ",F113+G113+(D113*('Pricing Inputs'!X148)))</f>
        <v> </v>
      </c>
      <c r="CW113" s="314" t="str">
        <f aca="false">IF($A113="N/A"," ",IF(PV=1,0,'Pricing Inputs'!Y148))</f>
        <v> </v>
      </c>
      <c r="CX113" s="315" t="str">
        <f aca="false">IF($A113="N/A"," ",(1+CW113/2)^(-2*((EOMONTH(A113,0)+20)-DateToday)/365.25))</f>
        <v> </v>
      </c>
      <c r="CY113" s="316" t="str">
        <f aca="false">IF($A113="N/A"," ",(IF(MONTH(A113)&gt;=4,IF(MONTH(A113)&lt;=10,Inputs!$S$26,Inputs!$S$27),Inputs!$S$27))*$CX113)</f>
        <v> </v>
      </c>
      <c r="CZ113" s="317" t="str">
        <f aca="false">IF($A113="N/A"," ",BK113+BL113+BN113+BO113+BQ113+BR113)</f>
        <v> </v>
      </c>
      <c r="DA113" s="318" t="str">
        <f aca="false">IF($A113="N/A"," ",BM113+BP113+BS113)</f>
        <v> </v>
      </c>
      <c r="DB113" s="319" t="str">
        <f aca="false">IF($A113="N/A"," ",BT113+BU113+BW113+BX113+BZ113+CA113)</f>
        <v> </v>
      </c>
      <c r="DC113" s="319" t="str">
        <f aca="false">IF($A113="N/A"," ",BV113+BY113+CB113)</f>
        <v> </v>
      </c>
      <c r="DD113" s="320" t="str">
        <f aca="false">IF($A113="N/A"," ",SUM(CC113:CK113))</f>
        <v> </v>
      </c>
      <c r="DE113" s="321" t="str">
        <f aca="false">IF($A113="N/A"," ",VLOOKUP($A113,NumberofDaysTable,2)*Availability)</f>
        <v> </v>
      </c>
      <c r="DF113" s="94" t="str">
        <f aca="false">IF($A113="N/A"," ",VLOOKUP($A113,NumberofDaysTable,3)*Availability)</f>
        <v> </v>
      </c>
      <c r="DG113" s="322" t="str">
        <f aca="false">IF($A113="N/A"," ",VLOOKUP($A113,NumberofDaysTable,4)*Availability)</f>
        <v> </v>
      </c>
      <c r="DH113" s="323" t="str">
        <f aca="false">IF($A113="N/A"," ",IF(Option=1,$D113*Inputs!$S$15*SUM(AS113:BA113),0))</f>
        <v> </v>
      </c>
      <c r="DI113" s="324" t="str">
        <f aca="false">IF($A113="N/A"," ",IF(Option=1,$D113*Inputs!$S$16*SUM(AS113:BA113),0))</f>
        <v> </v>
      </c>
      <c r="DJ113" s="325" t="str">
        <f aca="false">IF($A113="N/A"," ",SUM(AS113:AT113))</f>
        <v> </v>
      </c>
      <c r="DK113" s="325" t="str">
        <f aca="false">IF($A113="N/A"," ",SUM(AU113:BA113))</f>
        <v> </v>
      </c>
      <c r="DL113" s="325" t="str">
        <f aca="false">IF($A113="N/A"," ",SUM(BB113:BC113))</f>
        <v> </v>
      </c>
      <c r="DM113" s="325" t="str">
        <f aca="false">IF($A113="N/A"," ",SUM(BD113:BJ113))</f>
        <v> </v>
      </c>
    </row>
    <row r="114" customFormat="false" ht="12.75" hidden="false" customHeight="false" outlineLevel="0" collapsed="false">
      <c r="A114" s="282" t="str">
        <f aca="false">IF(A113="N/A","N/A",IF(EDATE(A113,1)&gt;Inputs!$S$5,"N/A",EDATE(A113,1)))</f>
        <v>N/A</v>
      </c>
      <c r="B114" s="283" t="str">
        <f aca="false">IF(A114="N/A"," ",YEAR(A114))</f>
        <v> </v>
      </c>
      <c r="C114" s="284" t="str">
        <f aca="false">IF(A114="N/A"," ",VLOOKUP(A114,ScaledPrice,14))</f>
        <v> </v>
      </c>
      <c r="D114" s="285" t="str">
        <f aca="false">IF(A114="N/A"," ",(VLOOKUP(MONTH($A114),Hrtable,2))/1000)</f>
        <v> </v>
      </c>
      <c r="E114" s="286" t="str">
        <f aca="false">IF($A114="N/A"," ",(C114)*D114)</f>
        <v> </v>
      </c>
      <c r="F114" s="287" t="str">
        <f aca="false">IF(A114="N/A"," ",VOM*(1+VOMesc)^(YEAR(A114)-YEAR(Today)))</f>
        <v> </v>
      </c>
      <c r="G114" s="287" t="str">
        <f aca="false">IF(A114="N/A"," ",Perstart/VLOOKUP(Dayrun,'Pricing Inputs'!$AQ$4:$AS$14,3)/(CY114/CX114))</f>
        <v> </v>
      </c>
      <c r="H114" s="288" t="str">
        <f aca="false">IF(A114="N/A"," ",SUM(E114:G114))</f>
        <v> </v>
      </c>
      <c r="I114" s="289" t="str">
        <f aca="false">VLOOKUP($A114,ScaledPrice,6)</f>
        <v> </v>
      </c>
      <c r="J114" s="290" t="str">
        <f aca="false">VLOOKUP($A114,ScaledPrice,10)</f>
        <v> </v>
      </c>
      <c r="K114" s="290" t="str">
        <f aca="false">VLOOKUP($A114,ScaledPrice,13)</f>
        <v> </v>
      </c>
      <c r="L114" s="290" t="str">
        <f aca="false">VLOOKUP($A114,ScaledPrice,7)</f>
        <v> </v>
      </c>
      <c r="M114" s="290" t="str">
        <f aca="false">VLOOKUP($A114,ScaledPrice,11)</f>
        <v> </v>
      </c>
      <c r="N114" s="290" t="str">
        <f aca="false">VLOOKUP($A114,ScaledPrice,13)</f>
        <v> </v>
      </c>
      <c r="O114" s="290" t="str">
        <f aca="false">VLOOKUP($A114,ScaledPrice,8)</f>
        <v> </v>
      </c>
      <c r="P114" s="290" t="str">
        <f aca="false">VLOOKUP($A114,ScaledPrice,12)</f>
        <v> </v>
      </c>
      <c r="Q114" s="291" t="str">
        <f aca="false">VLOOKUP($A114,ScaledPrice,13)</f>
        <v> </v>
      </c>
      <c r="R114" s="292" t="str">
        <f aca="false">IF($A114="N/A"," ",IF(Dayrun&gt;=3,IF(Option=1,MAX($I114-$H114,0),IF(Option=2,MAX($H114-$I114,0),0)),0))</f>
        <v> </v>
      </c>
      <c r="S114" s="286" t="str">
        <f aca="false">IF($A114="N/A"," ",IF(Dayrun&gt;=6,IF(Option=1,MAX($J114-H114,0),IF(Option=2,MAX(H114-$J114,0),0)),0))</f>
        <v> </v>
      </c>
      <c r="T114" s="286" t="str">
        <f aca="false">IF($A114="N/A"," ",IF(OR(Dayrun&lt;=2,Dayrun&gt;=9),IF(Option=1,MAX($K114-$H114,0),IF(Option=2,MAX($H114-$K114,0),0)),0))</f>
        <v> </v>
      </c>
      <c r="U114" s="286" t="str">
        <f aca="false">IF($A114="N/A"," ",IF(OR(Dayrun=1,Dayrun=4,Dayrun=5,Dayrun=7,Dayrun=8,Dayrun=10,Dayrun=11),IF(Option=1,MAX($L114-H114,0),IF(Option=2,MAX(H114-$L114,0),0)),0))</f>
        <v> </v>
      </c>
      <c r="V114" s="286" t="str">
        <f aca="false">IF($A114="N/A"," ",IF(OR(Dayrun=1,Dayrun=7,Dayrun=8,Dayrun=10,Dayrun=11),IF(Option=1,MAX($M114-H114,0),IF(Option=2,MAX(H114-$M114,0),0)),0))</f>
        <v> </v>
      </c>
      <c r="W114" s="286" t="str">
        <f aca="false">IF($A114="N/A"," ",IF(OR(Dayrun&lt;=2,Dayrun&gt;=10),IF(Option=1,MAX($N114-$H114,0),IF(Option=2,MAX($H114-$N114,0),0)),0))</f>
        <v> </v>
      </c>
      <c r="X114" s="286" t="str">
        <f aca="false">IF($A114="N/A"," ",IF(OR(Dayrun=1,Dayrun=5,Dayrun=8,Dayrun=11),IF(Option=1,MAX($O114-H114,0),IF(Option=2,MAX(H114-$O114,0),0)),0))</f>
        <v> </v>
      </c>
      <c r="Y114" s="286" t="str">
        <f aca="false">IF($A114="N/A"," ",IF(OR(Dayrun=1,Dayrun=8,Dayrun=11),IF(Option=1,MAX($P114-H114,0),IF(Option=2,MAX(H114-$P114,0),0)),0))</f>
        <v> </v>
      </c>
      <c r="Z114" s="293" t="str">
        <f aca="false">IF($A114="N/A"," ",IF(OR(Dayrun&lt;=2,Dayrun&gt;=11),IF(Option=1,MAX($Q114-$H114,0),IF(Option=2,MAX($H114-$Q114,0),0)),0))</f>
        <v> </v>
      </c>
      <c r="AA114" s="289" t="str">
        <f aca="false">IF($A114="N/A"," ",IF(Dayrun&gt;=3,(MAX(0,(xSPRDOPT(I114,($E114-'Pricing Inputs'!$X149*$D114),$CV114,0,($CN114+IF(Smile=TRUE(),VLOOKUP(MAX(-5,$H114-I114),Volsmile,2),0)),$CT114,$CU114,($A114-DateToday)+15,ABS(Option-2),0)-R114))),0))</f>
        <v> </v>
      </c>
      <c r="AB114" s="290" t="str">
        <f aca="false">IF($A114="N/A"," ",IF(Dayrun&gt;=6,MAX(0,(xSPRDOPT(J114,($E114-'Pricing Inputs'!$X149*$D114),$CV114,0,($CN114+IF(Smile=TRUE(),VLOOKUP(MAX(-5,$H114-J114),Volsmile,2),0)),$CT114,$CU114,($A114-DateToday)+15,ABS(Option-2),0)-S114)),0))</f>
        <v> </v>
      </c>
      <c r="AC114" s="290" t="str">
        <f aca="false">IF($A114="N/A"," ",IF(OR(Dayrun&lt;=2,Dayrun&gt;=9),IF(OffPeakEx=TRUE(),MAX(0,(xSPRDOPT(K114,($E114-'Pricing Inputs'!$X149*$D114),$CV114,0,($CQ114+IF(Smile=TRUE(),VLOOKUP(MAX(-5,$H114-K114),Volsmile,2),0)),$CT114,$CU114,($A114-DateToday)+15,ABS(Option-2),0)-T114)),0),0))</f>
        <v> </v>
      </c>
      <c r="AD114" s="290" t="str">
        <f aca="false">IF($A114="N/A"," ",IF(OR(Dayrun=1,Dayrun=4,Dayrun=5,Dayrun=7,Dayrun=8,Dayrun=10,Dayrun=11),MAX(0,(xSPRDOPT(L114,($E114-'Pricing Inputs'!$X149*$D114),$CV114,0,($CQ114+IF(Smile=TRUE(),VLOOKUP(MAX(-5,$H114-L114),Volsmile,2),0)),$CT114,$CU114,($A114-DateToday)+15,ABS(Option-2),0)-U114)),0))</f>
        <v> </v>
      </c>
      <c r="AE114" s="290" t="str">
        <f aca="false">IF($A114="N/A"," ",IF(OR(Dayrun=1,Dayrun=7,Dayrun=8,Dayrun=10,Dayrun=11),MAX(0,(xSPRDOPT(M114,($E114-'Pricing Inputs'!$X149*$D114),$CV114,0,($CQ114+IF(Smile=TRUE(),VLOOKUP(MAX(-5,$H114-M114),Volsmile,2),0)),$CT114,$CU114,($A114-DateToday)+15,ABS(Option-2),0)-V114)),0))</f>
        <v> </v>
      </c>
      <c r="AF114" s="290" t="str">
        <f aca="false">IF($A114="N/A"," ",IF(OR(Dayrun&lt;=2,Dayrun&gt;=10),IF(OffPeakEx=TRUE(),MAX(0,(xSPRDOPT(N114,($E114-'Pricing Inputs'!$X149*$D114),$CV114,0,($CQ114+IF(Smile=TRUE(),VLOOKUP(MAX(-5,$H114-N114),Volsmile,2),0)),$CT114,$CU114,($A114-DateToday)+15,ABS(Option-2),0)-W114)),0),0))</f>
        <v> </v>
      </c>
      <c r="AG114" s="290" t="str">
        <f aca="false">IF($A114="N/A"," ",IF(OR(Dayrun=1,Dayrun=5,Dayrun=8,Dayrun=11),MAX(0,(xSPRDOPT(O114,($E114-'Pricing Inputs'!$X149*$D114),$CV114,0,($CQ114+IF(Smile=TRUE(),VLOOKUP(MAX(-5,$H114-O114),Volsmile,2),0)),$CT114,$CU114,($A114-DateToday)+15,ABS(Option-2),0)-X114)),0))</f>
        <v> </v>
      </c>
      <c r="AH114" s="290" t="str">
        <f aca="false">IF($A114="N/A"," ",IF(OR(Dayrun=1,Dayrun=8,Dayrun=11),MAX(0,(xSPRDOPT(P114,($E114-'Pricing Inputs'!$X149*$D114),$CV114,0,($CQ114+IF(Smile=TRUE(),VLOOKUP(MAX(-5,$H114-P114),Volsmile,2),0)),$CT114,$CU114,($A114-DateToday)+15,ABS(Option-2),0)-Y114)),0))</f>
        <v> </v>
      </c>
      <c r="AI114" s="290" t="str">
        <f aca="false">IF($A114="N/A"," ",IF(OR(Dayrun&lt;=2,Dayrun&gt;=11),IF(OffPeakEx=TRUE(),MAX(0,(xSPRDOPT(Q114,($E114-'Pricing Inputs'!$X149*$D114),$CV114,0,($CQ114+IF(Smile=TRUE(),VLOOKUP(MAX(-5,$H114-Q114),Volsmile,2),0)),$CT114,$CU114,($A114-DateToday)+15,ABS(Option-2),0)-Z114)),0),0))</f>
        <v> </v>
      </c>
      <c r="AJ114" s="294" t="str">
        <f aca="false">IF($A114="N/A"," ",IF(Dayrun&gt;=3,IF(Option=1,$I114-$H114,IF(Option=2,$H114-$I114)),0))</f>
        <v> </v>
      </c>
      <c r="AK114" s="295" t="str">
        <f aca="false">IF($A114="N/A"," ",IF(Dayrun&gt;=6,IF(Option=1,$J114-H114,IF(Option=2,H114-$J114)),0))</f>
        <v> </v>
      </c>
      <c r="AL114" s="295" t="str">
        <f aca="false">IF($A114="N/A"," ",IF(OR(Dayrun&lt;=2,Dayrun&gt;=9),IF(Option=1,$K114-$H114,IF(Option=2,$H114-$K114)),0))</f>
        <v> </v>
      </c>
      <c r="AM114" s="295" t="str">
        <f aca="false">IF($A114="N/A"," ",IF(OR(Dayrun=1,Dayrun=4,Dayrun=5,Dayrun=7,Dayrun=8,Dayrun=10,Dayrun=11),IF(Option=1,$L114-H114,IF(Option=2,H114-$L114)),0))</f>
        <v> </v>
      </c>
      <c r="AN114" s="295" t="str">
        <f aca="false">IF($A114="N/A"," ",IF(OR(Dayrun=1,Dayrun=7,Dayrun=8,Dayrun=10,Dayrun=11),IF(Option=1,$M114-H114,IF(Option=2,H114-$M114)),0))</f>
        <v> </v>
      </c>
      <c r="AO114" s="295" t="str">
        <f aca="false">IF($A114="N/A"," ",IF(OR(Dayrun&lt;=2,Dayrun&gt;=9),IF(Option=1,$N114-$H114,IF(Option=2,$H114-$N114)),0))</f>
        <v> </v>
      </c>
      <c r="AP114" s="295" t="str">
        <f aca="false">IF($A114="N/A"," ",IF(OR(Dayrun=1,Dayrun=5,Dayrun=8,Dayrun=11),IF(Option=1,$O114-H114,IF(Option=2,H114-$O114)),0))</f>
        <v> </v>
      </c>
      <c r="AQ114" s="295" t="str">
        <f aca="false">IF($A114="N/A"," ",IF(OR(Dayrun=1,Dayrun=8,Dayrun=11),IF(Option=1,$P114-H114,IF(Option=2,H114-$P114)),0))</f>
        <v> </v>
      </c>
      <c r="AR114" s="296" t="str">
        <f aca="false">IF($A114="N/A"," ",IF(OR(Dayrun&lt;=2,Dayrun&gt;=9),IF(Option=1,$Q114-H114,IF(Option=2,H114-$Q114)),0))</f>
        <v> </v>
      </c>
      <c r="AS114" s="297" t="str">
        <f aca="false">IF($A114="N/A"," ",IF(VLOOKUP(MONTH($A114),ManualTable,2)=1,IF(Dayrun&gt;=3,$DE114*8*$CY114,0),0))</f>
        <v> </v>
      </c>
      <c r="AT114" s="297" t="str">
        <f aca="false">IF($A114="N/A"," ",IF(VLOOKUP(MONTH($A114),ManualTable,3)=1,IF(Dayrun&gt;=6,$DE114*8*$CY114,0),0))</f>
        <v> </v>
      </c>
      <c r="AU114" s="297" t="str">
        <f aca="false">IF($A114="N/A"," ",IF(VLOOKUP(MONTH($A114),ManualTable,4)=1,IF(OR(Dayrun&lt;=2,Dayrun&gt;=9),$DE114*8*$CY114,0),0))</f>
        <v> </v>
      </c>
      <c r="AV114" s="297" t="str">
        <f aca="false">IF($A114="N/A"," ",IF(VLOOKUP(MONTH($A114),ManualTable,5)=1,IF(OR(Dayrun=1,Dayrun=4,Dayrun=5,Dayrun=7,Dayrun=8,Dayrun=10,Dayrun=11),$DF114*8*$CY114,0),0))</f>
        <v> </v>
      </c>
      <c r="AW114" s="297" t="str">
        <f aca="false">IF($A114="N/A"," ",IF(VLOOKUP(MONTH($A114),ManualTable,6)=1,IF(OR(Dayrun=1,Dayrun=7,Dayrun=8,Dayrun=10,Dayrun=11),$DF114*8*$CY114,0),0))</f>
        <v> </v>
      </c>
      <c r="AX114" s="297" t="str">
        <f aca="false">IF($A114="N/A"," ",IF(VLOOKUP(MONTH($A114),ManualTable,7)=1,IF(OR(Dayrun&lt;=2,Dayrun&gt;=9),$DF114*8*$CY114,0),0))</f>
        <v> </v>
      </c>
      <c r="AY114" s="297" t="str">
        <f aca="false">IF($A114="N/A"," ",IF(VLOOKUP(MONTH($A114),ManualTable,8)=1,IF(OR(Dayrun=1,Dayrun=5,Dayrun=8,Dayrun=11),$DG114*8*$CY114,0),0))</f>
        <v> </v>
      </c>
      <c r="AZ114" s="297" t="str">
        <f aca="false">IF($A114="N/A"," ",IF(VLOOKUP(MONTH($A114),ManualTable,9)=1,IF(OR(Dayrun=1,Dayrun=8,Dayrun=11),$DG114*8*$CY114,0),0))</f>
        <v> </v>
      </c>
      <c r="BA114" s="298" t="str">
        <f aca="false">IF($A114="N/A"," ",IF(VLOOKUP(MONTH($A114),ManualTable,10)=1,IF(OR(Dayrun&lt;=2,Dayrun&gt;=9),$DG114*8*$CY114,0),0))</f>
        <v> </v>
      </c>
      <c r="BB114" s="299" t="str">
        <f aca="false">IF($A114="N/A"," ",IF(Dayrun&gt;=3,(MAX(0,(xSPRDOPT(I114,($E114-'Pricing Inputs'!$X149*$D114),$CV114,0,($CN114+IF(Smile=TRUE(),VLOOKUP(MAX(-5,$H114-I114),Volsmile,2),0)),$CT114,$CU114,($A114-DateToday)+15,ABS(Option-2),1)*DE114*8))),0))</f>
        <v> </v>
      </c>
      <c r="BC114" s="300" t="str">
        <f aca="false">IF($A114="N/A"," ",IF(Dayrun&gt;=6,MAX(0,(xSPRDOPT(J114,($E114-'Pricing Inputs'!$X149*$D114),$CV114,0,($CN114+IF(Smile=TRUE(),VLOOKUP(MAX(-5,$H114-J114),Volsmile,2),0)),$CT114,$CU114,($A114-DateToday)+15,ABS(Option-2),1)*DE114*8)),0))</f>
        <v> </v>
      </c>
      <c r="BD114" s="300" t="str">
        <f aca="false">IF($A114="N/A"," ",IF(OR(Dayrun&lt;=2,Dayrun&gt;=9),IF(OffPeakEx=TRUE(),MAX(0,(xSPRDOPT(K114,($E114-'Pricing Inputs'!$X149*$D114),$CV114,0,($CQ114+IF(Smile=TRUE(),VLOOKUP(MAX(-5,$H114-K114),Volsmile,2),0)),$CT114,$CU114,($A114-DateToday)+15,ABS(Option-2),1)*DE114*8)),0),0))</f>
        <v> </v>
      </c>
      <c r="BE114" s="300" t="str">
        <f aca="false">IF($A114="N/A"," ",IF(OR(Dayrun=1,Dayrun=4,Dayrun=5,Dayrun=7,Dayrun=8,Dayrun=10,Dayrun=11),MAX(0,(xSPRDOPT(L114,($E114-'Pricing Inputs'!$X149*$D114),$CV114,0,($CQ114+IF(Smile=TRUE(),VLOOKUP(MAX(-5,$H114-L114),Volsmile,2),0)),$CT114,$CU114,($A114-DateToday)+15,ABS(Option-2),1)*DF114*8)),0))</f>
        <v> </v>
      </c>
      <c r="BF114" s="300" t="str">
        <f aca="false">IF($A114="N/A"," ",IF(OR(Dayrun=1,Dayrun=7,Dayrun=8,Dayrun=10,Dayrun=11),MAX(0,(xSPRDOPT(M114,($E114-'Pricing Inputs'!$X149*$D114),$CV114,0,($CQ114+IF(Smile=TRUE(),VLOOKUP(MAX(-5,$H114-M114),Volsmile,2),0)),$CT114,$CU114,($A114-DateToday)+15,ABS(Option-2),1)*DF114*8)),0))</f>
        <v> </v>
      </c>
      <c r="BG114" s="300" t="str">
        <f aca="false">IF($A114="N/A"," ",IF(OR(Dayrun&lt;=2,Dayrun&gt;=10),IF(OffPeakEx=TRUE(),MAX(0,(xSPRDOPT(N114,($E114-'Pricing Inputs'!$X149*$D114),$CV114,0,($CQ114+IF(Smile=TRUE(),VLOOKUP(MAX(-5,$H114-N114),Volsmile,2),0)),$CT114,$CU114,($A114-DateToday)+15,ABS(Option-2),1)*DF114*8)),0),0))</f>
        <v> </v>
      </c>
      <c r="BH114" s="300" t="str">
        <f aca="false">IF($A114="N/A"," ",IF(OR(Dayrun=1,Dayrun=5,Dayrun=8,Dayrun=11),MAX(0,(xSPRDOPT(O114,($E114-'Pricing Inputs'!$X149*$D114),$CV114,0,($CQ114+IF(Smile=TRUE(),VLOOKUP(MAX(-5,$H114-O114),Volsmile,2),0)),$CT114,$CU114,($A114-DateToday)+15,ABS(Option-2),1)*DG114*8)),0))</f>
        <v> </v>
      </c>
      <c r="BI114" s="300" t="str">
        <f aca="false">IF($A114="N/A"," ",IF(OR(Dayrun=1,Dayrun=8,Dayrun=11),MAX(0,(xSPRDOPT(P114,($E114-'Pricing Inputs'!$X149*$D114),$CV114,0,($CQ114+IF(Smile=TRUE(),VLOOKUP(MAX(-5,$H114-P114),Volsmile,2),0)),$CT114,$CU114,($A114-DateToday)+15,ABS(Option-2),1)*DG114*8)),0))</f>
        <v> </v>
      </c>
      <c r="BJ114" s="301" t="str">
        <f aca="false">IF($A114="N/A"," ",IF(OR(Dayrun&lt;=2,Dayrun&gt;=11),IF(OffPeakEx=TRUE(),MAX(0,(xSPRDOPT(Q114,($E114-'Pricing Inputs'!$X149*$D114),$CV114,0,($CQ114+IF(Smile=TRUE(),VLOOKUP(MAX(-5,$H114-Q114),Volsmile,2),0)),$CT114,$CU114,($A114-DateToday)+15,ABS(Option-2),1)*DG114*8)),0),0))</f>
        <v> </v>
      </c>
      <c r="BK114" s="302" t="str">
        <f aca="false">IF($A114="N/A"," ",R114*$AS114)</f>
        <v> </v>
      </c>
      <c r="BL114" s="303" t="str">
        <f aca="false">IF($A114="N/A"," ",S114*$AT114)</f>
        <v> </v>
      </c>
      <c r="BM114" s="303" t="str">
        <f aca="false">IF($A114="N/A"," ",T114*$AU114)</f>
        <v> </v>
      </c>
      <c r="BN114" s="303" t="str">
        <f aca="false">IF($A114="N/A"," ",U114*$AV114)</f>
        <v> </v>
      </c>
      <c r="BO114" s="303" t="str">
        <f aca="false">IF($A114="N/A"," ",V114*$AW114)</f>
        <v> </v>
      </c>
      <c r="BP114" s="303" t="str">
        <f aca="false">IF($A114="N/A"," ",W114*$AX114)</f>
        <v> </v>
      </c>
      <c r="BQ114" s="303" t="str">
        <f aca="false">IF($A114="N/A"," ",X114*$AY114)</f>
        <v> </v>
      </c>
      <c r="BR114" s="303" t="str">
        <f aca="false">IF($A114="N/A"," ",Y114*$AZ114)</f>
        <v> </v>
      </c>
      <c r="BS114" s="304" t="str">
        <f aca="false">IF($A114="N/A"," ",Z114*$BA114)</f>
        <v> </v>
      </c>
      <c r="BT114" s="305" t="str">
        <f aca="false">IF($A114="N/A"," ",AA114*$AS114)</f>
        <v> </v>
      </c>
      <c r="BU114" s="306" t="str">
        <f aca="false">IF($A114="N/A"," ",AB114*$AT114)</f>
        <v> </v>
      </c>
      <c r="BV114" s="306" t="str">
        <f aca="false">IF($A114="N/A"," ",AC114*$AU114)</f>
        <v> </v>
      </c>
      <c r="BW114" s="306" t="str">
        <f aca="false">IF($A114="N/A"," ",AD114*$AV114)</f>
        <v> </v>
      </c>
      <c r="BX114" s="306" t="str">
        <f aca="false">IF($A114="N/A"," ",AE114*$AW114)</f>
        <v> </v>
      </c>
      <c r="BY114" s="306" t="str">
        <f aca="false">IF($A114="N/A"," ",AF114*$AX114)</f>
        <v> </v>
      </c>
      <c r="BZ114" s="306" t="str">
        <f aca="false">IF($A114="N/A"," ",AG114*$AY114)</f>
        <v> </v>
      </c>
      <c r="CA114" s="306" t="str">
        <f aca="false">IF($A114="N/A"," ",AH114*$AZ114)</f>
        <v> </v>
      </c>
      <c r="CB114" s="307" t="str">
        <f aca="false">IF($A114="N/A"," ",AI114*$BA114)</f>
        <v> </v>
      </c>
      <c r="CC114" s="308" t="str">
        <f aca="false">IF($A114="N/A"," ",AJ114*$AS114)</f>
        <v> </v>
      </c>
      <c r="CD114" s="309" t="str">
        <f aca="false">IF($A114="N/A"," ",AK114*$AT114)</f>
        <v> </v>
      </c>
      <c r="CE114" s="309" t="str">
        <f aca="false">IF($A114="N/A"," ",AL114*$AU114)</f>
        <v> </v>
      </c>
      <c r="CF114" s="309" t="str">
        <f aca="false">IF($A114="N/A"," ",AM114*$AV114)</f>
        <v> </v>
      </c>
      <c r="CG114" s="309" t="str">
        <f aca="false">IF($A114="N/A"," ",AN114*$AW114)</f>
        <v> </v>
      </c>
      <c r="CH114" s="309" t="str">
        <f aca="false">IF($A114="N/A"," ",AO114*$AX114)</f>
        <v> </v>
      </c>
      <c r="CI114" s="309" t="str">
        <f aca="false">IF($A114="N/A"," ",AP114*$AY114)</f>
        <v> </v>
      </c>
      <c r="CJ114" s="309" t="str">
        <f aca="false">IF($A114="N/A"," ",AQ114*$AZ114)</f>
        <v> </v>
      </c>
      <c r="CK114" s="310" t="str">
        <f aca="false">IF($A114="N/A"," ",AR114*$BA114)</f>
        <v> </v>
      </c>
      <c r="CL114" s="311" t="str">
        <f aca="false">IF(A114="N/A"," ",(VLOOKUP(A114,PowerVolTable,(IF(VolBMO=2,7,IF(VolBMO=1,6,8))),FALSE())))</f>
        <v> </v>
      </c>
      <c r="CM114" s="312" t="str">
        <f aca="false">IF(A114="N/A"," ",(VLOOKUP(A114,IntraPowerVol,(IF(VolBMO=2,3,IF(VolBMO=1,2,4))),FALSE())*VLOOKUP(MONTH($A114),Volscale,2)))</f>
        <v> </v>
      </c>
      <c r="CN114" s="312" t="str">
        <f aca="false">IF($A114="N/A"," ",IF(VolType=1,CM114,CL114))</f>
        <v> </v>
      </c>
      <c r="CO114" s="312" t="str">
        <f aca="false">IF($A114="N/A"," ",(VLOOKUP($A114,OffPeakVol,(IF(VolBMO=2,7,IF(VolBMO=1,6,8))),FALSE())))</f>
        <v> </v>
      </c>
      <c r="CP114" s="312" t="str">
        <f aca="false">IF($A114="N/A"," ",(VLOOKUP($A114,OffPeakVol,(IF(VolBMO=2,3,IF(VolBMO=1,2,4))),FALSE())*VLOOKUP(MONTH($A114),Volscale,2)))</f>
        <v> </v>
      </c>
      <c r="CQ114" s="312" t="str">
        <f aca="false">IF($A114="N/A"," ",IF(VolType=1,CP114,CO114))</f>
        <v> </v>
      </c>
      <c r="CR114" s="312" t="str">
        <f aca="false">IF($A114="N/A"," ",(VLOOKUP($A114,GasVolTable,(IF(VolBMO=2,6,IF(VolBMO=1,7,5))),FALSE())))</f>
        <v> </v>
      </c>
      <c r="CS114" s="312" t="str">
        <f aca="false">IF($A114="N/A"," ",(VLOOKUP($A114,OmicronVol,(IF(VolBMO=2,3,IF(VolBMO=1,4,2))),FALSE())))</f>
        <v> </v>
      </c>
      <c r="CT114" s="312" t="str">
        <f aca="false">IF($A114="N/A"," ",(IF(DateToday&gt;$A114,$CS114,IF(VolType=1,((($CR114^2)*((($A114-1)-DateToday)/((EOMONTH($A114,0)+1)-DateToday-15)))+((($CS114)^2)*((15)/((EOMONTH($A114,0)+1)-DateToday-15))))^0.5,CR114))))</f>
        <v> </v>
      </c>
      <c r="CU114" s="312" t="str">
        <f aca="false">IF($A114="N/A"," ",IF('Pricing Inputs'!$AR$23=TRUE(),Inputs!$S$22,VLOOKUP($A114,CorrelationTable,2,FALSE())))</f>
        <v> </v>
      </c>
      <c r="CV114" s="313" t="str">
        <f aca="false">IF($A114="N/A"," ",F114+G114+(D114*('Pricing Inputs'!X149)))</f>
        <v> </v>
      </c>
      <c r="CW114" s="314" t="str">
        <f aca="false">IF($A114="N/A"," ",IF(PV=1,0,'Pricing Inputs'!Y149))</f>
        <v> </v>
      </c>
      <c r="CX114" s="315" t="str">
        <f aca="false">IF($A114="N/A"," ",(1+CW114/2)^(-2*((EOMONTH(A114,0)+20)-DateToday)/365.25))</f>
        <v> </v>
      </c>
      <c r="CY114" s="316" t="str">
        <f aca="false">IF($A114="N/A"," ",(IF(MONTH(A114)&gt;=4,IF(MONTH(A114)&lt;=10,Inputs!$S$26,Inputs!$S$27),Inputs!$S$27))*$CX114)</f>
        <v> </v>
      </c>
      <c r="CZ114" s="317" t="str">
        <f aca="false">IF($A114="N/A"," ",BK114+BL114+BN114+BO114+BQ114+BR114)</f>
        <v> </v>
      </c>
      <c r="DA114" s="318" t="str">
        <f aca="false">IF($A114="N/A"," ",BM114+BP114+BS114)</f>
        <v> </v>
      </c>
      <c r="DB114" s="319" t="str">
        <f aca="false">IF($A114="N/A"," ",BT114+BU114+BW114+BX114+BZ114+CA114)</f>
        <v> </v>
      </c>
      <c r="DC114" s="319" t="str">
        <f aca="false">IF($A114="N/A"," ",BV114+BY114+CB114)</f>
        <v> </v>
      </c>
      <c r="DD114" s="320" t="str">
        <f aca="false">IF($A114="N/A"," ",SUM(CC114:CK114))</f>
        <v> </v>
      </c>
      <c r="DE114" s="321" t="str">
        <f aca="false">IF($A114="N/A"," ",VLOOKUP($A114,NumberofDaysTable,2)*Availability)</f>
        <v> </v>
      </c>
      <c r="DF114" s="94" t="str">
        <f aca="false">IF($A114="N/A"," ",VLOOKUP($A114,NumberofDaysTable,3)*Availability)</f>
        <v> </v>
      </c>
      <c r="DG114" s="322" t="str">
        <f aca="false">IF($A114="N/A"," ",VLOOKUP($A114,NumberofDaysTable,4)*Availability)</f>
        <v> </v>
      </c>
      <c r="DH114" s="323" t="str">
        <f aca="false">IF($A114="N/A"," ",IF(Option=1,$D114*Inputs!$S$15*SUM(AS114:BA114),0))</f>
        <v> </v>
      </c>
      <c r="DI114" s="324" t="str">
        <f aca="false">IF($A114="N/A"," ",IF(Option=1,$D114*Inputs!$S$16*SUM(AS114:BA114),0))</f>
        <v> </v>
      </c>
      <c r="DJ114" s="325" t="str">
        <f aca="false">IF($A114="N/A"," ",SUM(AS114:AT114))</f>
        <v> </v>
      </c>
      <c r="DK114" s="325" t="str">
        <f aca="false">IF($A114="N/A"," ",SUM(AU114:BA114))</f>
        <v> </v>
      </c>
      <c r="DL114" s="325" t="str">
        <f aca="false">IF($A114="N/A"," ",SUM(BB114:BC114))</f>
        <v> </v>
      </c>
      <c r="DM114" s="325" t="str">
        <f aca="false">IF($A114="N/A"," ",SUM(BD114:BJ114))</f>
        <v> </v>
      </c>
    </row>
    <row r="115" customFormat="false" ht="12.75" hidden="false" customHeight="false" outlineLevel="0" collapsed="false">
      <c r="A115" s="282" t="str">
        <f aca="false">IF(A114="N/A","N/A",IF(EDATE(A114,1)&gt;Inputs!$S$5,"N/A",EDATE(A114,1)))</f>
        <v>N/A</v>
      </c>
      <c r="B115" s="283" t="str">
        <f aca="false">IF(A115="N/A"," ",YEAR(A115))</f>
        <v> </v>
      </c>
      <c r="C115" s="284" t="str">
        <f aca="false">IF(A115="N/A"," ",VLOOKUP(A115,ScaledPrice,14))</f>
        <v> </v>
      </c>
      <c r="D115" s="285" t="str">
        <f aca="false">IF(A115="N/A"," ",(VLOOKUP(MONTH($A115),Hrtable,2))/1000)</f>
        <v> </v>
      </c>
      <c r="E115" s="286" t="str">
        <f aca="false">IF($A115="N/A"," ",(C115)*D115)</f>
        <v> </v>
      </c>
      <c r="F115" s="287" t="str">
        <f aca="false">IF(A115="N/A"," ",VOM*(1+VOMesc)^(YEAR(A115)-YEAR(Today)))</f>
        <v> </v>
      </c>
      <c r="G115" s="287" t="str">
        <f aca="false">IF(A115="N/A"," ",Perstart/VLOOKUP(Dayrun,'Pricing Inputs'!$AQ$4:$AS$14,3)/(CY115/CX115))</f>
        <v> </v>
      </c>
      <c r="H115" s="288" t="str">
        <f aca="false">IF(A115="N/A"," ",SUM(E115:G115))</f>
        <v> </v>
      </c>
      <c r="I115" s="289" t="str">
        <f aca="false">VLOOKUP($A115,ScaledPrice,6)</f>
        <v> </v>
      </c>
      <c r="J115" s="290" t="str">
        <f aca="false">VLOOKUP($A115,ScaledPrice,10)</f>
        <v> </v>
      </c>
      <c r="K115" s="290" t="str">
        <f aca="false">VLOOKUP($A115,ScaledPrice,13)</f>
        <v> </v>
      </c>
      <c r="L115" s="290" t="str">
        <f aca="false">VLOOKUP($A115,ScaledPrice,7)</f>
        <v> </v>
      </c>
      <c r="M115" s="290" t="str">
        <f aca="false">VLOOKUP($A115,ScaledPrice,11)</f>
        <v> </v>
      </c>
      <c r="N115" s="290" t="str">
        <f aca="false">VLOOKUP($A115,ScaledPrice,13)</f>
        <v> </v>
      </c>
      <c r="O115" s="290" t="str">
        <f aca="false">VLOOKUP($A115,ScaledPrice,8)</f>
        <v> </v>
      </c>
      <c r="P115" s="290" t="str">
        <f aca="false">VLOOKUP($A115,ScaledPrice,12)</f>
        <v> </v>
      </c>
      <c r="Q115" s="291" t="str">
        <f aca="false">VLOOKUP($A115,ScaledPrice,13)</f>
        <v> </v>
      </c>
      <c r="R115" s="292" t="str">
        <f aca="false">IF($A115="N/A"," ",IF(Dayrun&gt;=3,IF(Option=1,MAX($I115-$H115,0),IF(Option=2,MAX($H115-$I115,0),0)),0))</f>
        <v> </v>
      </c>
      <c r="S115" s="286" t="str">
        <f aca="false">IF($A115="N/A"," ",IF(Dayrun&gt;=6,IF(Option=1,MAX($J115-H115,0),IF(Option=2,MAX(H115-$J115,0),0)),0))</f>
        <v> </v>
      </c>
      <c r="T115" s="286" t="str">
        <f aca="false">IF($A115="N/A"," ",IF(OR(Dayrun&lt;=2,Dayrun&gt;=9),IF(Option=1,MAX($K115-$H115,0),IF(Option=2,MAX($H115-$K115,0),0)),0))</f>
        <v> </v>
      </c>
      <c r="U115" s="286" t="str">
        <f aca="false">IF($A115="N/A"," ",IF(OR(Dayrun=1,Dayrun=4,Dayrun=5,Dayrun=7,Dayrun=8,Dayrun=10,Dayrun=11),IF(Option=1,MAX($L115-H115,0),IF(Option=2,MAX(H115-$L115,0),0)),0))</f>
        <v> </v>
      </c>
      <c r="V115" s="286" t="str">
        <f aca="false">IF($A115="N/A"," ",IF(OR(Dayrun=1,Dayrun=7,Dayrun=8,Dayrun=10,Dayrun=11),IF(Option=1,MAX($M115-H115,0),IF(Option=2,MAX(H115-$M115,0),0)),0))</f>
        <v> </v>
      </c>
      <c r="W115" s="286" t="str">
        <f aca="false">IF($A115="N/A"," ",IF(OR(Dayrun&lt;=2,Dayrun&gt;=10),IF(Option=1,MAX($N115-$H115,0),IF(Option=2,MAX($H115-$N115,0),0)),0))</f>
        <v> </v>
      </c>
      <c r="X115" s="286" t="str">
        <f aca="false">IF($A115="N/A"," ",IF(OR(Dayrun=1,Dayrun=5,Dayrun=8,Dayrun=11),IF(Option=1,MAX($O115-H115,0),IF(Option=2,MAX(H115-$O115,0),0)),0))</f>
        <v> </v>
      </c>
      <c r="Y115" s="286" t="str">
        <f aca="false">IF($A115="N/A"," ",IF(OR(Dayrun=1,Dayrun=8,Dayrun=11),IF(Option=1,MAX($P115-H115,0),IF(Option=2,MAX(H115-$P115,0),0)),0))</f>
        <v> </v>
      </c>
      <c r="Z115" s="293" t="str">
        <f aca="false">IF($A115="N/A"," ",IF(OR(Dayrun&lt;=2,Dayrun&gt;=11),IF(Option=1,MAX($Q115-$H115,0),IF(Option=2,MAX($H115-$Q115,0),0)),0))</f>
        <v> </v>
      </c>
      <c r="AA115" s="289" t="str">
        <f aca="false">IF($A115="N/A"," ",IF(Dayrun&gt;=3,(MAX(0,(xSPRDOPT(I115,($E115-'Pricing Inputs'!$X150*$D115),$CV115,0,($CN115+IF(Smile=TRUE(),VLOOKUP(MAX(-5,$H115-I115),Volsmile,2),0)),$CT115,$CU115,($A115-DateToday)+15,ABS(Option-2),0)-R115))),0))</f>
        <v> </v>
      </c>
      <c r="AB115" s="290" t="str">
        <f aca="false">IF($A115="N/A"," ",IF(Dayrun&gt;=6,MAX(0,(xSPRDOPT(J115,($E115-'Pricing Inputs'!$X150*$D115),$CV115,0,($CN115+IF(Smile=TRUE(),VLOOKUP(MAX(-5,$H115-J115),Volsmile,2),0)),$CT115,$CU115,($A115-DateToday)+15,ABS(Option-2),0)-S115)),0))</f>
        <v> </v>
      </c>
      <c r="AC115" s="290" t="str">
        <f aca="false">IF($A115="N/A"," ",IF(OR(Dayrun&lt;=2,Dayrun&gt;=9),IF(OffPeakEx=TRUE(),MAX(0,(xSPRDOPT(K115,($E115-'Pricing Inputs'!$X150*$D115),$CV115,0,($CQ115+IF(Smile=TRUE(),VLOOKUP(MAX(-5,$H115-K115),Volsmile,2),0)),$CT115,$CU115,($A115-DateToday)+15,ABS(Option-2),0)-T115)),0),0))</f>
        <v> </v>
      </c>
      <c r="AD115" s="290" t="str">
        <f aca="false">IF($A115="N/A"," ",IF(OR(Dayrun=1,Dayrun=4,Dayrun=5,Dayrun=7,Dayrun=8,Dayrun=10,Dayrun=11),MAX(0,(xSPRDOPT(L115,($E115-'Pricing Inputs'!$X150*$D115),$CV115,0,($CQ115+IF(Smile=TRUE(),VLOOKUP(MAX(-5,$H115-L115),Volsmile,2),0)),$CT115,$CU115,($A115-DateToday)+15,ABS(Option-2),0)-U115)),0))</f>
        <v> </v>
      </c>
      <c r="AE115" s="290" t="str">
        <f aca="false">IF($A115="N/A"," ",IF(OR(Dayrun=1,Dayrun=7,Dayrun=8,Dayrun=10,Dayrun=11),MAX(0,(xSPRDOPT(M115,($E115-'Pricing Inputs'!$X150*$D115),$CV115,0,($CQ115+IF(Smile=TRUE(),VLOOKUP(MAX(-5,$H115-M115),Volsmile,2),0)),$CT115,$CU115,($A115-DateToday)+15,ABS(Option-2),0)-V115)),0))</f>
        <v> </v>
      </c>
      <c r="AF115" s="290" t="str">
        <f aca="false">IF($A115="N/A"," ",IF(OR(Dayrun&lt;=2,Dayrun&gt;=10),IF(OffPeakEx=TRUE(),MAX(0,(xSPRDOPT(N115,($E115-'Pricing Inputs'!$X150*$D115),$CV115,0,($CQ115+IF(Smile=TRUE(),VLOOKUP(MAX(-5,$H115-N115),Volsmile,2),0)),$CT115,$CU115,($A115-DateToday)+15,ABS(Option-2),0)-W115)),0),0))</f>
        <v> </v>
      </c>
      <c r="AG115" s="290" t="str">
        <f aca="false">IF($A115="N/A"," ",IF(OR(Dayrun=1,Dayrun=5,Dayrun=8,Dayrun=11),MAX(0,(xSPRDOPT(O115,($E115-'Pricing Inputs'!$X150*$D115),$CV115,0,($CQ115+IF(Smile=TRUE(),VLOOKUP(MAX(-5,$H115-O115),Volsmile,2),0)),$CT115,$CU115,($A115-DateToday)+15,ABS(Option-2),0)-X115)),0))</f>
        <v> </v>
      </c>
      <c r="AH115" s="290" t="str">
        <f aca="false">IF($A115="N/A"," ",IF(OR(Dayrun=1,Dayrun=8,Dayrun=11),MAX(0,(xSPRDOPT(P115,($E115-'Pricing Inputs'!$X150*$D115),$CV115,0,($CQ115+IF(Smile=TRUE(),VLOOKUP(MAX(-5,$H115-P115),Volsmile,2),0)),$CT115,$CU115,($A115-DateToday)+15,ABS(Option-2),0)-Y115)),0))</f>
        <v> </v>
      </c>
      <c r="AI115" s="290" t="str">
        <f aca="false">IF($A115="N/A"," ",IF(OR(Dayrun&lt;=2,Dayrun&gt;=11),IF(OffPeakEx=TRUE(),MAX(0,(xSPRDOPT(Q115,($E115-'Pricing Inputs'!$X150*$D115),$CV115,0,($CQ115+IF(Smile=TRUE(),VLOOKUP(MAX(-5,$H115-Q115),Volsmile,2),0)),$CT115,$CU115,($A115-DateToday)+15,ABS(Option-2),0)-Z115)),0),0))</f>
        <v> </v>
      </c>
      <c r="AJ115" s="294" t="str">
        <f aca="false">IF($A115="N/A"," ",IF(Dayrun&gt;=3,IF(Option=1,$I115-$H115,IF(Option=2,$H115-$I115)),0))</f>
        <v> </v>
      </c>
      <c r="AK115" s="295" t="str">
        <f aca="false">IF($A115="N/A"," ",IF(Dayrun&gt;=6,IF(Option=1,$J115-H115,IF(Option=2,H115-$J115)),0))</f>
        <v> </v>
      </c>
      <c r="AL115" s="295" t="str">
        <f aca="false">IF($A115="N/A"," ",IF(OR(Dayrun&lt;=2,Dayrun&gt;=9),IF(Option=1,$K115-$H115,IF(Option=2,$H115-$K115)),0))</f>
        <v> </v>
      </c>
      <c r="AM115" s="295" t="str">
        <f aca="false">IF($A115="N/A"," ",IF(OR(Dayrun=1,Dayrun=4,Dayrun=5,Dayrun=7,Dayrun=8,Dayrun=10,Dayrun=11),IF(Option=1,$L115-H115,IF(Option=2,H115-$L115)),0))</f>
        <v> </v>
      </c>
      <c r="AN115" s="295" t="str">
        <f aca="false">IF($A115="N/A"," ",IF(OR(Dayrun=1,Dayrun=7,Dayrun=8,Dayrun=10,Dayrun=11),IF(Option=1,$M115-H115,IF(Option=2,H115-$M115)),0))</f>
        <v> </v>
      </c>
      <c r="AO115" s="295" t="str">
        <f aca="false">IF($A115="N/A"," ",IF(OR(Dayrun&lt;=2,Dayrun&gt;=9),IF(Option=1,$N115-$H115,IF(Option=2,$H115-$N115)),0))</f>
        <v> </v>
      </c>
      <c r="AP115" s="295" t="str">
        <f aca="false">IF($A115="N/A"," ",IF(OR(Dayrun=1,Dayrun=5,Dayrun=8,Dayrun=11),IF(Option=1,$O115-H115,IF(Option=2,H115-$O115)),0))</f>
        <v> </v>
      </c>
      <c r="AQ115" s="295" t="str">
        <f aca="false">IF($A115="N/A"," ",IF(OR(Dayrun=1,Dayrun=8,Dayrun=11),IF(Option=1,$P115-H115,IF(Option=2,H115-$P115)),0))</f>
        <v> </v>
      </c>
      <c r="AR115" s="296" t="str">
        <f aca="false">IF($A115="N/A"," ",IF(OR(Dayrun&lt;=2,Dayrun&gt;=9),IF(Option=1,$Q115-H115,IF(Option=2,H115-$Q115)),0))</f>
        <v> </v>
      </c>
      <c r="AS115" s="297" t="str">
        <f aca="false">IF($A115="N/A"," ",IF(VLOOKUP(MONTH($A115),ManualTable,2)=1,IF(Dayrun&gt;=3,$DE115*8*$CY115,0),0))</f>
        <v> </v>
      </c>
      <c r="AT115" s="297" t="str">
        <f aca="false">IF($A115="N/A"," ",IF(VLOOKUP(MONTH($A115),ManualTable,3)=1,IF(Dayrun&gt;=6,$DE115*8*$CY115,0),0))</f>
        <v> </v>
      </c>
      <c r="AU115" s="297" t="str">
        <f aca="false">IF($A115="N/A"," ",IF(VLOOKUP(MONTH($A115),ManualTable,4)=1,IF(OR(Dayrun&lt;=2,Dayrun&gt;=9),$DE115*8*$CY115,0),0))</f>
        <v> </v>
      </c>
      <c r="AV115" s="297" t="str">
        <f aca="false">IF($A115="N/A"," ",IF(VLOOKUP(MONTH($A115),ManualTable,5)=1,IF(OR(Dayrun=1,Dayrun=4,Dayrun=5,Dayrun=7,Dayrun=8,Dayrun=10,Dayrun=11),$DF115*8*$CY115,0),0))</f>
        <v> </v>
      </c>
      <c r="AW115" s="297" t="str">
        <f aca="false">IF($A115="N/A"," ",IF(VLOOKUP(MONTH($A115),ManualTable,6)=1,IF(OR(Dayrun=1,Dayrun=7,Dayrun=8,Dayrun=10,Dayrun=11),$DF115*8*$CY115,0),0))</f>
        <v> </v>
      </c>
      <c r="AX115" s="297" t="str">
        <f aca="false">IF($A115="N/A"," ",IF(VLOOKUP(MONTH($A115),ManualTable,7)=1,IF(OR(Dayrun&lt;=2,Dayrun&gt;=9),$DF115*8*$CY115,0),0))</f>
        <v> </v>
      </c>
      <c r="AY115" s="297" t="str">
        <f aca="false">IF($A115="N/A"," ",IF(VLOOKUP(MONTH($A115),ManualTable,8)=1,IF(OR(Dayrun=1,Dayrun=5,Dayrun=8,Dayrun=11),$DG115*8*$CY115,0),0))</f>
        <v> </v>
      </c>
      <c r="AZ115" s="297" t="str">
        <f aca="false">IF($A115="N/A"," ",IF(VLOOKUP(MONTH($A115),ManualTable,9)=1,IF(OR(Dayrun=1,Dayrun=8,Dayrun=11),$DG115*8*$CY115,0),0))</f>
        <v> </v>
      </c>
      <c r="BA115" s="298" t="str">
        <f aca="false">IF($A115="N/A"," ",IF(VLOOKUP(MONTH($A115),ManualTable,10)=1,IF(OR(Dayrun&lt;=2,Dayrun&gt;=9),$DG115*8*$CY115,0),0))</f>
        <v> </v>
      </c>
      <c r="BB115" s="299" t="str">
        <f aca="false">IF($A115="N/A"," ",IF(Dayrun&gt;=3,(MAX(0,(xSPRDOPT(I115,($E115-'Pricing Inputs'!$X150*$D115),$CV115,0,($CN115+IF(Smile=TRUE(),VLOOKUP(MAX(-5,$H115-I115),Volsmile,2),0)),$CT115,$CU115,($A115-DateToday)+15,ABS(Option-2),1)*DE115*8))),0))</f>
        <v> </v>
      </c>
      <c r="BC115" s="300" t="str">
        <f aca="false">IF($A115="N/A"," ",IF(Dayrun&gt;=6,MAX(0,(xSPRDOPT(J115,($E115-'Pricing Inputs'!$X150*$D115),$CV115,0,($CN115+IF(Smile=TRUE(),VLOOKUP(MAX(-5,$H115-J115),Volsmile,2),0)),$CT115,$CU115,($A115-DateToday)+15,ABS(Option-2),1)*DE115*8)),0))</f>
        <v> </v>
      </c>
      <c r="BD115" s="300" t="str">
        <f aca="false">IF($A115="N/A"," ",IF(OR(Dayrun&lt;=2,Dayrun&gt;=9),IF(OffPeakEx=TRUE(),MAX(0,(xSPRDOPT(K115,($E115-'Pricing Inputs'!$X150*$D115),$CV115,0,($CQ115+IF(Smile=TRUE(),VLOOKUP(MAX(-5,$H115-K115),Volsmile,2),0)),$CT115,$CU115,($A115-DateToday)+15,ABS(Option-2),1)*DE115*8)),0),0))</f>
        <v> </v>
      </c>
      <c r="BE115" s="300" t="str">
        <f aca="false">IF($A115="N/A"," ",IF(OR(Dayrun=1,Dayrun=4,Dayrun=5,Dayrun=7,Dayrun=8,Dayrun=10,Dayrun=11),MAX(0,(xSPRDOPT(L115,($E115-'Pricing Inputs'!$X150*$D115),$CV115,0,($CQ115+IF(Smile=TRUE(),VLOOKUP(MAX(-5,$H115-L115),Volsmile,2),0)),$CT115,$CU115,($A115-DateToday)+15,ABS(Option-2),1)*DF115*8)),0))</f>
        <v> </v>
      </c>
      <c r="BF115" s="300" t="str">
        <f aca="false">IF($A115="N/A"," ",IF(OR(Dayrun=1,Dayrun=7,Dayrun=8,Dayrun=10,Dayrun=11),MAX(0,(xSPRDOPT(M115,($E115-'Pricing Inputs'!$X150*$D115),$CV115,0,($CQ115+IF(Smile=TRUE(),VLOOKUP(MAX(-5,$H115-M115),Volsmile,2),0)),$CT115,$CU115,($A115-DateToday)+15,ABS(Option-2),1)*DF115*8)),0))</f>
        <v> </v>
      </c>
      <c r="BG115" s="300" t="str">
        <f aca="false">IF($A115="N/A"," ",IF(OR(Dayrun&lt;=2,Dayrun&gt;=10),IF(OffPeakEx=TRUE(),MAX(0,(xSPRDOPT(N115,($E115-'Pricing Inputs'!$X150*$D115),$CV115,0,($CQ115+IF(Smile=TRUE(),VLOOKUP(MAX(-5,$H115-N115),Volsmile,2),0)),$CT115,$CU115,($A115-DateToday)+15,ABS(Option-2),1)*DF115*8)),0),0))</f>
        <v> </v>
      </c>
      <c r="BH115" s="300" t="str">
        <f aca="false">IF($A115="N/A"," ",IF(OR(Dayrun=1,Dayrun=5,Dayrun=8,Dayrun=11),MAX(0,(xSPRDOPT(O115,($E115-'Pricing Inputs'!$X150*$D115),$CV115,0,($CQ115+IF(Smile=TRUE(),VLOOKUP(MAX(-5,$H115-O115),Volsmile,2),0)),$CT115,$CU115,($A115-DateToday)+15,ABS(Option-2),1)*DG115*8)),0))</f>
        <v> </v>
      </c>
      <c r="BI115" s="300" t="str">
        <f aca="false">IF($A115="N/A"," ",IF(OR(Dayrun=1,Dayrun=8,Dayrun=11),MAX(0,(xSPRDOPT(P115,($E115-'Pricing Inputs'!$X150*$D115),$CV115,0,($CQ115+IF(Smile=TRUE(),VLOOKUP(MAX(-5,$H115-P115),Volsmile,2),0)),$CT115,$CU115,($A115-DateToday)+15,ABS(Option-2),1)*DG115*8)),0))</f>
        <v> </v>
      </c>
      <c r="BJ115" s="301" t="str">
        <f aca="false">IF($A115="N/A"," ",IF(OR(Dayrun&lt;=2,Dayrun&gt;=11),IF(OffPeakEx=TRUE(),MAX(0,(xSPRDOPT(Q115,($E115-'Pricing Inputs'!$X150*$D115),$CV115,0,($CQ115+IF(Smile=TRUE(),VLOOKUP(MAX(-5,$H115-Q115),Volsmile,2),0)),$CT115,$CU115,($A115-DateToday)+15,ABS(Option-2),1)*DG115*8)),0),0))</f>
        <v> </v>
      </c>
      <c r="BK115" s="302" t="str">
        <f aca="false">IF($A115="N/A"," ",R115*$AS115)</f>
        <v> </v>
      </c>
      <c r="BL115" s="303" t="str">
        <f aca="false">IF($A115="N/A"," ",S115*$AT115)</f>
        <v> </v>
      </c>
      <c r="BM115" s="303" t="str">
        <f aca="false">IF($A115="N/A"," ",T115*$AU115)</f>
        <v> </v>
      </c>
      <c r="BN115" s="303" t="str">
        <f aca="false">IF($A115="N/A"," ",U115*$AV115)</f>
        <v> </v>
      </c>
      <c r="BO115" s="303" t="str">
        <f aca="false">IF($A115="N/A"," ",V115*$AW115)</f>
        <v> </v>
      </c>
      <c r="BP115" s="303" t="str">
        <f aca="false">IF($A115="N/A"," ",W115*$AX115)</f>
        <v> </v>
      </c>
      <c r="BQ115" s="303" t="str">
        <f aca="false">IF($A115="N/A"," ",X115*$AY115)</f>
        <v> </v>
      </c>
      <c r="BR115" s="303" t="str">
        <f aca="false">IF($A115="N/A"," ",Y115*$AZ115)</f>
        <v> </v>
      </c>
      <c r="BS115" s="304" t="str">
        <f aca="false">IF($A115="N/A"," ",Z115*$BA115)</f>
        <v> </v>
      </c>
      <c r="BT115" s="305" t="str">
        <f aca="false">IF($A115="N/A"," ",AA115*$AS115)</f>
        <v> </v>
      </c>
      <c r="BU115" s="306" t="str">
        <f aca="false">IF($A115="N/A"," ",AB115*$AT115)</f>
        <v> </v>
      </c>
      <c r="BV115" s="306" t="str">
        <f aca="false">IF($A115="N/A"," ",AC115*$AU115)</f>
        <v> </v>
      </c>
      <c r="BW115" s="306" t="str">
        <f aca="false">IF($A115="N/A"," ",AD115*$AV115)</f>
        <v> </v>
      </c>
      <c r="BX115" s="306" t="str">
        <f aca="false">IF($A115="N/A"," ",AE115*$AW115)</f>
        <v> </v>
      </c>
      <c r="BY115" s="306" t="str">
        <f aca="false">IF($A115="N/A"," ",AF115*$AX115)</f>
        <v> </v>
      </c>
      <c r="BZ115" s="306" t="str">
        <f aca="false">IF($A115="N/A"," ",AG115*$AY115)</f>
        <v> </v>
      </c>
      <c r="CA115" s="306" t="str">
        <f aca="false">IF($A115="N/A"," ",AH115*$AZ115)</f>
        <v> </v>
      </c>
      <c r="CB115" s="307" t="str">
        <f aca="false">IF($A115="N/A"," ",AI115*$BA115)</f>
        <v> </v>
      </c>
      <c r="CC115" s="308" t="str">
        <f aca="false">IF($A115="N/A"," ",AJ115*$AS115)</f>
        <v> </v>
      </c>
      <c r="CD115" s="309" t="str">
        <f aca="false">IF($A115="N/A"," ",AK115*$AT115)</f>
        <v> </v>
      </c>
      <c r="CE115" s="309" t="str">
        <f aca="false">IF($A115="N/A"," ",AL115*$AU115)</f>
        <v> </v>
      </c>
      <c r="CF115" s="309" t="str">
        <f aca="false">IF($A115="N/A"," ",AM115*$AV115)</f>
        <v> </v>
      </c>
      <c r="CG115" s="309" t="str">
        <f aca="false">IF($A115="N/A"," ",AN115*$AW115)</f>
        <v> </v>
      </c>
      <c r="CH115" s="309" t="str">
        <f aca="false">IF($A115="N/A"," ",AO115*$AX115)</f>
        <v> </v>
      </c>
      <c r="CI115" s="309" t="str">
        <f aca="false">IF($A115="N/A"," ",AP115*$AY115)</f>
        <v> </v>
      </c>
      <c r="CJ115" s="309" t="str">
        <f aca="false">IF($A115="N/A"," ",AQ115*$AZ115)</f>
        <v> </v>
      </c>
      <c r="CK115" s="310" t="str">
        <f aca="false">IF($A115="N/A"," ",AR115*$BA115)</f>
        <v> </v>
      </c>
      <c r="CL115" s="311" t="str">
        <f aca="false">IF(A115="N/A"," ",(VLOOKUP(A115,PowerVolTable,(IF(VolBMO=2,7,IF(VolBMO=1,6,8))),FALSE())))</f>
        <v> </v>
      </c>
      <c r="CM115" s="312" t="str">
        <f aca="false">IF(A115="N/A"," ",(VLOOKUP(A115,IntraPowerVol,(IF(VolBMO=2,3,IF(VolBMO=1,2,4))),FALSE())*VLOOKUP(MONTH($A115),Volscale,2)))</f>
        <v> </v>
      </c>
      <c r="CN115" s="312" t="str">
        <f aca="false">IF($A115="N/A"," ",IF(VolType=1,CM115,CL115))</f>
        <v> </v>
      </c>
      <c r="CO115" s="312" t="str">
        <f aca="false">IF($A115="N/A"," ",(VLOOKUP($A115,OffPeakVol,(IF(VolBMO=2,7,IF(VolBMO=1,6,8))),FALSE())))</f>
        <v> </v>
      </c>
      <c r="CP115" s="312" t="str">
        <f aca="false">IF($A115="N/A"," ",(VLOOKUP($A115,OffPeakVol,(IF(VolBMO=2,3,IF(VolBMO=1,2,4))),FALSE())*VLOOKUP(MONTH($A115),Volscale,2)))</f>
        <v> </v>
      </c>
      <c r="CQ115" s="312" t="str">
        <f aca="false">IF($A115="N/A"," ",IF(VolType=1,CP115,CO115))</f>
        <v> </v>
      </c>
      <c r="CR115" s="312" t="str">
        <f aca="false">IF($A115="N/A"," ",(VLOOKUP($A115,GasVolTable,(IF(VolBMO=2,6,IF(VolBMO=1,7,5))),FALSE())))</f>
        <v> </v>
      </c>
      <c r="CS115" s="312" t="str">
        <f aca="false">IF($A115="N/A"," ",(VLOOKUP($A115,OmicronVol,(IF(VolBMO=2,3,IF(VolBMO=1,4,2))),FALSE())))</f>
        <v> </v>
      </c>
      <c r="CT115" s="312" t="str">
        <f aca="false">IF($A115="N/A"," ",(IF(DateToday&gt;$A115,$CS115,IF(VolType=1,((($CR115^2)*((($A115-1)-DateToday)/((EOMONTH($A115,0)+1)-DateToday-15)))+((($CS115)^2)*((15)/((EOMONTH($A115,0)+1)-DateToday-15))))^0.5,CR115))))</f>
        <v> </v>
      </c>
      <c r="CU115" s="312" t="str">
        <f aca="false">IF($A115="N/A"," ",IF('Pricing Inputs'!$AR$23=TRUE(),Inputs!$S$22,VLOOKUP($A115,CorrelationTable,2,FALSE())))</f>
        <v> </v>
      </c>
      <c r="CV115" s="313" t="str">
        <f aca="false">IF($A115="N/A"," ",F115+G115+(D115*('Pricing Inputs'!X150)))</f>
        <v> </v>
      </c>
      <c r="CW115" s="314" t="str">
        <f aca="false">IF($A115="N/A"," ",IF(PV=1,0,'Pricing Inputs'!Y150))</f>
        <v> </v>
      </c>
      <c r="CX115" s="315" t="str">
        <f aca="false">IF($A115="N/A"," ",(1+CW115/2)^(-2*((EOMONTH(A115,0)+20)-DateToday)/365.25))</f>
        <v> </v>
      </c>
      <c r="CY115" s="316" t="str">
        <f aca="false">IF($A115="N/A"," ",(IF(MONTH(A115)&gt;=4,IF(MONTH(A115)&lt;=10,Inputs!$S$26,Inputs!$S$27),Inputs!$S$27))*$CX115)</f>
        <v> </v>
      </c>
      <c r="CZ115" s="317" t="str">
        <f aca="false">IF($A115="N/A"," ",BK115+BL115+BN115+BO115+BQ115+BR115)</f>
        <v> </v>
      </c>
      <c r="DA115" s="318" t="str">
        <f aca="false">IF($A115="N/A"," ",BM115+BP115+BS115)</f>
        <v> </v>
      </c>
      <c r="DB115" s="319" t="str">
        <f aca="false">IF($A115="N/A"," ",BT115+BU115+BW115+BX115+BZ115+CA115)</f>
        <v> </v>
      </c>
      <c r="DC115" s="319" t="str">
        <f aca="false">IF($A115="N/A"," ",BV115+BY115+CB115)</f>
        <v> </v>
      </c>
      <c r="DD115" s="320" t="str">
        <f aca="false">IF($A115="N/A"," ",SUM(CC115:CK115))</f>
        <v> </v>
      </c>
      <c r="DE115" s="321" t="str">
        <f aca="false">IF($A115="N/A"," ",VLOOKUP($A115,NumberofDaysTable,2)*Availability)</f>
        <v> </v>
      </c>
      <c r="DF115" s="94" t="str">
        <f aca="false">IF($A115="N/A"," ",VLOOKUP($A115,NumberofDaysTable,3)*Availability)</f>
        <v> </v>
      </c>
      <c r="DG115" s="322" t="str">
        <f aca="false">IF($A115="N/A"," ",VLOOKUP($A115,NumberofDaysTable,4)*Availability)</f>
        <v> </v>
      </c>
      <c r="DH115" s="323" t="str">
        <f aca="false">IF($A115="N/A"," ",IF(Option=1,$D115*Inputs!$S$15*SUM(AS115:BA115),0))</f>
        <v> </v>
      </c>
      <c r="DI115" s="324" t="str">
        <f aca="false">IF($A115="N/A"," ",IF(Option=1,$D115*Inputs!$S$16*SUM(AS115:BA115),0))</f>
        <v> </v>
      </c>
      <c r="DJ115" s="325" t="str">
        <f aca="false">IF($A115="N/A"," ",SUM(AS115:AT115))</f>
        <v> </v>
      </c>
      <c r="DK115" s="325" t="str">
        <f aca="false">IF($A115="N/A"," ",SUM(AU115:BA115))</f>
        <v> </v>
      </c>
      <c r="DL115" s="325" t="str">
        <f aca="false">IF($A115="N/A"," ",SUM(BB115:BC115))</f>
        <v> </v>
      </c>
      <c r="DM115" s="325" t="str">
        <f aca="false">IF($A115="N/A"," ",SUM(BD115:BJ115))</f>
        <v> </v>
      </c>
    </row>
    <row r="116" customFormat="false" ht="12.75" hidden="false" customHeight="false" outlineLevel="0" collapsed="false">
      <c r="A116" s="282" t="str">
        <f aca="false">IF(A115="N/A","N/A",IF(EDATE(A115,1)&gt;Inputs!$S$5,"N/A",EDATE(A115,1)))</f>
        <v>N/A</v>
      </c>
      <c r="B116" s="283" t="str">
        <f aca="false">IF(A116="N/A"," ",YEAR(A116))</f>
        <v> </v>
      </c>
      <c r="C116" s="284" t="str">
        <f aca="false">IF(A116="N/A"," ",VLOOKUP(A116,ScaledPrice,14))</f>
        <v> </v>
      </c>
      <c r="D116" s="285" t="str">
        <f aca="false">IF(A116="N/A"," ",(VLOOKUP(MONTH($A116),Hrtable,2))/1000)</f>
        <v> </v>
      </c>
      <c r="E116" s="286" t="str">
        <f aca="false">IF($A116="N/A"," ",(C116)*D116)</f>
        <v> </v>
      </c>
      <c r="F116" s="287" t="str">
        <f aca="false">IF(A116="N/A"," ",VOM*(1+VOMesc)^(YEAR(A116)-YEAR(Today)))</f>
        <v> </v>
      </c>
      <c r="G116" s="287" t="str">
        <f aca="false">IF(A116="N/A"," ",Perstart/VLOOKUP(Dayrun,'Pricing Inputs'!$AQ$4:$AS$14,3)/(CY116/CX116))</f>
        <v> </v>
      </c>
      <c r="H116" s="288" t="str">
        <f aca="false">IF(A116="N/A"," ",SUM(E116:G116))</f>
        <v> </v>
      </c>
      <c r="I116" s="289" t="str">
        <f aca="false">VLOOKUP($A116,ScaledPrice,6)</f>
        <v> </v>
      </c>
      <c r="J116" s="290" t="str">
        <f aca="false">VLOOKUP($A116,ScaledPrice,10)</f>
        <v> </v>
      </c>
      <c r="K116" s="290" t="str">
        <f aca="false">VLOOKUP($A116,ScaledPrice,13)</f>
        <v> </v>
      </c>
      <c r="L116" s="290" t="str">
        <f aca="false">VLOOKUP($A116,ScaledPrice,7)</f>
        <v> </v>
      </c>
      <c r="M116" s="290" t="str">
        <f aca="false">VLOOKUP($A116,ScaledPrice,11)</f>
        <v> </v>
      </c>
      <c r="N116" s="290" t="str">
        <f aca="false">VLOOKUP($A116,ScaledPrice,13)</f>
        <v> </v>
      </c>
      <c r="O116" s="290" t="str">
        <f aca="false">VLOOKUP($A116,ScaledPrice,8)</f>
        <v> </v>
      </c>
      <c r="P116" s="290" t="str">
        <f aca="false">VLOOKUP($A116,ScaledPrice,12)</f>
        <v> </v>
      </c>
      <c r="Q116" s="291" t="str">
        <f aca="false">VLOOKUP($A116,ScaledPrice,13)</f>
        <v> </v>
      </c>
      <c r="R116" s="292" t="str">
        <f aca="false">IF($A116="N/A"," ",IF(Dayrun&gt;=3,IF(Option=1,MAX($I116-$H116,0),IF(Option=2,MAX($H116-$I116,0),0)),0))</f>
        <v> </v>
      </c>
      <c r="S116" s="286" t="str">
        <f aca="false">IF($A116="N/A"," ",IF(Dayrun&gt;=6,IF(Option=1,MAX($J116-H116,0),IF(Option=2,MAX(H116-$J116,0),0)),0))</f>
        <v> </v>
      </c>
      <c r="T116" s="286" t="str">
        <f aca="false">IF($A116="N/A"," ",IF(OR(Dayrun&lt;=2,Dayrun&gt;=9),IF(Option=1,MAX($K116-$H116,0),IF(Option=2,MAX($H116-$K116,0),0)),0))</f>
        <v> </v>
      </c>
      <c r="U116" s="286" t="str">
        <f aca="false">IF($A116="N/A"," ",IF(OR(Dayrun=1,Dayrun=4,Dayrun=5,Dayrun=7,Dayrun=8,Dayrun=10,Dayrun=11),IF(Option=1,MAX($L116-H116,0),IF(Option=2,MAX(H116-$L116,0),0)),0))</f>
        <v> </v>
      </c>
      <c r="V116" s="286" t="str">
        <f aca="false">IF($A116="N/A"," ",IF(OR(Dayrun=1,Dayrun=7,Dayrun=8,Dayrun=10,Dayrun=11),IF(Option=1,MAX($M116-H116,0),IF(Option=2,MAX(H116-$M116,0),0)),0))</f>
        <v> </v>
      </c>
      <c r="W116" s="286" t="str">
        <f aca="false">IF($A116="N/A"," ",IF(OR(Dayrun&lt;=2,Dayrun&gt;=10),IF(Option=1,MAX($N116-$H116,0),IF(Option=2,MAX($H116-$N116,0),0)),0))</f>
        <v> </v>
      </c>
      <c r="X116" s="286" t="str">
        <f aca="false">IF($A116="N/A"," ",IF(OR(Dayrun=1,Dayrun=5,Dayrun=8,Dayrun=11),IF(Option=1,MAX($O116-H116,0),IF(Option=2,MAX(H116-$O116,0),0)),0))</f>
        <v> </v>
      </c>
      <c r="Y116" s="286" t="str">
        <f aca="false">IF($A116="N/A"," ",IF(OR(Dayrun=1,Dayrun=8,Dayrun=11),IF(Option=1,MAX($P116-H116,0),IF(Option=2,MAX(H116-$P116,0),0)),0))</f>
        <v> </v>
      </c>
      <c r="Z116" s="293" t="str">
        <f aca="false">IF($A116="N/A"," ",IF(OR(Dayrun&lt;=2,Dayrun&gt;=11),IF(Option=1,MAX($Q116-$H116,0),IF(Option=2,MAX($H116-$Q116,0),0)),0))</f>
        <v> </v>
      </c>
      <c r="AA116" s="289" t="str">
        <f aca="false">IF($A116="N/A"," ",IF(Dayrun&gt;=3,(MAX(0,(xSPRDOPT(I116,($E116-'Pricing Inputs'!$X151*$D116),$CV116,0,($CN116+IF(Smile=TRUE(),VLOOKUP(MAX(-5,$H116-I116),Volsmile,2),0)),$CT116,$CU116,($A116-DateToday)+15,ABS(Option-2),0)-R116))),0))</f>
        <v> </v>
      </c>
      <c r="AB116" s="290" t="str">
        <f aca="false">IF($A116="N/A"," ",IF(Dayrun&gt;=6,MAX(0,(xSPRDOPT(J116,($E116-'Pricing Inputs'!$X151*$D116),$CV116,0,($CN116+IF(Smile=TRUE(),VLOOKUP(MAX(-5,$H116-J116),Volsmile,2),0)),$CT116,$CU116,($A116-DateToday)+15,ABS(Option-2),0)-S116)),0))</f>
        <v> </v>
      </c>
      <c r="AC116" s="290" t="str">
        <f aca="false">IF($A116="N/A"," ",IF(OR(Dayrun&lt;=2,Dayrun&gt;=9),IF(OffPeakEx=TRUE(),MAX(0,(xSPRDOPT(K116,($E116-'Pricing Inputs'!$X151*$D116),$CV116,0,($CQ116+IF(Smile=TRUE(),VLOOKUP(MAX(-5,$H116-K116),Volsmile,2),0)),$CT116,$CU116,($A116-DateToday)+15,ABS(Option-2),0)-T116)),0),0))</f>
        <v> </v>
      </c>
      <c r="AD116" s="290" t="str">
        <f aca="false">IF($A116="N/A"," ",IF(OR(Dayrun=1,Dayrun=4,Dayrun=5,Dayrun=7,Dayrun=8,Dayrun=10,Dayrun=11),MAX(0,(xSPRDOPT(L116,($E116-'Pricing Inputs'!$X151*$D116),$CV116,0,($CQ116+IF(Smile=TRUE(),VLOOKUP(MAX(-5,$H116-L116),Volsmile,2),0)),$CT116,$CU116,($A116-DateToday)+15,ABS(Option-2),0)-U116)),0))</f>
        <v> </v>
      </c>
      <c r="AE116" s="290" t="str">
        <f aca="false">IF($A116="N/A"," ",IF(OR(Dayrun=1,Dayrun=7,Dayrun=8,Dayrun=10,Dayrun=11),MAX(0,(xSPRDOPT(M116,($E116-'Pricing Inputs'!$X151*$D116),$CV116,0,($CQ116+IF(Smile=TRUE(),VLOOKUP(MAX(-5,$H116-M116),Volsmile,2),0)),$CT116,$CU116,($A116-DateToday)+15,ABS(Option-2),0)-V116)),0))</f>
        <v> </v>
      </c>
      <c r="AF116" s="290" t="str">
        <f aca="false">IF($A116="N/A"," ",IF(OR(Dayrun&lt;=2,Dayrun&gt;=10),IF(OffPeakEx=TRUE(),MAX(0,(xSPRDOPT(N116,($E116-'Pricing Inputs'!$X151*$D116),$CV116,0,($CQ116+IF(Smile=TRUE(),VLOOKUP(MAX(-5,$H116-N116),Volsmile,2),0)),$CT116,$CU116,($A116-DateToday)+15,ABS(Option-2),0)-W116)),0),0))</f>
        <v> </v>
      </c>
      <c r="AG116" s="290" t="str">
        <f aca="false">IF($A116="N/A"," ",IF(OR(Dayrun=1,Dayrun=5,Dayrun=8,Dayrun=11),MAX(0,(xSPRDOPT(O116,($E116-'Pricing Inputs'!$X151*$D116),$CV116,0,($CQ116+IF(Smile=TRUE(),VLOOKUP(MAX(-5,$H116-O116),Volsmile,2),0)),$CT116,$CU116,($A116-DateToday)+15,ABS(Option-2),0)-X116)),0))</f>
        <v> </v>
      </c>
      <c r="AH116" s="290" t="str">
        <f aca="false">IF($A116="N/A"," ",IF(OR(Dayrun=1,Dayrun=8,Dayrun=11),MAX(0,(xSPRDOPT(P116,($E116-'Pricing Inputs'!$X151*$D116),$CV116,0,($CQ116+IF(Smile=TRUE(),VLOOKUP(MAX(-5,$H116-P116),Volsmile,2),0)),$CT116,$CU116,($A116-DateToday)+15,ABS(Option-2),0)-Y116)),0))</f>
        <v> </v>
      </c>
      <c r="AI116" s="290" t="str">
        <f aca="false">IF($A116="N/A"," ",IF(OR(Dayrun&lt;=2,Dayrun&gt;=11),IF(OffPeakEx=TRUE(),MAX(0,(xSPRDOPT(Q116,($E116-'Pricing Inputs'!$X151*$D116),$CV116,0,($CQ116+IF(Smile=TRUE(),VLOOKUP(MAX(-5,$H116-Q116),Volsmile,2),0)),$CT116,$CU116,($A116-DateToday)+15,ABS(Option-2),0)-Z116)),0),0))</f>
        <v> </v>
      </c>
      <c r="AJ116" s="294" t="str">
        <f aca="false">IF($A116="N/A"," ",IF(Dayrun&gt;=3,IF(Option=1,$I116-$H116,IF(Option=2,$H116-$I116)),0))</f>
        <v> </v>
      </c>
      <c r="AK116" s="295" t="str">
        <f aca="false">IF($A116="N/A"," ",IF(Dayrun&gt;=6,IF(Option=1,$J116-H116,IF(Option=2,H116-$J116)),0))</f>
        <v> </v>
      </c>
      <c r="AL116" s="295" t="str">
        <f aca="false">IF($A116="N/A"," ",IF(OR(Dayrun&lt;=2,Dayrun&gt;=9),IF(Option=1,$K116-$H116,IF(Option=2,$H116-$K116)),0))</f>
        <v> </v>
      </c>
      <c r="AM116" s="295" t="str">
        <f aca="false">IF($A116="N/A"," ",IF(OR(Dayrun=1,Dayrun=4,Dayrun=5,Dayrun=7,Dayrun=8,Dayrun=10,Dayrun=11),IF(Option=1,$L116-H116,IF(Option=2,H116-$L116)),0))</f>
        <v> </v>
      </c>
      <c r="AN116" s="295" t="str">
        <f aca="false">IF($A116="N/A"," ",IF(OR(Dayrun=1,Dayrun=7,Dayrun=8,Dayrun=10,Dayrun=11),IF(Option=1,$M116-H116,IF(Option=2,H116-$M116)),0))</f>
        <v> </v>
      </c>
      <c r="AO116" s="295" t="str">
        <f aca="false">IF($A116="N/A"," ",IF(OR(Dayrun&lt;=2,Dayrun&gt;=9),IF(Option=1,$N116-$H116,IF(Option=2,$H116-$N116)),0))</f>
        <v> </v>
      </c>
      <c r="AP116" s="295" t="str">
        <f aca="false">IF($A116="N/A"," ",IF(OR(Dayrun=1,Dayrun=5,Dayrun=8,Dayrun=11),IF(Option=1,$O116-H116,IF(Option=2,H116-$O116)),0))</f>
        <v> </v>
      </c>
      <c r="AQ116" s="295" t="str">
        <f aca="false">IF($A116="N/A"," ",IF(OR(Dayrun=1,Dayrun=8,Dayrun=11),IF(Option=1,$P116-H116,IF(Option=2,H116-$P116)),0))</f>
        <v> </v>
      </c>
      <c r="AR116" s="296" t="str">
        <f aca="false">IF($A116="N/A"," ",IF(OR(Dayrun&lt;=2,Dayrun&gt;=9),IF(Option=1,$Q116-H116,IF(Option=2,H116-$Q116)),0))</f>
        <v> </v>
      </c>
      <c r="AS116" s="297" t="str">
        <f aca="false">IF($A116="N/A"," ",IF(VLOOKUP(MONTH($A116),ManualTable,2)=1,IF(Dayrun&gt;=3,$DE116*8*$CY116,0),0))</f>
        <v> </v>
      </c>
      <c r="AT116" s="297" t="str">
        <f aca="false">IF($A116="N/A"," ",IF(VLOOKUP(MONTH($A116),ManualTable,3)=1,IF(Dayrun&gt;=6,$DE116*8*$CY116,0),0))</f>
        <v> </v>
      </c>
      <c r="AU116" s="297" t="str">
        <f aca="false">IF($A116="N/A"," ",IF(VLOOKUP(MONTH($A116),ManualTable,4)=1,IF(OR(Dayrun&lt;=2,Dayrun&gt;=9),$DE116*8*$CY116,0),0))</f>
        <v> </v>
      </c>
      <c r="AV116" s="297" t="str">
        <f aca="false">IF($A116="N/A"," ",IF(VLOOKUP(MONTH($A116),ManualTable,5)=1,IF(OR(Dayrun=1,Dayrun=4,Dayrun=5,Dayrun=7,Dayrun=8,Dayrun=10,Dayrun=11),$DF116*8*$CY116,0),0))</f>
        <v> </v>
      </c>
      <c r="AW116" s="297" t="str">
        <f aca="false">IF($A116="N/A"," ",IF(VLOOKUP(MONTH($A116),ManualTable,6)=1,IF(OR(Dayrun=1,Dayrun=7,Dayrun=8,Dayrun=10,Dayrun=11),$DF116*8*$CY116,0),0))</f>
        <v> </v>
      </c>
      <c r="AX116" s="297" t="str">
        <f aca="false">IF($A116="N/A"," ",IF(VLOOKUP(MONTH($A116),ManualTable,7)=1,IF(OR(Dayrun&lt;=2,Dayrun&gt;=9),$DF116*8*$CY116,0),0))</f>
        <v> </v>
      </c>
      <c r="AY116" s="297" t="str">
        <f aca="false">IF($A116="N/A"," ",IF(VLOOKUP(MONTH($A116),ManualTable,8)=1,IF(OR(Dayrun=1,Dayrun=5,Dayrun=8,Dayrun=11),$DG116*8*$CY116,0),0))</f>
        <v> </v>
      </c>
      <c r="AZ116" s="297" t="str">
        <f aca="false">IF($A116="N/A"," ",IF(VLOOKUP(MONTH($A116),ManualTable,9)=1,IF(OR(Dayrun=1,Dayrun=8,Dayrun=11),$DG116*8*$CY116,0),0))</f>
        <v> </v>
      </c>
      <c r="BA116" s="298" t="str">
        <f aca="false">IF($A116="N/A"," ",IF(VLOOKUP(MONTH($A116),ManualTable,10)=1,IF(OR(Dayrun&lt;=2,Dayrun&gt;=9),$DG116*8*$CY116,0),0))</f>
        <v> </v>
      </c>
      <c r="BB116" s="299" t="str">
        <f aca="false">IF($A116="N/A"," ",IF(Dayrun&gt;=3,(MAX(0,(xSPRDOPT(I116,($E116-'Pricing Inputs'!$X151*$D116),$CV116,0,($CN116+IF(Smile=TRUE(),VLOOKUP(MAX(-5,$H116-I116),Volsmile,2),0)),$CT116,$CU116,($A116-DateToday)+15,ABS(Option-2),1)*DE116*8))),0))</f>
        <v> </v>
      </c>
      <c r="BC116" s="300" t="str">
        <f aca="false">IF($A116="N/A"," ",IF(Dayrun&gt;=6,MAX(0,(xSPRDOPT(J116,($E116-'Pricing Inputs'!$X151*$D116),$CV116,0,($CN116+IF(Smile=TRUE(),VLOOKUP(MAX(-5,$H116-J116),Volsmile,2),0)),$CT116,$CU116,($A116-DateToday)+15,ABS(Option-2),1)*DE116*8)),0))</f>
        <v> </v>
      </c>
      <c r="BD116" s="300" t="str">
        <f aca="false">IF($A116="N/A"," ",IF(OR(Dayrun&lt;=2,Dayrun&gt;=9),IF(OffPeakEx=TRUE(),MAX(0,(xSPRDOPT(K116,($E116-'Pricing Inputs'!$X151*$D116),$CV116,0,($CQ116+IF(Smile=TRUE(),VLOOKUP(MAX(-5,$H116-K116),Volsmile,2),0)),$CT116,$CU116,($A116-DateToday)+15,ABS(Option-2),1)*DE116*8)),0),0))</f>
        <v> </v>
      </c>
      <c r="BE116" s="300" t="str">
        <f aca="false">IF($A116="N/A"," ",IF(OR(Dayrun=1,Dayrun=4,Dayrun=5,Dayrun=7,Dayrun=8,Dayrun=10,Dayrun=11),MAX(0,(xSPRDOPT(L116,($E116-'Pricing Inputs'!$X151*$D116),$CV116,0,($CQ116+IF(Smile=TRUE(),VLOOKUP(MAX(-5,$H116-L116),Volsmile,2),0)),$CT116,$CU116,($A116-DateToday)+15,ABS(Option-2),1)*DF116*8)),0))</f>
        <v> </v>
      </c>
      <c r="BF116" s="300" t="str">
        <f aca="false">IF($A116="N/A"," ",IF(OR(Dayrun=1,Dayrun=7,Dayrun=8,Dayrun=10,Dayrun=11),MAX(0,(xSPRDOPT(M116,($E116-'Pricing Inputs'!$X151*$D116),$CV116,0,($CQ116+IF(Smile=TRUE(),VLOOKUP(MAX(-5,$H116-M116),Volsmile,2),0)),$CT116,$CU116,($A116-DateToday)+15,ABS(Option-2),1)*DF116*8)),0))</f>
        <v> </v>
      </c>
      <c r="BG116" s="300" t="str">
        <f aca="false">IF($A116="N/A"," ",IF(OR(Dayrun&lt;=2,Dayrun&gt;=10),IF(OffPeakEx=TRUE(),MAX(0,(xSPRDOPT(N116,($E116-'Pricing Inputs'!$X151*$D116),$CV116,0,($CQ116+IF(Smile=TRUE(),VLOOKUP(MAX(-5,$H116-N116),Volsmile,2),0)),$CT116,$CU116,($A116-DateToday)+15,ABS(Option-2),1)*DF116*8)),0),0))</f>
        <v> </v>
      </c>
      <c r="BH116" s="300" t="str">
        <f aca="false">IF($A116="N/A"," ",IF(OR(Dayrun=1,Dayrun=5,Dayrun=8,Dayrun=11),MAX(0,(xSPRDOPT(O116,($E116-'Pricing Inputs'!$X151*$D116),$CV116,0,($CQ116+IF(Smile=TRUE(),VLOOKUP(MAX(-5,$H116-O116),Volsmile,2),0)),$CT116,$CU116,($A116-DateToday)+15,ABS(Option-2),1)*DG116*8)),0))</f>
        <v> </v>
      </c>
      <c r="BI116" s="300" t="str">
        <f aca="false">IF($A116="N/A"," ",IF(OR(Dayrun=1,Dayrun=8,Dayrun=11),MAX(0,(xSPRDOPT(P116,($E116-'Pricing Inputs'!$X151*$D116),$CV116,0,($CQ116+IF(Smile=TRUE(),VLOOKUP(MAX(-5,$H116-P116),Volsmile,2),0)),$CT116,$CU116,($A116-DateToday)+15,ABS(Option-2),1)*DG116*8)),0))</f>
        <v> </v>
      </c>
      <c r="BJ116" s="301" t="str">
        <f aca="false">IF($A116="N/A"," ",IF(OR(Dayrun&lt;=2,Dayrun&gt;=11),IF(OffPeakEx=TRUE(),MAX(0,(xSPRDOPT(Q116,($E116-'Pricing Inputs'!$X151*$D116),$CV116,0,($CQ116+IF(Smile=TRUE(),VLOOKUP(MAX(-5,$H116-Q116),Volsmile,2),0)),$CT116,$CU116,($A116-DateToday)+15,ABS(Option-2),1)*DG116*8)),0),0))</f>
        <v> </v>
      </c>
      <c r="BK116" s="302" t="str">
        <f aca="false">IF($A116="N/A"," ",R116*$AS116)</f>
        <v> </v>
      </c>
      <c r="BL116" s="303" t="str">
        <f aca="false">IF($A116="N/A"," ",S116*$AT116)</f>
        <v> </v>
      </c>
      <c r="BM116" s="303" t="str">
        <f aca="false">IF($A116="N/A"," ",T116*$AU116)</f>
        <v> </v>
      </c>
      <c r="BN116" s="303" t="str">
        <f aca="false">IF($A116="N/A"," ",U116*$AV116)</f>
        <v> </v>
      </c>
      <c r="BO116" s="303" t="str">
        <f aca="false">IF($A116="N/A"," ",V116*$AW116)</f>
        <v> </v>
      </c>
      <c r="BP116" s="303" t="str">
        <f aca="false">IF($A116="N/A"," ",W116*$AX116)</f>
        <v> </v>
      </c>
      <c r="BQ116" s="303" t="str">
        <f aca="false">IF($A116="N/A"," ",X116*$AY116)</f>
        <v> </v>
      </c>
      <c r="BR116" s="303" t="str">
        <f aca="false">IF($A116="N/A"," ",Y116*$AZ116)</f>
        <v> </v>
      </c>
      <c r="BS116" s="304" t="str">
        <f aca="false">IF($A116="N/A"," ",Z116*$BA116)</f>
        <v> </v>
      </c>
      <c r="BT116" s="305" t="str">
        <f aca="false">IF($A116="N/A"," ",AA116*$AS116)</f>
        <v> </v>
      </c>
      <c r="BU116" s="306" t="str">
        <f aca="false">IF($A116="N/A"," ",AB116*$AT116)</f>
        <v> </v>
      </c>
      <c r="BV116" s="306" t="str">
        <f aca="false">IF($A116="N/A"," ",AC116*$AU116)</f>
        <v> </v>
      </c>
      <c r="BW116" s="306" t="str">
        <f aca="false">IF($A116="N/A"," ",AD116*$AV116)</f>
        <v> </v>
      </c>
      <c r="BX116" s="306" t="str">
        <f aca="false">IF($A116="N/A"," ",AE116*$AW116)</f>
        <v> </v>
      </c>
      <c r="BY116" s="306" t="str">
        <f aca="false">IF($A116="N/A"," ",AF116*$AX116)</f>
        <v> </v>
      </c>
      <c r="BZ116" s="306" t="str">
        <f aca="false">IF($A116="N/A"," ",AG116*$AY116)</f>
        <v> </v>
      </c>
      <c r="CA116" s="306" t="str">
        <f aca="false">IF($A116="N/A"," ",AH116*$AZ116)</f>
        <v> </v>
      </c>
      <c r="CB116" s="307" t="str">
        <f aca="false">IF($A116="N/A"," ",AI116*$BA116)</f>
        <v> </v>
      </c>
      <c r="CC116" s="308" t="str">
        <f aca="false">IF($A116="N/A"," ",AJ116*$AS116)</f>
        <v> </v>
      </c>
      <c r="CD116" s="309" t="str">
        <f aca="false">IF($A116="N/A"," ",AK116*$AT116)</f>
        <v> </v>
      </c>
      <c r="CE116" s="309" t="str">
        <f aca="false">IF($A116="N/A"," ",AL116*$AU116)</f>
        <v> </v>
      </c>
      <c r="CF116" s="309" t="str">
        <f aca="false">IF($A116="N/A"," ",AM116*$AV116)</f>
        <v> </v>
      </c>
      <c r="CG116" s="309" t="str">
        <f aca="false">IF($A116="N/A"," ",AN116*$AW116)</f>
        <v> </v>
      </c>
      <c r="CH116" s="309" t="str">
        <f aca="false">IF($A116="N/A"," ",AO116*$AX116)</f>
        <v> </v>
      </c>
      <c r="CI116" s="309" t="str">
        <f aca="false">IF($A116="N/A"," ",AP116*$AY116)</f>
        <v> </v>
      </c>
      <c r="CJ116" s="309" t="str">
        <f aca="false">IF($A116="N/A"," ",AQ116*$AZ116)</f>
        <v> </v>
      </c>
      <c r="CK116" s="310" t="str">
        <f aca="false">IF($A116="N/A"," ",AR116*$BA116)</f>
        <v> </v>
      </c>
      <c r="CL116" s="311" t="str">
        <f aca="false">IF(A116="N/A"," ",(VLOOKUP(A116,PowerVolTable,(IF(VolBMO=2,7,IF(VolBMO=1,6,8))),FALSE())))</f>
        <v> </v>
      </c>
      <c r="CM116" s="312" t="str">
        <f aca="false">IF(A116="N/A"," ",(VLOOKUP(A116,IntraPowerVol,(IF(VolBMO=2,3,IF(VolBMO=1,2,4))),FALSE())*VLOOKUP(MONTH($A116),Volscale,2)))</f>
        <v> </v>
      </c>
      <c r="CN116" s="312" t="str">
        <f aca="false">IF($A116="N/A"," ",IF(VolType=1,CM116,CL116))</f>
        <v> </v>
      </c>
      <c r="CO116" s="312" t="str">
        <f aca="false">IF($A116="N/A"," ",(VLOOKUP($A116,OffPeakVol,(IF(VolBMO=2,7,IF(VolBMO=1,6,8))),FALSE())))</f>
        <v> </v>
      </c>
      <c r="CP116" s="312" t="str">
        <f aca="false">IF($A116="N/A"," ",(VLOOKUP($A116,OffPeakVol,(IF(VolBMO=2,3,IF(VolBMO=1,2,4))),FALSE())*VLOOKUP(MONTH($A116),Volscale,2)))</f>
        <v> </v>
      </c>
      <c r="CQ116" s="312" t="str">
        <f aca="false">IF($A116="N/A"," ",IF(VolType=1,CP116,CO116))</f>
        <v> </v>
      </c>
      <c r="CR116" s="312" t="str">
        <f aca="false">IF($A116="N/A"," ",(VLOOKUP($A116,GasVolTable,(IF(VolBMO=2,6,IF(VolBMO=1,7,5))),FALSE())))</f>
        <v> </v>
      </c>
      <c r="CS116" s="312" t="str">
        <f aca="false">IF($A116="N/A"," ",(VLOOKUP($A116,OmicronVol,(IF(VolBMO=2,3,IF(VolBMO=1,4,2))),FALSE())))</f>
        <v> </v>
      </c>
      <c r="CT116" s="312" t="str">
        <f aca="false">IF($A116="N/A"," ",(IF(DateToday&gt;$A116,$CS116,IF(VolType=1,((($CR116^2)*((($A116-1)-DateToday)/((EOMONTH($A116,0)+1)-DateToday-15)))+((($CS116)^2)*((15)/((EOMONTH($A116,0)+1)-DateToday-15))))^0.5,CR116))))</f>
        <v> </v>
      </c>
      <c r="CU116" s="312" t="str">
        <f aca="false">IF($A116="N/A"," ",IF('Pricing Inputs'!$AR$23=TRUE(),Inputs!$S$22,VLOOKUP($A116,CorrelationTable,2,FALSE())))</f>
        <v> </v>
      </c>
      <c r="CV116" s="313" t="str">
        <f aca="false">IF($A116="N/A"," ",F116+G116+(D116*('Pricing Inputs'!X151)))</f>
        <v> </v>
      </c>
      <c r="CW116" s="314" t="str">
        <f aca="false">IF($A116="N/A"," ",IF(PV=1,0,'Pricing Inputs'!Y151))</f>
        <v> </v>
      </c>
      <c r="CX116" s="315" t="str">
        <f aca="false">IF($A116="N/A"," ",(1+CW116/2)^(-2*((EOMONTH(A116,0)+20)-DateToday)/365.25))</f>
        <v> </v>
      </c>
      <c r="CY116" s="316" t="str">
        <f aca="false">IF($A116="N/A"," ",(IF(MONTH(A116)&gt;=4,IF(MONTH(A116)&lt;=10,Inputs!$S$26,Inputs!$S$27),Inputs!$S$27))*$CX116)</f>
        <v> </v>
      </c>
      <c r="CZ116" s="317" t="str">
        <f aca="false">IF($A116="N/A"," ",BK116+BL116+BN116+BO116+BQ116+BR116)</f>
        <v> </v>
      </c>
      <c r="DA116" s="318" t="str">
        <f aca="false">IF($A116="N/A"," ",BM116+BP116+BS116)</f>
        <v> </v>
      </c>
      <c r="DB116" s="319" t="str">
        <f aca="false">IF($A116="N/A"," ",BT116+BU116+BW116+BX116+BZ116+CA116)</f>
        <v> </v>
      </c>
      <c r="DC116" s="319" t="str">
        <f aca="false">IF($A116="N/A"," ",BV116+BY116+CB116)</f>
        <v> </v>
      </c>
      <c r="DD116" s="320" t="str">
        <f aca="false">IF($A116="N/A"," ",SUM(CC116:CK116))</f>
        <v> </v>
      </c>
      <c r="DE116" s="321" t="str">
        <f aca="false">IF($A116="N/A"," ",VLOOKUP($A116,NumberofDaysTable,2)*Availability)</f>
        <v> </v>
      </c>
      <c r="DF116" s="94" t="str">
        <f aca="false">IF($A116="N/A"," ",VLOOKUP($A116,NumberofDaysTable,3)*Availability)</f>
        <v> </v>
      </c>
      <c r="DG116" s="322" t="str">
        <f aca="false">IF($A116="N/A"," ",VLOOKUP($A116,NumberofDaysTable,4)*Availability)</f>
        <v> </v>
      </c>
      <c r="DH116" s="323" t="str">
        <f aca="false">IF($A116="N/A"," ",IF(Option=1,$D116*Inputs!$S$15*SUM(AS116:BA116),0))</f>
        <v> </v>
      </c>
      <c r="DI116" s="324" t="str">
        <f aca="false">IF($A116="N/A"," ",IF(Option=1,$D116*Inputs!$S$16*SUM(AS116:BA116),0))</f>
        <v> </v>
      </c>
      <c r="DJ116" s="325" t="str">
        <f aca="false">IF($A116="N/A"," ",SUM(AS116:AT116))</f>
        <v> </v>
      </c>
      <c r="DK116" s="325" t="str">
        <f aca="false">IF($A116="N/A"," ",SUM(AU116:BA116))</f>
        <v> </v>
      </c>
      <c r="DL116" s="325" t="str">
        <f aca="false">IF($A116="N/A"," ",SUM(BB116:BC116))</f>
        <v> </v>
      </c>
      <c r="DM116" s="325" t="str">
        <f aca="false">IF($A116="N/A"," ",SUM(BD116:BJ116))</f>
        <v> </v>
      </c>
    </row>
    <row r="117" customFormat="false" ht="12.75" hidden="false" customHeight="false" outlineLevel="0" collapsed="false">
      <c r="A117" s="282" t="str">
        <f aca="false">IF(A116="N/A","N/A",IF(EDATE(A116,1)&gt;Inputs!$S$5,"N/A",EDATE(A116,1)))</f>
        <v>N/A</v>
      </c>
      <c r="B117" s="283" t="str">
        <f aca="false">IF(A117="N/A"," ",YEAR(A117))</f>
        <v> </v>
      </c>
      <c r="C117" s="284" t="str">
        <f aca="false">IF(A117="N/A"," ",VLOOKUP(A117,ScaledPrice,14))</f>
        <v> </v>
      </c>
      <c r="D117" s="285" t="str">
        <f aca="false">IF(A117="N/A"," ",(VLOOKUP(MONTH($A117),Hrtable,2))/1000)</f>
        <v> </v>
      </c>
      <c r="E117" s="286" t="str">
        <f aca="false">IF($A117="N/A"," ",(C117)*D117)</f>
        <v> </v>
      </c>
      <c r="F117" s="287" t="str">
        <f aca="false">IF(A117="N/A"," ",VOM*(1+VOMesc)^(YEAR(A117)-YEAR(Today)))</f>
        <v> </v>
      </c>
      <c r="G117" s="287" t="str">
        <f aca="false">IF(A117="N/A"," ",Perstart/VLOOKUP(Dayrun,'Pricing Inputs'!$AQ$4:$AS$14,3)/(CY117/CX117))</f>
        <v> </v>
      </c>
      <c r="H117" s="288" t="str">
        <f aca="false">IF(A117="N/A"," ",SUM(E117:G117))</f>
        <v> </v>
      </c>
      <c r="I117" s="289" t="str">
        <f aca="false">VLOOKUP($A117,ScaledPrice,6)</f>
        <v> </v>
      </c>
      <c r="J117" s="290" t="str">
        <f aca="false">VLOOKUP($A117,ScaledPrice,10)</f>
        <v> </v>
      </c>
      <c r="K117" s="290" t="str">
        <f aca="false">VLOOKUP($A117,ScaledPrice,13)</f>
        <v> </v>
      </c>
      <c r="L117" s="290" t="str">
        <f aca="false">VLOOKUP($A117,ScaledPrice,7)</f>
        <v> </v>
      </c>
      <c r="M117" s="290" t="str">
        <f aca="false">VLOOKUP($A117,ScaledPrice,11)</f>
        <v> </v>
      </c>
      <c r="N117" s="290" t="str">
        <f aca="false">VLOOKUP($A117,ScaledPrice,13)</f>
        <v> </v>
      </c>
      <c r="O117" s="290" t="str">
        <f aca="false">VLOOKUP($A117,ScaledPrice,8)</f>
        <v> </v>
      </c>
      <c r="P117" s="290" t="str">
        <f aca="false">VLOOKUP($A117,ScaledPrice,12)</f>
        <v> </v>
      </c>
      <c r="Q117" s="291" t="str">
        <f aca="false">VLOOKUP($A117,ScaledPrice,13)</f>
        <v> </v>
      </c>
      <c r="R117" s="292" t="str">
        <f aca="false">IF($A117="N/A"," ",IF(Dayrun&gt;=3,IF(Option=1,MAX($I117-$H117,0),IF(Option=2,MAX($H117-$I117,0),0)),0))</f>
        <v> </v>
      </c>
      <c r="S117" s="286" t="str">
        <f aca="false">IF($A117="N/A"," ",IF(Dayrun&gt;=6,IF(Option=1,MAX($J117-H117,0),IF(Option=2,MAX(H117-$J117,0),0)),0))</f>
        <v> </v>
      </c>
      <c r="T117" s="286" t="str">
        <f aca="false">IF($A117="N/A"," ",IF(OR(Dayrun&lt;=2,Dayrun&gt;=9),IF(Option=1,MAX($K117-$H117,0),IF(Option=2,MAX($H117-$K117,0),0)),0))</f>
        <v> </v>
      </c>
      <c r="U117" s="286" t="str">
        <f aca="false">IF($A117="N/A"," ",IF(OR(Dayrun=1,Dayrun=4,Dayrun=5,Dayrun=7,Dayrun=8,Dayrun=10,Dayrun=11),IF(Option=1,MAX($L117-H117,0),IF(Option=2,MAX(H117-$L117,0),0)),0))</f>
        <v> </v>
      </c>
      <c r="V117" s="286" t="str">
        <f aca="false">IF($A117="N/A"," ",IF(OR(Dayrun=1,Dayrun=7,Dayrun=8,Dayrun=10,Dayrun=11),IF(Option=1,MAX($M117-H117,0),IF(Option=2,MAX(H117-$M117,0),0)),0))</f>
        <v> </v>
      </c>
      <c r="W117" s="286" t="str">
        <f aca="false">IF($A117="N/A"," ",IF(OR(Dayrun&lt;=2,Dayrun&gt;=10),IF(Option=1,MAX($N117-$H117,0),IF(Option=2,MAX($H117-$N117,0),0)),0))</f>
        <v> </v>
      </c>
      <c r="X117" s="286" t="str">
        <f aca="false">IF($A117="N/A"," ",IF(OR(Dayrun=1,Dayrun=5,Dayrun=8,Dayrun=11),IF(Option=1,MAX($O117-H117,0),IF(Option=2,MAX(H117-$O117,0),0)),0))</f>
        <v> </v>
      </c>
      <c r="Y117" s="286" t="str">
        <f aca="false">IF($A117="N/A"," ",IF(OR(Dayrun=1,Dayrun=8,Dayrun=11),IF(Option=1,MAX($P117-H117,0),IF(Option=2,MAX(H117-$P117,0),0)),0))</f>
        <v> </v>
      </c>
      <c r="Z117" s="293" t="str">
        <f aca="false">IF($A117="N/A"," ",IF(OR(Dayrun&lt;=2,Dayrun&gt;=11),IF(Option=1,MAX($Q117-$H117,0),IF(Option=2,MAX($H117-$Q117,0),0)),0))</f>
        <v> </v>
      </c>
      <c r="AA117" s="289" t="str">
        <f aca="false">IF($A117="N/A"," ",IF(Dayrun&gt;=3,(MAX(0,(xSPRDOPT(I117,($E117-'Pricing Inputs'!$X152*$D117),$CV117,0,($CN117+IF(Smile=TRUE(),VLOOKUP(MAX(-5,$H117-I117),Volsmile,2),0)),$CT117,$CU117,($A117-DateToday)+15,ABS(Option-2),0)-R117))),0))</f>
        <v> </v>
      </c>
      <c r="AB117" s="290" t="str">
        <f aca="false">IF($A117="N/A"," ",IF(Dayrun&gt;=6,MAX(0,(xSPRDOPT(J117,($E117-'Pricing Inputs'!$X152*$D117),$CV117,0,($CN117+IF(Smile=TRUE(),VLOOKUP(MAX(-5,$H117-J117),Volsmile,2),0)),$CT117,$CU117,($A117-DateToday)+15,ABS(Option-2),0)-S117)),0))</f>
        <v> </v>
      </c>
      <c r="AC117" s="290" t="str">
        <f aca="false">IF($A117="N/A"," ",IF(OR(Dayrun&lt;=2,Dayrun&gt;=9),IF(OffPeakEx=TRUE(),MAX(0,(xSPRDOPT(K117,($E117-'Pricing Inputs'!$X152*$D117),$CV117,0,($CQ117+IF(Smile=TRUE(),VLOOKUP(MAX(-5,$H117-K117),Volsmile,2),0)),$CT117,$CU117,($A117-DateToday)+15,ABS(Option-2),0)-T117)),0),0))</f>
        <v> </v>
      </c>
      <c r="AD117" s="290" t="str">
        <f aca="false">IF($A117="N/A"," ",IF(OR(Dayrun=1,Dayrun=4,Dayrun=5,Dayrun=7,Dayrun=8,Dayrun=10,Dayrun=11),MAX(0,(xSPRDOPT(L117,($E117-'Pricing Inputs'!$X152*$D117),$CV117,0,($CQ117+IF(Smile=TRUE(),VLOOKUP(MAX(-5,$H117-L117),Volsmile,2),0)),$CT117,$CU117,($A117-DateToday)+15,ABS(Option-2),0)-U117)),0))</f>
        <v> </v>
      </c>
      <c r="AE117" s="290" t="str">
        <f aca="false">IF($A117="N/A"," ",IF(OR(Dayrun=1,Dayrun=7,Dayrun=8,Dayrun=10,Dayrun=11),MAX(0,(xSPRDOPT(M117,($E117-'Pricing Inputs'!$X152*$D117),$CV117,0,($CQ117+IF(Smile=TRUE(),VLOOKUP(MAX(-5,$H117-M117),Volsmile,2),0)),$CT117,$CU117,($A117-DateToday)+15,ABS(Option-2),0)-V117)),0))</f>
        <v> </v>
      </c>
      <c r="AF117" s="290" t="str">
        <f aca="false">IF($A117="N/A"," ",IF(OR(Dayrun&lt;=2,Dayrun&gt;=10),IF(OffPeakEx=TRUE(),MAX(0,(xSPRDOPT(N117,($E117-'Pricing Inputs'!$X152*$D117),$CV117,0,($CQ117+IF(Smile=TRUE(),VLOOKUP(MAX(-5,$H117-N117),Volsmile,2),0)),$CT117,$CU117,($A117-DateToday)+15,ABS(Option-2),0)-W117)),0),0))</f>
        <v> </v>
      </c>
      <c r="AG117" s="290" t="str">
        <f aca="false">IF($A117="N/A"," ",IF(OR(Dayrun=1,Dayrun=5,Dayrun=8,Dayrun=11),MAX(0,(xSPRDOPT(O117,($E117-'Pricing Inputs'!$X152*$D117),$CV117,0,($CQ117+IF(Smile=TRUE(),VLOOKUP(MAX(-5,$H117-O117),Volsmile,2),0)),$CT117,$CU117,($A117-DateToday)+15,ABS(Option-2),0)-X117)),0))</f>
        <v> </v>
      </c>
      <c r="AH117" s="290" t="str">
        <f aca="false">IF($A117="N/A"," ",IF(OR(Dayrun=1,Dayrun=8,Dayrun=11),MAX(0,(xSPRDOPT(P117,($E117-'Pricing Inputs'!$X152*$D117),$CV117,0,($CQ117+IF(Smile=TRUE(),VLOOKUP(MAX(-5,$H117-P117),Volsmile,2),0)),$CT117,$CU117,($A117-DateToday)+15,ABS(Option-2),0)-Y117)),0))</f>
        <v> </v>
      </c>
      <c r="AI117" s="290" t="str">
        <f aca="false">IF($A117="N/A"," ",IF(OR(Dayrun&lt;=2,Dayrun&gt;=11),IF(OffPeakEx=TRUE(),MAX(0,(xSPRDOPT(Q117,($E117-'Pricing Inputs'!$X152*$D117),$CV117,0,($CQ117+IF(Smile=TRUE(),VLOOKUP(MAX(-5,$H117-Q117),Volsmile,2),0)),$CT117,$CU117,($A117-DateToday)+15,ABS(Option-2),0)-Z117)),0),0))</f>
        <v> </v>
      </c>
      <c r="AJ117" s="294" t="str">
        <f aca="false">IF($A117="N/A"," ",IF(Dayrun&gt;=3,IF(Option=1,$I117-$H117,IF(Option=2,$H117-$I117)),0))</f>
        <v> </v>
      </c>
      <c r="AK117" s="295" t="str">
        <f aca="false">IF($A117="N/A"," ",IF(Dayrun&gt;=6,IF(Option=1,$J117-H117,IF(Option=2,H117-$J117)),0))</f>
        <v> </v>
      </c>
      <c r="AL117" s="295" t="str">
        <f aca="false">IF($A117="N/A"," ",IF(OR(Dayrun&lt;=2,Dayrun&gt;=9),IF(Option=1,$K117-$H117,IF(Option=2,$H117-$K117)),0))</f>
        <v> </v>
      </c>
      <c r="AM117" s="295" t="str">
        <f aca="false">IF($A117="N/A"," ",IF(OR(Dayrun=1,Dayrun=4,Dayrun=5,Dayrun=7,Dayrun=8,Dayrun=10,Dayrun=11),IF(Option=1,$L117-H117,IF(Option=2,H117-$L117)),0))</f>
        <v> </v>
      </c>
      <c r="AN117" s="295" t="str">
        <f aca="false">IF($A117="N/A"," ",IF(OR(Dayrun=1,Dayrun=7,Dayrun=8,Dayrun=10,Dayrun=11),IF(Option=1,$M117-H117,IF(Option=2,H117-$M117)),0))</f>
        <v> </v>
      </c>
      <c r="AO117" s="295" t="str">
        <f aca="false">IF($A117="N/A"," ",IF(OR(Dayrun&lt;=2,Dayrun&gt;=9),IF(Option=1,$N117-$H117,IF(Option=2,$H117-$N117)),0))</f>
        <v> </v>
      </c>
      <c r="AP117" s="295" t="str">
        <f aca="false">IF($A117="N/A"," ",IF(OR(Dayrun=1,Dayrun=5,Dayrun=8,Dayrun=11),IF(Option=1,$O117-H117,IF(Option=2,H117-$O117)),0))</f>
        <v> </v>
      </c>
      <c r="AQ117" s="295" t="str">
        <f aca="false">IF($A117="N/A"," ",IF(OR(Dayrun=1,Dayrun=8,Dayrun=11),IF(Option=1,$P117-H117,IF(Option=2,H117-$P117)),0))</f>
        <v> </v>
      </c>
      <c r="AR117" s="296" t="str">
        <f aca="false">IF($A117="N/A"," ",IF(OR(Dayrun&lt;=2,Dayrun&gt;=9),IF(Option=1,$Q117-H117,IF(Option=2,H117-$Q117)),0))</f>
        <v> </v>
      </c>
      <c r="AS117" s="297" t="str">
        <f aca="false">IF($A117="N/A"," ",IF(VLOOKUP(MONTH($A117),ManualTable,2)=1,IF(Dayrun&gt;=3,$DE117*8*$CY117,0),0))</f>
        <v> </v>
      </c>
      <c r="AT117" s="297" t="str">
        <f aca="false">IF($A117="N/A"," ",IF(VLOOKUP(MONTH($A117),ManualTable,3)=1,IF(Dayrun&gt;=6,$DE117*8*$CY117,0),0))</f>
        <v> </v>
      </c>
      <c r="AU117" s="297" t="str">
        <f aca="false">IF($A117="N/A"," ",IF(VLOOKUP(MONTH($A117),ManualTable,4)=1,IF(OR(Dayrun&lt;=2,Dayrun&gt;=9),$DE117*8*$CY117,0),0))</f>
        <v> </v>
      </c>
      <c r="AV117" s="297" t="str">
        <f aca="false">IF($A117="N/A"," ",IF(VLOOKUP(MONTH($A117),ManualTable,5)=1,IF(OR(Dayrun=1,Dayrun=4,Dayrun=5,Dayrun=7,Dayrun=8,Dayrun=10,Dayrun=11),$DF117*8*$CY117,0),0))</f>
        <v> </v>
      </c>
      <c r="AW117" s="297" t="str">
        <f aca="false">IF($A117="N/A"," ",IF(VLOOKUP(MONTH($A117),ManualTable,6)=1,IF(OR(Dayrun=1,Dayrun=7,Dayrun=8,Dayrun=10,Dayrun=11),$DF117*8*$CY117,0),0))</f>
        <v> </v>
      </c>
      <c r="AX117" s="297" t="str">
        <f aca="false">IF($A117="N/A"," ",IF(VLOOKUP(MONTH($A117),ManualTable,7)=1,IF(OR(Dayrun&lt;=2,Dayrun&gt;=9),$DF117*8*$CY117,0),0))</f>
        <v> </v>
      </c>
      <c r="AY117" s="297" t="str">
        <f aca="false">IF($A117="N/A"," ",IF(VLOOKUP(MONTH($A117),ManualTable,8)=1,IF(OR(Dayrun=1,Dayrun=5,Dayrun=8,Dayrun=11),$DG117*8*$CY117,0),0))</f>
        <v> </v>
      </c>
      <c r="AZ117" s="297" t="str">
        <f aca="false">IF($A117="N/A"," ",IF(VLOOKUP(MONTH($A117),ManualTable,9)=1,IF(OR(Dayrun=1,Dayrun=8,Dayrun=11),$DG117*8*$CY117,0),0))</f>
        <v> </v>
      </c>
      <c r="BA117" s="298" t="str">
        <f aca="false">IF($A117="N/A"," ",IF(VLOOKUP(MONTH($A117),ManualTable,10)=1,IF(OR(Dayrun&lt;=2,Dayrun&gt;=9),$DG117*8*$CY117,0),0))</f>
        <v> </v>
      </c>
      <c r="BB117" s="299" t="str">
        <f aca="false">IF($A117="N/A"," ",IF(Dayrun&gt;=3,(MAX(0,(xSPRDOPT(I117,($E117-'Pricing Inputs'!$X152*$D117),$CV117,0,($CN117+IF(Smile=TRUE(),VLOOKUP(MAX(-5,$H117-I117),Volsmile,2),0)),$CT117,$CU117,($A117-DateToday)+15,ABS(Option-2),1)*DE117*8))),0))</f>
        <v> </v>
      </c>
      <c r="BC117" s="300" t="str">
        <f aca="false">IF($A117="N/A"," ",IF(Dayrun&gt;=6,MAX(0,(xSPRDOPT(J117,($E117-'Pricing Inputs'!$X152*$D117),$CV117,0,($CN117+IF(Smile=TRUE(),VLOOKUP(MAX(-5,$H117-J117),Volsmile,2),0)),$CT117,$CU117,($A117-DateToday)+15,ABS(Option-2),1)*DE117*8)),0))</f>
        <v> </v>
      </c>
      <c r="BD117" s="300" t="str">
        <f aca="false">IF($A117="N/A"," ",IF(OR(Dayrun&lt;=2,Dayrun&gt;=9),IF(OffPeakEx=TRUE(),MAX(0,(xSPRDOPT(K117,($E117-'Pricing Inputs'!$X152*$D117),$CV117,0,($CQ117+IF(Smile=TRUE(),VLOOKUP(MAX(-5,$H117-K117),Volsmile,2),0)),$CT117,$CU117,($A117-DateToday)+15,ABS(Option-2),1)*DE117*8)),0),0))</f>
        <v> </v>
      </c>
      <c r="BE117" s="300" t="str">
        <f aca="false">IF($A117="N/A"," ",IF(OR(Dayrun=1,Dayrun=4,Dayrun=5,Dayrun=7,Dayrun=8,Dayrun=10,Dayrun=11),MAX(0,(xSPRDOPT(L117,($E117-'Pricing Inputs'!$X152*$D117),$CV117,0,($CQ117+IF(Smile=TRUE(),VLOOKUP(MAX(-5,$H117-L117),Volsmile,2),0)),$CT117,$CU117,($A117-DateToday)+15,ABS(Option-2),1)*DF117*8)),0))</f>
        <v> </v>
      </c>
      <c r="BF117" s="300" t="str">
        <f aca="false">IF($A117="N/A"," ",IF(OR(Dayrun=1,Dayrun=7,Dayrun=8,Dayrun=10,Dayrun=11),MAX(0,(xSPRDOPT(M117,($E117-'Pricing Inputs'!$X152*$D117),$CV117,0,($CQ117+IF(Smile=TRUE(),VLOOKUP(MAX(-5,$H117-M117),Volsmile,2),0)),$CT117,$CU117,($A117-DateToday)+15,ABS(Option-2),1)*DF117*8)),0))</f>
        <v> </v>
      </c>
      <c r="BG117" s="300" t="str">
        <f aca="false">IF($A117="N/A"," ",IF(OR(Dayrun&lt;=2,Dayrun&gt;=10),IF(OffPeakEx=TRUE(),MAX(0,(xSPRDOPT(N117,($E117-'Pricing Inputs'!$X152*$D117),$CV117,0,($CQ117+IF(Smile=TRUE(),VLOOKUP(MAX(-5,$H117-N117),Volsmile,2),0)),$CT117,$CU117,($A117-DateToday)+15,ABS(Option-2),1)*DF117*8)),0),0))</f>
        <v> </v>
      </c>
      <c r="BH117" s="300" t="str">
        <f aca="false">IF($A117="N/A"," ",IF(OR(Dayrun=1,Dayrun=5,Dayrun=8,Dayrun=11),MAX(0,(xSPRDOPT(O117,($E117-'Pricing Inputs'!$X152*$D117),$CV117,0,($CQ117+IF(Smile=TRUE(),VLOOKUP(MAX(-5,$H117-O117),Volsmile,2),0)),$CT117,$CU117,($A117-DateToday)+15,ABS(Option-2),1)*DG117*8)),0))</f>
        <v> </v>
      </c>
      <c r="BI117" s="300" t="str">
        <f aca="false">IF($A117="N/A"," ",IF(OR(Dayrun=1,Dayrun=8,Dayrun=11),MAX(0,(xSPRDOPT(P117,($E117-'Pricing Inputs'!$X152*$D117),$CV117,0,($CQ117+IF(Smile=TRUE(),VLOOKUP(MAX(-5,$H117-P117),Volsmile,2),0)),$CT117,$CU117,($A117-DateToday)+15,ABS(Option-2),1)*DG117*8)),0))</f>
        <v> </v>
      </c>
      <c r="BJ117" s="301" t="str">
        <f aca="false">IF($A117="N/A"," ",IF(OR(Dayrun&lt;=2,Dayrun&gt;=11),IF(OffPeakEx=TRUE(),MAX(0,(xSPRDOPT(Q117,($E117-'Pricing Inputs'!$X152*$D117),$CV117,0,($CQ117+IF(Smile=TRUE(),VLOOKUP(MAX(-5,$H117-Q117),Volsmile,2),0)),$CT117,$CU117,($A117-DateToday)+15,ABS(Option-2),1)*DG117*8)),0),0))</f>
        <v> </v>
      </c>
      <c r="BK117" s="302" t="str">
        <f aca="false">IF($A117="N/A"," ",R117*$AS117)</f>
        <v> </v>
      </c>
      <c r="BL117" s="303" t="str">
        <f aca="false">IF($A117="N/A"," ",S117*$AT117)</f>
        <v> </v>
      </c>
      <c r="BM117" s="303" t="str">
        <f aca="false">IF($A117="N/A"," ",T117*$AU117)</f>
        <v> </v>
      </c>
      <c r="BN117" s="303" t="str">
        <f aca="false">IF($A117="N/A"," ",U117*$AV117)</f>
        <v> </v>
      </c>
      <c r="BO117" s="303" t="str">
        <f aca="false">IF($A117="N/A"," ",V117*$AW117)</f>
        <v> </v>
      </c>
      <c r="BP117" s="303" t="str">
        <f aca="false">IF($A117="N/A"," ",W117*$AX117)</f>
        <v> </v>
      </c>
      <c r="BQ117" s="303" t="str">
        <f aca="false">IF($A117="N/A"," ",X117*$AY117)</f>
        <v> </v>
      </c>
      <c r="BR117" s="303" t="str">
        <f aca="false">IF($A117="N/A"," ",Y117*$AZ117)</f>
        <v> </v>
      </c>
      <c r="BS117" s="304" t="str">
        <f aca="false">IF($A117="N/A"," ",Z117*$BA117)</f>
        <v> </v>
      </c>
      <c r="BT117" s="305" t="str">
        <f aca="false">IF($A117="N/A"," ",AA117*$AS117)</f>
        <v> </v>
      </c>
      <c r="BU117" s="306" t="str">
        <f aca="false">IF($A117="N/A"," ",AB117*$AT117)</f>
        <v> </v>
      </c>
      <c r="BV117" s="306" t="str">
        <f aca="false">IF($A117="N/A"," ",AC117*$AU117)</f>
        <v> </v>
      </c>
      <c r="BW117" s="306" t="str">
        <f aca="false">IF($A117="N/A"," ",AD117*$AV117)</f>
        <v> </v>
      </c>
      <c r="BX117" s="306" t="str">
        <f aca="false">IF($A117="N/A"," ",AE117*$AW117)</f>
        <v> </v>
      </c>
      <c r="BY117" s="306" t="str">
        <f aca="false">IF($A117="N/A"," ",AF117*$AX117)</f>
        <v> </v>
      </c>
      <c r="BZ117" s="306" t="str">
        <f aca="false">IF($A117="N/A"," ",AG117*$AY117)</f>
        <v> </v>
      </c>
      <c r="CA117" s="306" t="str">
        <f aca="false">IF($A117="N/A"," ",AH117*$AZ117)</f>
        <v> </v>
      </c>
      <c r="CB117" s="307" t="str">
        <f aca="false">IF($A117="N/A"," ",AI117*$BA117)</f>
        <v> </v>
      </c>
      <c r="CC117" s="308" t="str">
        <f aca="false">IF($A117="N/A"," ",AJ117*$AS117)</f>
        <v> </v>
      </c>
      <c r="CD117" s="309" t="str">
        <f aca="false">IF($A117="N/A"," ",AK117*$AT117)</f>
        <v> </v>
      </c>
      <c r="CE117" s="309" t="str">
        <f aca="false">IF($A117="N/A"," ",AL117*$AU117)</f>
        <v> </v>
      </c>
      <c r="CF117" s="309" t="str">
        <f aca="false">IF($A117="N/A"," ",AM117*$AV117)</f>
        <v> </v>
      </c>
      <c r="CG117" s="309" t="str">
        <f aca="false">IF($A117="N/A"," ",AN117*$AW117)</f>
        <v> </v>
      </c>
      <c r="CH117" s="309" t="str">
        <f aca="false">IF($A117="N/A"," ",AO117*$AX117)</f>
        <v> </v>
      </c>
      <c r="CI117" s="309" t="str">
        <f aca="false">IF($A117="N/A"," ",AP117*$AY117)</f>
        <v> </v>
      </c>
      <c r="CJ117" s="309" t="str">
        <f aca="false">IF($A117="N/A"," ",AQ117*$AZ117)</f>
        <v> </v>
      </c>
      <c r="CK117" s="310" t="str">
        <f aca="false">IF($A117="N/A"," ",AR117*$BA117)</f>
        <v> </v>
      </c>
      <c r="CL117" s="311" t="str">
        <f aca="false">IF(A117="N/A"," ",(VLOOKUP(A117,PowerVolTable,(IF(VolBMO=2,7,IF(VolBMO=1,6,8))),FALSE())))</f>
        <v> </v>
      </c>
      <c r="CM117" s="312" t="str">
        <f aca="false">IF(A117="N/A"," ",(VLOOKUP(A117,IntraPowerVol,(IF(VolBMO=2,3,IF(VolBMO=1,2,4))),FALSE())*VLOOKUP(MONTH($A117),Volscale,2)))</f>
        <v> </v>
      </c>
      <c r="CN117" s="312" t="str">
        <f aca="false">IF($A117="N/A"," ",IF(VolType=1,CM117,CL117))</f>
        <v> </v>
      </c>
      <c r="CO117" s="312" t="str">
        <f aca="false">IF($A117="N/A"," ",(VLOOKUP($A117,OffPeakVol,(IF(VolBMO=2,7,IF(VolBMO=1,6,8))),FALSE())))</f>
        <v> </v>
      </c>
      <c r="CP117" s="312" t="str">
        <f aca="false">IF($A117="N/A"," ",(VLOOKUP($A117,OffPeakVol,(IF(VolBMO=2,3,IF(VolBMO=1,2,4))),FALSE())*VLOOKUP(MONTH($A117),Volscale,2)))</f>
        <v> </v>
      </c>
      <c r="CQ117" s="312" t="str">
        <f aca="false">IF($A117="N/A"," ",IF(VolType=1,CP117,CO117))</f>
        <v> </v>
      </c>
      <c r="CR117" s="312" t="str">
        <f aca="false">IF($A117="N/A"," ",(VLOOKUP($A117,GasVolTable,(IF(VolBMO=2,6,IF(VolBMO=1,7,5))),FALSE())))</f>
        <v> </v>
      </c>
      <c r="CS117" s="312" t="str">
        <f aca="false">IF($A117="N/A"," ",(VLOOKUP($A117,OmicronVol,(IF(VolBMO=2,3,IF(VolBMO=1,4,2))),FALSE())))</f>
        <v> </v>
      </c>
      <c r="CT117" s="312" t="str">
        <f aca="false">IF($A117="N/A"," ",(IF(DateToday&gt;$A117,$CS117,IF(VolType=1,((($CR117^2)*((($A117-1)-DateToday)/((EOMONTH($A117,0)+1)-DateToday-15)))+((($CS117)^2)*((15)/((EOMONTH($A117,0)+1)-DateToday-15))))^0.5,CR117))))</f>
        <v> </v>
      </c>
      <c r="CU117" s="312" t="str">
        <f aca="false">IF($A117="N/A"," ",IF('Pricing Inputs'!$AR$23=TRUE(),Inputs!$S$22,VLOOKUP($A117,CorrelationTable,2,FALSE())))</f>
        <v> </v>
      </c>
      <c r="CV117" s="313" t="str">
        <f aca="false">IF($A117="N/A"," ",F117+G117+(D117*('Pricing Inputs'!X152)))</f>
        <v> </v>
      </c>
      <c r="CW117" s="314" t="str">
        <f aca="false">IF($A117="N/A"," ",IF(PV=1,0,'Pricing Inputs'!Y152))</f>
        <v> </v>
      </c>
      <c r="CX117" s="315" t="str">
        <f aca="false">IF($A117="N/A"," ",(1+CW117/2)^(-2*((EOMONTH(A117,0)+20)-DateToday)/365.25))</f>
        <v> </v>
      </c>
      <c r="CY117" s="316" t="str">
        <f aca="false">IF($A117="N/A"," ",(IF(MONTH(A117)&gt;=4,IF(MONTH(A117)&lt;=10,Inputs!$S$26,Inputs!$S$27),Inputs!$S$27))*$CX117)</f>
        <v> </v>
      </c>
      <c r="CZ117" s="317" t="str">
        <f aca="false">IF($A117="N/A"," ",BK117+BL117+BN117+BO117+BQ117+BR117)</f>
        <v> </v>
      </c>
      <c r="DA117" s="318" t="str">
        <f aca="false">IF($A117="N/A"," ",BM117+BP117+BS117)</f>
        <v> </v>
      </c>
      <c r="DB117" s="319" t="str">
        <f aca="false">IF($A117="N/A"," ",BT117+BU117+BW117+BX117+BZ117+CA117)</f>
        <v> </v>
      </c>
      <c r="DC117" s="319" t="str">
        <f aca="false">IF($A117="N/A"," ",BV117+BY117+CB117)</f>
        <v> </v>
      </c>
      <c r="DD117" s="320" t="str">
        <f aca="false">IF($A117="N/A"," ",SUM(CC117:CK117))</f>
        <v> </v>
      </c>
      <c r="DE117" s="321" t="str">
        <f aca="false">IF($A117="N/A"," ",VLOOKUP($A117,NumberofDaysTable,2)*Availability)</f>
        <v> </v>
      </c>
      <c r="DF117" s="94" t="str">
        <f aca="false">IF($A117="N/A"," ",VLOOKUP($A117,NumberofDaysTable,3)*Availability)</f>
        <v> </v>
      </c>
      <c r="DG117" s="322" t="str">
        <f aca="false">IF($A117="N/A"," ",VLOOKUP($A117,NumberofDaysTable,4)*Availability)</f>
        <v> </v>
      </c>
      <c r="DH117" s="323" t="str">
        <f aca="false">IF($A117="N/A"," ",IF(Option=1,$D117*Inputs!$S$15*SUM(AS117:BA117),0))</f>
        <v> </v>
      </c>
      <c r="DI117" s="324" t="str">
        <f aca="false">IF($A117="N/A"," ",IF(Option=1,$D117*Inputs!$S$16*SUM(AS117:BA117),0))</f>
        <v> </v>
      </c>
      <c r="DJ117" s="325" t="str">
        <f aca="false">IF($A117="N/A"," ",SUM(AS117:AT117))</f>
        <v> </v>
      </c>
      <c r="DK117" s="325" t="str">
        <f aca="false">IF($A117="N/A"," ",SUM(AU117:BA117))</f>
        <v> </v>
      </c>
      <c r="DL117" s="325" t="str">
        <f aca="false">IF($A117="N/A"," ",SUM(BB117:BC117))</f>
        <v> </v>
      </c>
      <c r="DM117" s="325" t="str">
        <f aca="false">IF($A117="N/A"," ",SUM(BD117:BJ117))</f>
        <v> </v>
      </c>
    </row>
    <row r="118" customFormat="false" ht="12.75" hidden="false" customHeight="false" outlineLevel="0" collapsed="false">
      <c r="A118" s="282" t="str">
        <f aca="false">IF(A117="N/A","N/A",IF(EDATE(A117,1)&gt;Inputs!$S$5,"N/A",EDATE(A117,1)))</f>
        <v>N/A</v>
      </c>
      <c r="B118" s="283" t="str">
        <f aca="false">IF(A118="N/A"," ",YEAR(A118))</f>
        <v> </v>
      </c>
      <c r="C118" s="284" t="str">
        <f aca="false">IF(A118="N/A"," ",VLOOKUP(A118,ScaledPrice,14))</f>
        <v> </v>
      </c>
      <c r="D118" s="285" t="str">
        <f aca="false">IF(A118="N/A"," ",(VLOOKUP(MONTH($A118),Hrtable,2))/1000)</f>
        <v> </v>
      </c>
      <c r="E118" s="286" t="str">
        <f aca="false">IF($A118="N/A"," ",(C118)*D118)</f>
        <v> </v>
      </c>
      <c r="F118" s="287" t="str">
        <f aca="false">IF(A118="N/A"," ",VOM*(1+VOMesc)^(YEAR(A118)-YEAR(Today)))</f>
        <v> </v>
      </c>
      <c r="G118" s="287" t="str">
        <f aca="false">IF(A118="N/A"," ",Perstart/VLOOKUP(Dayrun,'Pricing Inputs'!$AQ$4:$AS$14,3)/(CY118/CX118))</f>
        <v> </v>
      </c>
      <c r="H118" s="288" t="str">
        <f aca="false">IF(A118="N/A"," ",SUM(E118:G118))</f>
        <v> </v>
      </c>
      <c r="I118" s="289" t="str">
        <f aca="false">VLOOKUP($A118,ScaledPrice,6)</f>
        <v> </v>
      </c>
      <c r="J118" s="290" t="str">
        <f aca="false">VLOOKUP($A118,ScaledPrice,10)</f>
        <v> </v>
      </c>
      <c r="K118" s="290" t="str">
        <f aca="false">VLOOKUP($A118,ScaledPrice,13)</f>
        <v> </v>
      </c>
      <c r="L118" s="290" t="str">
        <f aca="false">VLOOKUP($A118,ScaledPrice,7)</f>
        <v> </v>
      </c>
      <c r="M118" s="290" t="str">
        <f aca="false">VLOOKUP($A118,ScaledPrice,11)</f>
        <v> </v>
      </c>
      <c r="N118" s="290" t="str">
        <f aca="false">VLOOKUP($A118,ScaledPrice,13)</f>
        <v> </v>
      </c>
      <c r="O118" s="290" t="str">
        <f aca="false">VLOOKUP($A118,ScaledPrice,8)</f>
        <v> </v>
      </c>
      <c r="P118" s="290" t="str">
        <f aca="false">VLOOKUP($A118,ScaledPrice,12)</f>
        <v> </v>
      </c>
      <c r="Q118" s="291" t="str">
        <f aca="false">VLOOKUP($A118,ScaledPrice,13)</f>
        <v> </v>
      </c>
      <c r="R118" s="292" t="str">
        <f aca="false">IF($A118="N/A"," ",IF(Dayrun&gt;=3,IF(Option=1,MAX($I118-$H118,0),IF(Option=2,MAX($H118-$I118,0),0)),0))</f>
        <v> </v>
      </c>
      <c r="S118" s="286" t="str">
        <f aca="false">IF($A118="N/A"," ",IF(Dayrun&gt;=6,IF(Option=1,MAX($J118-H118,0),IF(Option=2,MAX(H118-$J118,0),0)),0))</f>
        <v> </v>
      </c>
      <c r="T118" s="286" t="str">
        <f aca="false">IF($A118="N/A"," ",IF(OR(Dayrun&lt;=2,Dayrun&gt;=9),IF(Option=1,MAX($K118-$H118,0),IF(Option=2,MAX($H118-$K118,0),0)),0))</f>
        <v> </v>
      </c>
      <c r="U118" s="286" t="str">
        <f aca="false">IF($A118="N/A"," ",IF(OR(Dayrun=1,Dayrun=4,Dayrun=5,Dayrun=7,Dayrun=8,Dayrun=10,Dayrun=11),IF(Option=1,MAX($L118-H118,0),IF(Option=2,MAX(H118-$L118,0),0)),0))</f>
        <v> </v>
      </c>
      <c r="V118" s="286" t="str">
        <f aca="false">IF($A118="N/A"," ",IF(OR(Dayrun=1,Dayrun=7,Dayrun=8,Dayrun=10,Dayrun=11),IF(Option=1,MAX($M118-H118,0),IF(Option=2,MAX(H118-$M118,0),0)),0))</f>
        <v> </v>
      </c>
      <c r="W118" s="286" t="str">
        <f aca="false">IF($A118="N/A"," ",IF(OR(Dayrun&lt;=2,Dayrun&gt;=10),IF(Option=1,MAX($N118-$H118,0),IF(Option=2,MAX($H118-$N118,0),0)),0))</f>
        <v> </v>
      </c>
      <c r="X118" s="286" t="str">
        <f aca="false">IF($A118="N/A"," ",IF(OR(Dayrun=1,Dayrun=5,Dayrun=8,Dayrun=11),IF(Option=1,MAX($O118-H118,0),IF(Option=2,MAX(H118-$O118,0),0)),0))</f>
        <v> </v>
      </c>
      <c r="Y118" s="286" t="str">
        <f aca="false">IF($A118="N/A"," ",IF(OR(Dayrun=1,Dayrun=8,Dayrun=11),IF(Option=1,MAX($P118-H118,0),IF(Option=2,MAX(H118-$P118,0),0)),0))</f>
        <v> </v>
      </c>
      <c r="Z118" s="293" t="str">
        <f aca="false">IF($A118="N/A"," ",IF(OR(Dayrun&lt;=2,Dayrun&gt;=11),IF(Option=1,MAX($Q118-$H118,0),IF(Option=2,MAX($H118-$Q118,0),0)),0))</f>
        <v> </v>
      </c>
      <c r="AA118" s="289" t="str">
        <f aca="false">IF($A118="N/A"," ",IF(Dayrun&gt;=3,(MAX(0,(xSPRDOPT(I118,($E118-'Pricing Inputs'!$X153*$D118),$CV118,0,($CN118+IF(Smile=TRUE(),VLOOKUP(MAX(-5,$H118-I118),Volsmile,2),0)),$CT118,$CU118,($A118-DateToday)+15,ABS(Option-2),0)-R118))),0))</f>
        <v> </v>
      </c>
      <c r="AB118" s="290" t="str">
        <f aca="false">IF($A118="N/A"," ",IF(Dayrun&gt;=6,MAX(0,(xSPRDOPT(J118,($E118-'Pricing Inputs'!$X153*$D118),$CV118,0,($CN118+IF(Smile=TRUE(),VLOOKUP(MAX(-5,$H118-J118),Volsmile,2),0)),$CT118,$CU118,($A118-DateToday)+15,ABS(Option-2),0)-S118)),0))</f>
        <v> </v>
      </c>
      <c r="AC118" s="290" t="str">
        <f aca="false">IF($A118="N/A"," ",IF(OR(Dayrun&lt;=2,Dayrun&gt;=9),IF(OffPeakEx=TRUE(),MAX(0,(xSPRDOPT(K118,($E118-'Pricing Inputs'!$X153*$D118),$CV118,0,($CQ118+IF(Smile=TRUE(),VLOOKUP(MAX(-5,$H118-K118),Volsmile,2),0)),$CT118,$CU118,($A118-DateToday)+15,ABS(Option-2),0)-T118)),0),0))</f>
        <v> </v>
      </c>
      <c r="AD118" s="290" t="str">
        <f aca="false">IF($A118="N/A"," ",IF(OR(Dayrun=1,Dayrun=4,Dayrun=5,Dayrun=7,Dayrun=8,Dayrun=10,Dayrun=11),MAX(0,(xSPRDOPT(L118,($E118-'Pricing Inputs'!$X153*$D118),$CV118,0,($CQ118+IF(Smile=TRUE(),VLOOKUP(MAX(-5,$H118-L118),Volsmile,2),0)),$CT118,$CU118,($A118-DateToday)+15,ABS(Option-2),0)-U118)),0))</f>
        <v> </v>
      </c>
      <c r="AE118" s="290" t="str">
        <f aca="false">IF($A118="N/A"," ",IF(OR(Dayrun=1,Dayrun=7,Dayrun=8,Dayrun=10,Dayrun=11),MAX(0,(xSPRDOPT(M118,($E118-'Pricing Inputs'!$X153*$D118),$CV118,0,($CQ118+IF(Smile=TRUE(),VLOOKUP(MAX(-5,$H118-M118),Volsmile,2),0)),$CT118,$CU118,($A118-DateToday)+15,ABS(Option-2),0)-V118)),0))</f>
        <v> </v>
      </c>
      <c r="AF118" s="290" t="str">
        <f aca="false">IF($A118="N/A"," ",IF(OR(Dayrun&lt;=2,Dayrun&gt;=10),IF(OffPeakEx=TRUE(),MAX(0,(xSPRDOPT(N118,($E118-'Pricing Inputs'!$X153*$D118),$CV118,0,($CQ118+IF(Smile=TRUE(),VLOOKUP(MAX(-5,$H118-N118),Volsmile,2),0)),$CT118,$CU118,($A118-DateToday)+15,ABS(Option-2),0)-W118)),0),0))</f>
        <v> </v>
      </c>
      <c r="AG118" s="290" t="str">
        <f aca="false">IF($A118="N/A"," ",IF(OR(Dayrun=1,Dayrun=5,Dayrun=8,Dayrun=11),MAX(0,(xSPRDOPT(O118,($E118-'Pricing Inputs'!$X153*$D118),$CV118,0,($CQ118+IF(Smile=TRUE(),VLOOKUP(MAX(-5,$H118-O118),Volsmile,2),0)),$CT118,$CU118,($A118-DateToday)+15,ABS(Option-2),0)-X118)),0))</f>
        <v> </v>
      </c>
      <c r="AH118" s="290" t="str">
        <f aca="false">IF($A118="N/A"," ",IF(OR(Dayrun=1,Dayrun=8,Dayrun=11),MAX(0,(xSPRDOPT(P118,($E118-'Pricing Inputs'!$X153*$D118),$CV118,0,($CQ118+IF(Smile=TRUE(),VLOOKUP(MAX(-5,$H118-P118),Volsmile,2),0)),$CT118,$CU118,($A118-DateToday)+15,ABS(Option-2),0)-Y118)),0))</f>
        <v> </v>
      </c>
      <c r="AI118" s="290" t="str">
        <f aca="false">IF($A118="N/A"," ",IF(OR(Dayrun&lt;=2,Dayrun&gt;=11),IF(OffPeakEx=TRUE(),MAX(0,(xSPRDOPT(Q118,($E118-'Pricing Inputs'!$X153*$D118),$CV118,0,($CQ118+IF(Smile=TRUE(),VLOOKUP(MAX(-5,$H118-Q118),Volsmile,2),0)),$CT118,$CU118,($A118-DateToday)+15,ABS(Option-2),0)-Z118)),0),0))</f>
        <v> </v>
      </c>
      <c r="AJ118" s="294" t="str">
        <f aca="false">IF($A118="N/A"," ",IF(Dayrun&gt;=3,IF(Option=1,$I118-$H118,IF(Option=2,$H118-$I118)),0))</f>
        <v> </v>
      </c>
      <c r="AK118" s="295" t="str">
        <f aca="false">IF($A118="N/A"," ",IF(Dayrun&gt;=6,IF(Option=1,$J118-H118,IF(Option=2,H118-$J118)),0))</f>
        <v> </v>
      </c>
      <c r="AL118" s="295" t="str">
        <f aca="false">IF($A118="N/A"," ",IF(OR(Dayrun&lt;=2,Dayrun&gt;=9),IF(Option=1,$K118-$H118,IF(Option=2,$H118-$K118)),0))</f>
        <v> </v>
      </c>
      <c r="AM118" s="295" t="str">
        <f aca="false">IF($A118="N/A"," ",IF(OR(Dayrun=1,Dayrun=4,Dayrun=5,Dayrun=7,Dayrun=8,Dayrun=10,Dayrun=11),IF(Option=1,$L118-H118,IF(Option=2,H118-$L118)),0))</f>
        <v> </v>
      </c>
      <c r="AN118" s="295" t="str">
        <f aca="false">IF($A118="N/A"," ",IF(OR(Dayrun=1,Dayrun=7,Dayrun=8,Dayrun=10,Dayrun=11),IF(Option=1,$M118-H118,IF(Option=2,H118-$M118)),0))</f>
        <v> </v>
      </c>
      <c r="AO118" s="295" t="str">
        <f aca="false">IF($A118="N/A"," ",IF(OR(Dayrun&lt;=2,Dayrun&gt;=9),IF(Option=1,$N118-$H118,IF(Option=2,$H118-$N118)),0))</f>
        <v> </v>
      </c>
      <c r="AP118" s="295" t="str">
        <f aca="false">IF($A118="N/A"," ",IF(OR(Dayrun=1,Dayrun=5,Dayrun=8,Dayrun=11),IF(Option=1,$O118-H118,IF(Option=2,H118-$O118)),0))</f>
        <v> </v>
      </c>
      <c r="AQ118" s="295" t="str">
        <f aca="false">IF($A118="N/A"," ",IF(OR(Dayrun=1,Dayrun=8,Dayrun=11),IF(Option=1,$P118-H118,IF(Option=2,H118-$P118)),0))</f>
        <v> </v>
      </c>
      <c r="AR118" s="296" t="str">
        <f aca="false">IF($A118="N/A"," ",IF(OR(Dayrun&lt;=2,Dayrun&gt;=9),IF(Option=1,$Q118-H118,IF(Option=2,H118-$Q118)),0))</f>
        <v> </v>
      </c>
      <c r="AS118" s="297" t="str">
        <f aca="false">IF($A118="N/A"," ",IF(VLOOKUP(MONTH($A118),ManualTable,2)=1,IF(Dayrun&gt;=3,$DE118*8*$CY118,0),0))</f>
        <v> </v>
      </c>
      <c r="AT118" s="297" t="str">
        <f aca="false">IF($A118="N/A"," ",IF(VLOOKUP(MONTH($A118),ManualTable,3)=1,IF(Dayrun&gt;=6,$DE118*8*$CY118,0),0))</f>
        <v> </v>
      </c>
      <c r="AU118" s="297" t="str">
        <f aca="false">IF($A118="N/A"," ",IF(VLOOKUP(MONTH($A118),ManualTable,4)=1,IF(OR(Dayrun&lt;=2,Dayrun&gt;=9),$DE118*8*$CY118,0),0))</f>
        <v> </v>
      </c>
      <c r="AV118" s="297" t="str">
        <f aca="false">IF($A118="N/A"," ",IF(VLOOKUP(MONTH($A118),ManualTable,5)=1,IF(OR(Dayrun=1,Dayrun=4,Dayrun=5,Dayrun=7,Dayrun=8,Dayrun=10,Dayrun=11),$DF118*8*$CY118,0),0))</f>
        <v> </v>
      </c>
      <c r="AW118" s="297" t="str">
        <f aca="false">IF($A118="N/A"," ",IF(VLOOKUP(MONTH($A118),ManualTable,6)=1,IF(OR(Dayrun=1,Dayrun=7,Dayrun=8,Dayrun=10,Dayrun=11),$DF118*8*$CY118,0),0))</f>
        <v> </v>
      </c>
      <c r="AX118" s="297" t="str">
        <f aca="false">IF($A118="N/A"," ",IF(VLOOKUP(MONTH($A118),ManualTable,7)=1,IF(OR(Dayrun&lt;=2,Dayrun&gt;=9),$DF118*8*$CY118,0),0))</f>
        <v> </v>
      </c>
      <c r="AY118" s="297" t="str">
        <f aca="false">IF($A118="N/A"," ",IF(VLOOKUP(MONTH($A118),ManualTable,8)=1,IF(OR(Dayrun=1,Dayrun=5,Dayrun=8,Dayrun=11),$DG118*8*$CY118,0),0))</f>
        <v> </v>
      </c>
      <c r="AZ118" s="297" t="str">
        <f aca="false">IF($A118="N/A"," ",IF(VLOOKUP(MONTH($A118),ManualTable,9)=1,IF(OR(Dayrun=1,Dayrun=8,Dayrun=11),$DG118*8*$CY118,0),0))</f>
        <v> </v>
      </c>
      <c r="BA118" s="298" t="str">
        <f aca="false">IF($A118="N/A"," ",IF(VLOOKUP(MONTH($A118),ManualTable,10)=1,IF(OR(Dayrun&lt;=2,Dayrun&gt;=9),$DG118*8*$CY118,0),0))</f>
        <v> </v>
      </c>
      <c r="BB118" s="299" t="str">
        <f aca="false">IF($A118="N/A"," ",IF(Dayrun&gt;=3,(MAX(0,(xSPRDOPT(I118,($E118-'Pricing Inputs'!$X153*$D118),$CV118,0,($CN118+IF(Smile=TRUE(),VLOOKUP(MAX(-5,$H118-I118),Volsmile,2),0)),$CT118,$CU118,($A118-DateToday)+15,ABS(Option-2),1)*DE118*8))),0))</f>
        <v> </v>
      </c>
      <c r="BC118" s="300" t="str">
        <f aca="false">IF($A118="N/A"," ",IF(Dayrun&gt;=6,MAX(0,(xSPRDOPT(J118,($E118-'Pricing Inputs'!$X153*$D118),$CV118,0,($CN118+IF(Smile=TRUE(),VLOOKUP(MAX(-5,$H118-J118),Volsmile,2),0)),$CT118,$CU118,($A118-DateToday)+15,ABS(Option-2),1)*DE118*8)),0))</f>
        <v> </v>
      </c>
      <c r="BD118" s="300" t="str">
        <f aca="false">IF($A118="N/A"," ",IF(OR(Dayrun&lt;=2,Dayrun&gt;=9),IF(OffPeakEx=TRUE(),MAX(0,(xSPRDOPT(K118,($E118-'Pricing Inputs'!$X153*$D118),$CV118,0,($CQ118+IF(Smile=TRUE(),VLOOKUP(MAX(-5,$H118-K118),Volsmile,2),0)),$CT118,$CU118,($A118-DateToday)+15,ABS(Option-2),1)*DE118*8)),0),0))</f>
        <v> </v>
      </c>
      <c r="BE118" s="300" t="str">
        <f aca="false">IF($A118="N/A"," ",IF(OR(Dayrun=1,Dayrun=4,Dayrun=5,Dayrun=7,Dayrun=8,Dayrun=10,Dayrun=11),MAX(0,(xSPRDOPT(L118,($E118-'Pricing Inputs'!$X153*$D118),$CV118,0,($CQ118+IF(Smile=TRUE(),VLOOKUP(MAX(-5,$H118-L118),Volsmile,2),0)),$CT118,$CU118,($A118-DateToday)+15,ABS(Option-2),1)*DF118*8)),0))</f>
        <v> </v>
      </c>
      <c r="BF118" s="300" t="str">
        <f aca="false">IF($A118="N/A"," ",IF(OR(Dayrun=1,Dayrun=7,Dayrun=8,Dayrun=10,Dayrun=11),MAX(0,(xSPRDOPT(M118,($E118-'Pricing Inputs'!$X153*$D118),$CV118,0,($CQ118+IF(Smile=TRUE(),VLOOKUP(MAX(-5,$H118-M118),Volsmile,2),0)),$CT118,$CU118,($A118-DateToday)+15,ABS(Option-2),1)*DF118*8)),0))</f>
        <v> </v>
      </c>
      <c r="BG118" s="300" t="str">
        <f aca="false">IF($A118="N/A"," ",IF(OR(Dayrun&lt;=2,Dayrun&gt;=10),IF(OffPeakEx=TRUE(),MAX(0,(xSPRDOPT(N118,($E118-'Pricing Inputs'!$X153*$D118),$CV118,0,($CQ118+IF(Smile=TRUE(),VLOOKUP(MAX(-5,$H118-N118),Volsmile,2),0)),$CT118,$CU118,($A118-DateToday)+15,ABS(Option-2),1)*DF118*8)),0),0))</f>
        <v> </v>
      </c>
      <c r="BH118" s="300" t="str">
        <f aca="false">IF($A118="N/A"," ",IF(OR(Dayrun=1,Dayrun=5,Dayrun=8,Dayrun=11),MAX(0,(xSPRDOPT(O118,($E118-'Pricing Inputs'!$X153*$D118),$CV118,0,($CQ118+IF(Smile=TRUE(),VLOOKUP(MAX(-5,$H118-O118),Volsmile,2),0)),$CT118,$CU118,($A118-DateToday)+15,ABS(Option-2),1)*DG118*8)),0))</f>
        <v> </v>
      </c>
      <c r="BI118" s="300" t="str">
        <f aca="false">IF($A118="N/A"," ",IF(OR(Dayrun=1,Dayrun=8,Dayrun=11),MAX(0,(xSPRDOPT(P118,($E118-'Pricing Inputs'!$X153*$D118),$CV118,0,($CQ118+IF(Smile=TRUE(),VLOOKUP(MAX(-5,$H118-P118),Volsmile,2),0)),$CT118,$CU118,($A118-DateToday)+15,ABS(Option-2),1)*DG118*8)),0))</f>
        <v> </v>
      </c>
      <c r="BJ118" s="301" t="str">
        <f aca="false">IF($A118="N/A"," ",IF(OR(Dayrun&lt;=2,Dayrun&gt;=11),IF(OffPeakEx=TRUE(),MAX(0,(xSPRDOPT(Q118,($E118-'Pricing Inputs'!$X153*$D118),$CV118,0,($CQ118+IF(Smile=TRUE(),VLOOKUP(MAX(-5,$H118-Q118),Volsmile,2),0)),$CT118,$CU118,($A118-DateToday)+15,ABS(Option-2),1)*DG118*8)),0),0))</f>
        <v> </v>
      </c>
      <c r="BK118" s="302" t="str">
        <f aca="false">IF($A118="N/A"," ",R118*$AS118)</f>
        <v> </v>
      </c>
      <c r="BL118" s="303" t="str">
        <f aca="false">IF($A118="N/A"," ",S118*$AT118)</f>
        <v> </v>
      </c>
      <c r="BM118" s="303" t="str">
        <f aca="false">IF($A118="N/A"," ",T118*$AU118)</f>
        <v> </v>
      </c>
      <c r="BN118" s="303" t="str">
        <f aca="false">IF($A118="N/A"," ",U118*$AV118)</f>
        <v> </v>
      </c>
      <c r="BO118" s="303" t="str">
        <f aca="false">IF($A118="N/A"," ",V118*$AW118)</f>
        <v> </v>
      </c>
      <c r="BP118" s="303" t="str">
        <f aca="false">IF($A118="N/A"," ",W118*$AX118)</f>
        <v> </v>
      </c>
      <c r="BQ118" s="303" t="str">
        <f aca="false">IF($A118="N/A"," ",X118*$AY118)</f>
        <v> </v>
      </c>
      <c r="BR118" s="303" t="str">
        <f aca="false">IF($A118="N/A"," ",Y118*$AZ118)</f>
        <v> </v>
      </c>
      <c r="BS118" s="304" t="str">
        <f aca="false">IF($A118="N/A"," ",Z118*$BA118)</f>
        <v> </v>
      </c>
      <c r="BT118" s="305" t="str">
        <f aca="false">IF($A118="N/A"," ",AA118*$AS118)</f>
        <v> </v>
      </c>
      <c r="BU118" s="306" t="str">
        <f aca="false">IF($A118="N/A"," ",AB118*$AT118)</f>
        <v> </v>
      </c>
      <c r="BV118" s="306" t="str">
        <f aca="false">IF($A118="N/A"," ",AC118*$AU118)</f>
        <v> </v>
      </c>
      <c r="BW118" s="306" t="str">
        <f aca="false">IF($A118="N/A"," ",AD118*$AV118)</f>
        <v> </v>
      </c>
      <c r="BX118" s="306" t="str">
        <f aca="false">IF($A118="N/A"," ",AE118*$AW118)</f>
        <v> </v>
      </c>
      <c r="BY118" s="306" t="str">
        <f aca="false">IF($A118="N/A"," ",AF118*$AX118)</f>
        <v> </v>
      </c>
      <c r="BZ118" s="306" t="str">
        <f aca="false">IF($A118="N/A"," ",AG118*$AY118)</f>
        <v> </v>
      </c>
      <c r="CA118" s="306" t="str">
        <f aca="false">IF($A118="N/A"," ",AH118*$AZ118)</f>
        <v> </v>
      </c>
      <c r="CB118" s="307" t="str">
        <f aca="false">IF($A118="N/A"," ",AI118*$BA118)</f>
        <v> </v>
      </c>
      <c r="CC118" s="308" t="str">
        <f aca="false">IF($A118="N/A"," ",AJ118*$AS118)</f>
        <v> </v>
      </c>
      <c r="CD118" s="309" t="str">
        <f aca="false">IF($A118="N/A"," ",AK118*$AT118)</f>
        <v> </v>
      </c>
      <c r="CE118" s="309" t="str">
        <f aca="false">IF($A118="N/A"," ",AL118*$AU118)</f>
        <v> </v>
      </c>
      <c r="CF118" s="309" t="str">
        <f aca="false">IF($A118="N/A"," ",AM118*$AV118)</f>
        <v> </v>
      </c>
      <c r="CG118" s="309" t="str">
        <f aca="false">IF($A118="N/A"," ",AN118*$AW118)</f>
        <v> </v>
      </c>
      <c r="CH118" s="309" t="str">
        <f aca="false">IF($A118="N/A"," ",AO118*$AX118)</f>
        <v> </v>
      </c>
      <c r="CI118" s="309" t="str">
        <f aca="false">IF($A118="N/A"," ",AP118*$AY118)</f>
        <v> </v>
      </c>
      <c r="CJ118" s="309" t="str">
        <f aca="false">IF($A118="N/A"," ",AQ118*$AZ118)</f>
        <v> </v>
      </c>
      <c r="CK118" s="310" t="str">
        <f aca="false">IF($A118="N/A"," ",AR118*$BA118)</f>
        <v> </v>
      </c>
      <c r="CL118" s="311" t="str">
        <f aca="false">IF(A118="N/A"," ",(VLOOKUP(A118,PowerVolTable,(IF(VolBMO=2,7,IF(VolBMO=1,6,8))),FALSE())))</f>
        <v> </v>
      </c>
      <c r="CM118" s="312" t="str">
        <f aca="false">IF(A118="N/A"," ",(VLOOKUP(A118,IntraPowerVol,(IF(VolBMO=2,3,IF(VolBMO=1,2,4))),FALSE())*VLOOKUP(MONTH($A118),Volscale,2)))</f>
        <v> </v>
      </c>
      <c r="CN118" s="312" t="str">
        <f aca="false">IF($A118="N/A"," ",IF(VolType=1,CM118,CL118))</f>
        <v> </v>
      </c>
      <c r="CO118" s="312" t="str">
        <f aca="false">IF($A118="N/A"," ",(VLOOKUP($A118,OffPeakVol,(IF(VolBMO=2,7,IF(VolBMO=1,6,8))),FALSE())))</f>
        <v> </v>
      </c>
      <c r="CP118" s="312" t="str">
        <f aca="false">IF($A118="N/A"," ",(VLOOKUP($A118,OffPeakVol,(IF(VolBMO=2,3,IF(VolBMO=1,2,4))),FALSE())*VLOOKUP(MONTH($A118),Volscale,2)))</f>
        <v> </v>
      </c>
      <c r="CQ118" s="312" t="str">
        <f aca="false">IF($A118="N/A"," ",IF(VolType=1,CP118,CO118))</f>
        <v> </v>
      </c>
      <c r="CR118" s="312" t="str">
        <f aca="false">IF($A118="N/A"," ",(VLOOKUP($A118,GasVolTable,(IF(VolBMO=2,6,IF(VolBMO=1,7,5))),FALSE())))</f>
        <v> </v>
      </c>
      <c r="CS118" s="312" t="str">
        <f aca="false">IF($A118="N/A"," ",(VLOOKUP($A118,OmicronVol,(IF(VolBMO=2,3,IF(VolBMO=1,4,2))),FALSE())))</f>
        <v> </v>
      </c>
      <c r="CT118" s="312" t="str">
        <f aca="false">IF($A118="N/A"," ",(IF(DateToday&gt;$A118,$CS118,IF(VolType=1,((($CR118^2)*((($A118-1)-DateToday)/((EOMONTH($A118,0)+1)-DateToday-15)))+((($CS118)^2)*((15)/((EOMONTH($A118,0)+1)-DateToday-15))))^0.5,CR118))))</f>
        <v> </v>
      </c>
      <c r="CU118" s="312" t="str">
        <f aca="false">IF($A118="N/A"," ",IF('Pricing Inputs'!$AR$23=TRUE(),Inputs!$S$22,VLOOKUP($A118,CorrelationTable,2,FALSE())))</f>
        <v> </v>
      </c>
      <c r="CV118" s="313" t="str">
        <f aca="false">IF($A118="N/A"," ",F118+G118+(D118*('Pricing Inputs'!X153)))</f>
        <v> </v>
      </c>
      <c r="CW118" s="314" t="str">
        <f aca="false">IF($A118="N/A"," ",IF(PV=1,0,'Pricing Inputs'!Y153))</f>
        <v> </v>
      </c>
      <c r="CX118" s="315" t="str">
        <f aca="false">IF($A118="N/A"," ",(1+CW118/2)^(-2*((EOMONTH(A118,0)+20)-DateToday)/365.25))</f>
        <v> </v>
      </c>
      <c r="CY118" s="316" t="str">
        <f aca="false">IF($A118="N/A"," ",(IF(MONTH(A118)&gt;=4,IF(MONTH(A118)&lt;=10,Inputs!$S$26,Inputs!$S$27),Inputs!$S$27))*$CX118)</f>
        <v> </v>
      </c>
      <c r="CZ118" s="317" t="str">
        <f aca="false">IF($A118="N/A"," ",BK118+BL118+BN118+BO118+BQ118+BR118)</f>
        <v> </v>
      </c>
      <c r="DA118" s="318" t="str">
        <f aca="false">IF($A118="N/A"," ",BM118+BP118+BS118)</f>
        <v> </v>
      </c>
      <c r="DB118" s="319" t="str">
        <f aca="false">IF($A118="N/A"," ",BT118+BU118+BW118+BX118+BZ118+CA118)</f>
        <v> </v>
      </c>
      <c r="DC118" s="319" t="str">
        <f aca="false">IF($A118="N/A"," ",BV118+BY118+CB118)</f>
        <v> </v>
      </c>
      <c r="DD118" s="320" t="str">
        <f aca="false">IF($A118="N/A"," ",SUM(CC118:CK118))</f>
        <v> </v>
      </c>
      <c r="DE118" s="321" t="str">
        <f aca="false">IF($A118="N/A"," ",VLOOKUP($A118,NumberofDaysTable,2)*Availability)</f>
        <v> </v>
      </c>
      <c r="DF118" s="94" t="str">
        <f aca="false">IF($A118="N/A"," ",VLOOKUP($A118,NumberofDaysTable,3)*Availability)</f>
        <v> </v>
      </c>
      <c r="DG118" s="322" t="str">
        <f aca="false">IF($A118="N/A"," ",VLOOKUP($A118,NumberofDaysTable,4)*Availability)</f>
        <v> </v>
      </c>
      <c r="DH118" s="323" t="str">
        <f aca="false">IF($A118="N/A"," ",IF(Option=1,$D118*Inputs!$S$15*SUM(AS118:BA118),0))</f>
        <v> </v>
      </c>
      <c r="DI118" s="324" t="str">
        <f aca="false">IF($A118="N/A"," ",IF(Option=1,$D118*Inputs!$S$16*SUM(AS118:BA118),0))</f>
        <v> </v>
      </c>
      <c r="DJ118" s="325" t="str">
        <f aca="false">IF($A118="N/A"," ",SUM(AS118:AT118))</f>
        <v> </v>
      </c>
      <c r="DK118" s="325" t="str">
        <f aca="false">IF($A118="N/A"," ",SUM(AU118:BA118))</f>
        <v> </v>
      </c>
      <c r="DL118" s="325" t="str">
        <f aca="false">IF($A118="N/A"," ",SUM(BB118:BC118))</f>
        <v> </v>
      </c>
      <c r="DM118" s="325" t="str">
        <f aca="false">IF($A118="N/A"," ",SUM(BD118:BJ118))</f>
        <v> </v>
      </c>
    </row>
    <row r="119" customFormat="false" ht="12.75" hidden="false" customHeight="false" outlineLevel="0" collapsed="false">
      <c r="A119" s="282" t="str">
        <f aca="false">IF(A118="N/A","N/A",IF(EDATE(A118,1)&gt;Inputs!$S$5,"N/A",EDATE(A118,1)))</f>
        <v>N/A</v>
      </c>
      <c r="B119" s="283" t="str">
        <f aca="false">IF(A119="N/A"," ",YEAR(A119))</f>
        <v> </v>
      </c>
      <c r="C119" s="284" t="str">
        <f aca="false">IF(A119="N/A"," ",VLOOKUP(A119,ScaledPrice,14))</f>
        <v> </v>
      </c>
      <c r="D119" s="285" t="str">
        <f aca="false">IF(A119="N/A"," ",(VLOOKUP(MONTH($A119),Hrtable,2))/1000)</f>
        <v> </v>
      </c>
      <c r="E119" s="286" t="str">
        <f aca="false">IF($A119="N/A"," ",(C119)*D119)</f>
        <v> </v>
      </c>
      <c r="F119" s="287" t="str">
        <f aca="false">IF(A119="N/A"," ",VOM*(1+VOMesc)^(YEAR(A119)-YEAR(Today)))</f>
        <v> </v>
      </c>
      <c r="G119" s="287" t="str">
        <f aca="false">IF(A119="N/A"," ",Perstart/VLOOKUP(Dayrun,'Pricing Inputs'!$AQ$4:$AS$14,3)/(CY119/CX119))</f>
        <v> </v>
      </c>
      <c r="H119" s="288" t="str">
        <f aca="false">IF(A119="N/A"," ",SUM(E119:G119))</f>
        <v> </v>
      </c>
      <c r="I119" s="289" t="str">
        <f aca="false">VLOOKUP($A119,ScaledPrice,6)</f>
        <v> </v>
      </c>
      <c r="J119" s="290" t="str">
        <f aca="false">VLOOKUP($A119,ScaledPrice,10)</f>
        <v> </v>
      </c>
      <c r="K119" s="290" t="str">
        <f aca="false">VLOOKUP($A119,ScaledPrice,13)</f>
        <v> </v>
      </c>
      <c r="L119" s="290" t="str">
        <f aca="false">VLOOKUP($A119,ScaledPrice,7)</f>
        <v> </v>
      </c>
      <c r="M119" s="290" t="str">
        <f aca="false">VLOOKUP($A119,ScaledPrice,11)</f>
        <v> </v>
      </c>
      <c r="N119" s="290" t="str">
        <f aca="false">VLOOKUP($A119,ScaledPrice,13)</f>
        <v> </v>
      </c>
      <c r="O119" s="290" t="str">
        <f aca="false">VLOOKUP($A119,ScaledPrice,8)</f>
        <v> </v>
      </c>
      <c r="P119" s="290" t="str">
        <f aca="false">VLOOKUP($A119,ScaledPrice,12)</f>
        <v> </v>
      </c>
      <c r="Q119" s="291" t="str">
        <f aca="false">VLOOKUP($A119,ScaledPrice,13)</f>
        <v> </v>
      </c>
      <c r="R119" s="292" t="str">
        <f aca="false">IF($A119="N/A"," ",IF(Dayrun&gt;=3,IF(Option=1,MAX($I119-$H119,0),IF(Option=2,MAX($H119-$I119,0),0)),0))</f>
        <v> </v>
      </c>
      <c r="S119" s="286" t="str">
        <f aca="false">IF($A119="N/A"," ",IF(Dayrun&gt;=6,IF(Option=1,MAX($J119-H119,0),IF(Option=2,MAX(H119-$J119,0),0)),0))</f>
        <v> </v>
      </c>
      <c r="T119" s="286" t="str">
        <f aca="false">IF($A119="N/A"," ",IF(OR(Dayrun&lt;=2,Dayrun&gt;=9),IF(Option=1,MAX($K119-$H119,0),IF(Option=2,MAX($H119-$K119,0),0)),0))</f>
        <v> </v>
      </c>
      <c r="U119" s="286" t="str">
        <f aca="false">IF($A119="N/A"," ",IF(OR(Dayrun=1,Dayrun=4,Dayrun=5,Dayrun=7,Dayrun=8,Dayrun=10,Dayrun=11),IF(Option=1,MAX($L119-H119,0),IF(Option=2,MAX(H119-$L119,0),0)),0))</f>
        <v> </v>
      </c>
      <c r="V119" s="286" t="str">
        <f aca="false">IF($A119="N/A"," ",IF(OR(Dayrun=1,Dayrun=7,Dayrun=8,Dayrun=10,Dayrun=11),IF(Option=1,MAX($M119-H119,0),IF(Option=2,MAX(H119-$M119,0),0)),0))</f>
        <v> </v>
      </c>
      <c r="W119" s="286" t="str">
        <f aca="false">IF($A119="N/A"," ",IF(OR(Dayrun&lt;=2,Dayrun&gt;=10),IF(Option=1,MAX($N119-$H119,0),IF(Option=2,MAX($H119-$N119,0),0)),0))</f>
        <v> </v>
      </c>
      <c r="X119" s="286" t="str">
        <f aca="false">IF($A119="N/A"," ",IF(OR(Dayrun=1,Dayrun=5,Dayrun=8,Dayrun=11),IF(Option=1,MAX($O119-H119,0),IF(Option=2,MAX(H119-$O119,0),0)),0))</f>
        <v> </v>
      </c>
      <c r="Y119" s="286" t="str">
        <f aca="false">IF($A119="N/A"," ",IF(OR(Dayrun=1,Dayrun=8,Dayrun=11),IF(Option=1,MAX($P119-H119,0),IF(Option=2,MAX(H119-$P119,0),0)),0))</f>
        <v> </v>
      </c>
      <c r="Z119" s="293" t="str">
        <f aca="false">IF($A119="N/A"," ",IF(OR(Dayrun&lt;=2,Dayrun&gt;=11),IF(Option=1,MAX($Q119-$H119,0),IF(Option=2,MAX($H119-$Q119,0),0)),0))</f>
        <v> </v>
      </c>
      <c r="AA119" s="289" t="str">
        <f aca="false">IF($A119="N/A"," ",IF(Dayrun&gt;=3,(MAX(0,(xSPRDOPT(I119,($E119-'Pricing Inputs'!$X154*$D119),$CV119,0,($CN119+IF(Smile=TRUE(),VLOOKUP(MAX(-5,$H119-I119),Volsmile,2),0)),$CT119,$CU119,($A119-DateToday)+15,ABS(Option-2),0)-R119))),0))</f>
        <v> </v>
      </c>
      <c r="AB119" s="290" t="str">
        <f aca="false">IF($A119="N/A"," ",IF(Dayrun&gt;=6,MAX(0,(xSPRDOPT(J119,($E119-'Pricing Inputs'!$X154*$D119),$CV119,0,($CN119+IF(Smile=TRUE(),VLOOKUP(MAX(-5,$H119-J119),Volsmile,2),0)),$CT119,$CU119,($A119-DateToday)+15,ABS(Option-2),0)-S119)),0))</f>
        <v> </v>
      </c>
      <c r="AC119" s="290" t="str">
        <f aca="false">IF($A119="N/A"," ",IF(OR(Dayrun&lt;=2,Dayrun&gt;=9),IF(OffPeakEx=TRUE(),MAX(0,(xSPRDOPT(K119,($E119-'Pricing Inputs'!$X154*$D119),$CV119,0,($CQ119+IF(Smile=TRUE(),VLOOKUP(MAX(-5,$H119-K119),Volsmile,2),0)),$CT119,$CU119,($A119-DateToday)+15,ABS(Option-2),0)-T119)),0),0))</f>
        <v> </v>
      </c>
      <c r="AD119" s="290" t="str">
        <f aca="false">IF($A119="N/A"," ",IF(OR(Dayrun=1,Dayrun=4,Dayrun=5,Dayrun=7,Dayrun=8,Dayrun=10,Dayrun=11),MAX(0,(xSPRDOPT(L119,($E119-'Pricing Inputs'!$X154*$D119),$CV119,0,($CQ119+IF(Smile=TRUE(),VLOOKUP(MAX(-5,$H119-L119),Volsmile,2),0)),$CT119,$CU119,($A119-DateToday)+15,ABS(Option-2),0)-U119)),0))</f>
        <v> </v>
      </c>
      <c r="AE119" s="290" t="str">
        <f aca="false">IF($A119="N/A"," ",IF(OR(Dayrun=1,Dayrun=7,Dayrun=8,Dayrun=10,Dayrun=11),MAX(0,(xSPRDOPT(M119,($E119-'Pricing Inputs'!$X154*$D119),$CV119,0,($CQ119+IF(Smile=TRUE(),VLOOKUP(MAX(-5,$H119-M119),Volsmile,2),0)),$CT119,$CU119,($A119-DateToday)+15,ABS(Option-2),0)-V119)),0))</f>
        <v> </v>
      </c>
      <c r="AF119" s="290" t="str">
        <f aca="false">IF($A119="N/A"," ",IF(OR(Dayrun&lt;=2,Dayrun&gt;=10),IF(OffPeakEx=TRUE(),MAX(0,(xSPRDOPT(N119,($E119-'Pricing Inputs'!$X154*$D119),$CV119,0,($CQ119+IF(Smile=TRUE(),VLOOKUP(MAX(-5,$H119-N119),Volsmile,2),0)),$CT119,$CU119,($A119-DateToday)+15,ABS(Option-2),0)-W119)),0),0))</f>
        <v> </v>
      </c>
      <c r="AG119" s="290" t="str">
        <f aca="false">IF($A119="N/A"," ",IF(OR(Dayrun=1,Dayrun=5,Dayrun=8,Dayrun=11),MAX(0,(xSPRDOPT(O119,($E119-'Pricing Inputs'!$X154*$D119),$CV119,0,($CQ119+IF(Smile=TRUE(),VLOOKUP(MAX(-5,$H119-O119),Volsmile,2),0)),$CT119,$CU119,($A119-DateToday)+15,ABS(Option-2),0)-X119)),0))</f>
        <v> </v>
      </c>
      <c r="AH119" s="290" t="str">
        <f aca="false">IF($A119="N/A"," ",IF(OR(Dayrun=1,Dayrun=8,Dayrun=11),MAX(0,(xSPRDOPT(P119,($E119-'Pricing Inputs'!$X154*$D119),$CV119,0,($CQ119+IF(Smile=TRUE(),VLOOKUP(MAX(-5,$H119-P119),Volsmile,2),0)),$CT119,$CU119,($A119-DateToday)+15,ABS(Option-2),0)-Y119)),0))</f>
        <v> </v>
      </c>
      <c r="AI119" s="290" t="str">
        <f aca="false">IF($A119="N/A"," ",IF(OR(Dayrun&lt;=2,Dayrun&gt;=11),IF(OffPeakEx=TRUE(),MAX(0,(xSPRDOPT(Q119,($E119-'Pricing Inputs'!$X154*$D119),$CV119,0,($CQ119+IF(Smile=TRUE(),VLOOKUP(MAX(-5,$H119-Q119),Volsmile,2),0)),$CT119,$CU119,($A119-DateToday)+15,ABS(Option-2),0)-Z119)),0),0))</f>
        <v> </v>
      </c>
      <c r="AJ119" s="294" t="str">
        <f aca="false">IF($A119="N/A"," ",IF(Dayrun&gt;=3,IF(Option=1,$I119-$H119,IF(Option=2,$H119-$I119)),0))</f>
        <v> </v>
      </c>
      <c r="AK119" s="295" t="str">
        <f aca="false">IF($A119="N/A"," ",IF(Dayrun&gt;=6,IF(Option=1,$J119-H119,IF(Option=2,H119-$J119)),0))</f>
        <v> </v>
      </c>
      <c r="AL119" s="295" t="str">
        <f aca="false">IF($A119="N/A"," ",IF(OR(Dayrun&lt;=2,Dayrun&gt;=9),IF(Option=1,$K119-$H119,IF(Option=2,$H119-$K119)),0))</f>
        <v> </v>
      </c>
      <c r="AM119" s="295" t="str">
        <f aca="false">IF($A119="N/A"," ",IF(OR(Dayrun=1,Dayrun=4,Dayrun=5,Dayrun=7,Dayrun=8,Dayrun=10,Dayrun=11),IF(Option=1,$L119-H119,IF(Option=2,H119-$L119)),0))</f>
        <v> </v>
      </c>
      <c r="AN119" s="295" t="str">
        <f aca="false">IF($A119="N/A"," ",IF(OR(Dayrun=1,Dayrun=7,Dayrun=8,Dayrun=10,Dayrun=11),IF(Option=1,$M119-H119,IF(Option=2,H119-$M119)),0))</f>
        <v> </v>
      </c>
      <c r="AO119" s="295" t="str">
        <f aca="false">IF($A119="N/A"," ",IF(OR(Dayrun&lt;=2,Dayrun&gt;=9),IF(Option=1,$N119-$H119,IF(Option=2,$H119-$N119)),0))</f>
        <v> </v>
      </c>
      <c r="AP119" s="295" t="str">
        <f aca="false">IF($A119="N/A"," ",IF(OR(Dayrun=1,Dayrun=5,Dayrun=8,Dayrun=11),IF(Option=1,$O119-H119,IF(Option=2,H119-$O119)),0))</f>
        <v> </v>
      </c>
      <c r="AQ119" s="295" t="str">
        <f aca="false">IF($A119="N/A"," ",IF(OR(Dayrun=1,Dayrun=8,Dayrun=11),IF(Option=1,$P119-H119,IF(Option=2,H119-$P119)),0))</f>
        <v> </v>
      </c>
      <c r="AR119" s="296" t="str">
        <f aca="false">IF($A119="N/A"," ",IF(OR(Dayrun&lt;=2,Dayrun&gt;=9),IF(Option=1,$Q119-H119,IF(Option=2,H119-$Q119)),0))</f>
        <v> </v>
      </c>
      <c r="AS119" s="297" t="str">
        <f aca="false">IF($A119="N/A"," ",IF(VLOOKUP(MONTH($A119),ManualTable,2)=1,IF(Dayrun&gt;=3,$DE119*8*$CY119,0),0))</f>
        <v> </v>
      </c>
      <c r="AT119" s="297" t="str">
        <f aca="false">IF($A119="N/A"," ",IF(VLOOKUP(MONTH($A119),ManualTable,3)=1,IF(Dayrun&gt;=6,$DE119*8*$CY119,0),0))</f>
        <v> </v>
      </c>
      <c r="AU119" s="297" t="str">
        <f aca="false">IF($A119="N/A"," ",IF(VLOOKUP(MONTH($A119),ManualTable,4)=1,IF(OR(Dayrun&lt;=2,Dayrun&gt;=9),$DE119*8*$CY119,0),0))</f>
        <v> </v>
      </c>
      <c r="AV119" s="297" t="str">
        <f aca="false">IF($A119="N/A"," ",IF(VLOOKUP(MONTH($A119),ManualTable,5)=1,IF(OR(Dayrun=1,Dayrun=4,Dayrun=5,Dayrun=7,Dayrun=8,Dayrun=10,Dayrun=11),$DF119*8*$CY119,0),0))</f>
        <v> </v>
      </c>
      <c r="AW119" s="297" t="str">
        <f aca="false">IF($A119="N/A"," ",IF(VLOOKUP(MONTH($A119),ManualTable,6)=1,IF(OR(Dayrun=1,Dayrun=7,Dayrun=8,Dayrun=10,Dayrun=11),$DF119*8*$CY119,0),0))</f>
        <v> </v>
      </c>
      <c r="AX119" s="297" t="str">
        <f aca="false">IF($A119="N/A"," ",IF(VLOOKUP(MONTH($A119),ManualTable,7)=1,IF(OR(Dayrun&lt;=2,Dayrun&gt;=9),$DF119*8*$CY119,0),0))</f>
        <v> </v>
      </c>
      <c r="AY119" s="297" t="str">
        <f aca="false">IF($A119="N/A"," ",IF(VLOOKUP(MONTH($A119),ManualTable,8)=1,IF(OR(Dayrun=1,Dayrun=5,Dayrun=8,Dayrun=11),$DG119*8*$CY119,0),0))</f>
        <v> </v>
      </c>
      <c r="AZ119" s="297" t="str">
        <f aca="false">IF($A119="N/A"," ",IF(VLOOKUP(MONTH($A119),ManualTable,9)=1,IF(OR(Dayrun=1,Dayrun=8,Dayrun=11),$DG119*8*$CY119,0),0))</f>
        <v> </v>
      </c>
      <c r="BA119" s="298" t="str">
        <f aca="false">IF($A119="N/A"," ",IF(VLOOKUP(MONTH($A119),ManualTable,10)=1,IF(OR(Dayrun&lt;=2,Dayrun&gt;=9),$DG119*8*$CY119,0),0))</f>
        <v> </v>
      </c>
      <c r="BB119" s="299" t="str">
        <f aca="false">IF($A119="N/A"," ",IF(Dayrun&gt;=3,(MAX(0,(xSPRDOPT(I119,($E119-'Pricing Inputs'!$X154*$D119),$CV119,0,($CN119+IF(Smile=TRUE(),VLOOKUP(MAX(-5,$H119-I119),Volsmile,2),0)),$CT119,$CU119,($A119-DateToday)+15,ABS(Option-2),1)*DE119*8))),0))</f>
        <v> </v>
      </c>
      <c r="BC119" s="300" t="str">
        <f aca="false">IF($A119="N/A"," ",IF(Dayrun&gt;=6,MAX(0,(xSPRDOPT(J119,($E119-'Pricing Inputs'!$X154*$D119),$CV119,0,($CN119+IF(Smile=TRUE(),VLOOKUP(MAX(-5,$H119-J119),Volsmile,2),0)),$CT119,$CU119,($A119-DateToday)+15,ABS(Option-2),1)*DE119*8)),0))</f>
        <v> </v>
      </c>
      <c r="BD119" s="300" t="str">
        <f aca="false">IF($A119="N/A"," ",IF(OR(Dayrun&lt;=2,Dayrun&gt;=9),IF(OffPeakEx=TRUE(),MAX(0,(xSPRDOPT(K119,($E119-'Pricing Inputs'!$X154*$D119),$CV119,0,($CQ119+IF(Smile=TRUE(),VLOOKUP(MAX(-5,$H119-K119),Volsmile,2),0)),$CT119,$CU119,($A119-DateToday)+15,ABS(Option-2),1)*DE119*8)),0),0))</f>
        <v> </v>
      </c>
      <c r="BE119" s="300" t="str">
        <f aca="false">IF($A119="N/A"," ",IF(OR(Dayrun=1,Dayrun=4,Dayrun=5,Dayrun=7,Dayrun=8,Dayrun=10,Dayrun=11),MAX(0,(xSPRDOPT(L119,($E119-'Pricing Inputs'!$X154*$D119),$CV119,0,($CQ119+IF(Smile=TRUE(),VLOOKUP(MAX(-5,$H119-L119),Volsmile,2),0)),$CT119,$CU119,($A119-DateToday)+15,ABS(Option-2),1)*DF119*8)),0))</f>
        <v> </v>
      </c>
      <c r="BF119" s="300" t="str">
        <f aca="false">IF($A119="N/A"," ",IF(OR(Dayrun=1,Dayrun=7,Dayrun=8,Dayrun=10,Dayrun=11),MAX(0,(xSPRDOPT(M119,($E119-'Pricing Inputs'!$X154*$D119),$CV119,0,($CQ119+IF(Smile=TRUE(),VLOOKUP(MAX(-5,$H119-M119),Volsmile,2),0)),$CT119,$CU119,($A119-DateToday)+15,ABS(Option-2),1)*DF119*8)),0))</f>
        <v> </v>
      </c>
      <c r="BG119" s="300" t="str">
        <f aca="false">IF($A119="N/A"," ",IF(OR(Dayrun&lt;=2,Dayrun&gt;=10),IF(OffPeakEx=TRUE(),MAX(0,(xSPRDOPT(N119,($E119-'Pricing Inputs'!$X154*$D119),$CV119,0,($CQ119+IF(Smile=TRUE(),VLOOKUP(MAX(-5,$H119-N119),Volsmile,2),0)),$CT119,$CU119,($A119-DateToday)+15,ABS(Option-2),1)*DF119*8)),0),0))</f>
        <v> </v>
      </c>
      <c r="BH119" s="300" t="str">
        <f aca="false">IF($A119="N/A"," ",IF(OR(Dayrun=1,Dayrun=5,Dayrun=8,Dayrun=11),MAX(0,(xSPRDOPT(O119,($E119-'Pricing Inputs'!$X154*$D119),$CV119,0,($CQ119+IF(Smile=TRUE(),VLOOKUP(MAX(-5,$H119-O119),Volsmile,2),0)),$CT119,$CU119,($A119-DateToday)+15,ABS(Option-2),1)*DG119*8)),0))</f>
        <v> </v>
      </c>
      <c r="BI119" s="300" t="str">
        <f aca="false">IF($A119="N/A"," ",IF(OR(Dayrun=1,Dayrun=8,Dayrun=11),MAX(0,(xSPRDOPT(P119,($E119-'Pricing Inputs'!$X154*$D119),$CV119,0,($CQ119+IF(Smile=TRUE(),VLOOKUP(MAX(-5,$H119-P119),Volsmile,2),0)),$CT119,$CU119,($A119-DateToday)+15,ABS(Option-2),1)*DG119*8)),0))</f>
        <v> </v>
      </c>
      <c r="BJ119" s="301" t="str">
        <f aca="false">IF($A119="N/A"," ",IF(OR(Dayrun&lt;=2,Dayrun&gt;=11),IF(OffPeakEx=TRUE(),MAX(0,(xSPRDOPT(Q119,($E119-'Pricing Inputs'!$X154*$D119),$CV119,0,($CQ119+IF(Smile=TRUE(),VLOOKUP(MAX(-5,$H119-Q119),Volsmile,2),0)),$CT119,$CU119,($A119-DateToday)+15,ABS(Option-2),1)*DG119*8)),0),0))</f>
        <v> </v>
      </c>
      <c r="BK119" s="302" t="str">
        <f aca="false">IF($A119="N/A"," ",R119*$AS119)</f>
        <v> </v>
      </c>
      <c r="BL119" s="303" t="str">
        <f aca="false">IF($A119="N/A"," ",S119*$AT119)</f>
        <v> </v>
      </c>
      <c r="BM119" s="303" t="str">
        <f aca="false">IF($A119="N/A"," ",T119*$AU119)</f>
        <v> </v>
      </c>
      <c r="BN119" s="303" t="str">
        <f aca="false">IF($A119="N/A"," ",U119*$AV119)</f>
        <v> </v>
      </c>
      <c r="BO119" s="303" t="str">
        <f aca="false">IF($A119="N/A"," ",V119*$AW119)</f>
        <v> </v>
      </c>
      <c r="BP119" s="303" t="str">
        <f aca="false">IF($A119="N/A"," ",W119*$AX119)</f>
        <v> </v>
      </c>
      <c r="BQ119" s="303" t="str">
        <f aca="false">IF($A119="N/A"," ",X119*$AY119)</f>
        <v> </v>
      </c>
      <c r="BR119" s="303" t="str">
        <f aca="false">IF($A119="N/A"," ",Y119*$AZ119)</f>
        <v> </v>
      </c>
      <c r="BS119" s="304" t="str">
        <f aca="false">IF($A119="N/A"," ",Z119*$BA119)</f>
        <v> </v>
      </c>
      <c r="BT119" s="305" t="str">
        <f aca="false">IF($A119="N/A"," ",AA119*$AS119)</f>
        <v> </v>
      </c>
      <c r="BU119" s="306" t="str">
        <f aca="false">IF($A119="N/A"," ",AB119*$AT119)</f>
        <v> </v>
      </c>
      <c r="BV119" s="306" t="str">
        <f aca="false">IF($A119="N/A"," ",AC119*$AU119)</f>
        <v> </v>
      </c>
      <c r="BW119" s="306" t="str">
        <f aca="false">IF($A119="N/A"," ",AD119*$AV119)</f>
        <v> </v>
      </c>
      <c r="BX119" s="306" t="str">
        <f aca="false">IF($A119="N/A"," ",AE119*$AW119)</f>
        <v> </v>
      </c>
      <c r="BY119" s="306" t="str">
        <f aca="false">IF($A119="N/A"," ",AF119*$AX119)</f>
        <v> </v>
      </c>
      <c r="BZ119" s="306" t="str">
        <f aca="false">IF($A119="N/A"," ",AG119*$AY119)</f>
        <v> </v>
      </c>
      <c r="CA119" s="306" t="str">
        <f aca="false">IF($A119="N/A"," ",AH119*$AZ119)</f>
        <v> </v>
      </c>
      <c r="CB119" s="307" t="str">
        <f aca="false">IF($A119="N/A"," ",AI119*$BA119)</f>
        <v> </v>
      </c>
      <c r="CC119" s="308" t="str">
        <f aca="false">IF($A119="N/A"," ",AJ119*$AS119)</f>
        <v> </v>
      </c>
      <c r="CD119" s="309" t="str">
        <f aca="false">IF($A119="N/A"," ",AK119*$AT119)</f>
        <v> </v>
      </c>
      <c r="CE119" s="309" t="str">
        <f aca="false">IF($A119="N/A"," ",AL119*$AU119)</f>
        <v> </v>
      </c>
      <c r="CF119" s="309" t="str">
        <f aca="false">IF($A119="N/A"," ",AM119*$AV119)</f>
        <v> </v>
      </c>
      <c r="CG119" s="309" t="str">
        <f aca="false">IF($A119="N/A"," ",AN119*$AW119)</f>
        <v> </v>
      </c>
      <c r="CH119" s="309" t="str">
        <f aca="false">IF($A119="N/A"," ",AO119*$AX119)</f>
        <v> </v>
      </c>
      <c r="CI119" s="309" t="str">
        <f aca="false">IF($A119="N/A"," ",AP119*$AY119)</f>
        <v> </v>
      </c>
      <c r="CJ119" s="309" t="str">
        <f aca="false">IF($A119="N/A"," ",AQ119*$AZ119)</f>
        <v> </v>
      </c>
      <c r="CK119" s="310" t="str">
        <f aca="false">IF($A119="N/A"," ",AR119*$BA119)</f>
        <v> </v>
      </c>
      <c r="CL119" s="311" t="str">
        <f aca="false">IF(A119="N/A"," ",(VLOOKUP(A119,PowerVolTable,(IF(VolBMO=2,7,IF(VolBMO=1,6,8))),FALSE())))</f>
        <v> </v>
      </c>
      <c r="CM119" s="312" t="str">
        <f aca="false">IF(A119="N/A"," ",(VLOOKUP(A119,IntraPowerVol,(IF(VolBMO=2,3,IF(VolBMO=1,2,4))),FALSE())*VLOOKUP(MONTH($A119),Volscale,2)))</f>
        <v> </v>
      </c>
      <c r="CN119" s="312" t="str">
        <f aca="false">IF($A119="N/A"," ",IF(VolType=1,CM119,CL119))</f>
        <v> </v>
      </c>
      <c r="CO119" s="312" t="str">
        <f aca="false">IF($A119="N/A"," ",(VLOOKUP($A119,OffPeakVol,(IF(VolBMO=2,7,IF(VolBMO=1,6,8))),FALSE())))</f>
        <v> </v>
      </c>
      <c r="CP119" s="312" t="str">
        <f aca="false">IF($A119="N/A"," ",(VLOOKUP($A119,OffPeakVol,(IF(VolBMO=2,3,IF(VolBMO=1,2,4))),FALSE())*VLOOKUP(MONTH($A119),Volscale,2)))</f>
        <v> </v>
      </c>
      <c r="CQ119" s="312" t="str">
        <f aca="false">IF($A119="N/A"," ",IF(VolType=1,CP119,CO119))</f>
        <v> </v>
      </c>
      <c r="CR119" s="312" t="str">
        <f aca="false">IF($A119="N/A"," ",(VLOOKUP($A119,GasVolTable,(IF(VolBMO=2,6,IF(VolBMO=1,7,5))),FALSE())))</f>
        <v> </v>
      </c>
      <c r="CS119" s="312" t="str">
        <f aca="false">IF($A119="N/A"," ",(VLOOKUP($A119,OmicronVol,(IF(VolBMO=2,3,IF(VolBMO=1,4,2))),FALSE())))</f>
        <v> </v>
      </c>
      <c r="CT119" s="312" t="str">
        <f aca="false">IF($A119="N/A"," ",(IF(DateToday&gt;$A119,$CS119,IF(VolType=1,((($CR119^2)*((($A119-1)-DateToday)/((EOMONTH($A119,0)+1)-DateToday-15)))+((($CS119)^2)*((15)/((EOMONTH($A119,0)+1)-DateToday-15))))^0.5,CR119))))</f>
        <v> </v>
      </c>
      <c r="CU119" s="312" t="str">
        <f aca="false">IF($A119="N/A"," ",IF('Pricing Inputs'!$AR$23=TRUE(),Inputs!$S$22,VLOOKUP($A119,CorrelationTable,2,FALSE())))</f>
        <v> </v>
      </c>
      <c r="CV119" s="313" t="str">
        <f aca="false">IF($A119="N/A"," ",F119+G119+(D119*('Pricing Inputs'!X154)))</f>
        <v> </v>
      </c>
      <c r="CW119" s="314" t="str">
        <f aca="false">IF($A119="N/A"," ",IF(PV=1,0,'Pricing Inputs'!Y154))</f>
        <v> </v>
      </c>
      <c r="CX119" s="315" t="str">
        <f aca="false">IF($A119="N/A"," ",(1+CW119/2)^(-2*((EOMONTH(A119,0)+20)-DateToday)/365.25))</f>
        <v> </v>
      </c>
      <c r="CY119" s="316" t="str">
        <f aca="false">IF($A119="N/A"," ",(IF(MONTH(A119)&gt;=4,IF(MONTH(A119)&lt;=10,Inputs!$S$26,Inputs!$S$27),Inputs!$S$27))*$CX119)</f>
        <v> </v>
      </c>
      <c r="CZ119" s="317" t="str">
        <f aca="false">IF($A119="N/A"," ",BK119+BL119+BN119+BO119+BQ119+BR119)</f>
        <v> </v>
      </c>
      <c r="DA119" s="318" t="str">
        <f aca="false">IF($A119="N/A"," ",BM119+BP119+BS119)</f>
        <v> </v>
      </c>
      <c r="DB119" s="319" t="str">
        <f aca="false">IF($A119="N/A"," ",BT119+BU119+BW119+BX119+BZ119+CA119)</f>
        <v> </v>
      </c>
      <c r="DC119" s="319" t="str">
        <f aca="false">IF($A119="N/A"," ",BV119+BY119+CB119)</f>
        <v> </v>
      </c>
      <c r="DD119" s="320" t="str">
        <f aca="false">IF($A119="N/A"," ",SUM(CC119:CK119))</f>
        <v> </v>
      </c>
      <c r="DE119" s="321" t="str">
        <f aca="false">IF($A119="N/A"," ",VLOOKUP($A119,NumberofDaysTable,2)*Availability)</f>
        <v> </v>
      </c>
      <c r="DF119" s="94" t="str">
        <f aca="false">IF($A119="N/A"," ",VLOOKUP($A119,NumberofDaysTable,3)*Availability)</f>
        <v> </v>
      </c>
      <c r="DG119" s="322" t="str">
        <f aca="false">IF($A119="N/A"," ",VLOOKUP($A119,NumberofDaysTable,4)*Availability)</f>
        <v> </v>
      </c>
      <c r="DH119" s="323" t="str">
        <f aca="false">IF($A119="N/A"," ",IF(Option=1,$D119*Inputs!$S$15*SUM(AS119:BA119),0))</f>
        <v> </v>
      </c>
      <c r="DI119" s="324" t="str">
        <f aca="false">IF($A119="N/A"," ",IF(Option=1,$D119*Inputs!$S$16*SUM(AS119:BA119),0))</f>
        <v> </v>
      </c>
      <c r="DJ119" s="325" t="str">
        <f aca="false">IF($A119="N/A"," ",SUM(AS119:AT119))</f>
        <v> </v>
      </c>
      <c r="DK119" s="325" t="str">
        <f aca="false">IF($A119="N/A"," ",SUM(AU119:BA119))</f>
        <v> </v>
      </c>
      <c r="DL119" s="325" t="str">
        <f aca="false">IF($A119="N/A"," ",SUM(BB119:BC119))</f>
        <v> </v>
      </c>
      <c r="DM119" s="325" t="str">
        <f aca="false">IF($A119="N/A"," ",SUM(BD119:BJ119))</f>
        <v> </v>
      </c>
    </row>
    <row r="120" customFormat="false" ht="12.75" hidden="false" customHeight="false" outlineLevel="0" collapsed="false">
      <c r="A120" s="282" t="str">
        <f aca="false">IF(A119="N/A","N/A",IF(EDATE(A119,1)&gt;Inputs!$S$5,"N/A",EDATE(A119,1)))</f>
        <v>N/A</v>
      </c>
      <c r="B120" s="283" t="str">
        <f aca="false">IF(A120="N/A"," ",YEAR(A120))</f>
        <v> </v>
      </c>
      <c r="C120" s="284" t="str">
        <f aca="false">IF(A120="N/A"," ",VLOOKUP(A120,ScaledPrice,14))</f>
        <v> </v>
      </c>
      <c r="D120" s="285" t="str">
        <f aca="false">IF(A120="N/A"," ",(VLOOKUP(MONTH($A120),Hrtable,2))/1000)</f>
        <v> </v>
      </c>
      <c r="E120" s="286" t="str">
        <f aca="false">IF($A120="N/A"," ",(C120)*D120)</f>
        <v> </v>
      </c>
      <c r="F120" s="287" t="str">
        <f aca="false">IF(A120="N/A"," ",VOM*(1+VOMesc)^(YEAR(A120)-YEAR(Today)))</f>
        <v> </v>
      </c>
      <c r="G120" s="287" t="str">
        <f aca="false">IF(A120="N/A"," ",Perstart/VLOOKUP(Dayrun,'Pricing Inputs'!$AQ$4:$AS$14,3)/(CY120/CX120))</f>
        <v> </v>
      </c>
      <c r="H120" s="288" t="str">
        <f aca="false">IF(A120="N/A"," ",SUM(E120:G120))</f>
        <v> </v>
      </c>
      <c r="I120" s="289" t="str">
        <f aca="false">VLOOKUP($A120,ScaledPrice,6)</f>
        <v> </v>
      </c>
      <c r="J120" s="290" t="str">
        <f aca="false">VLOOKUP($A120,ScaledPrice,10)</f>
        <v> </v>
      </c>
      <c r="K120" s="290" t="str">
        <f aca="false">VLOOKUP($A120,ScaledPrice,13)</f>
        <v> </v>
      </c>
      <c r="L120" s="290" t="str">
        <f aca="false">VLOOKUP($A120,ScaledPrice,7)</f>
        <v> </v>
      </c>
      <c r="M120" s="290" t="str">
        <f aca="false">VLOOKUP($A120,ScaledPrice,11)</f>
        <v> </v>
      </c>
      <c r="N120" s="290" t="str">
        <f aca="false">VLOOKUP($A120,ScaledPrice,13)</f>
        <v> </v>
      </c>
      <c r="O120" s="290" t="str">
        <f aca="false">VLOOKUP($A120,ScaledPrice,8)</f>
        <v> </v>
      </c>
      <c r="P120" s="290" t="str">
        <f aca="false">VLOOKUP($A120,ScaledPrice,12)</f>
        <v> </v>
      </c>
      <c r="Q120" s="291" t="str">
        <f aca="false">VLOOKUP($A120,ScaledPrice,13)</f>
        <v> </v>
      </c>
      <c r="R120" s="292" t="str">
        <f aca="false">IF($A120="N/A"," ",IF(Dayrun&gt;=3,IF(Option=1,MAX($I120-$H120,0),IF(Option=2,MAX($H120-$I120,0),0)),0))</f>
        <v> </v>
      </c>
      <c r="S120" s="286" t="str">
        <f aca="false">IF($A120="N/A"," ",IF(Dayrun&gt;=6,IF(Option=1,MAX($J120-H120,0),IF(Option=2,MAX(H120-$J120,0),0)),0))</f>
        <v> </v>
      </c>
      <c r="T120" s="286" t="str">
        <f aca="false">IF($A120="N/A"," ",IF(OR(Dayrun&lt;=2,Dayrun&gt;=9),IF(Option=1,MAX($K120-$H120,0),IF(Option=2,MAX($H120-$K120,0),0)),0))</f>
        <v> </v>
      </c>
      <c r="U120" s="286" t="str">
        <f aca="false">IF($A120="N/A"," ",IF(OR(Dayrun=1,Dayrun=4,Dayrun=5,Dayrun=7,Dayrun=8,Dayrun=10,Dayrun=11),IF(Option=1,MAX($L120-H120,0),IF(Option=2,MAX(H120-$L120,0),0)),0))</f>
        <v> </v>
      </c>
      <c r="V120" s="286" t="str">
        <f aca="false">IF($A120="N/A"," ",IF(OR(Dayrun=1,Dayrun=7,Dayrun=8,Dayrun=10,Dayrun=11),IF(Option=1,MAX($M120-H120,0),IF(Option=2,MAX(H120-$M120,0),0)),0))</f>
        <v> </v>
      </c>
      <c r="W120" s="286" t="str">
        <f aca="false">IF($A120="N/A"," ",IF(OR(Dayrun&lt;=2,Dayrun&gt;=10),IF(Option=1,MAX($N120-$H120,0),IF(Option=2,MAX($H120-$N120,0),0)),0))</f>
        <v> </v>
      </c>
      <c r="X120" s="286" t="str">
        <f aca="false">IF($A120="N/A"," ",IF(OR(Dayrun=1,Dayrun=5,Dayrun=8,Dayrun=11),IF(Option=1,MAX($O120-H120,0),IF(Option=2,MAX(H120-$O120,0),0)),0))</f>
        <v> </v>
      </c>
      <c r="Y120" s="286" t="str">
        <f aca="false">IF($A120="N/A"," ",IF(OR(Dayrun=1,Dayrun=8,Dayrun=11),IF(Option=1,MAX($P120-H120,0),IF(Option=2,MAX(H120-$P120,0),0)),0))</f>
        <v> </v>
      </c>
      <c r="Z120" s="293" t="str">
        <f aca="false">IF($A120="N/A"," ",IF(OR(Dayrun&lt;=2,Dayrun&gt;=11),IF(Option=1,MAX($Q120-$H120,0),IF(Option=2,MAX($H120-$Q120,0),0)),0))</f>
        <v> </v>
      </c>
      <c r="AA120" s="289" t="str">
        <f aca="false">IF($A120="N/A"," ",IF(Dayrun&gt;=3,(MAX(0,(xSPRDOPT(I120,($E120-'Pricing Inputs'!$X155*$D120),$CV120,0,($CN120+IF(Smile=TRUE(),VLOOKUP(MAX(-5,$H120-I120),Volsmile,2),0)),$CT120,$CU120,($A120-DateToday)+15,ABS(Option-2),0)-R120))),0))</f>
        <v> </v>
      </c>
      <c r="AB120" s="290" t="str">
        <f aca="false">IF($A120="N/A"," ",IF(Dayrun&gt;=6,MAX(0,(xSPRDOPT(J120,($E120-'Pricing Inputs'!$X155*$D120),$CV120,0,($CN120+IF(Smile=TRUE(),VLOOKUP(MAX(-5,$H120-J120),Volsmile,2),0)),$CT120,$CU120,($A120-DateToday)+15,ABS(Option-2),0)-S120)),0))</f>
        <v> </v>
      </c>
      <c r="AC120" s="290" t="str">
        <f aca="false">IF($A120="N/A"," ",IF(OR(Dayrun&lt;=2,Dayrun&gt;=9),IF(OffPeakEx=TRUE(),MAX(0,(xSPRDOPT(K120,($E120-'Pricing Inputs'!$X155*$D120),$CV120,0,($CQ120+IF(Smile=TRUE(),VLOOKUP(MAX(-5,$H120-K120),Volsmile,2),0)),$CT120,$CU120,($A120-DateToday)+15,ABS(Option-2),0)-T120)),0),0))</f>
        <v> </v>
      </c>
      <c r="AD120" s="290" t="str">
        <f aca="false">IF($A120="N/A"," ",IF(OR(Dayrun=1,Dayrun=4,Dayrun=5,Dayrun=7,Dayrun=8,Dayrun=10,Dayrun=11),MAX(0,(xSPRDOPT(L120,($E120-'Pricing Inputs'!$X155*$D120),$CV120,0,($CQ120+IF(Smile=TRUE(),VLOOKUP(MAX(-5,$H120-L120),Volsmile,2),0)),$CT120,$CU120,($A120-DateToday)+15,ABS(Option-2),0)-U120)),0))</f>
        <v> </v>
      </c>
      <c r="AE120" s="290" t="str">
        <f aca="false">IF($A120="N/A"," ",IF(OR(Dayrun=1,Dayrun=7,Dayrun=8,Dayrun=10,Dayrun=11),MAX(0,(xSPRDOPT(M120,($E120-'Pricing Inputs'!$X155*$D120),$CV120,0,($CQ120+IF(Smile=TRUE(),VLOOKUP(MAX(-5,$H120-M120),Volsmile,2),0)),$CT120,$CU120,($A120-DateToday)+15,ABS(Option-2),0)-V120)),0))</f>
        <v> </v>
      </c>
      <c r="AF120" s="290" t="str">
        <f aca="false">IF($A120="N/A"," ",IF(OR(Dayrun&lt;=2,Dayrun&gt;=10),IF(OffPeakEx=TRUE(),MAX(0,(xSPRDOPT(N120,($E120-'Pricing Inputs'!$X155*$D120),$CV120,0,($CQ120+IF(Smile=TRUE(),VLOOKUP(MAX(-5,$H120-N120),Volsmile,2),0)),$CT120,$CU120,($A120-DateToday)+15,ABS(Option-2),0)-W120)),0),0))</f>
        <v> </v>
      </c>
      <c r="AG120" s="290" t="str">
        <f aca="false">IF($A120="N/A"," ",IF(OR(Dayrun=1,Dayrun=5,Dayrun=8,Dayrun=11),MAX(0,(xSPRDOPT(O120,($E120-'Pricing Inputs'!$X155*$D120),$CV120,0,($CQ120+IF(Smile=TRUE(),VLOOKUP(MAX(-5,$H120-O120),Volsmile,2),0)),$CT120,$CU120,($A120-DateToday)+15,ABS(Option-2),0)-X120)),0))</f>
        <v> </v>
      </c>
      <c r="AH120" s="290" t="str">
        <f aca="false">IF($A120="N/A"," ",IF(OR(Dayrun=1,Dayrun=8,Dayrun=11),MAX(0,(xSPRDOPT(P120,($E120-'Pricing Inputs'!$X155*$D120),$CV120,0,($CQ120+IF(Smile=TRUE(),VLOOKUP(MAX(-5,$H120-P120),Volsmile,2),0)),$CT120,$CU120,($A120-DateToday)+15,ABS(Option-2),0)-Y120)),0))</f>
        <v> </v>
      </c>
      <c r="AI120" s="290" t="str">
        <f aca="false">IF($A120="N/A"," ",IF(OR(Dayrun&lt;=2,Dayrun&gt;=11),IF(OffPeakEx=TRUE(),MAX(0,(xSPRDOPT(Q120,($E120-'Pricing Inputs'!$X155*$D120),$CV120,0,($CQ120+IF(Smile=TRUE(),VLOOKUP(MAX(-5,$H120-Q120),Volsmile,2),0)),$CT120,$CU120,($A120-DateToday)+15,ABS(Option-2),0)-Z120)),0),0))</f>
        <v> </v>
      </c>
      <c r="AJ120" s="294" t="str">
        <f aca="false">IF($A120="N/A"," ",IF(Dayrun&gt;=3,IF(Option=1,$I120-$H120,IF(Option=2,$H120-$I120)),0))</f>
        <v> </v>
      </c>
      <c r="AK120" s="295" t="str">
        <f aca="false">IF($A120="N/A"," ",IF(Dayrun&gt;=6,IF(Option=1,$J120-H120,IF(Option=2,H120-$J120)),0))</f>
        <v> </v>
      </c>
      <c r="AL120" s="295" t="str">
        <f aca="false">IF($A120="N/A"," ",IF(OR(Dayrun&lt;=2,Dayrun&gt;=9),IF(Option=1,$K120-$H120,IF(Option=2,$H120-$K120)),0))</f>
        <v> </v>
      </c>
      <c r="AM120" s="295" t="str">
        <f aca="false">IF($A120="N/A"," ",IF(OR(Dayrun=1,Dayrun=4,Dayrun=5,Dayrun=7,Dayrun=8,Dayrun=10,Dayrun=11),IF(Option=1,$L120-H120,IF(Option=2,H120-$L120)),0))</f>
        <v> </v>
      </c>
      <c r="AN120" s="295" t="str">
        <f aca="false">IF($A120="N/A"," ",IF(OR(Dayrun=1,Dayrun=7,Dayrun=8,Dayrun=10,Dayrun=11),IF(Option=1,$M120-H120,IF(Option=2,H120-$M120)),0))</f>
        <v> </v>
      </c>
      <c r="AO120" s="295" t="str">
        <f aca="false">IF($A120="N/A"," ",IF(OR(Dayrun&lt;=2,Dayrun&gt;=9),IF(Option=1,$N120-$H120,IF(Option=2,$H120-$N120)),0))</f>
        <v> </v>
      </c>
      <c r="AP120" s="295" t="str">
        <f aca="false">IF($A120="N/A"," ",IF(OR(Dayrun=1,Dayrun=5,Dayrun=8,Dayrun=11),IF(Option=1,$O120-H120,IF(Option=2,H120-$O120)),0))</f>
        <v> </v>
      </c>
      <c r="AQ120" s="295" t="str">
        <f aca="false">IF($A120="N/A"," ",IF(OR(Dayrun=1,Dayrun=8,Dayrun=11),IF(Option=1,$P120-H120,IF(Option=2,H120-$P120)),0))</f>
        <v> </v>
      </c>
      <c r="AR120" s="296" t="str">
        <f aca="false">IF($A120="N/A"," ",IF(OR(Dayrun&lt;=2,Dayrun&gt;=9),IF(Option=1,$Q120-H120,IF(Option=2,H120-$Q120)),0))</f>
        <v> </v>
      </c>
      <c r="AS120" s="297" t="str">
        <f aca="false">IF($A120="N/A"," ",IF(VLOOKUP(MONTH($A120),ManualTable,2)=1,IF(Dayrun&gt;=3,$DE120*8*$CY120,0),0))</f>
        <v> </v>
      </c>
      <c r="AT120" s="297" t="str">
        <f aca="false">IF($A120="N/A"," ",IF(VLOOKUP(MONTH($A120),ManualTable,3)=1,IF(Dayrun&gt;=6,$DE120*8*$CY120,0),0))</f>
        <v> </v>
      </c>
      <c r="AU120" s="297" t="str">
        <f aca="false">IF($A120="N/A"," ",IF(VLOOKUP(MONTH($A120),ManualTable,4)=1,IF(OR(Dayrun&lt;=2,Dayrun&gt;=9),$DE120*8*$CY120,0),0))</f>
        <v> </v>
      </c>
      <c r="AV120" s="297" t="str">
        <f aca="false">IF($A120="N/A"," ",IF(VLOOKUP(MONTH($A120),ManualTable,5)=1,IF(OR(Dayrun=1,Dayrun=4,Dayrun=5,Dayrun=7,Dayrun=8,Dayrun=10,Dayrun=11),$DF120*8*$CY120,0),0))</f>
        <v> </v>
      </c>
      <c r="AW120" s="297" t="str">
        <f aca="false">IF($A120="N/A"," ",IF(VLOOKUP(MONTH($A120),ManualTable,6)=1,IF(OR(Dayrun=1,Dayrun=7,Dayrun=8,Dayrun=10,Dayrun=11),$DF120*8*$CY120,0),0))</f>
        <v> </v>
      </c>
      <c r="AX120" s="297" t="str">
        <f aca="false">IF($A120="N/A"," ",IF(VLOOKUP(MONTH($A120),ManualTable,7)=1,IF(OR(Dayrun&lt;=2,Dayrun&gt;=9),$DF120*8*$CY120,0),0))</f>
        <v> </v>
      </c>
      <c r="AY120" s="297" t="str">
        <f aca="false">IF($A120="N/A"," ",IF(VLOOKUP(MONTH($A120),ManualTable,8)=1,IF(OR(Dayrun=1,Dayrun=5,Dayrun=8,Dayrun=11),$DG120*8*$CY120,0),0))</f>
        <v> </v>
      </c>
      <c r="AZ120" s="297" t="str">
        <f aca="false">IF($A120="N/A"," ",IF(VLOOKUP(MONTH($A120),ManualTable,9)=1,IF(OR(Dayrun=1,Dayrun=8,Dayrun=11),$DG120*8*$CY120,0),0))</f>
        <v> </v>
      </c>
      <c r="BA120" s="298" t="str">
        <f aca="false">IF($A120="N/A"," ",IF(VLOOKUP(MONTH($A120),ManualTable,10)=1,IF(OR(Dayrun&lt;=2,Dayrun&gt;=9),$DG120*8*$CY120,0),0))</f>
        <v> </v>
      </c>
      <c r="BB120" s="299" t="str">
        <f aca="false">IF($A120="N/A"," ",IF(Dayrun&gt;=3,(MAX(0,(xSPRDOPT(I120,($E120-'Pricing Inputs'!$X155*$D120),$CV120,0,($CN120+IF(Smile=TRUE(),VLOOKUP(MAX(-5,$H120-I120),Volsmile,2),0)),$CT120,$CU120,($A120-DateToday)+15,ABS(Option-2),1)*DE120*8))),0))</f>
        <v> </v>
      </c>
      <c r="BC120" s="300" t="str">
        <f aca="false">IF($A120="N/A"," ",IF(Dayrun&gt;=6,MAX(0,(xSPRDOPT(J120,($E120-'Pricing Inputs'!$X155*$D120),$CV120,0,($CN120+IF(Smile=TRUE(),VLOOKUP(MAX(-5,$H120-J120),Volsmile,2),0)),$CT120,$CU120,($A120-DateToday)+15,ABS(Option-2),1)*DE120*8)),0))</f>
        <v> </v>
      </c>
      <c r="BD120" s="300" t="str">
        <f aca="false">IF($A120="N/A"," ",IF(OR(Dayrun&lt;=2,Dayrun&gt;=9),IF(OffPeakEx=TRUE(),MAX(0,(xSPRDOPT(K120,($E120-'Pricing Inputs'!$X155*$D120),$CV120,0,($CQ120+IF(Smile=TRUE(),VLOOKUP(MAX(-5,$H120-K120),Volsmile,2),0)),$CT120,$CU120,($A120-DateToday)+15,ABS(Option-2),1)*DE120*8)),0),0))</f>
        <v> </v>
      </c>
      <c r="BE120" s="300" t="str">
        <f aca="false">IF($A120="N/A"," ",IF(OR(Dayrun=1,Dayrun=4,Dayrun=5,Dayrun=7,Dayrun=8,Dayrun=10,Dayrun=11),MAX(0,(xSPRDOPT(L120,($E120-'Pricing Inputs'!$X155*$D120),$CV120,0,($CQ120+IF(Smile=TRUE(),VLOOKUP(MAX(-5,$H120-L120),Volsmile,2),0)),$CT120,$CU120,($A120-DateToday)+15,ABS(Option-2),1)*DF120*8)),0))</f>
        <v> </v>
      </c>
      <c r="BF120" s="300" t="str">
        <f aca="false">IF($A120="N/A"," ",IF(OR(Dayrun=1,Dayrun=7,Dayrun=8,Dayrun=10,Dayrun=11),MAX(0,(xSPRDOPT(M120,($E120-'Pricing Inputs'!$X155*$D120),$CV120,0,($CQ120+IF(Smile=TRUE(),VLOOKUP(MAX(-5,$H120-M120),Volsmile,2),0)),$CT120,$CU120,($A120-DateToday)+15,ABS(Option-2),1)*DF120*8)),0))</f>
        <v> </v>
      </c>
      <c r="BG120" s="300" t="str">
        <f aca="false">IF($A120="N/A"," ",IF(OR(Dayrun&lt;=2,Dayrun&gt;=10),IF(OffPeakEx=TRUE(),MAX(0,(xSPRDOPT(N120,($E120-'Pricing Inputs'!$X155*$D120),$CV120,0,($CQ120+IF(Smile=TRUE(),VLOOKUP(MAX(-5,$H120-N120),Volsmile,2),0)),$CT120,$CU120,($A120-DateToday)+15,ABS(Option-2),1)*DF120*8)),0),0))</f>
        <v> </v>
      </c>
      <c r="BH120" s="300" t="str">
        <f aca="false">IF($A120="N/A"," ",IF(OR(Dayrun=1,Dayrun=5,Dayrun=8,Dayrun=11),MAX(0,(xSPRDOPT(O120,($E120-'Pricing Inputs'!$X155*$D120),$CV120,0,($CQ120+IF(Smile=TRUE(),VLOOKUP(MAX(-5,$H120-O120),Volsmile,2),0)),$CT120,$CU120,($A120-DateToday)+15,ABS(Option-2),1)*DG120*8)),0))</f>
        <v> </v>
      </c>
      <c r="BI120" s="300" t="str">
        <f aca="false">IF($A120="N/A"," ",IF(OR(Dayrun=1,Dayrun=8,Dayrun=11),MAX(0,(xSPRDOPT(P120,($E120-'Pricing Inputs'!$X155*$D120),$CV120,0,($CQ120+IF(Smile=TRUE(),VLOOKUP(MAX(-5,$H120-P120),Volsmile,2),0)),$CT120,$CU120,($A120-DateToday)+15,ABS(Option-2),1)*DG120*8)),0))</f>
        <v> </v>
      </c>
      <c r="BJ120" s="301" t="str">
        <f aca="false">IF($A120="N/A"," ",IF(OR(Dayrun&lt;=2,Dayrun&gt;=11),IF(OffPeakEx=TRUE(),MAX(0,(xSPRDOPT(Q120,($E120-'Pricing Inputs'!$X155*$D120),$CV120,0,($CQ120+IF(Smile=TRUE(),VLOOKUP(MAX(-5,$H120-Q120),Volsmile,2),0)),$CT120,$CU120,($A120-DateToday)+15,ABS(Option-2),1)*DG120*8)),0),0))</f>
        <v> </v>
      </c>
      <c r="BK120" s="302" t="str">
        <f aca="false">IF($A120="N/A"," ",R120*$AS120)</f>
        <v> </v>
      </c>
      <c r="BL120" s="303" t="str">
        <f aca="false">IF($A120="N/A"," ",S120*$AT120)</f>
        <v> </v>
      </c>
      <c r="BM120" s="303" t="str">
        <f aca="false">IF($A120="N/A"," ",T120*$AU120)</f>
        <v> </v>
      </c>
      <c r="BN120" s="303" t="str">
        <f aca="false">IF($A120="N/A"," ",U120*$AV120)</f>
        <v> </v>
      </c>
      <c r="BO120" s="303" t="str">
        <f aca="false">IF($A120="N/A"," ",V120*$AW120)</f>
        <v> </v>
      </c>
      <c r="BP120" s="303" t="str">
        <f aca="false">IF($A120="N/A"," ",W120*$AX120)</f>
        <v> </v>
      </c>
      <c r="BQ120" s="303" t="str">
        <f aca="false">IF($A120="N/A"," ",X120*$AY120)</f>
        <v> </v>
      </c>
      <c r="BR120" s="303" t="str">
        <f aca="false">IF($A120="N/A"," ",Y120*$AZ120)</f>
        <v> </v>
      </c>
      <c r="BS120" s="304" t="str">
        <f aca="false">IF($A120="N/A"," ",Z120*$BA120)</f>
        <v> </v>
      </c>
      <c r="BT120" s="305" t="str">
        <f aca="false">IF($A120="N/A"," ",AA120*$AS120)</f>
        <v> </v>
      </c>
      <c r="BU120" s="306" t="str">
        <f aca="false">IF($A120="N/A"," ",AB120*$AT120)</f>
        <v> </v>
      </c>
      <c r="BV120" s="306" t="str">
        <f aca="false">IF($A120="N/A"," ",AC120*$AU120)</f>
        <v> </v>
      </c>
      <c r="BW120" s="306" t="str">
        <f aca="false">IF($A120="N/A"," ",AD120*$AV120)</f>
        <v> </v>
      </c>
      <c r="BX120" s="306" t="str">
        <f aca="false">IF($A120="N/A"," ",AE120*$AW120)</f>
        <v> </v>
      </c>
      <c r="BY120" s="306" t="str">
        <f aca="false">IF($A120="N/A"," ",AF120*$AX120)</f>
        <v> </v>
      </c>
      <c r="BZ120" s="306" t="str">
        <f aca="false">IF($A120="N/A"," ",AG120*$AY120)</f>
        <v> </v>
      </c>
      <c r="CA120" s="306" t="str">
        <f aca="false">IF($A120="N/A"," ",AH120*$AZ120)</f>
        <v> </v>
      </c>
      <c r="CB120" s="307" t="str">
        <f aca="false">IF($A120="N/A"," ",AI120*$BA120)</f>
        <v> </v>
      </c>
      <c r="CC120" s="308" t="str">
        <f aca="false">IF($A120="N/A"," ",AJ120*$AS120)</f>
        <v> </v>
      </c>
      <c r="CD120" s="309" t="str">
        <f aca="false">IF($A120="N/A"," ",AK120*$AT120)</f>
        <v> </v>
      </c>
      <c r="CE120" s="309" t="str">
        <f aca="false">IF($A120="N/A"," ",AL120*$AU120)</f>
        <v> </v>
      </c>
      <c r="CF120" s="309" t="str">
        <f aca="false">IF($A120="N/A"," ",AM120*$AV120)</f>
        <v> </v>
      </c>
      <c r="CG120" s="309" t="str">
        <f aca="false">IF($A120="N/A"," ",AN120*$AW120)</f>
        <v> </v>
      </c>
      <c r="CH120" s="309" t="str">
        <f aca="false">IF($A120="N/A"," ",AO120*$AX120)</f>
        <v> </v>
      </c>
      <c r="CI120" s="309" t="str">
        <f aca="false">IF($A120="N/A"," ",AP120*$AY120)</f>
        <v> </v>
      </c>
      <c r="CJ120" s="309" t="str">
        <f aca="false">IF($A120="N/A"," ",AQ120*$AZ120)</f>
        <v> </v>
      </c>
      <c r="CK120" s="310" t="str">
        <f aca="false">IF($A120="N/A"," ",AR120*$BA120)</f>
        <v> </v>
      </c>
      <c r="CL120" s="311" t="str">
        <f aca="false">IF(A120="N/A"," ",(VLOOKUP(A120,PowerVolTable,(IF(VolBMO=2,7,IF(VolBMO=1,6,8))),FALSE())))</f>
        <v> </v>
      </c>
      <c r="CM120" s="312" t="str">
        <f aca="false">IF(A120="N/A"," ",(VLOOKUP(A120,IntraPowerVol,(IF(VolBMO=2,3,IF(VolBMO=1,2,4))),FALSE())*VLOOKUP(MONTH($A120),Volscale,2)))</f>
        <v> </v>
      </c>
      <c r="CN120" s="312" t="str">
        <f aca="false">IF($A120="N/A"," ",IF(VolType=1,CM120,CL120))</f>
        <v> </v>
      </c>
      <c r="CO120" s="312" t="str">
        <f aca="false">IF($A120="N/A"," ",(VLOOKUP($A120,OffPeakVol,(IF(VolBMO=2,7,IF(VolBMO=1,6,8))),FALSE())))</f>
        <v> </v>
      </c>
      <c r="CP120" s="312" t="str">
        <f aca="false">IF($A120="N/A"," ",(VLOOKUP($A120,OffPeakVol,(IF(VolBMO=2,3,IF(VolBMO=1,2,4))),FALSE())*VLOOKUP(MONTH($A120),Volscale,2)))</f>
        <v> </v>
      </c>
      <c r="CQ120" s="312" t="str">
        <f aca="false">IF($A120="N/A"," ",IF(VolType=1,CP120,CO120))</f>
        <v> </v>
      </c>
      <c r="CR120" s="312" t="str">
        <f aca="false">IF($A120="N/A"," ",(VLOOKUP($A120,GasVolTable,(IF(VolBMO=2,6,IF(VolBMO=1,7,5))),FALSE())))</f>
        <v> </v>
      </c>
      <c r="CS120" s="312" t="str">
        <f aca="false">IF($A120="N/A"," ",(VLOOKUP($A120,OmicronVol,(IF(VolBMO=2,3,IF(VolBMO=1,4,2))),FALSE())))</f>
        <v> </v>
      </c>
      <c r="CT120" s="312" t="str">
        <f aca="false">IF($A120="N/A"," ",(IF(DateToday&gt;$A120,$CS120,IF(VolType=1,((($CR120^2)*((($A120-1)-DateToday)/((EOMONTH($A120,0)+1)-DateToday-15)))+((($CS120)^2)*((15)/((EOMONTH($A120,0)+1)-DateToday-15))))^0.5,CR120))))</f>
        <v> </v>
      </c>
      <c r="CU120" s="312" t="str">
        <f aca="false">IF($A120="N/A"," ",IF('Pricing Inputs'!$AR$23=TRUE(),Inputs!$S$22,VLOOKUP($A120,CorrelationTable,2,FALSE())))</f>
        <v> </v>
      </c>
      <c r="CV120" s="313" t="str">
        <f aca="false">IF($A120="N/A"," ",F120+G120+(D120*('Pricing Inputs'!X155)))</f>
        <v> </v>
      </c>
      <c r="CW120" s="314" t="str">
        <f aca="false">IF($A120="N/A"," ",IF(PV=1,0,'Pricing Inputs'!Y155))</f>
        <v> </v>
      </c>
      <c r="CX120" s="315" t="str">
        <f aca="false">IF($A120="N/A"," ",(1+CW120/2)^(-2*((EOMONTH(A120,0)+20)-DateToday)/365.25))</f>
        <v> </v>
      </c>
      <c r="CY120" s="316" t="str">
        <f aca="false">IF($A120="N/A"," ",(IF(MONTH(A120)&gt;=4,IF(MONTH(A120)&lt;=10,Inputs!$S$26,Inputs!$S$27),Inputs!$S$27))*$CX120)</f>
        <v> </v>
      </c>
      <c r="CZ120" s="317" t="str">
        <f aca="false">IF($A120="N/A"," ",BK120+BL120+BN120+BO120+BQ120+BR120)</f>
        <v> </v>
      </c>
      <c r="DA120" s="318" t="str">
        <f aca="false">IF($A120="N/A"," ",BM120+BP120+BS120)</f>
        <v> </v>
      </c>
      <c r="DB120" s="319" t="str">
        <f aca="false">IF($A120="N/A"," ",BT120+BU120+BW120+BX120+BZ120+CA120)</f>
        <v> </v>
      </c>
      <c r="DC120" s="319" t="str">
        <f aca="false">IF($A120="N/A"," ",BV120+BY120+CB120)</f>
        <v> </v>
      </c>
      <c r="DD120" s="320" t="str">
        <f aca="false">IF($A120="N/A"," ",SUM(CC120:CK120))</f>
        <v> </v>
      </c>
      <c r="DE120" s="321" t="str">
        <f aca="false">IF($A120="N/A"," ",VLOOKUP($A120,NumberofDaysTable,2)*Availability)</f>
        <v> </v>
      </c>
      <c r="DF120" s="94" t="str">
        <f aca="false">IF($A120="N/A"," ",VLOOKUP($A120,NumberofDaysTable,3)*Availability)</f>
        <v> </v>
      </c>
      <c r="DG120" s="322" t="str">
        <f aca="false">IF($A120="N/A"," ",VLOOKUP($A120,NumberofDaysTable,4)*Availability)</f>
        <v> </v>
      </c>
      <c r="DH120" s="323" t="str">
        <f aca="false">IF($A120="N/A"," ",IF(Option=1,$D120*Inputs!$S$15*SUM(AS120:BA120),0))</f>
        <v> </v>
      </c>
      <c r="DI120" s="324" t="str">
        <f aca="false">IF($A120="N/A"," ",IF(Option=1,$D120*Inputs!$S$16*SUM(AS120:BA120),0))</f>
        <v> </v>
      </c>
      <c r="DJ120" s="325" t="str">
        <f aca="false">IF($A120="N/A"," ",SUM(AS120:AT120))</f>
        <v> </v>
      </c>
      <c r="DK120" s="325" t="str">
        <f aca="false">IF($A120="N/A"," ",SUM(AU120:BA120))</f>
        <v> </v>
      </c>
      <c r="DL120" s="325" t="str">
        <f aca="false">IF($A120="N/A"," ",SUM(BB120:BC120))</f>
        <v> </v>
      </c>
      <c r="DM120" s="325" t="str">
        <f aca="false">IF($A120="N/A"," ",SUM(BD120:BJ120))</f>
        <v> </v>
      </c>
    </row>
    <row r="121" customFormat="false" ht="12.75" hidden="false" customHeight="false" outlineLevel="0" collapsed="false">
      <c r="A121" s="282" t="str">
        <f aca="false">IF(A120="N/A","N/A",IF(EDATE(A120,1)&gt;Inputs!$S$5,"N/A",EDATE(A120,1)))</f>
        <v>N/A</v>
      </c>
      <c r="B121" s="283" t="str">
        <f aca="false">IF(A121="N/A"," ",YEAR(A121))</f>
        <v> </v>
      </c>
      <c r="C121" s="284" t="str">
        <f aca="false">IF(A121="N/A"," ",VLOOKUP(A121,ScaledPrice,14))</f>
        <v> </v>
      </c>
      <c r="D121" s="285" t="str">
        <f aca="false">IF(A121="N/A"," ",(VLOOKUP(MONTH($A121),Hrtable,2))/1000)</f>
        <v> </v>
      </c>
      <c r="E121" s="286" t="str">
        <f aca="false">IF($A121="N/A"," ",(C121)*D121)</f>
        <v> </v>
      </c>
      <c r="F121" s="287" t="str">
        <f aca="false">IF(A121="N/A"," ",VOM*(1+VOMesc)^(YEAR(A121)-YEAR(Today)))</f>
        <v> </v>
      </c>
      <c r="G121" s="287" t="str">
        <f aca="false">IF(A121="N/A"," ",Perstart/VLOOKUP(Dayrun,'Pricing Inputs'!$AQ$4:$AS$14,3)/(CY121/CX121))</f>
        <v> </v>
      </c>
      <c r="H121" s="288" t="str">
        <f aca="false">IF(A121="N/A"," ",SUM(E121:G121))</f>
        <v> </v>
      </c>
      <c r="I121" s="289" t="str">
        <f aca="false">VLOOKUP($A121,ScaledPrice,6)</f>
        <v> </v>
      </c>
      <c r="J121" s="290" t="str">
        <f aca="false">VLOOKUP($A121,ScaledPrice,10)</f>
        <v> </v>
      </c>
      <c r="K121" s="290" t="str">
        <f aca="false">VLOOKUP($A121,ScaledPrice,13)</f>
        <v> </v>
      </c>
      <c r="L121" s="290" t="str">
        <f aca="false">VLOOKUP($A121,ScaledPrice,7)</f>
        <v> </v>
      </c>
      <c r="M121" s="290" t="str">
        <f aca="false">VLOOKUP($A121,ScaledPrice,11)</f>
        <v> </v>
      </c>
      <c r="N121" s="290" t="str">
        <f aca="false">VLOOKUP($A121,ScaledPrice,13)</f>
        <v> </v>
      </c>
      <c r="O121" s="290" t="str">
        <f aca="false">VLOOKUP($A121,ScaledPrice,8)</f>
        <v> </v>
      </c>
      <c r="P121" s="290" t="str">
        <f aca="false">VLOOKUP($A121,ScaledPrice,12)</f>
        <v> </v>
      </c>
      <c r="Q121" s="291" t="str">
        <f aca="false">VLOOKUP($A121,ScaledPrice,13)</f>
        <v> </v>
      </c>
      <c r="R121" s="292" t="str">
        <f aca="false">IF($A121="N/A"," ",IF(Dayrun&gt;=3,IF(Option=1,MAX($I121-$H121,0),IF(Option=2,MAX($H121-$I121,0),0)),0))</f>
        <v> </v>
      </c>
      <c r="S121" s="286" t="str">
        <f aca="false">IF($A121="N/A"," ",IF(Dayrun&gt;=6,IF(Option=1,MAX($J121-H121,0),IF(Option=2,MAX(H121-$J121,0),0)),0))</f>
        <v> </v>
      </c>
      <c r="T121" s="286" t="str">
        <f aca="false">IF($A121="N/A"," ",IF(OR(Dayrun&lt;=2,Dayrun&gt;=9),IF(Option=1,MAX($K121-$H121,0),IF(Option=2,MAX($H121-$K121,0),0)),0))</f>
        <v> </v>
      </c>
      <c r="U121" s="286" t="str">
        <f aca="false">IF($A121="N/A"," ",IF(OR(Dayrun=1,Dayrun=4,Dayrun=5,Dayrun=7,Dayrun=8,Dayrun=10,Dayrun=11),IF(Option=1,MAX($L121-H121,0),IF(Option=2,MAX(H121-$L121,0),0)),0))</f>
        <v> </v>
      </c>
      <c r="V121" s="286" t="str">
        <f aca="false">IF($A121="N/A"," ",IF(OR(Dayrun=1,Dayrun=7,Dayrun=8,Dayrun=10,Dayrun=11),IF(Option=1,MAX($M121-H121,0),IF(Option=2,MAX(H121-$M121,0),0)),0))</f>
        <v> </v>
      </c>
      <c r="W121" s="286" t="str">
        <f aca="false">IF($A121="N/A"," ",IF(OR(Dayrun&lt;=2,Dayrun&gt;=10),IF(Option=1,MAX($N121-$H121,0),IF(Option=2,MAX($H121-$N121,0),0)),0))</f>
        <v> </v>
      </c>
      <c r="X121" s="286" t="str">
        <f aca="false">IF($A121="N/A"," ",IF(OR(Dayrun=1,Dayrun=5,Dayrun=8,Dayrun=11),IF(Option=1,MAX($O121-H121,0),IF(Option=2,MAX(H121-$O121,0),0)),0))</f>
        <v> </v>
      </c>
      <c r="Y121" s="286" t="str">
        <f aca="false">IF($A121="N/A"," ",IF(OR(Dayrun=1,Dayrun=8,Dayrun=11),IF(Option=1,MAX($P121-H121,0),IF(Option=2,MAX(H121-$P121,0),0)),0))</f>
        <v> </v>
      </c>
      <c r="Z121" s="293" t="str">
        <f aca="false">IF($A121="N/A"," ",IF(OR(Dayrun&lt;=2,Dayrun&gt;=11),IF(Option=1,MAX($Q121-$H121,0),IF(Option=2,MAX($H121-$Q121,0),0)),0))</f>
        <v> </v>
      </c>
      <c r="AA121" s="289" t="str">
        <f aca="false">IF($A121="N/A"," ",IF(Dayrun&gt;=3,(MAX(0,(xSPRDOPT(I121,($E121-'Pricing Inputs'!$X156*$D121),$CV121,0,($CN121+IF(Smile=TRUE(),VLOOKUP(MAX(-5,$H121-I121),Volsmile,2),0)),$CT121,$CU121,($A121-DateToday)+15,ABS(Option-2),0)-R121))),0))</f>
        <v> </v>
      </c>
      <c r="AB121" s="290" t="str">
        <f aca="false">IF($A121="N/A"," ",IF(Dayrun&gt;=6,MAX(0,(xSPRDOPT(J121,($E121-'Pricing Inputs'!$X156*$D121),$CV121,0,($CN121+IF(Smile=TRUE(),VLOOKUP(MAX(-5,$H121-J121),Volsmile,2),0)),$CT121,$CU121,($A121-DateToday)+15,ABS(Option-2),0)-S121)),0))</f>
        <v> </v>
      </c>
      <c r="AC121" s="290" t="str">
        <f aca="false">IF($A121="N/A"," ",IF(OR(Dayrun&lt;=2,Dayrun&gt;=9),IF(OffPeakEx=TRUE(),MAX(0,(xSPRDOPT(K121,($E121-'Pricing Inputs'!$X156*$D121),$CV121,0,($CQ121+IF(Smile=TRUE(),VLOOKUP(MAX(-5,$H121-K121),Volsmile,2),0)),$CT121,$CU121,($A121-DateToday)+15,ABS(Option-2),0)-T121)),0),0))</f>
        <v> </v>
      </c>
      <c r="AD121" s="290" t="str">
        <f aca="false">IF($A121="N/A"," ",IF(OR(Dayrun=1,Dayrun=4,Dayrun=5,Dayrun=7,Dayrun=8,Dayrun=10,Dayrun=11),MAX(0,(xSPRDOPT(L121,($E121-'Pricing Inputs'!$X156*$D121),$CV121,0,($CQ121+IF(Smile=TRUE(),VLOOKUP(MAX(-5,$H121-L121),Volsmile,2),0)),$CT121,$CU121,($A121-DateToday)+15,ABS(Option-2),0)-U121)),0))</f>
        <v> </v>
      </c>
      <c r="AE121" s="290" t="str">
        <f aca="false">IF($A121="N/A"," ",IF(OR(Dayrun=1,Dayrun=7,Dayrun=8,Dayrun=10,Dayrun=11),MAX(0,(xSPRDOPT(M121,($E121-'Pricing Inputs'!$X156*$D121),$CV121,0,($CQ121+IF(Smile=TRUE(),VLOOKUP(MAX(-5,$H121-M121),Volsmile,2),0)),$CT121,$CU121,($A121-DateToday)+15,ABS(Option-2),0)-V121)),0))</f>
        <v> </v>
      </c>
      <c r="AF121" s="290" t="str">
        <f aca="false">IF($A121="N/A"," ",IF(OR(Dayrun&lt;=2,Dayrun&gt;=10),IF(OffPeakEx=TRUE(),MAX(0,(xSPRDOPT(N121,($E121-'Pricing Inputs'!$X156*$D121),$CV121,0,($CQ121+IF(Smile=TRUE(),VLOOKUP(MAX(-5,$H121-N121),Volsmile,2),0)),$CT121,$CU121,($A121-DateToday)+15,ABS(Option-2),0)-W121)),0),0))</f>
        <v> </v>
      </c>
      <c r="AG121" s="290" t="str">
        <f aca="false">IF($A121="N/A"," ",IF(OR(Dayrun=1,Dayrun=5,Dayrun=8,Dayrun=11),MAX(0,(xSPRDOPT(O121,($E121-'Pricing Inputs'!$X156*$D121),$CV121,0,($CQ121+IF(Smile=TRUE(),VLOOKUP(MAX(-5,$H121-O121),Volsmile,2),0)),$CT121,$CU121,($A121-DateToday)+15,ABS(Option-2),0)-X121)),0))</f>
        <v> </v>
      </c>
      <c r="AH121" s="290" t="str">
        <f aca="false">IF($A121="N/A"," ",IF(OR(Dayrun=1,Dayrun=8,Dayrun=11),MAX(0,(xSPRDOPT(P121,($E121-'Pricing Inputs'!$X156*$D121),$CV121,0,($CQ121+IF(Smile=TRUE(),VLOOKUP(MAX(-5,$H121-P121),Volsmile,2),0)),$CT121,$CU121,($A121-DateToday)+15,ABS(Option-2),0)-Y121)),0))</f>
        <v> </v>
      </c>
      <c r="AI121" s="290" t="str">
        <f aca="false">IF($A121="N/A"," ",IF(OR(Dayrun&lt;=2,Dayrun&gt;=11),IF(OffPeakEx=TRUE(),MAX(0,(xSPRDOPT(Q121,($E121-'Pricing Inputs'!$X156*$D121),$CV121,0,($CQ121+IF(Smile=TRUE(),VLOOKUP(MAX(-5,$H121-Q121),Volsmile,2),0)),$CT121,$CU121,($A121-DateToday)+15,ABS(Option-2),0)-Z121)),0),0))</f>
        <v> </v>
      </c>
      <c r="AJ121" s="294" t="str">
        <f aca="false">IF($A121="N/A"," ",IF(Dayrun&gt;=3,IF(Option=1,$I121-$H121,IF(Option=2,$H121-$I121)),0))</f>
        <v> </v>
      </c>
      <c r="AK121" s="295" t="str">
        <f aca="false">IF($A121="N/A"," ",IF(Dayrun&gt;=6,IF(Option=1,$J121-H121,IF(Option=2,H121-$J121)),0))</f>
        <v> </v>
      </c>
      <c r="AL121" s="295" t="str">
        <f aca="false">IF($A121="N/A"," ",IF(OR(Dayrun&lt;=2,Dayrun&gt;=9),IF(Option=1,$K121-$H121,IF(Option=2,$H121-$K121)),0))</f>
        <v> </v>
      </c>
      <c r="AM121" s="295" t="str">
        <f aca="false">IF($A121="N/A"," ",IF(OR(Dayrun=1,Dayrun=4,Dayrun=5,Dayrun=7,Dayrun=8,Dayrun=10,Dayrun=11),IF(Option=1,$L121-H121,IF(Option=2,H121-$L121)),0))</f>
        <v> </v>
      </c>
      <c r="AN121" s="295" t="str">
        <f aca="false">IF($A121="N/A"," ",IF(OR(Dayrun=1,Dayrun=7,Dayrun=8,Dayrun=10,Dayrun=11),IF(Option=1,$M121-H121,IF(Option=2,H121-$M121)),0))</f>
        <v> </v>
      </c>
      <c r="AO121" s="295" t="str">
        <f aca="false">IF($A121="N/A"," ",IF(OR(Dayrun&lt;=2,Dayrun&gt;=9),IF(Option=1,$N121-$H121,IF(Option=2,$H121-$N121)),0))</f>
        <v> </v>
      </c>
      <c r="AP121" s="295" t="str">
        <f aca="false">IF($A121="N/A"," ",IF(OR(Dayrun=1,Dayrun=5,Dayrun=8,Dayrun=11),IF(Option=1,$O121-H121,IF(Option=2,H121-$O121)),0))</f>
        <v> </v>
      </c>
      <c r="AQ121" s="295" t="str">
        <f aca="false">IF($A121="N/A"," ",IF(OR(Dayrun=1,Dayrun=8,Dayrun=11),IF(Option=1,$P121-H121,IF(Option=2,H121-$P121)),0))</f>
        <v> </v>
      </c>
      <c r="AR121" s="296" t="str">
        <f aca="false">IF($A121="N/A"," ",IF(OR(Dayrun&lt;=2,Dayrun&gt;=9),IF(Option=1,$Q121-H121,IF(Option=2,H121-$Q121)),0))</f>
        <v> </v>
      </c>
      <c r="AS121" s="297" t="str">
        <f aca="false">IF($A121="N/A"," ",IF(VLOOKUP(MONTH($A121),ManualTable,2)=1,IF(Dayrun&gt;=3,$DE121*8*$CY121,0),0))</f>
        <v> </v>
      </c>
      <c r="AT121" s="297" t="str">
        <f aca="false">IF($A121="N/A"," ",IF(VLOOKUP(MONTH($A121),ManualTable,3)=1,IF(Dayrun&gt;=6,$DE121*8*$CY121,0),0))</f>
        <v> </v>
      </c>
      <c r="AU121" s="297" t="str">
        <f aca="false">IF($A121="N/A"," ",IF(VLOOKUP(MONTH($A121),ManualTable,4)=1,IF(OR(Dayrun&lt;=2,Dayrun&gt;=9),$DE121*8*$CY121,0),0))</f>
        <v> </v>
      </c>
      <c r="AV121" s="297" t="str">
        <f aca="false">IF($A121="N/A"," ",IF(VLOOKUP(MONTH($A121),ManualTable,5)=1,IF(OR(Dayrun=1,Dayrun=4,Dayrun=5,Dayrun=7,Dayrun=8,Dayrun=10,Dayrun=11),$DF121*8*$CY121,0),0))</f>
        <v> </v>
      </c>
      <c r="AW121" s="297" t="str">
        <f aca="false">IF($A121="N/A"," ",IF(VLOOKUP(MONTH($A121),ManualTable,6)=1,IF(OR(Dayrun=1,Dayrun=7,Dayrun=8,Dayrun=10,Dayrun=11),$DF121*8*$CY121,0),0))</f>
        <v> </v>
      </c>
      <c r="AX121" s="297" t="str">
        <f aca="false">IF($A121="N/A"," ",IF(VLOOKUP(MONTH($A121),ManualTable,7)=1,IF(OR(Dayrun&lt;=2,Dayrun&gt;=9),$DF121*8*$CY121,0),0))</f>
        <v> </v>
      </c>
      <c r="AY121" s="297" t="str">
        <f aca="false">IF($A121="N/A"," ",IF(VLOOKUP(MONTH($A121),ManualTable,8)=1,IF(OR(Dayrun=1,Dayrun=5,Dayrun=8,Dayrun=11),$DG121*8*$CY121,0),0))</f>
        <v> </v>
      </c>
      <c r="AZ121" s="297" t="str">
        <f aca="false">IF($A121="N/A"," ",IF(VLOOKUP(MONTH($A121),ManualTable,9)=1,IF(OR(Dayrun=1,Dayrun=8,Dayrun=11),$DG121*8*$CY121,0),0))</f>
        <v> </v>
      </c>
      <c r="BA121" s="298" t="str">
        <f aca="false">IF($A121="N/A"," ",IF(VLOOKUP(MONTH($A121),ManualTable,10)=1,IF(OR(Dayrun&lt;=2,Dayrun&gt;=9),$DG121*8*$CY121,0),0))</f>
        <v> </v>
      </c>
      <c r="BB121" s="299" t="str">
        <f aca="false">IF($A121="N/A"," ",IF(Dayrun&gt;=3,(MAX(0,(xSPRDOPT(I121,($E121-'Pricing Inputs'!$X156*$D121),$CV121,0,($CN121+IF(Smile=TRUE(),VLOOKUP(MAX(-5,$H121-I121),Volsmile,2),0)),$CT121,$CU121,($A121-DateToday)+15,ABS(Option-2),1)*DE121*8))),0))</f>
        <v> </v>
      </c>
      <c r="BC121" s="300" t="str">
        <f aca="false">IF($A121="N/A"," ",IF(Dayrun&gt;=6,MAX(0,(xSPRDOPT(J121,($E121-'Pricing Inputs'!$X156*$D121),$CV121,0,($CN121+IF(Smile=TRUE(),VLOOKUP(MAX(-5,$H121-J121),Volsmile,2),0)),$CT121,$CU121,($A121-DateToday)+15,ABS(Option-2),1)*DE121*8)),0))</f>
        <v> </v>
      </c>
      <c r="BD121" s="300" t="str">
        <f aca="false">IF($A121="N/A"," ",IF(OR(Dayrun&lt;=2,Dayrun&gt;=9),IF(OffPeakEx=TRUE(),MAX(0,(xSPRDOPT(K121,($E121-'Pricing Inputs'!$X156*$D121),$CV121,0,($CQ121+IF(Smile=TRUE(),VLOOKUP(MAX(-5,$H121-K121),Volsmile,2),0)),$CT121,$CU121,($A121-DateToday)+15,ABS(Option-2),1)*DE121*8)),0),0))</f>
        <v> </v>
      </c>
      <c r="BE121" s="300" t="str">
        <f aca="false">IF($A121="N/A"," ",IF(OR(Dayrun=1,Dayrun=4,Dayrun=5,Dayrun=7,Dayrun=8,Dayrun=10,Dayrun=11),MAX(0,(xSPRDOPT(L121,($E121-'Pricing Inputs'!$X156*$D121),$CV121,0,($CQ121+IF(Smile=TRUE(),VLOOKUP(MAX(-5,$H121-L121),Volsmile,2),0)),$CT121,$CU121,($A121-DateToday)+15,ABS(Option-2),1)*DF121*8)),0))</f>
        <v> </v>
      </c>
      <c r="BF121" s="300" t="str">
        <f aca="false">IF($A121="N/A"," ",IF(OR(Dayrun=1,Dayrun=7,Dayrun=8,Dayrun=10,Dayrun=11),MAX(0,(xSPRDOPT(M121,($E121-'Pricing Inputs'!$X156*$D121),$CV121,0,($CQ121+IF(Smile=TRUE(),VLOOKUP(MAX(-5,$H121-M121),Volsmile,2),0)),$CT121,$CU121,($A121-DateToday)+15,ABS(Option-2),1)*DF121*8)),0))</f>
        <v> </v>
      </c>
      <c r="BG121" s="300" t="str">
        <f aca="false">IF($A121="N/A"," ",IF(OR(Dayrun&lt;=2,Dayrun&gt;=10),IF(OffPeakEx=TRUE(),MAX(0,(xSPRDOPT(N121,($E121-'Pricing Inputs'!$X156*$D121),$CV121,0,($CQ121+IF(Smile=TRUE(),VLOOKUP(MAX(-5,$H121-N121),Volsmile,2),0)),$CT121,$CU121,($A121-DateToday)+15,ABS(Option-2),1)*DF121*8)),0),0))</f>
        <v> </v>
      </c>
      <c r="BH121" s="300" t="str">
        <f aca="false">IF($A121="N/A"," ",IF(OR(Dayrun=1,Dayrun=5,Dayrun=8,Dayrun=11),MAX(0,(xSPRDOPT(O121,($E121-'Pricing Inputs'!$X156*$D121),$CV121,0,($CQ121+IF(Smile=TRUE(),VLOOKUP(MAX(-5,$H121-O121),Volsmile,2),0)),$CT121,$CU121,($A121-DateToday)+15,ABS(Option-2),1)*DG121*8)),0))</f>
        <v> </v>
      </c>
      <c r="BI121" s="300" t="str">
        <f aca="false">IF($A121="N/A"," ",IF(OR(Dayrun=1,Dayrun=8,Dayrun=11),MAX(0,(xSPRDOPT(P121,($E121-'Pricing Inputs'!$X156*$D121),$CV121,0,($CQ121+IF(Smile=TRUE(),VLOOKUP(MAX(-5,$H121-P121),Volsmile,2),0)),$CT121,$CU121,($A121-DateToday)+15,ABS(Option-2),1)*DG121*8)),0))</f>
        <v> </v>
      </c>
      <c r="BJ121" s="301" t="str">
        <f aca="false">IF($A121="N/A"," ",IF(OR(Dayrun&lt;=2,Dayrun&gt;=11),IF(OffPeakEx=TRUE(),MAX(0,(xSPRDOPT(Q121,($E121-'Pricing Inputs'!$X156*$D121),$CV121,0,($CQ121+IF(Smile=TRUE(),VLOOKUP(MAX(-5,$H121-Q121),Volsmile,2),0)),$CT121,$CU121,($A121-DateToday)+15,ABS(Option-2),1)*DG121*8)),0),0))</f>
        <v> </v>
      </c>
      <c r="BK121" s="302" t="str">
        <f aca="false">IF($A121="N/A"," ",R121*$AS121)</f>
        <v> </v>
      </c>
      <c r="BL121" s="303" t="str">
        <f aca="false">IF($A121="N/A"," ",S121*$AT121)</f>
        <v> </v>
      </c>
      <c r="BM121" s="303" t="str">
        <f aca="false">IF($A121="N/A"," ",T121*$AU121)</f>
        <v> </v>
      </c>
      <c r="BN121" s="303" t="str">
        <f aca="false">IF($A121="N/A"," ",U121*$AV121)</f>
        <v> </v>
      </c>
      <c r="BO121" s="303" t="str">
        <f aca="false">IF($A121="N/A"," ",V121*$AW121)</f>
        <v> </v>
      </c>
      <c r="BP121" s="303" t="str">
        <f aca="false">IF($A121="N/A"," ",W121*$AX121)</f>
        <v> </v>
      </c>
      <c r="BQ121" s="303" t="str">
        <f aca="false">IF($A121="N/A"," ",X121*$AY121)</f>
        <v> </v>
      </c>
      <c r="BR121" s="303" t="str">
        <f aca="false">IF($A121="N/A"," ",Y121*$AZ121)</f>
        <v> </v>
      </c>
      <c r="BS121" s="304" t="str">
        <f aca="false">IF($A121="N/A"," ",Z121*$BA121)</f>
        <v> </v>
      </c>
      <c r="BT121" s="305" t="str">
        <f aca="false">IF($A121="N/A"," ",AA121*$AS121)</f>
        <v> </v>
      </c>
      <c r="BU121" s="306" t="str">
        <f aca="false">IF($A121="N/A"," ",AB121*$AT121)</f>
        <v> </v>
      </c>
      <c r="BV121" s="306" t="str">
        <f aca="false">IF($A121="N/A"," ",AC121*$AU121)</f>
        <v> </v>
      </c>
      <c r="BW121" s="306" t="str">
        <f aca="false">IF($A121="N/A"," ",AD121*$AV121)</f>
        <v> </v>
      </c>
      <c r="BX121" s="306" t="str">
        <f aca="false">IF($A121="N/A"," ",AE121*$AW121)</f>
        <v> </v>
      </c>
      <c r="BY121" s="306" t="str">
        <f aca="false">IF($A121="N/A"," ",AF121*$AX121)</f>
        <v> </v>
      </c>
      <c r="BZ121" s="306" t="str">
        <f aca="false">IF($A121="N/A"," ",AG121*$AY121)</f>
        <v> </v>
      </c>
      <c r="CA121" s="306" t="str">
        <f aca="false">IF($A121="N/A"," ",AH121*$AZ121)</f>
        <v> </v>
      </c>
      <c r="CB121" s="307" t="str">
        <f aca="false">IF($A121="N/A"," ",AI121*$BA121)</f>
        <v> </v>
      </c>
      <c r="CC121" s="308" t="str">
        <f aca="false">IF($A121="N/A"," ",AJ121*$AS121)</f>
        <v> </v>
      </c>
      <c r="CD121" s="309" t="str">
        <f aca="false">IF($A121="N/A"," ",AK121*$AT121)</f>
        <v> </v>
      </c>
      <c r="CE121" s="309" t="str">
        <f aca="false">IF($A121="N/A"," ",AL121*$AU121)</f>
        <v> </v>
      </c>
      <c r="CF121" s="309" t="str">
        <f aca="false">IF($A121="N/A"," ",AM121*$AV121)</f>
        <v> </v>
      </c>
      <c r="CG121" s="309" t="str">
        <f aca="false">IF($A121="N/A"," ",AN121*$AW121)</f>
        <v> </v>
      </c>
      <c r="CH121" s="309" t="str">
        <f aca="false">IF($A121="N/A"," ",AO121*$AX121)</f>
        <v> </v>
      </c>
      <c r="CI121" s="309" t="str">
        <f aca="false">IF($A121="N/A"," ",AP121*$AY121)</f>
        <v> </v>
      </c>
      <c r="CJ121" s="309" t="str">
        <f aca="false">IF($A121="N/A"," ",AQ121*$AZ121)</f>
        <v> </v>
      </c>
      <c r="CK121" s="310" t="str">
        <f aca="false">IF($A121="N/A"," ",AR121*$BA121)</f>
        <v> </v>
      </c>
      <c r="CL121" s="311" t="str">
        <f aca="false">IF(A121="N/A"," ",(VLOOKUP(A121,PowerVolTable,(IF(VolBMO=2,7,IF(VolBMO=1,6,8))),FALSE())))</f>
        <v> </v>
      </c>
      <c r="CM121" s="312" t="str">
        <f aca="false">IF(A121="N/A"," ",(VLOOKUP(A121,IntraPowerVol,(IF(VolBMO=2,3,IF(VolBMO=1,2,4))),FALSE())*VLOOKUP(MONTH($A121),Volscale,2)))</f>
        <v> </v>
      </c>
      <c r="CN121" s="312" t="str">
        <f aca="false">IF($A121="N/A"," ",IF(VolType=1,CM121,CL121))</f>
        <v> </v>
      </c>
      <c r="CO121" s="312" t="str">
        <f aca="false">IF($A121="N/A"," ",(VLOOKUP($A121,OffPeakVol,(IF(VolBMO=2,7,IF(VolBMO=1,6,8))),FALSE())))</f>
        <v> </v>
      </c>
      <c r="CP121" s="312" t="str">
        <f aca="false">IF($A121="N/A"," ",(VLOOKUP($A121,OffPeakVol,(IF(VolBMO=2,3,IF(VolBMO=1,2,4))),FALSE())*VLOOKUP(MONTH($A121),Volscale,2)))</f>
        <v> </v>
      </c>
      <c r="CQ121" s="312" t="str">
        <f aca="false">IF($A121="N/A"," ",IF(VolType=1,CP121,CO121))</f>
        <v> </v>
      </c>
      <c r="CR121" s="312" t="str">
        <f aca="false">IF($A121="N/A"," ",(VLOOKUP($A121,GasVolTable,(IF(VolBMO=2,6,IF(VolBMO=1,7,5))),FALSE())))</f>
        <v> </v>
      </c>
      <c r="CS121" s="312" t="str">
        <f aca="false">IF($A121="N/A"," ",(VLOOKUP($A121,OmicronVol,(IF(VolBMO=2,3,IF(VolBMO=1,4,2))),FALSE())))</f>
        <v> </v>
      </c>
      <c r="CT121" s="312" t="str">
        <f aca="false">IF($A121="N/A"," ",(IF(DateToday&gt;$A121,$CS121,IF(VolType=1,((($CR121^2)*((($A121-1)-DateToday)/((EOMONTH($A121,0)+1)-DateToday-15)))+((($CS121)^2)*((15)/((EOMONTH($A121,0)+1)-DateToday-15))))^0.5,CR121))))</f>
        <v> </v>
      </c>
      <c r="CU121" s="312" t="str">
        <f aca="false">IF($A121="N/A"," ",IF('Pricing Inputs'!$AR$23=TRUE(),Inputs!$S$22,VLOOKUP($A121,CorrelationTable,2,FALSE())))</f>
        <v> </v>
      </c>
      <c r="CV121" s="313" t="str">
        <f aca="false">IF($A121="N/A"," ",F121+G121+(D121*('Pricing Inputs'!X156)))</f>
        <v> </v>
      </c>
      <c r="CW121" s="314" t="str">
        <f aca="false">IF($A121="N/A"," ",IF(PV=1,0,'Pricing Inputs'!Y156))</f>
        <v> </v>
      </c>
      <c r="CX121" s="315" t="str">
        <f aca="false">IF($A121="N/A"," ",(1+CW121/2)^(-2*((EOMONTH(A121,0)+20)-DateToday)/365.25))</f>
        <v> </v>
      </c>
      <c r="CY121" s="316" t="str">
        <f aca="false">IF($A121="N/A"," ",(IF(MONTH(A121)&gt;=4,IF(MONTH(A121)&lt;=10,Inputs!$S$26,Inputs!$S$27),Inputs!$S$27))*$CX121)</f>
        <v> </v>
      </c>
      <c r="CZ121" s="317" t="str">
        <f aca="false">IF($A121="N/A"," ",BK121+BL121+BN121+BO121+BQ121+BR121)</f>
        <v> </v>
      </c>
      <c r="DA121" s="318" t="str">
        <f aca="false">IF($A121="N/A"," ",BM121+BP121+BS121)</f>
        <v> </v>
      </c>
      <c r="DB121" s="319" t="str">
        <f aca="false">IF($A121="N/A"," ",BT121+BU121+BW121+BX121+BZ121+CA121)</f>
        <v> </v>
      </c>
      <c r="DC121" s="319" t="str">
        <f aca="false">IF($A121="N/A"," ",BV121+BY121+CB121)</f>
        <v> </v>
      </c>
      <c r="DD121" s="320" t="str">
        <f aca="false">IF($A121="N/A"," ",SUM(CC121:CK121))</f>
        <v> </v>
      </c>
      <c r="DE121" s="321" t="str">
        <f aca="false">IF($A121="N/A"," ",VLOOKUP($A121,NumberofDaysTable,2)*Availability)</f>
        <v> </v>
      </c>
      <c r="DF121" s="94" t="str">
        <f aca="false">IF($A121="N/A"," ",VLOOKUP($A121,NumberofDaysTable,3)*Availability)</f>
        <v> </v>
      </c>
      <c r="DG121" s="322" t="str">
        <f aca="false">IF($A121="N/A"," ",VLOOKUP($A121,NumberofDaysTable,4)*Availability)</f>
        <v> </v>
      </c>
      <c r="DH121" s="323" t="str">
        <f aca="false">IF($A121="N/A"," ",IF(Option=1,$D121*Inputs!$S$15*SUM(AS121:BA121),0))</f>
        <v> </v>
      </c>
      <c r="DI121" s="324" t="str">
        <f aca="false">IF($A121="N/A"," ",IF(Option=1,$D121*Inputs!$S$16*SUM(AS121:BA121),0))</f>
        <v> </v>
      </c>
      <c r="DJ121" s="325" t="str">
        <f aca="false">IF($A121="N/A"," ",SUM(AS121:AT121))</f>
        <v> </v>
      </c>
      <c r="DK121" s="325" t="str">
        <f aca="false">IF($A121="N/A"," ",SUM(AU121:BA121))</f>
        <v> </v>
      </c>
      <c r="DL121" s="325" t="str">
        <f aca="false">IF($A121="N/A"," ",SUM(BB121:BC121))</f>
        <v> </v>
      </c>
      <c r="DM121" s="325" t="str">
        <f aca="false">IF($A121="N/A"," ",SUM(BD121:BJ121))</f>
        <v> </v>
      </c>
    </row>
    <row r="122" customFormat="false" ht="12.75" hidden="false" customHeight="false" outlineLevel="0" collapsed="false">
      <c r="A122" s="282" t="str">
        <f aca="false">IF(A121="N/A","N/A",IF(EDATE(A121,1)&gt;Inputs!$S$5,"N/A",EDATE(A121,1)))</f>
        <v>N/A</v>
      </c>
      <c r="B122" s="283" t="str">
        <f aca="false">IF(A122="N/A"," ",YEAR(A122))</f>
        <v> </v>
      </c>
      <c r="C122" s="284" t="str">
        <f aca="false">IF(A122="N/A"," ",VLOOKUP(A122,ScaledPrice,14))</f>
        <v> </v>
      </c>
      <c r="D122" s="285" t="str">
        <f aca="false">IF(A122="N/A"," ",(VLOOKUP(MONTH($A122),Hrtable,2))/1000)</f>
        <v> </v>
      </c>
      <c r="E122" s="286" t="str">
        <f aca="false">IF($A122="N/A"," ",(C122)*D122)</f>
        <v> </v>
      </c>
      <c r="F122" s="287" t="str">
        <f aca="false">IF(A122="N/A"," ",VOM*(1+VOMesc)^(YEAR(A122)-YEAR(Today)))</f>
        <v> </v>
      </c>
      <c r="G122" s="287" t="str">
        <f aca="false">IF(A122="N/A"," ",Perstart/VLOOKUP(Dayrun,'Pricing Inputs'!$AQ$4:$AS$14,3)/(CY122/CX122))</f>
        <v> </v>
      </c>
      <c r="H122" s="288" t="str">
        <f aca="false">IF(A122="N/A"," ",SUM(E122:G122))</f>
        <v> </v>
      </c>
      <c r="I122" s="289" t="str">
        <f aca="false">VLOOKUP($A122,ScaledPrice,6)</f>
        <v> </v>
      </c>
      <c r="J122" s="290" t="str">
        <f aca="false">VLOOKUP($A122,ScaledPrice,10)</f>
        <v> </v>
      </c>
      <c r="K122" s="290" t="str">
        <f aca="false">VLOOKUP($A122,ScaledPrice,13)</f>
        <v> </v>
      </c>
      <c r="L122" s="290" t="str">
        <f aca="false">VLOOKUP($A122,ScaledPrice,7)</f>
        <v> </v>
      </c>
      <c r="M122" s="290" t="str">
        <f aca="false">VLOOKUP($A122,ScaledPrice,11)</f>
        <v> </v>
      </c>
      <c r="N122" s="290" t="str">
        <f aca="false">VLOOKUP($A122,ScaledPrice,13)</f>
        <v> </v>
      </c>
      <c r="O122" s="290" t="str">
        <f aca="false">VLOOKUP($A122,ScaledPrice,8)</f>
        <v> </v>
      </c>
      <c r="P122" s="290" t="str">
        <f aca="false">VLOOKUP($A122,ScaledPrice,12)</f>
        <v> </v>
      </c>
      <c r="Q122" s="291" t="str">
        <f aca="false">VLOOKUP($A122,ScaledPrice,13)</f>
        <v> </v>
      </c>
      <c r="R122" s="292" t="str">
        <f aca="false">IF($A122="N/A"," ",IF(Dayrun&gt;=3,IF(Option=1,MAX($I122-$H122,0),IF(Option=2,MAX($H122-$I122,0),0)),0))</f>
        <v> </v>
      </c>
      <c r="S122" s="286" t="str">
        <f aca="false">IF($A122="N/A"," ",IF(Dayrun&gt;=6,IF(Option=1,MAX($J122-H122,0),IF(Option=2,MAX(H122-$J122,0),0)),0))</f>
        <v> </v>
      </c>
      <c r="T122" s="286" t="str">
        <f aca="false">IF($A122="N/A"," ",IF(OR(Dayrun&lt;=2,Dayrun&gt;=9),IF(Option=1,MAX($K122-$H122,0),IF(Option=2,MAX($H122-$K122,0),0)),0))</f>
        <v> </v>
      </c>
      <c r="U122" s="286" t="str">
        <f aca="false">IF($A122="N/A"," ",IF(OR(Dayrun=1,Dayrun=4,Dayrun=5,Dayrun=7,Dayrun=8,Dayrun=10,Dayrun=11),IF(Option=1,MAX($L122-H122,0),IF(Option=2,MAX(H122-$L122,0),0)),0))</f>
        <v> </v>
      </c>
      <c r="V122" s="286" t="str">
        <f aca="false">IF($A122="N/A"," ",IF(OR(Dayrun=1,Dayrun=7,Dayrun=8,Dayrun=10,Dayrun=11),IF(Option=1,MAX($M122-H122,0),IF(Option=2,MAX(H122-$M122,0),0)),0))</f>
        <v> </v>
      </c>
      <c r="W122" s="286" t="str">
        <f aca="false">IF($A122="N/A"," ",IF(OR(Dayrun&lt;=2,Dayrun&gt;=10),IF(Option=1,MAX($N122-$H122,0),IF(Option=2,MAX($H122-$N122,0),0)),0))</f>
        <v> </v>
      </c>
      <c r="X122" s="286" t="str">
        <f aca="false">IF($A122="N/A"," ",IF(OR(Dayrun=1,Dayrun=5,Dayrun=8,Dayrun=11),IF(Option=1,MAX($O122-H122,0),IF(Option=2,MAX(H122-$O122,0),0)),0))</f>
        <v> </v>
      </c>
      <c r="Y122" s="286" t="str">
        <f aca="false">IF($A122="N/A"," ",IF(OR(Dayrun=1,Dayrun=8,Dayrun=11),IF(Option=1,MAX($P122-H122,0),IF(Option=2,MAX(H122-$P122,0),0)),0))</f>
        <v> </v>
      </c>
      <c r="Z122" s="293" t="str">
        <f aca="false">IF($A122="N/A"," ",IF(OR(Dayrun&lt;=2,Dayrun&gt;=11),IF(Option=1,MAX($Q122-$H122,0),IF(Option=2,MAX($H122-$Q122,0),0)),0))</f>
        <v> </v>
      </c>
      <c r="AA122" s="289" t="str">
        <f aca="false">IF($A122="N/A"," ",IF(Dayrun&gt;=3,(MAX(0,(xSPRDOPT(I122,($E122-'Pricing Inputs'!$X157*$D122),$CV122,0,($CN122+IF(Smile=TRUE(),VLOOKUP(MAX(-5,$H122-I122),Volsmile,2),0)),$CT122,$CU122,($A122-DateToday)+15,ABS(Option-2),0)-R122))),0))</f>
        <v> </v>
      </c>
      <c r="AB122" s="290" t="str">
        <f aca="false">IF($A122="N/A"," ",IF(Dayrun&gt;=6,MAX(0,(xSPRDOPT(J122,($E122-'Pricing Inputs'!$X157*$D122),$CV122,0,($CN122+IF(Smile=TRUE(),VLOOKUP(MAX(-5,$H122-J122),Volsmile,2),0)),$CT122,$CU122,($A122-DateToday)+15,ABS(Option-2),0)-S122)),0))</f>
        <v> </v>
      </c>
      <c r="AC122" s="290" t="str">
        <f aca="false">IF($A122="N/A"," ",IF(OR(Dayrun&lt;=2,Dayrun&gt;=9),IF(OffPeakEx=TRUE(),MAX(0,(xSPRDOPT(K122,($E122-'Pricing Inputs'!$X157*$D122),$CV122,0,($CQ122+IF(Smile=TRUE(),VLOOKUP(MAX(-5,$H122-K122),Volsmile,2),0)),$CT122,$CU122,($A122-DateToday)+15,ABS(Option-2),0)-T122)),0),0))</f>
        <v> </v>
      </c>
      <c r="AD122" s="290" t="str">
        <f aca="false">IF($A122="N/A"," ",IF(OR(Dayrun=1,Dayrun=4,Dayrun=5,Dayrun=7,Dayrun=8,Dayrun=10,Dayrun=11),MAX(0,(xSPRDOPT(L122,($E122-'Pricing Inputs'!$X157*$D122),$CV122,0,($CQ122+IF(Smile=TRUE(),VLOOKUP(MAX(-5,$H122-L122),Volsmile,2),0)),$CT122,$CU122,($A122-DateToday)+15,ABS(Option-2),0)-U122)),0))</f>
        <v> </v>
      </c>
      <c r="AE122" s="290" t="str">
        <f aca="false">IF($A122="N/A"," ",IF(OR(Dayrun=1,Dayrun=7,Dayrun=8,Dayrun=10,Dayrun=11),MAX(0,(xSPRDOPT(M122,($E122-'Pricing Inputs'!$X157*$D122),$CV122,0,($CQ122+IF(Smile=TRUE(),VLOOKUP(MAX(-5,$H122-M122),Volsmile,2),0)),$CT122,$CU122,($A122-DateToday)+15,ABS(Option-2),0)-V122)),0))</f>
        <v> </v>
      </c>
      <c r="AF122" s="290" t="str">
        <f aca="false">IF($A122="N/A"," ",IF(OR(Dayrun&lt;=2,Dayrun&gt;=10),IF(OffPeakEx=TRUE(),MAX(0,(xSPRDOPT(N122,($E122-'Pricing Inputs'!$X157*$D122),$CV122,0,($CQ122+IF(Smile=TRUE(),VLOOKUP(MAX(-5,$H122-N122),Volsmile,2),0)),$CT122,$CU122,($A122-DateToday)+15,ABS(Option-2),0)-W122)),0),0))</f>
        <v> </v>
      </c>
      <c r="AG122" s="290" t="str">
        <f aca="false">IF($A122="N/A"," ",IF(OR(Dayrun=1,Dayrun=5,Dayrun=8,Dayrun=11),MAX(0,(xSPRDOPT(O122,($E122-'Pricing Inputs'!$X157*$D122),$CV122,0,($CQ122+IF(Smile=TRUE(),VLOOKUP(MAX(-5,$H122-O122),Volsmile,2),0)),$CT122,$CU122,($A122-DateToday)+15,ABS(Option-2),0)-X122)),0))</f>
        <v> </v>
      </c>
      <c r="AH122" s="290" t="str">
        <f aca="false">IF($A122="N/A"," ",IF(OR(Dayrun=1,Dayrun=8,Dayrun=11),MAX(0,(xSPRDOPT(P122,($E122-'Pricing Inputs'!$X157*$D122),$CV122,0,($CQ122+IF(Smile=TRUE(),VLOOKUP(MAX(-5,$H122-P122),Volsmile,2),0)),$CT122,$CU122,($A122-DateToday)+15,ABS(Option-2),0)-Y122)),0))</f>
        <v> </v>
      </c>
      <c r="AI122" s="290" t="str">
        <f aca="false">IF($A122="N/A"," ",IF(OR(Dayrun&lt;=2,Dayrun&gt;=11),IF(OffPeakEx=TRUE(),MAX(0,(xSPRDOPT(Q122,($E122-'Pricing Inputs'!$X157*$D122),$CV122,0,($CQ122+IF(Smile=TRUE(),VLOOKUP(MAX(-5,$H122-Q122),Volsmile,2),0)),$CT122,$CU122,($A122-DateToday)+15,ABS(Option-2),0)-Z122)),0),0))</f>
        <v> </v>
      </c>
      <c r="AJ122" s="294" t="str">
        <f aca="false">IF($A122="N/A"," ",IF(Dayrun&gt;=3,IF(Option=1,$I122-$H122,IF(Option=2,$H122-$I122)),0))</f>
        <v> </v>
      </c>
      <c r="AK122" s="295" t="str">
        <f aca="false">IF($A122="N/A"," ",IF(Dayrun&gt;=6,IF(Option=1,$J122-H122,IF(Option=2,H122-$J122)),0))</f>
        <v> </v>
      </c>
      <c r="AL122" s="295" t="str">
        <f aca="false">IF($A122="N/A"," ",IF(OR(Dayrun&lt;=2,Dayrun&gt;=9),IF(Option=1,$K122-$H122,IF(Option=2,$H122-$K122)),0))</f>
        <v> </v>
      </c>
      <c r="AM122" s="295" t="str">
        <f aca="false">IF($A122="N/A"," ",IF(OR(Dayrun=1,Dayrun=4,Dayrun=5,Dayrun=7,Dayrun=8,Dayrun=10,Dayrun=11),IF(Option=1,$L122-H122,IF(Option=2,H122-$L122)),0))</f>
        <v> </v>
      </c>
      <c r="AN122" s="295" t="str">
        <f aca="false">IF($A122="N/A"," ",IF(OR(Dayrun=1,Dayrun=7,Dayrun=8,Dayrun=10,Dayrun=11),IF(Option=1,$M122-H122,IF(Option=2,H122-$M122)),0))</f>
        <v> </v>
      </c>
      <c r="AO122" s="295" t="str">
        <f aca="false">IF($A122="N/A"," ",IF(OR(Dayrun&lt;=2,Dayrun&gt;=9),IF(Option=1,$N122-$H122,IF(Option=2,$H122-$N122)),0))</f>
        <v> </v>
      </c>
      <c r="AP122" s="295" t="str">
        <f aca="false">IF($A122="N/A"," ",IF(OR(Dayrun=1,Dayrun=5,Dayrun=8,Dayrun=11),IF(Option=1,$O122-H122,IF(Option=2,H122-$O122)),0))</f>
        <v> </v>
      </c>
      <c r="AQ122" s="295" t="str">
        <f aca="false">IF($A122="N/A"," ",IF(OR(Dayrun=1,Dayrun=8,Dayrun=11),IF(Option=1,$P122-H122,IF(Option=2,H122-$P122)),0))</f>
        <v> </v>
      </c>
      <c r="AR122" s="296" t="str">
        <f aca="false">IF($A122="N/A"," ",IF(OR(Dayrun&lt;=2,Dayrun&gt;=9),IF(Option=1,$Q122-H122,IF(Option=2,H122-$Q122)),0))</f>
        <v> </v>
      </c>
      <c r="AS122" s="297" t="str">
        <f aca="false">IF($A122="N/A"," ",IF(VLOOKUP(MONTH($A122),ManualTable,2)=1,IF(Dayrun&gt;=3,$DE122*8*$CY122,0),0))</f>
        <v> </v>
      </c>
      <c r="AT122" s="297" t="str">
        <f aca="false">IF($A122="N/A"," ",IF(VLOOKUP(MONTH($A122),ManualTable,3)=1,IF(Dayrun&gt;=6,$DE122*8*$CY122,0),0))</f>
        <v> </v>
      </c>
      <c r="AU122" s="297" t="str">
        <f aca="false">IF($A122="N/A"," ",IF(VLOOKUP(MONTH($A122),ManualTable,4)=1,IF(OR(Dayrun&lt;=2,Dayrun&gt;=9),$DE122*8*$CY122,0),0))</f>
        <v> </v>
      </c>
      <c r="AV122" s="297" t="str">
        <f aca="false">IF($A122="N/A"," ",IF(VLOOKUP(MONTH($A122),ManualTable,5)=1,IF(OR(Dayrun=1,Dayrun=4,Dayrun=5,Dayrun=7,Dayrun=8,Dayrun=10,Dayrun=11),$DF122*8*$CY122,0),0))</f>
        <v> </v>
      </c>
      <c r="AW122" s="297" t="str">
        <f aca="false">IF($A122="N/A"," ",IF(VLOOKUP(MONTH($A122),ManualTable,6)=1,IF(OR(Dayrun=1,Dayrun=7,Dayrun=8,Dayrun=10,Dayrun=11),$DF122*8*$CY122,0),0))</f>
        <v> </v>
      </c>
      <c r="AX122" s="297" t="str">
        <f aca="false">IF($A122="N/A"," ",IF(VLOOKUP(MONTH($A122),ManualTable,7)=1,IF(OR(Dayrun&lt;=2,Dayrun&gt;=9),$DF122*8*$CY122,0),0))</f>
        <v> </v>
      </c>
      <c r="AY122" s="297" t="str">
        <f aca="false">IF($A122="N/A"," ",IF(VLOOKUP(MONTH($A122),ManualTable,8)=1,IF(OR(Dayrun=1,Dayrun=5,Dayrun=8,Dayrun=11),$DG122*8*$CY122,0),0))</f>
        <v> </v>
      </c>
      <c r="AZ122" s="297" t="str">
        <f aca="false">IF($A122="N/A"," ",IF(VLOOKUP(MONTH($A122),ManualTable,9)=1,IF(OR(Dayrun=1,Dayrun=8,Dayrun=11),$DG122*8*$CY122,0),0))</f>
        <v> </v>
      </c>
      <c r="BA122" s="298" t="str">
        <f aca="false">IF($A122="N/A"," ",IF(VLOOKUP(MONTH($A122),ManualTable,10)=1,IF(OR(Dayrun&lt;=2,Dayrun&gt;=9),$DG122*8*$CY122,0),0))</f>
        <v> </v>
      </c>
      <c r="BB122" s="299" t="str">
        <f aca="false">IF($A122="N/A"," ",IF(Dayrun&gt;=3,(MAX(0,(xSPRDOPT(I122,($E122-'Pricing Inputs'!$X157*$D122),$CV122,0,($CN122+IF(Smile=TRUE(),VLOOKUP(MAX(-5,$H122-I122),Volsmile,2),0)),$CT122,$CU122,($A122-DateToday)+15,ABS(Option-2),1)*DE122*8))),0))</f>
        <v> </v>
      </c>
      <c r="BC122" s="300" t="str">
        <f aca="false">IF($A122="N/A"," ",IF(Dayrun&gt;=6,MAX(0,(xSPRDOPT(J122,($E122-'Pricing Inputs'!$X157*$D122),$CV122,0,($CN122+IF(Smile=TRUE(),VLOOKUP(MAX(-5,$H122-J122),Volsmile,2),0)),$CT122,$CU122,($A122-DateToday)+15,ABS(Option-2),1)*DE122*8)),0))</f>
        <v> </v>
      </c>
      <c r="BD122" s="300" t="str">
        <f aca="false">IF($A122="N/A"," ",IF(OR(Dayrun&lt;=2,Dayrun&gt;=9),IF(OffPeakEx=TRUE(),MAX(0,(xSPRDOPT(K122,($E122-'Pricing Inputs'!$X157*$D122),$CV122,0,($CQ122+IF(Smile=TRUE(),VLOOKUP(MAX(-5,$H122-K122),Volsmile,2),0)),$CT122,$CU122,($A122-DateToday)+15,ABS(Option-2),1)*DE122*8)),0),0))</f>
        <v> </v>
      </c>
      <c r="BE122" s="300" t="str">
        <f aca="false">IF($A122="N/A"," ",IF(OR(Dayrun=1,Dayrun=4,Dayrun=5,Dayrun=7,Dayrun=8,Dayrun=10,Dayrun=11),MAX(0,(xSPRDOPT(L122,($E122-'Pricing Inputs'!$X157*$D122),$CV122,0,($CQ122+IF(Smile=TRUE(),VLOOKUP(MAX(-5,$H122-L122),Volsmile,2),0)),$CT122,$CU122,($A122-DateToday)+15,ABS(Option-2),1)*DF122*8)),0))</f>
        <v> </v>
      </c>
      <c r="BF122" s="300" t="str">
        <f aca="false">IF($A122="N/A"," ",IF(OR(Dayrun=1,Dayrun=7,Dayrun=8,Dayrun=10,Dayrun=11),MAX(0,(xSPRDOPT(M122,($E122-'Pricing Inputs'!$X157*$D122),$CV122,0,($CQ122+IF(Smile=TRUE(),VLOOKUP(MAX(-5,$H122-M122),Volsmile,2),0)),$CT122,$CU122,($A122-DateToday)+15,ABS(Option-2),1)*DF122*8)),0))</f>
        <v> </v>
      </c>
      <c r="BG122" s="300" t="str">
        <f aca="false">IF($A122="N/A"," ",IF(OR(Dayrun&lt;=2,Dayrun&gt;=10),IF(OffPeakEx=TRUE(),MAX(0,(xSPRDOPT(N122,($E122-'Pricing Inputs'!$X157*$D122),$CV122,0,($CQ122+IF(Smile=TRUE(),VLOOKUP(MAX(-5,$H122-N122),Volsmile,2),0)),$CT122,$CU122,($A122-DateToday)+15,ABS(Option-2),1)*DF122*8)),0),0))</f>
        <v> </v>
      </c>
      <c r="BH122" s="300" t="str">
        <f aca="false">IF($A122="N/A"," ",IF(OR(Dayrun=1,Dayrun=5,Dayrun=8,Dayrun=11),MAX(0,(xSPRDOPT(O122,($E122-'Pricing Inputs'!$X157*$D122),$CV122,0,($CQ122+IF(Smile=TRUE(),VLOOKUP(MAX(-5,$H122-O122),Volsmile,2),0)),$CT122,$CU122,($A122-DateToday)+15,ABS(Option-2),1)*DG122*8)),0))</f>
        <v> </v>
      </c>
      <c r="BI122" s="300" t="str">
        <f aca="false">IF($A122="N/A"," ",IF(OR(Dayrun=1,Dayrun=8,Dayrun=11),MAX(0,(xSPRDOPT(P122,($E122-'Pricing Inputs'!$X157*$D122),$CV122,0,($CQ122+IF(Smile=TRUE(),VLOOKUP(MAX(-5,$H122-P122),Volsmile,2),0)),$CT122,$CU122,($A122-DateToday)+15,ABS(Option-2),1)*DG122*8)),0))</f>
        <v> </v>
      </c>
      <c r="BJ122" s="301" t="str">
        <f aca="false">IF($A122="N/A"," ",IF(OR(Dayrun&lt;=2,Dayrun&gt;=11),IF(OffPeakEx=TRUE(),MAX(0,(xSPRDOPT(Q122,($E122-'Pricing Inputs'!$X157*$D122),$CV122,0,($CQ122+IF(Smile=TRUE(),VLOOKUP(MAX(-5,$H122-Q122),Volsmile,2),0)),$CT122,$CU122,($A122-DateToday)+15,ABS(Option-2),1)*DG122*8)),0),0))</f>
        <v> </v>
      </c>
      <c r="BK122" s="302" t="str">
        <f aca="false">IF($A122="N/A"," ",R122*$AS122)</f>
        <v> </v>
      </c>
      <c r="BL122" s="303" t="str">
        <f aca="false">IF($A122="N/A"," ",S122*$AT122)</f>
        <v> </v>
      </c>
      <c r="BM122" s="303" t="str">
        <f aca="false">IF($A122="N/A"," ",T122*$AU122)</f>
        <v> </v>
      </c>
      <c r="BN122" s="303" t="str">
        <f aca="false">IF($A122="N/A"," ",U122*$AV122)</f>
        <v> </v>
      </c>
      <c r="BO122" s="303" t="str">
        <f aca="false">IF($A122="N/A"," ",V122*$AW122)</f>
        <v> </v>
      </c>
      <c r="BP122" s="303" t="str">
        <f aca="false">IF($A122="N/A"," ",W122*$AX122)</f>
        <v> </v>
      </c>
      <c r="BQ122" s="303" t="str">
        <f aca="false">IF($A122="N/A"," ",X122*$AY122)</f>
        <v> </v>
      </c>
      <c r="BR122" s="303" t="str">
        <f aca="false">IF($A122="N/A"," ",Y122*$AZ122)</f>
        <v> </v>
      </c>
      <c r="BS122" s="304" t="str">
        <f aca="false">IF($A122="N/A"," ",Z122*$BA122)</f>
        <v> </v>
      </c>
      <c r="BT122" s="305" t="str">
        <f aca="false">IF($A122="N/A"," ",AA122*$AS122)</f>
        <v> </v>
      </c>
      <c r="BU122" s="306" t="str">
        <f aca="false">IF($A122="N/A"," ",AB122*$AT122)</f>
        <v> </v>
      </c>
      <c r="BV122" s="306" t="str">
        <f aca="false">IF($A122="N/A"," ",AC122*$AU122)</f>
        <v> </v>
      </c>
      <c r="BW122" s="306" t="str">
        <f aca="false">IF($A122="N/A"," ",AD122*$AV122)</f>
        <v> </v>
      </c>
      <c r="BX122" s="306" t="str">
        <f aca="false">IF($A122="N/A"," ",AE122*$AW122)</f>
        <v> </v>
      </c>
      <c r="BY122" s="306" t="str">
        <f aca="false">IF($A122="N/A"," ",AF122*$AX122)</f>
        <v> </v>
      </c>
      <c r="BZ122" s="306" t="str">
        <f aca="false">IF($A122="N/A"," ",AG122*$AY122)</f>
        <v> </v>
      </c>
      <c r="CA122" s="306" t="str">
        <f aca="false">IF($A122="N/A"," ",AH122*$AZ122)</f>
        <v> </v>
      </c>
      <c r="CB122" s="307" t="str">
        <f aca="false">IF($A122="N/A"," ",AI122*$BA122)</f>
        <v> </v>
      </c>
      <c r="CC122" s="308" t="str">
        <f aca="false">IF($A122="N/A"," ",AJ122*$AS122)</f>
        <v> </v>
      </c>
      <c r="CD122" s="309" t="str">
        <f aca="false">IF($A122="N/A"," ",AK122*$AT122)</f>
        <v> </v>
      </c>
      <c r="CE122" s="309" t="str">
        <f aca="false">IF($A122="N/A"," ",AL122*$AU122)</f>
        <v> </v>
      </c>
      <c r="CF122" s="309" t="str">
        <f aca="false">IF($A122="N/A"," ",AM122*$AV122)</f>
        <v> </v>
      </c>
      <c r="CG122" s="309" t="str">
        <f aca="false">IF($A122="N/A"," ",AN122*$AW122)</f>
        <v> </v>
      </c>
      <c r="CH122" s="309" t="str">
        <f aca="false">IF($A122="N/A"," ",AO122*$AX122)</f>
        <v> </v>
      </c>
      <c r="CI122" s="309" t="str">
        <f aca="false">IF($A122="N/A"," ",AP122*$AY122)</f>
        <v> </v>
      </c>
      <c r="CJ122" s="309" t="str">
        <f aca="false">IF($A122="N/A"," ",AQ122*$AZ122)</f>
        <v> </v>
      </c>
      <c r="CK122" s="310" t="str">
        <f aca="false">IF($A122="N/A"," ",AR122*$BA122)</f>
        <v> </v>
      </c>
      <c r="CL122" s="311" t="str">
        <f aca="false">IF(A122="N/A"," ",(VLOOKUP(A122,PowerVolTable,(IF(VolBMO=2,7,IF(VolBMO=1,6,8))),FALSE())))</f>
        <v> </v>
      </c>
      <c r="CM122" s="312" t="str">
        <f aca="false">IF(A122="N/A"," ",(VLOOKUP(A122,IntraPowerVol,(IF(VolBMO=2,3,IF(VolBMO=1,2,4))),FALSE())*VLOOKUP(MONTH($A122),Volscale,2)))</f>
        <v> </v>
      </c>
      <c r="CN122" s="312" t="str">
        <f aca="false">IF($A122="N/A"," ",IF(VolType=1,CM122,CL122))</f>
        <v> </v>
      </c>
      <c r="CO122" s="312" t="str">
        <f aca="false">IF($A122="N/A"," ",(VLOOKUP($A122,OffPeakVol,(IF(VolBMO=2,7,IF(VolBMO=1,6,8))),FALSE())))</f>
        <v> </v>
      </c>
      <c r="CP122" s="312" t="str">
        <f aca="false">IF($A122="N/A"," ",(VLOOKUP($A122,OffPeakVol,(IF(VolBMO=2,3,IF(VolBMO=1,2,4))),FALSE())*VLOOKUP(MONTH($A122),Volscale,2)))</f>
        <v> </v>
      </c>
      <c r="CQ122" s="312" t="str">
        <f aca="false">IF($A122="N/A"," ",IF(VolType=1,CP122,CO122))</f>
        <v> </v>
      </c>
      <c r="CR122" s="312" t="str">
        <f aca="false">IF($A122="N/A"," ",(VLOOKUP($A122,GasVolTable,(IF(VolBMO=2,6,IF(VolBMO=1,7,5))),FALSE())))</f>
        <v> </v>
      </c>
      <c r="CS122" s="312" t="str">
        <f aca="false">IF($A122="N/A"," ",(VLOOKUP($A122,OmicronVol,(IF(VolBMO=2,3,IF(VolBMO=1,4,2))),FALSE())))</f>
        <v> </v>
      </c>
      <c r="CT122" s="312" t="str">
        <f aca="false">IF($A122="N/A"," ",(IF(DateToday&gt;$A122,$CS122,IF(VolType=1,((($CR122^2)*((($A122-1)-DateToday)/((EOMONTH($A122,0)+1)-DateToday-15)))+((($CS122)^2)*((15)/((EOMONTH($A122,0)+1)-DateToday-15))))^0.5,CR122))))</f>
        <v> </v>
      </c>
      <c r="CU122" s="312" t="str">
        <f aca="false">IF($A122="N/A"," ",IF('Pricing Inputs'!$AR$23=TRUE(),Inputs!$S$22,VLOOKUP($A122,CorrelationTable,2,FALSE())))</f>
        <v> </v>
      </c>
      <c r="CV122" s="313" t="str">
        <f aca="false">IF($A122="N/A"," ",F122+G122+(D122*('Pricing Inputs'!X157)))</f>
        <v> </v>
      </c>
      <c r="CW122" s="314" t="str">
        <f aca="false">IF($A122="N/A"," ",IF(PV=1,0,'Pricing Inputs'!Y157))</f>
        <v> </v>
      </c>
      <c r="CX122" s="315" t="str">
        <f aca="false">IF($A122="N/A"," ",(1+CW122/2)^(-2*((EOMONTH(A122,0)+20)-DateToday)/365.25))</f>
        <v> </v>
      </c>
      <c r="CY122" s="316" t="str">
        <f aca="false">IF($A122="N/A"," ",(IF(MONTH(A122)&gt;=4,IF(MONTH(A122)&lt;=10,Inputs!$S$26,Inputs!$S$27),Inputs!$S$27))*$CX122)</f>
        <v> </v>
      </c>
      <c r="CZ122" s="317" t="str">
        <f aca="false">IF($A122="N/A"," ",BK122+BL122+BN122+BO122+BQ122+BR122)</f>
        <v> </v>
      </c>
      <c r="DA122" s="318" t="str">
        <f aca="false">IF($A122="N/A"," ",BM122+BP122+BS122)</f>
        <v> </v>
      </c>
      <c r="DB122" s="319" t="str">
        <f aca="false">IF($A122="N/A"," ",BT122+BU122+BW122+BX122+BZ122+CA122)</f>
        <v> </v>
      </c>
      <c r="DC122" s="319" t="str">
        <f aca="false">IF($A122="N/A"," ",BV122+BY122+CB122)</f>
        <v> </v>
      </c>
      <c r="DD122" s="320" t="str">
        <f aca="false">IF($A122="N/A"," ",SUM(CC122:CK122))</f>
        <v> </v>
      </c>
      <c r="DE122" s="321" t="str">
        <f aca="false">IF($A122="N/A"," ",VLOOKUP($A122,NumberofDaysTable,2)*Availability)</f>
        <v> </v>
      </c>
      <c r="DF122" s="94" t="str">
        <f aca="false">IF($A122="N/A"," ",VLOOKUP($A122,NumberofDaysTable,3)*Availability)</f>
        <v> </v>
      </c>
      <c r="DG122" s="322" t="str">
        <f aca="false">IF($A122="N/A"," ",VLOOKUP($A122,NumberofDaysTable,4)*Availability)</f>
        <v> </v>
      </c>
      <c r="DH122" s="323" t="str">
        <f aca="false">IF($A122="N/A"," ",IF(Option=1,$D122*Inputs!$S$15*SUM(AS122:BA122),0))</f>
        <v> </v>
      </c>
      <c r="DI122" s="324" t="str">
        <f aca="false">IF($A122="N/A"," ",IF(Option=1,$D122*Inputs!$S$16*SUM(AS122:BA122),0))</f>
        <v> </v>
      </c>
      <c r="DJ122" s="325" t="str">
        <f aca="false">IF($A122="N/A"," ",SUM(AS122:AT122))</f>
        <v> </v>
      </c>
      <c r="DK122" s="325" t="str">
        <f aca="false">IF($A122="N/A"," ",SUM(AU122:BA122))</f>
        <v> </v>
      </c>
      <c r="DL122" s="325" t="str">
        <f aca="false">IF($A122="N/A"," ",SUM(BB122:BC122))</f>
        <v> </v>
      </c>
      <c r="DM122" s="325" t="str">
        <f aca="false">IF($A122="N/A"," ",SUM(BD122:BJ122))</f>
        <v> </v>
      </c>
    </row>
    <row r="123" customFormat="false" ht="12.75" hidden="false" customHeight="false" outlineLevel="0" collapsed="false">
      <c r="A123" s="282" t="str">
        <f aca="false">IF(A122="N/A","N/A",IF(EDATE(A122,1)&gt;Inputs!$S$5,"N/A",EDATE(A122,1)))</f>
        <v>N/A</v>
      </c>
      <c r="B123" s="283" t="str">
        <f aca="false">IF(A123="N/A"," ",YEAR(A123))</f>
        <v> </v>
      </c>
      <c r="C123" s="284" t="str">
        <f aca="false">IF(A123="N/A"," ",VLOOKUP(A123,ScaledPrice,14))</f>
        <v> </v>
      </c>
      <c r="D123" s="285" t="str">
        <f aca="false">IF(A123="N/A"," ",(VLOOKUP(MONTH($A123),Hrtable,2))/1000)</f>
        <v> </v>
      </c>
      <c r="E123" s="286" t="str">
        <f aca="false">IF($A123="N/A"," ",(C123)*D123)</f>
        <v> </v>
      </c>
      <c r="F123" s="287" t="str">
        <f aca="false">IF(A123="N/A"," ",VOM*(1+VOMesc)^(YEAR(A123)-YEAR(Today)))</f>
        <v> </v>
      </c>
      <c r="G123" s="287" t="str">
        <f aca="false">IF(A123="N/A"," ",Perstart/VLOOKUP(Dayrun,'Pricing Inputs'!$AQ$4:$AS$14,3)/(CY123/CX123))</f>
        <v> </v>
      </c>
      <c r="H123" s="288" t="str">
        <f aca="false">IF(A123="N/A"," ",SUM(E123:G123))</f>
        <v> </v>
      </c>
      <c r="I123" s="289" t="str">
        <f aca="false">VLOOKUP($A123,ScaledPrice,6)</f>
        <v> </v>
      </c>
      <c r="J123" s="290" t="str">
        <f aca="false">VLOOKUP($A123,ScaledPrice,10)</f>
        <v> </v>
      </c>
      <c r="K123" s="290" t="str">
        <f aca="false">VLOOKUP($A123,ScaledPrice,13)</f>
        <v> </v>
      </c>
      <c r="L123" s="290" t="str">
        <f aca="false">VLOOKUP($A123,ScaledPrice,7)</f>
        <v> </v>
      </c>
      <c r="M123" s="290" t="str">
        <f aca="false">VLOOKUP($A123,ScaledPrice,11)</f>
        <v> </v>
      </c>
      <c r="N123" s="290" t="str">
        <f aca="false">VLOOKUP($A123,ScaledPrice,13)</f>
        <v> </v>
      </c>
      <c r="O123" s="290" t="str">
        <f aca="false">VLOOKUP($A123,ScaledPrice,8)</f>
        <v> </v>
      </c>
      <c r="P123" s="290" t="str">
        <f aca="false">VLOOKUP($A123,ScaledPrice,12)</f>
        <v> </v>
      </c>
      <c r="Q123" s="291" t="str">
        <f aca="false">VLOOKUP($A123,ScaledPrice,13)</f>
        <v> </v>
      </c>
      <c r="R123" s="292" t="str">
        <f aca="false">IF($A123="N/A"," ",IF(Dayrun&gt;=3,IF(Option=1,MAX($I123-$H123,0),IF(Option=2,MAX($H123-$I123,0),0)),0))</f>
        <v> </v>
      </c>
      <c r="S123" s="286" t="str">
        <f aca="false">IF($A123="N/A"," ",IF(Dayrun&gt;=6,IF(Option=1,MAX($J123-H123,0),IF(Option=2,MAX(H123-$J123,0),0)),0))</f>
        <v> </v>
      </c>
      <c r="T123" s="286" t="str">
        <f aca="false">IF($A123="N/A"," ",IF(OR(Dayrun&lt;=2,Dayrun&gt;=9),IF(Option=1,MAX($K123-$H123,0),IF(Option=2,MAX($H123-$K123,0),0)),0))</f>
        <v> </v>
      </c>
      <c r="U123" s="286" t="str">
        <f aca="false">IF($A123="N/A"," ",IF(OR(Dayrun=1,Dayrun=4,Dayrun=5,Dayrun=7,Dayrun=8,Dayrun=10,Dayrun=11),IF(Option=1,MAX($L123-H123,0),IF(Option=2,MAX(H123-$L123,0),0)),0))</f>
        <v> </v>
      </c>
      <c r="V123" s="286" t="str">
        <f aca="false">IF($A123="N/A"," ",IF(OR(Dayrun=1,Dayrun=7,Dayrun=8,Dayrun=10,Dayrun=11),IF(Option=1,MAX($M123-H123,0),IF(Option=2,MAX(H123-$M123,0),0)),0))</f>
        <v> </v>
      </c>
      <c r="W123" s="286" t="str">
        <f aca="false">IF($A123="N/A"," ",IF(OR(Dayrun&lt;=2,Dayrun&gt;=10),IF(Option=1,MAX($N123-$H123,0),IF(Option=2,MAX($H123-$N123,0),0)),0))</f>
        <v> </v>
      </c>
      <c r="X123" s="286" t="str">
        <f aca="false">IF($A123="N/A"," ",IF(OR(Dayrun=1,Dayrun=5,Dayrun=8,Dayrun=11),IF(Option=1,MAX($O123-H123,0),IF(Option=2,MAX(H123-$O123,0),0)),0))</f>
        <v> </v>
      </c>
      <c r="Y123" s="286" t="str">
        <f aca="false">IF($A123="N/A"," ",IF(OR(Dayrun=1,Dayrun=8,Dayrun=11),IF(Option=1,MAX($P123-H123,0),IF(Option=2,MAX(H123-$P123,0),0)),0))</f>
        <v> </v>
      </c>
      <c r="Z123" s="293" t="str">
        <f aca="false">IF($A123="N/A"," ",IF(OR(Dayrun&lt;=2,Dayrun&gt;=11),IF(Option=1,MAX($Q123-$H123,0),IF(Option=2,MAX($H123-$Q123,0),0)),0))</f>
        <v> </v>
      </c>
      <c r="AA123" s="289" t="str">
        <f aca="false">IF($A123="N/A"," ",IF(Dayrun&gt;=3,(MAX(0,(xSPRDOPT(I123,($E123-'Pricing Inputs'!$X158*$D123),$CV123,0,($CN123+IF(Smile=TRUE(),VLOOKUP(MAX(-5,$H123-I123),Volsmile,2),0)),$CT123,$CU123,($A123-DateToday)+15,ABS(Option-2),0)-R123))),0))</f>
        <v> </v>
      </c>
      <c r="AB123" s="290" t="str">
        <f aca="false">IF($A123="N/A"," ",IF(Dayrun&gt;=6,MAX(0,(xSPRDOPT(J123,($E123-'Pricing Inputs'!$X158*$D123),$CV123,0,($CN123+IF(Smile=TRUE(),VLOOKUP(MAX(-5,$H123-J123),Volsmile,2),0)),$CT123,$CU123,($A123-DateToday)+15,ABS(Option-2),0)-S123)),0))</f>
        <v> </v>
      </c>
      <c r="AC123" s="290" t="str">
        <f aca="false">IF($A123="N/A"," ",IF(OR(Dayrun&lt;=2,Dayrun&gt;=9),IF(OffPeakEx=TRUE(),MAX(0,(xSPRDOPT(K123,($E123-'Pricing Inputs'!$X158*$D123),$CV123,0,($CQ123+IF(Smile=TRUE(),VLOOKUP(MAX(-5,$H123-K123),Volsmile,2),0)),$CT123,$CU123,($A123-DateToday)+15,ABS(Option-2),0)-T123)),0),0))</f>
        <v> </v>
      </c>
      <c r="AD123" s="290" t="str">
        <f aca="false">IF($A123="N/A"," ",IF(OR(Dayrun=1,Dayrun=4,Dayrun=5,Dayrun=7,Dayrun=8,Dayrun=10,Dayrun=11),MAX(0,(xSPRDOPT(L123,($E123-'Pricing Inputs'!$X158*$D123),$CV123,0,($CQ123+IF(Smile=TRUE(),VLOOKUP(MAX(-5,$H123-L123),Volsmile,2),0)),$CT123,$CU123,($A123-DateToday)+15,ABS(Option-2),0)-U123)),0))</f>
        <v> </v>
      </c>
      <c r="AE123" s="290" t="str">
        <f aca="false">IF($A123="N/A"," ",IF(OR(Dayrun=1,Dayrun=7,Dayrun=8,Dayrun=10,Dayrun=11),MAX(0,(xSPRDOPT(M123,($E123-'Pricing Inputs'!$X158*$D123),$CV123,0,($CQ123+IF(Smile=TRUE(),VLOOKUP(MAX(-5,$H123-M123),Volsmile,2),0)),$CT123,$CU123,($A123-DateToday)+15,ABS(Option-2),0)-V123)),0))</f>
        <v> </v>
      </c>
      <c r="AF123" s="290" t="str">
        <f aca="false">IF($A123="N/A"," ",IF(OR(Dayrun&lt;=2,Dayrun&gt;=10),IF(OffPeakEx=TRUE(),MAX(0,(xSPRDOPT(N123,($E123-'Pricing Inputs'!$X158*$D123),$CV123,0,($CQ123+IF(Smile=TRUE(),VLOOKUP(MAX(-5,$H123-N123),Volsmile,2),0)),$CT123,$CU123,($A123-DateToday)+15,ABS(Option-2),0)-W123)),0),0))</f>
        <v> </v>
      </c>
      <c r="AG123" s="290" t="str">
        <f aca="false">IF($A123="N/A"," ",IF(OR(Dayrun=1,Dayrun=5,Dayrun=8,Dayrun=11),MAX(0,(xSPRDOPT(O123,($E123-'Pricing Inputs'!$X158*$D123),$CV123,0,($CQ123+IF(Smile=TRUE(),VLOOKUP(MAX(-5,$H123-O123),Volsmile,2),0)),$CT123,$CU123,($A123-DateToday)+15,ABS(Option-2),0)-X123)),0))</f>
        <v> </v>
      </c>
      <c r="AH123" s="290" t="str">
        <f aca="false">IF($A123="N/A"," ",IF(OR(Dayrun=1,Dayrun=8,Dayrun=11),MAX(0,(xSPRDOPT(P123,($E123-'Pricing Inputs'!$X158*$D123),$CV123,0,($CQ123+IF(Smile=TRUE(),VLOOKUP(MAX(-5,$H123-P123),Volsmile,2),0)),$CT123,$CU123,($A123-DateToday)+15,ABS(Option-2),0)-Y123)),0))</f>
        <v> </v>
      </c>
      <c r="AI123" s="290" t="str">
        <f aca="false">IF($A123="N/A"," ",IF(OR(Dayrun&lt;=2,Dayrun&gt;=11),IF(OffPeakEx=TRUE(),MAX(0,(xSPRDOPT(Q123,($E123-'Pricing Inputs'!$X158*$D123),$CV123,0,($CQ123+IF(Smile=TRUE(),VLOOKUP(MAX(-5,$H123-Q123),Volsmile,2),0)),$CT123,$CU123,($A123-DateToday)+15,ABS(Option-2),0)-Z123)),0),0))</f>
        <v> </v>
      </c>
      <c r="AJ123" s="294" t="str">
        <f aca="false">IF($A123="N/A"," ",IF(Dayrun&gt;=3,IF(Option=1,$I123-$H123,IF(Option=2,$H123-$I123)),0))</f>
        <v> </v>
      </c>
      <c r="AK123" s="295" t="str">
        <f aca="false">IF($A123="N/A"," ",IF(Dayrun&gt;=6,IF(Option=1,$J123-H123,IF(Option=2,H123-$J123)),0))</f>
        <v> </v>
      </c>
      <c r="AL123" s="295" t="str">
        <f aca="false">IF($A123="N/A"," ",IF(OR(Dayrun&lt;=2,Dayrun&gt;=9),IF(Option=1,$K123-$H123,IF(Option=2,$H123-$K123)),0))</f>
        <v> </v>
      </c>
      <c r="AM123" s="295" t="str">
        <f aca="false">IF($A123="N/A"," ",IF(OR(Dayrun=1,Dayrun=4,Dayrun=5,Dayrun=7,Dayrun=8,Dayrun=10,Dayrun=11),IF(Option=1,$L123-H123,IF(Option=2,H123-$L123)),0))</f>
        <v> </v>
      </c>
      <c r="AN123" s="295" t="str">
        <f aca="false">IF($A123="N/A"," ",IF(OR(Dayrun=1,Dayrun=7,Dayrun=8,Dayrun=10,Dayrun=11),IF(Option=1,$M123-H123,IF(Option=2,H123-$M123)),0))</f>
        <v> </v>
      </c>
      <c r="AO123" s="295" t="str">
        <f aca="false">IF($A123="N/A"," ",IF(OR(Dayrun&lt;=2,Dayrun&gt;=9),IF(Option=1,$N123-$H123,IF(Option=2,$H123-$N123)),0))</f>
        <v> </v>
      </c>
      <c r="AP123" s="295" t="str">
        <f aca="false">IF($A123="N/A"," ",IF(OR(Dayrun=1,Dayrun=5,Dayrun=8,Dayrun=11),IF(Option=1,$O123-H123,IF(Option=2,H123-$O123)),0))</f>
        <v> </v>
      </c>
      <c r="AQ123" s="295" t="str">
        <f aca="false">IF($A123="N/A"," ",IF(OR(Dayrun=1,Dayrun=8,Dayrun=11),IF(Option=1,$P123-H123,IF(Option=2,H123-$P123)),0))</f>
        <v> </v>
      </c>
      <c r="AR123" s="296" t="str">
        <f aca="false">IF($A123="N/A"," ",IF(OR(Dayrun&lt;=2,Dayrun&gt;=9),IF(Option=1,$Q123-H123,IF(Option=2,H123-$Q123)),0))</f>
        <v> </v>
      </c>
      <c r="AS123" s="297" t="str">
        <f aca="false">IF($A123="N/A"," ",IF(VLOOKUP(MONTH($A123),ManualTable,2)=1,IF(Dayrun&gt;=3,$DE123*8*$CY123,0),0))</f>
        <v> </v>
      </c>
      <c r="AT123" s="297" t="str">
        <f aca="false">IF($A123="N/A"," ",IF(VLOOKUP(MONTH($A123),ManualTable,3)=1,IF(Dayrun&gt;=6,$DE123*8*$CY123,0),0))</f>
        <v> </v>
      </c>
      <c r="AU123" s="297" t="str">
        <f aca="false">IF($A123="N/A"," ",IF(VLOOKUP(MONTH($A123),ManualTable,4)=1,IF(OR(Dayrun&lt;=2,Dayrun&gt;=9),$DE123*8*$CY123,0),0))</f>
        <v> </v>
      </c>
      <c r="AV123" s="297" t="str">
        <f aca="false">IF($A123="N/A"," ",IF(VLOOKUP(MONTH($A123),ManualTable,5)=1,IF(OR(Dayrun=1,Dayrun=4,Dayrun=5,Dayrun=7,Dayrun=8,Dayrun=10,Dayrun=11),$DF123*8*$CY123,0),0))</f>
        <v> </v>
      </c>
      <c r="AW123" s="297" t="str">
        <f aca="false">IF($A123="N/A"," ",IF(VLOOKUP(MONTH($A123),ManualTable,6)=1,IF(OR(Dayrun=1,Dayrun=7,Dayrun=8,Dayrun=10,Dayrun=11),$DF123*8*$CY123,0),0))</f>
        <v> </v>
      </c>
      <c r="AX123" s="297" t="str">
        <f aca="false">IF($A123="N/A"," ",IF(VLOOKUP(MONTH($A123),ManualTable,7)=1,IF(OR(Dayrun&lt;=2,Dayrun&gt;=9),$DF123*8*$CY123,0),0))</f>
        <v> </v>
      </c>
      <c r="AY123" s="297" t="str">
        <f aca="false">IF($A123="N/A"," ",IF(VLOOKUP(MONTH($A123),ManualTable,8)=1,IF(OR(Dayrun=1,Dayrun=5,Dayrun=8,Dayrun=11),$DG123*8*$CY123,0),0))</f>
        <v> </v>
      </c>
      <c r="AZ123" s="297" t="str">
        <f aca="false">IF($A123="N/A"," ",IF(VLOOKUP(MONTH($A123),ManualTable,9)=1,IF(OR(Dayrun=1,Dayrun=8,Dayrun=11),$DG123*8*$CY123,0),0))</f>
        <v> </v>
      </c>
      <c r="BA123" s="298" t="str">
        <f aca="false">IF($A123="N/A"," ",IF(VLOOKUP(MONTH($A123),ManualTable,10)=1,IF(OR(Dayrun&lt;=2,Dayrun&gt;=9),$DG123*8*$CY123,0),0))</f>
        <v> </v>
      </c>
      <c r="BB123" s="299" t="str">
        <f aca="false">IF($A123="N/A"," ",IF(Dayrun&gt;=3,(MAX(0,(xSPRDOPT(I123,($E123-'Pricing Inputs'!$X158*$D123),$CV123,0,($CN123+IF(Smile=TRUE(),VLOOKUP(MAX(-5,$H123-I123),Volsmile,2),0)),$CT123,$CU123,($A123-DateToday)+15,ABS(Option-2),1)*DE123*8))),0))</f>
        <v> </v>
      </c>
      <c r="BC123" s="300" t="str">
        <f aca="false">IF($A123="N/A"," ",IF(Dayrun&gt;=6,MAX(0,(xSPRDOPT(J123,($E123-'Pricing Inputs'!$X158*$D123),$CV123,0,($CN123+IF(Smile=TRUE(),VLOOKUP(MAX(-5,$H123-J123),Volsmile,2),0)),$CT123,$CU123,($A123-DateToday)+15,ABS(Option-2),1)*DE123*8)),0))</f>
        <v> </v>
      </c>
      <c r="BD123" s="300" t="str">
        <f aca="false">IF($A123="N/A"," ",IF(OR(Dayrun&lt;=2,Dayrun&gt;=9),IF(OffPeakEx=TRUE(),MAX(0,(xSPRDOPT(K123,($E123-'Pricing Inputs'!$X158*$D123),$CV123,0,($CQ123+IF(Smile=TRUE(),VLOOKUP(MAX(-5,$H123-K123),Volsmile,2),0)),$CT123,$CU123,($A123-DateToday)+15,ABS(Option-2),1)*DE123*8)),0),0))</f>
        <v> </v>
      </c>
      <c r="BE123" s="300" t="str">
        <f aca="false">IF($A123="N/A"," ",IF(OR(Dayrun=1,Dayrun=4,Dayrun=5,Dayrun=7,Dayrun=8,Dayrun=10,Dayrun=11),MAX(0,(xSPRDOPT(L123,($E123-'Pricing Inputs'!$X158*$D123),$CV123,0,($CQ123+IF(Smile=TRUE(),VLOOKUP(MAX(-5,$H123-L123),Volsmile,2),0)),$CT123,$CU123,($A123-DateToday)+15,ABS(Option-2),1)*DF123*8)),0))</f>
        <v> </v>
      </c>
      <c r="BF123" s="300" t="str">
        <f aca="false">IF($A123="N/A"," ",IF(OR(Dayrun=1,Dayrun=7,Dayrun=8,Dayrun=10,Dayrun=11),MAX(0,(xSPRDOPT(M123,($E123-'Pricing Inputs'!$X158*$D123),$CV123,0,($CQ123+IF(Smile=TRUE(),VLOOKUP(MAX(-5,$H123-M123),Volsmile,2),0)),$CT123,$CU123,($A123-DateToday)+15,ABS(Option-2),1)*DF123*8)),0))</f>
        <v> </v>
      </c>
      <c r="BG123" s="300" t="str">
        <f aca="false">IF($A123="N/A"," ",IF(OR(Dayrun&lt;=2,Dayrun&gt;=10),IF(OffPeakEx=TRUE(),MAX(0,(xSPRDOPT(N123,($E123-'Pricing Inputs'!$X158*$D123),$CV123,0,($CQ123+IF(Smile=TRUE(),VLOOKUP(MAX(-5,$H123-N123),Volsmile,2),0)),$CT123,$CU123,($A123-DateToday)+15,ABS(Option-2),1)*DF123*8)),0),0))</f>
        <v> </v>
      </c>
      <c r="BH123" s="300" t="str">
        <f aca="false">IF($A123="N/A"," ",IF(OR(Dayrun=1,Dayrun=5,Dayrun=8,Dayrun=11),MAX(0,(xSPRDOPT(O123,($E123-'Pricing Inputs'!$X158*$D123),$CV123,0,($CQ123+IF(Smile=TRUE(),VLOOKUP(MAX(-5,$H123-O123),Volsmile,2),0)),$CT123,$CU123,($A123-DateToday)+15,ABS(Option-2),1)*DG123*8)),0))</f>
        <v> </v>
      </c>
      <c r="BI123" s="300" t="str">
        <f aca="false">IF($A123="N/A"," ",IF(OR(Dayrun=1,Dayrun=8,Dayrun=11),MAX(0,(xSPRDOPT(P123,($E123-'Pricing Inputs'!$X158*$D123),$CV123,0,($CQ123+IF(Smile=TRUE(),VLOOKUP(MAX(-5,$H123-P123),Volsmile,2),0)),$CT123,$CU123,($A123-DateToday)+15,ABS(Option-2),1)*DG123*8)),0))</f>
        <v> </v>
      </c>
      <c r="BJ123" s="301" t="str">
        <f aca="false">IF($A123="N/A"," ",IF(OR(Dayrun&lt;=2,Dayrun&gt;=11),IF(OffPeakEx=TRUE(),MAX(0,(xSPRDOPT(Q123,($E123-'Pricing Inputs'!$X158*$D123),$CV123,0,($CQ123+IF(Smile=TRUE(),VLOOKUP(MAX(-5,$H123-Q123),Volsmile,2),0)),$CT123,$CU123,($A123-DateToday)+15,ABS(Option-2),1)*DG123*8)),0),0))</f>
        <v> </v>
      </c>
      <c r="BK123" s="302" t="str">
        <f aca="false">IF($A123="N/A"," ",R123*$AS123)</f>
        <v> </v>
      </c>
      <c r="BL123" s="303" t="str">
        <f aca="false">IF($A123="N/A"," ",S123*$AT123)</f>
        <v> </v>
      </c>
      <c r="BM123" s="303" t="str">
        <f aca="false">IF($A123="N/A"," ",T123*$AU123)</f>
        <v> </v>
      </c>
      <c r="BN123" s="303" t="str">
        <f aca="false">IF($A123="N/A"," ",U123*$AV123)</f>
        <v> </v>
      </c>
      <c r="BO123" s="303" t="str">
        <f aca="false">IF($A123="N/A"," ",V123*$AW123)</f>
        <v> </v>
      </c>
      <c r="BP123" s="303" t="str">
        <f aca="false">IF($A123="N/A"," ",W123*$AX123)</f>
        <v> </v>
      </c>
      <c r="BQ123" s="303" t="str">
        <f aca="false">IF($A123="N/A"," ",X123*$AY123)</f>
        <v> </v>
      </c>
      <c r="BR123" s="303" t="str">
        <f aca="false">IF($A123="N/A"," ",Y123*$AZ123)</f>
        <v> </v>
      </c>
      <c r="BS123" s="304" t="str">
        <f aca="false">IF($A123="N/A"," ",Z123*$BA123)</f>
        <v> </v>
      </c>
      <c r="BT123" s="305" t="str">
        <f aca="false">IF($A123="N/A"," ",AA123*$AS123)</f>
        <v> </v>
      </c>
      <c r="BU123" s="306" t="str">
        <f aca="false">IF($A123="N/A"," ",AB123*$AT123)</f>
        <v> </v>
      </c>
      <c r="BV123" s="306" t="str">
        <f aca="false">IF($A123="N/A"," ",AC123*$AU123)</f>
        <v> </v>
      </c>
      <c r="BW123" s="306" t="str">
        <f aca="false">IF($A123="N/A"," ",AD123*$AV123)</f>
        <v> </v>
      </c>
      <c r="BX123" s="306" t="str">
        <f aca="false">IF($A123="N/A"," ",AE123*$AW123)</f>
        <v> </v>
      </c>
      <c r="BY123" s="306" t="str">
        <f aca="false">IF($A123="N/A"," ",AF123*$AX123)</f>
        <v> </v>
      </c>
      <c r="BZ123" s="306" t="str">
        <f aca="false">IF($A123="N/A"," ",AG123*$AY123)</f>
        <v> </v>
      </c>
      <c r="CA123" s="306" t="str">
        <f aca="false">IF($A123="N/A"," ",AH123*$AZ123)</f>
        <v> </v>
      </c>
      <c r="CB123" s="307" t="str">
        <f aca="false">IF($A123="N/A"," ",AI123*$BA123)</f>
        <v> </v>
      </c>
      <c r="CC123" s="308" t="str">
        <f aca="false">IF($A123="N/A"," ",AJ123*$AS123)</f>
        <v> </v>
      </c>
      <c r="CD123" s="309" t="str">
        <f aca="false">IF($A123="N/A"," ",AK123*$AT123)</f>
        <v> </v>
      </c>
      <c r="CE123" s="309" t="str">
        <f aca="false">IF($A123="N/A"," ",AL123*$AU123)</f>
        <v> </v>
      </c>
      <c r="CF123" s="309" t="str">
        <f aca="false">IF($A123="N/A"," ",AM123*$AV123)</f>
        <v> </v>
      </c>
      <c r="CG123" s="309" t="str">
        <f aca="false">IF($A123="N/A"," ",AN123*$AW123)</f>
        <v> </v>
      </c>
      <c r="CH123" s="309" t="str">
        <f aca="false">IF($A123="N/A"," ",AO123*$AX123)</f>
        <v> </v>
      </c>
      <c r="CI123" s="309" t="str">
        <f aca="false">IF($A123="N/A"," ",AP123*$AY123)</f>
        <v> </v>
      </c>
      <c r="CJ123" s="309" t="str">
        <f aca="false">IF($A123="N/A"," ",AQ123*$AZ123)</f>
        <v> </v>
      </c>
      <c r="CK123" s="310" t="str">
        <f aca="false">IF($A123="N/A"," ",AR123*$BA123)</f>
        <v> </v>
      </c>
      <c r="CL123" s="311" t="str">
        <f aca="false">IF(A123="N/A"," ",(VLOOKUP(A123,PowerVolTable,(IF(VolBMO=2,7,IF(VolBMO=1,6,8))),FALSE())))</f>
        <v> </v>
      </c>
      <c r="CM123" s="312" t="str">
        <f aca="false">IF(A123="N/A"," ",(VLOOKUP(A123,IntraPowerVol,(IF(VolBMO=2,3,IF(VolBMO=1,2,4))),FALSE())*VLOOKUP(MONTH($A123),Volscale,2)))</f>
        <v> </v>
      </c>
      <c r="CN123" s="312" t="str">
        <f aca="false">IF($A123="N/A"," ",IF(VolType=1,CM123,CL123))</f>
        <v> </v>
      </c>
      <c r="CO123" s="312" t="str">
        <f aca="false">IF($A123="N/A"," ",(VLOOKUP($A123,OffPeakVol,(IF(VolBMO=2,7,IF(VolBMO=1,6,8))),FALSE())))</f>
        <v> </v>
      </c>
      <c r="CP123" s="312" t="str">
        <f aca="false">IF($A123="N/A"," ",(VLOOKUP($A123,OffPeakVol,(IF(VolBMO=2,3,IF(VolBMO=1,2,4))),FALSE())*VLOOKUP(MONTH($A123),Volscale,2)))</f>
        <v> </v>
      </c>
      <c r="CQ123" s="312" t="str">
        <f aca="false">IF($A123="N/A"," ",IF(VolType=1,CP123,CO123))</f>
        <v> </v>
      </c>
      <c r="CR123" s="312" t="str">
        <f aca="false">IF($A123="N/A"," ",(VLOOKUP($A123,GasVolTable,(IF(VolBMO=2,6,IF(VolBMO=1,7,5))),FALSE())))</f>
        <v> </v>
      </c>
      <c r="CS123" s="312" t="str">
        <f aca="false">IF($A123="N/A"," ",(VLOOKUP($A123,OmicronVol,(IF(VolBMO=2,3,IF(VolBMO=1,4,2))),FALSE())))</f>
        <v> </v>
      </c>
      <c r="CT123" s="312" t="str">
        <f aca="false">IF($A123="N/A"," ",(IF(DateToday&gt;$A123,$CS123,IF(VolType=1,((($CR123^2)*((($A123-1)-DateToday)/((EOMONTH($A123,0)+1)-DateToday-15)))+((($CS123)^2)*((15)/((EOMONTH($A123,0)+1)-DateToday-15))))^0.5,CR123))))</f>
        <v> </v>
      </c>
      <c r="CU123" s="312" t="str">
        <f aca="false">IF($A123="N/A"," ",IF('Pricing Inputs'!$AR$23=TRUE(),Inputs!$S$22,VLOOKUP($A123,CorrelationTable,2,FALSE())))</f>
        <v> </v>
      </c>
      <c r="CV123" s="313" t="str">
        <f aca="false">IF($A123="N/A"," ",F123+G123+(D123*('Pricing Inputs'!X158)))</f>
        <v> </v>
      </c>
      <c r="CW123" s="314" t="str">
        <f aca="false">IF($A123="N/A"," ",IF(PV=1,0,'Pricing Inputs'!Y158))</f>
        <v> </v>
      </c>
      <c r="CX123" s="315" t="str">
        <f aca="false">IF($A123="N/A"," ",(1+CW123/2)^(-2*((EOMONTH(A123,0)+20)-DateToday)/365.25))</f>
        <v> </v>
      </c>
      <c r="CY123" s="316" t="str">
        <f aca="false">IF($A123="N/A"," ",(IF(MONTH(A123)&gt;=4,IF(MONTH(A123)&lt;=10,Inputs!$S$26,Inputs!$S$27),Inputs!$S$27))*$CX123)</f>
        <v> </v>
      </c>
      <c r="CZ123" s="317" t="str">
        <f aca="false">IF($A123="N/A"," ",BK123+BL123+BN123+BO123+BQ123+BR123)</f>
        <v> </v>
      </c>
      <c r="DA123" s="318" t="str">
        <f aca="false">IF($A123="N/A"," ",BM123+BP123+BS123)</f>
        <v> </v>
      </c>
      <c r="DB123" s="319" t="str">
        <f aca="false">IF($A123="N/A"," ",BT123+BU123+BW123+BX123+BZ123+CA123)</f>
        <v> </v>
      </c>
      <c r="DC123" s="319" t="str">
        <f aca="false">IF($A123="N/A"," ",BV123+BY123+CB123)</f>
        <v> </v>
      </c>
      <c r="DD123" s="320" t="str">
        <f aca="false">IF($A123="N/A"," ",SUM(CC123:CK123))</f>
        <v> </v>
      </c>
      <c r="DE123" s="321" t="str">
        <f aca="false">IF($A123="N/A"," ",VLOOKUP($A123,NumberofDaysTable,2)*Availability)</f>
        <v> </v>
      </c>
      <c r="DF123" s="94" t="str">
        <f aca="false">IF($A123="N/A"," ",VLOOKUP($A123,NumberofDaysTable,3)*Availability)</f>
        <v> </v>
      </c>
      <c r="DG123" s="322" t="str">
        <f aca="false">IF($A123="N/A"," ",VLOOKUP($A123,NumberofDaysTable,4)*Availability)</f>
        <v> </v>
      </c>
      <c r="DH123" s="323" t="str">
        <f aca="false">IF($A123="N/A"," ",IF(Option=1,$D123*Inputs!$S$15*SUM(AS123:BA123),0))</f>
        <v> </v>
      </c>
      <c r="DI123" s="324" t="str">
        <f aca="false">IF($A123="N/A"," ",IF(Option=1,$D123*Inputs!$S$16*SUM(AS123:BA123),0))</f>
        <v> </v>
      </c>
      <c r="DJ123" s="325" t="str">
        <f aca="false">IF($A123="N/A"," ",SUM(AS123:AT123))</f>
        <v> </v>
      </c>
      <c r="DK123" s="325" t="str">
        <f aca="false">IF($A123="N/A"," ",SUM(AU123:BA123))</f>
        <v> </v>
      </c>
      <c r="DL123" s="325" t="str">
        <f aca="false">IF($A123="N/A"," ",SUM(BB123:BC123))</f>
        <v> </v>
      </c>
      <c r="DM123" s="325" t="str">
        <f aca="false">IF($A123="N/A"," ",SUM(BD123:BJ123))</f>
        <v> </v>
      </c>
    </row>
    <row r="124" customFormat="false" ht="12.75" hidden="false" customHeight="false" outlineLevel="0" collapsed="false">
      <c r="A124" s="282" t="str">
        <f aca="false">IF(A123="N/A","N/A",IF(EDATE(A123,1)&gt;Inputs!$S$5,"N/A",EDATE(A123,1)))</f>
        <v>N/A</v>
      </c>
      <c r="B124" s="283" t="str">
        <f aca="false">IF(A124="N/A"," ",YEAR(A124))</f>
        <v> </v>
      </c>
      <c r="C124" s="284" t="str">
        <f aca="false">IF(A124="N/A"," ",VLOOKUP(A124,ScaledPrice,14))</f>
        <v> </v>
      </c>
      <c r="D124" s="285" t="str">
        <f aca="false">IF(A124="N/A"," ",(VLOOKUP(MONTH($A124),Hrtable,2))/1000)</f>
        <v> </v>
      </c>
      <c r="E124" s="286" t="str">
        <f aca="false">IF($A124="N/A"," ",(C124)*D124)</f>
        <v> </v>
      </c>
      <c r="F124" s="287" t="str">
        <f aca="false">IF(A124="N/A"," ",VOM*(1+VOMesc)^(YEAR(A124)-YEAR(Today)))</f>
        <v> </v>
      </c>
      <c r="G124" s="287" t="str">
        <f aca="false">IF(A124="N/A"," ",Perstart/VLOOKUP(Dayrun,'Pricing Inputs'!$AQ$4:$AS$14,3)/(CY124/CX124))</f>
        <v> </v>
      </c>
      <c r="H124" s="288" t="str">
        <f aca="false">IF(A124="N/A"," ",SUM(E124:G124))</f>
        <v> </v>
      </c>
      <c r="I124" s="289" t="str">
        <f aca="false">VLOOKUP($A124,ScaledPrice,6)</f>
        <v> </v>
      </c>
      <c r="J124" s="290" t="str">
        <f aca="false">VLOOKUP($A124,ScaledPrice,10)</f>
        <v> </v>
      </c>
      <c r="K124" s="290" t="str">
        <f aca="false">VLOOKUP($A124,ScaledPrice,13)</f>
        <v> </v>
      </c>
      <c r="L124" s="290" t="str">
        <f aca="false">VLOOKUP($A124,ScaledPrice,7)</f>
        <v> </v>
      </c>
      <c r="M124" s="290" t="str">
        <f aca="false">VLOOKUP($A124,ScaledPrice,11)</f>
        <v> </v>
      </c>
      <c r="N124" s="290" t="str">
        <f aca="false">VLOOKUP($A124,ScaledPrice,13)</f>
        <v> </v>
      </c>
      <c r="O124" s="290" t="str">
        <f aca="false">VLOOKUP($A124,ScaledPrice,8)</f>
        <v> </v>
      </c>
      <c r="P124" s="290" t="str">
        <f aca="false">VLOOKUP($A124,ScaledPrice,12)</f>
        <v> </v>
      </c>
      <c r="Q124" s="291" t="str">
        <f aca="false">VLOOKUP($A124,ScaledPrice,13)</f>
        <v> </v>
      </c>
      <c r="R124" s="292" t="str">
        <f aca="false">IF($A124="N/A"," ",IF(Dayrun&gt;=3,IF(Option=1,MAX($I124-$H124,0),IF(Option=2,MAX($H124-$I124,0),0)),0))</f>
        <v> </v>
      </c>
      <c r="S124" s="286" t="str">
        <f aca="false">IF($A124="N/A"," ",IF(Dayrun&gt;=6,IF(Option=1,MAX($J124-H124,0),IF(Option=2,MAX(H124-$J124,0),0)),0))</f>
        <v> </v>
      </c>
      <c r="T124" s="286" t="str">
        <f aca="false">IF($A124="N/A"," ",IF(OR(Dayrun&lt;=2,Dayrun&gt;=9),IF(Option=1,MAX($K124-$H124,0),IF(Option=2,MAX($H124-$K124,0),0)),0))</f>
        <v> </v>
      </c>
      <c r="U124" s="286" t="str">
        <f aca="false">IF($A124="N/A"," ",IF(OR(Dayrun=1,Dayrun=4,Dayrun=5,Dayrun=7,Dayrun=8,Dayrun=10,Dayrun=11),IF(Option=1,MAX($L124-H124,0),IF(Option=2,MAX(H124-$L124,0),0)),0))</f>
        <v> </v>
      </c>
      <c r="V124" s="286" t="str">
        <f aca="false">IF($A124="N/A"," ",IF(OR(Dayrun=1,Dayrun=7,Dayrun=8,Dayrun=10,Dayrun=11),IF(Option=1,MAX($M124-H124,0),IF(Option=2,MAX(H124-$M124,0),0)),0))</f>
        <v> </v>
      </c>
      <c r="W124" s="286" t="str">
        <f aca="false">IF($A124="N/A"," ",IF(OR(Dayrun&lt;=2,Dayrun&gt;=10),IF(Option=1,MAX($N124-$H124,0),IF(Option=2,MAX($H124-$N124,0),0)),0))</f>
        <v> </v>
      </c>
      <c r="X124" s="286" t="str">
        <f aca="false">IF($A124="N/A"," ",IF(OR(Dayrun=1,Dayrun=5,Dayrun=8,Dayrun=11),IF(Option=1,MAX($O124-H124,0),IF(Option=2,MAX(H124-$O124,0),0)),0))</f>
        <v> </v>
      </c>
      <c r="Y124" s="286" t="str">
        <f aca="false">IF($A124="N/A"," ",IF(OR(Dayrun=1,Dayrun=8,Dayrun=11),IF(Option=1,MAX($P124-H124,0),IF(Option=2,MAX(H124-$P124,0),0)),0))</f>
        <v> </v>
      </c>
      <c r="Z124" s="293" t="str">
        <f aca="false">IF($A124="N/A"," ",IF(OR(Dayrun&lt;=2,Dayrun&gt;=11),IF(Option=1,MAX($Q124-$H124,0),IF(Option=2,MAX($H124-$Q124,0),0)),0))</f>
        <v> </v>
      </c>
      <c r="AA124" s="289" t="str">
        <f aca="false">IF($A124="N/A"," ",IF(Dayrun&gt;=3,(MAX(0,(xSPRDOPT(I124,($E124-'Pricing Inputs'!$X159*$D124),$CV124,0,($CN124+IF(Smile=TRUE(),VLOOKUP(MAX(-5,$H124-I124),Volsmile,2),0)),$CT124,$CU124,($A124-DateToday)+15,ABS(Option-2),0)-R124))),0))</f>
        <v> </v>
      </c>
      <c r="AB124" s="290" t="str">
        <f aca="false">IF($A124="N/A"," ",IF(Dayrun&gt;=6,MAX(0,(xSPRDOPT(J124,($E124-'Pricing Inputs'!$X159*$D124),$CV124,0,($CN124+IF(Smile=TRUE(),VLOOKUP(MAX(-5,$H124-J124),Volsmile,2),0)),$CT124,$CU124,($A124-DateToday)+15,ABS(Option-2),0)-S124)),0))</f>
        <v> </v>
      </c>
      <c r="AC124" s="290" t="str">
        <f aca="false">IF($A124="N/A"," ",IF(OR(Dayrun&lt;=2,Dayrun&gt;=9),IF(OffPeakEx=TRUE(),MAX(0,(xSPRDOPT(K124,($E124-'Pricing Inputs'!$X159*$D124),$CV124,0,($CQ124+IF(Smile=TRUE(),VLOOKUP(MAX(-5,$H124-K124),Volsmile,2),0)),$CT124,$CU124,($A124-DateToday)+15,ABS(Option-2),0)-T124)),0),0))</f>
        <v> </v>
      </c>
      <c r="AD124" s="290" t="str">
        <f aca="false">IF($A124="N/A"," ",IF(OR(Dayrun=1,Dayrun=4,Dayrun=5,Dayrun=7,Dayrun=8,Dayrun=10,Dayrun=11),MAX(0,(xSPRDOPT(L124,($E124-'Pricing Inputs'!$X159*$D124),$CV124,0,($CQ124+IF(Smile=TRUE(),VLOOKUP(MAX(-5,$H124-L124),Volsmile,2),0)),$CT124,$CU124,($A124-DateToday)+15,ABS(Option-2),0)-U124)),0))</f>
        <v> </v>
      </c>
      <c r="AE124" s="290" t="str">
        <f aca="false">IF($A124="N/A"," ",IF(OR(Dayrun=1,Dayrun=7,Dayrun=8,Dayrun=10,Dayrun=11),MAX(0,(xSPRDOPT(M124,($E124-'Pricing Inputs'!$X159*$D124),$CV124,0,($CQ124+IF(Smile=TRUE(),VLOOKUP(MAX(-5,$H124-M124),Volsmile,2),0)),$CT124,$CU124,($A124-DateToday)+15,ABS(Option-2),0)-V124)),0))</f>
        <v> </v>
      </c>
      <c r="AF124" s="290" t="str">
        <f aca="false">IF($A124="N/A"," ",IF(OR(Dayrun&lt;=2,Dayrun&gt;=10),IF(OffPeakEx=TRUE(),MAX(0,(xSPRDOPT(N124,($E124-'Pricing Inputs'!$X159*$D124),$CV124,0,($CQ124+IF(Smile=TRUE(),VLOOKUP(MAX(-5,$H124-N124),Volsmile,2),0)),$CT124,$CU124,($A124-DateToday)+15,ABS(Option-2),0)-W124)),0),0))</f>
        <v> </v>
      </c>
      <c r="AG124" s="290" t="str">
        <f aca="false">IF($A124="N/A"," ",IF(OR(Dayrun=1,Dayrun=5,Dayrun=8,Dayrun=11),MAX(0,(xSPRDOPT(O124,($E124-'Pricing Inputs'!$X159*$D124),$CV124,0,($CQ124+IF(Smile=TRUE(),VLOOKUP(MAX(-5,$H124-O124),Volsmile,2),0)),$CT124,$CU124,($A124-DateToday)+15,ABS(Option-2),0)-X124)),0))</f>
        <v> </v>
      </c>
      <c r="AH124" s="290" t="str">
        <f aca="false">IF($A124="N/A"," ",IF(OR(Dayrun=1,Dayrun=8,Dayrun=11),MAX(0,(xSPRDOPT(P124,($E124-'Pricing Inputs'!$X159*$D124),$CV124,0,($CQ124+IF(Smile=TRUE(),VLOOKUP(MAX(-5,$H124-P124),Volsmile,2),0)),$CT124,$CU124,($A124-DateToday)+15,ABS(Option-2),0)-Y124)),0))</f>
        <v> </v>
      </c>
      <c r="AI124" s="290" t="str">
        <f aca="false">IF($A124="N/A"," ",IF(OR(Dayrun&lt;=2,Dayrun&gt;=11),IF(OffPeakEx=TRUE(),MAX(0,(xSPRDOPT(Q124,($E124-'Pricing Inputs'!$X159*$D124),$CV124,0,($CQ124+IF(Smile=TRUE(),VLOOKUP(MAX(-5,$H124-Q124),Volsmile,2),0)),$CT124,$CU124,($A124-DateToday)+15,ABS(Option-2),0)-Z124)),0),0))</f>
        <v> </v>
      </c>
      <c r="AJ124" s="294" t="str">
        <f aca="false">IF($A124="N/A"," ",IF(Dayrun&gt;=3,IF(Option=1,$I124-$H124,IF(Option=2,$H124-$I124)),0))</f>
        <v> </v>
      </c>
      <c r="AK124" s="295" t="str">
        <f aca="false">IF($A124="N/A"," ",IF(Dayrun&gt;=6,IF(Option=1,$J124-H124,IF(Option=2,H124-$J124)),0))</f>
        <v> </v>
      </c>
      <c r="AL124" s="295" t="str">
        <f aca="false">IF($A124="N/A"," ",IF(OR(Dayrun&lt;=2,Dayrun&gt;=9),IF(Option=1,$K124-$H124,IF(Option=2,$H124-$K124)),0))</f>
        <v> </v>
      </c>
      <c r="AM124" s="295" t="str">
        <f aca="false">IF($A124="N/A"," ",IF(OR(Dayrun=1,Dayrun=4,Dayrun=5,Dayrun=7,Dayrun=8,Dayrun=10,Dayrun=11),IF(Option=1,$L124-H124,IF(Option=2,H124-$L124)),0))</f>
        <v> </v>
      </c>
      <c r="AN124" s="295" t="str">
        <f aca="false">IF($A124="N/A"," ",IF(OR(Dayrun=1,Dayrun=7,Dayrun=8,Dayrun=10,Dayrun=11),IF(Option=1,$M124-H124,IF(Option=2,H124-$M124)),0))</f>
        <v> </v>
      </c>
      <c r="AO124" s="295" t="str">
        <f aca="false">IF($A124="N/A"," ",IF(OR(Dayrun&lt;=2,Dayrun&gt;=9),IF(Option=1,$N124-$H124,IF(Option=2,$H124-$N124)),0))</f>
        <v> </v>
      </c>
      <c r="AP124" s="295" t="str">
        <f aca="false">IF($A124="N/A"," ",IF(OR(Dayrun=1,Dayrun=5,Dayrun=8,Dayrun=11),IF(Option=1,$O124-H124,IF(Option=2,H124-$O124)),0))</f>
        <v> </v>
      </c>
      <c r="AQ124" s="295" t="str">
        <f aca="false">IF($A124="N/A"," ",IF(OR(Dayrun=1,Dayrun=8,Dayrun=11),IF(Option=1,$P124-H124,IF(Option=2,H124-$P124)),0))</f>
        <v> </v>
      </c>
      <c r="AR124" s="296" t="str">
        <f aca="false">IF($A124="N/A"," ",IF(OR(Dayrun&lt;=2,Dayrun&gt;=9),IF(Option=1,$Q124-H124,IF(Option=2,H124-$Q124)),0))</f>
        <v> </v>
      </c>
      <c r="AS124" s="297" t="str">
        <f aca="false">IF($A124="N/A"," ",IF(VLOOKUP(MONTH($A124),ManualTable,2)=1,IF(Dayrun&gt;=3,$DE124*8*$CY124,0),0))</f>
        <v> </v>
      </c>
      <c r="AT124" s="297" t="str">
        <f aca="false">IF($A124="N/A"," ",IF(VLOOKUP(MONTH($A124),ManualTable,3)=1,IF(Dayrun&gt;=6,$DE124*8*$CY124,0),0))</f>
        <v> </v>
      </c>
      <c r="AU124" s="297" t="str">
        <f aca="false">IF($A124="N/A"," ",IF(VLOOKUP(MONTH($A124),ManualTable,4)=1,IF(OR(Dayrun&lt;=2,Dayrun&gt;=9),$DE124*8*$CY124,0),0))</f>
        <v> </v>
      </c>
      <c r="AV124" s="297" t="str">
        <f aca="false">IF($A124="N/A"," ",IF(VLOOKUP(MONTH($A124),ManualTable,5)=1,IF(OR(Dayrun=1,Dayrun=4,Dayrun=5,Dayrun=7,Dayrun=8,Dayrun=10,Dayrun=11),$DF124*8*$CY124,0),0))</f>
        <v> </v>
      </c>
      <c r="AW124" s="297" t="str">
        <f aca="false">IF($A124="N/A"," ",IF(VLOOKUP(MONTH($A124),ManualTable,6)=1,IF(OR(Dayrun=1,Dayrun=7,Dayrun=8,Dayrun=10,Dayrun=11),$DF124*8*$CY124,0),0))</f>
        <v> </v>
      </c>
      <c r="AX124" s="297" t="str">
        <f aca="false">IF($A124="N/A"," ",IF(VLOOKUP(MONTH($A124),ManualTable,7)=1,IF(OR(Dayrun&lt;=2,Dayrun&gt;=9),$DF124*8*$CY124,0),0))</f>
        <v> </v>
      </c>
      <c r="AY124" s="297" t="str">
        <f aca="false">IF($A124="N/A"," ",IF(VLOOKUP(MONTH($A124),ManualTable,8)=1,IF(OR(Dayrun=1,Dayrun=5,Dayrun=8,Dayrun=11),$DG124*8*$CY124,0),0))</f>
        <v> </v>
      </c>
      <c r="AZ124" s="297" t="str">
        <f aca="false">IF($A124="N/A"," ",IF(VLOOKUP(MONTH($A124),ManualTable,9)=1,IF(OR(Dayrun=1,Dayrun=8,Dayrun=11),$DG124*8*$CY124,0),0))</f>
        <v> </v>
      </c>
      <c r="BA124" s="298" t="str">
        <f aca="false">IF($A124="N/A"," ",IF(VLOOKUP(MONTH($A124),ManualTable,10)=1,IF(OR(Dayrun&lt;=2,Dayrun&gt;=9),$DG124*8*$CY124,0),0))</f>
        <v> </v>
      </c>
      <c r="BB124" s="299" t="str">
        <f aca="false">IF($A124="N/A"," ",IF(Dayrun&gt;=3,(MAX(0,(xSPRDOPT(I124,($E124-'Pricing Inputs'!$X159*$D124),$CV124,0,($CN124+IF(Smile=TRUE(),VLOOKUP(MAX(-5,$H124-I124),Volsmile,2),0)),$CT124,$CU124,($A124-DateToday)+15,ABS(Option-2),1)*DE124*8))),0))</f>
        <v> </v>
      </c>
      <c r="BC124" s="300" t="str">
        <f aca="false">IF($A124="N/A"," ",IF(Dayrun&gt;=6,MAX(0,(xSPRDOPT(J124,($E124-'Pricing Inputs'!$X159*$D124),$CV124,0,($CN124+IF(Smile=TRUE(),VLOOKUP(MAX(-5,$H124-J124),Volsmile,2),0)),$CT124,$CU124,($A124-DateToday)+15,ABS(Option-2),1)*DE124*8)),0))</f>
        <v> </v>
      </c>
      <c r="BD124" s="300" t="str">
        <f aca="false">IF($A124="N/A"," ",IF(OR(Dayrun&lt;=2,Dayrun&gt;=9),IF(OffPeakEx=TRUE(),MAX(0,(xSPRDOPT(K124,($E124-'Pricing Inputs'!$X159*$D124),$CV124,0,($CQ124+IF(Smile=TRUE(),VLOOKUP(MAX(-5,$H124-K124),Volsmile,2),0)),$CT124,$CU124,($A124-DateToday)+15,ABS(Option-2),1)*DE124*8)),0),0))</f>
        <v> </v>
      </c>
      <c r="BE124" s="300" t="str">
        <f aca="false">IF($A124="N/A"," ",IF(OR(Dayrun=1,Dayrun=4,Dayrun=5,Dayrun=7,Dayrun=8,Dayrun=10,Dayrun=11),MAX(0,(xSPRDOPT(L124,($E124-'Pricing Inputs'!$X159*$D124),$CV124,0,($CQ124+IF(Smile=TRUE(),VLOOKUP(MAX(-5,$H124-L124),Volsmile,2),0)),$CT124,$CU124,($A124-DateToday)+15,ABS(Option-2),1)*DF124*8)),0))</f>
        <v> </v>
      </c>
      <c r="BF124" s="300" t="str">
        <f aca="false">IF($A124="N/A"," ",IF(OR(Dayrun=1,Dayrun=7,Dayrun=8,Dayrun=10,Dayrun=11),MAX(0,(xSPRDOPT(M124,($E124-'Pricing Inputs'!$X159*$D124),$CV124,0,($CQ124+IF(Smile=TRUE(),VLOOKUP(MAX(-5,$H124-M124),Volsmile,2),0)),$CT124,$CU124,($A124-DateToday)+15,ABS(Option-2),1)*DF124*8)),0))</f>
        <v> </v>
      </c>
      <c r="BG124" s="300" t="str">
        <f aca="false">IF($A124="N/A"," ",IF(OR(Dayrun&lt;=2,Dayrun&gt;=10),IF(OffPeakEx=TRUE(),MAX(0,(xSPRDOPT(N124,($E124-'Pricing Inputs'!$X159*$D124),$CV124,0,($CQ124+IF(Smile=TRUE(),VLOOKUP(MAX(-5,$H124-N124),Volsmile,2),0)),$CT124,$CU124,($A124-DateToday)+15,ABS(Option-2),1)*DF124*8)),0),0))</f>
        <v> </v>
      </c>
      <c r="BH124" s="300" t="str">
        <f aca="false">IF($A124="N/A"," ",IF(OR(Dayrun=1,Dayrun=5,Dayrun=8,Dayrun=11),MAX(0,(xSPRDOPT(O124,($E124-'Pricing Inputs'!$X159*$D124),$CV124,0,($CQ124+IF(Smile=TRUE(),VLOOKUP(MAX(-5,$H124-O124),Volsmile,2),0)),$CT124,$CU124,($A124-DateToday)+15,ABS(Option-2),1)*DG124*8)),0))</f>
        <v> </v>
      </c>
      <c r="BI124" s="300" t="str">
        <f aca="false">IF($A124="N/A"," ",IF(OR(Dayrun=1,Dayrun=8,Dayrun=11),MAX(0,(xSPRDOPT(P124,($E124-'Pricing Inputs'!$X159*$D124),$CV124,0,($CQ124+IF(Smile=TRUE(),VLOOKUP(MAX(-5,$H124-P124),Volsmile,2),0)),$CT124,$CU124,($A124-DateToday)+15,ABS(Option-2),1)*DG124*8)),0))</f>
        <v> </v>
      </c>
      <c r="BJ124" s="301" t="str">
        <f aca="false">IF($A124="N/A"," ",IF(OR(Dayrun&lt;=2,Dayrun&gt;=11),IF(OffPeakEx=TRUE(),MAX(0,(xSPRDOPT(Q124,($E124-'Pricing Inputs'!$X159*$D124),$CV124,0,($CQ124+IF(Smile=TRUE(),VLOOKUP(MAX(-5,$H124-Q124),Volsmile,2),0)),$CT124,$CU124,($A124-DateToday)+15,ABS(Option-2),1)*DG124*8)),0),0))</f>
        <v> </v>
      </c>
      <c r="BK124" s="302" t="str">
        <f aca="false">IF($A124="N/A"," ",R124*$AS124)</f>
        <v> </v>
      </c>
      <c r="BL124" s="303" t="str">
        <f aca="false">IF($A124="N/A"," ",S124*$AT124)</f>
        <v> </v>
      </c>
      <c r="BM124" s="303" t="str">
        <f aca="false">IF($A124="N/A"," ",T124*$AU124)</f>
        <v> </v>
      </c>
      <c r="BN124" s="303" t="str">
        <f aca="false">IF($A124="N/A"," ",U124*$AV124)</f>
        <v> </v>
      </c>
      <c r="BO124" s="303" t="str">
        <f aca="false">IF($A124="N/A"," ",V124*$AW124)</f>
        <v> </v>
      </c>
      <c r="BP124" s="303" t="str">
        <f aca="false">IF($A124="N/A"," ",W124*$AX124)</f>
        <v> </v>
      </c>
      <c r="BQ124" s="303" t="str">
        <f aca="false">IF($A124="N/A"," ",X124*$AY124)</f>
        <v> </v>
      </c>
      <c r="BR124" s="303" t="str">
        <f aca="false">IF($A124="N/A"," ",Y124*$AZ124)</f>
        <v> </v>
      </c>
      <c r="BS124" s="304" t="str">
        <f aca="false">IF($A124="N/A"," ",Z124*$BA124)</f>
        <v> </v>
      </c>
      <c r="BT124" s="305" t="str">
        <f aca="false">IF($A124="N/A"," ",AA124*$AS124)</f>
        <v> </v>
      </c>
      <c r="BU124" s="306" t="str">
        <f aca="false">IF($A124="N/A"," ",AB124*$AT124)</f>
        <v> </v>
      </c>
      <c r="BV124" s="306" t="str">
        <f aca="false">IF($A124="N/A"," ",AC124*$AU124)</f>
        <v> </v>
      </c>
      <c r="BW124" s="306" t="str">
        <f aca="false">IF($A124="N/A"," ",AD124*$AV124)</f>
        <v> </v>
      </c>
      <c r="BX124" s="306" t="str">
        <f aca="false">IF($A124="N/A"," ",AE124*$AW124)</f>
        <v> </v>
      </c>
      <c r="BY124" s="306" t="str">
        <f aca="false">IF($A124="N/A"," ",AF124*$AX124)</f>
        <v> </v>
      </c>
      <c r="BZ124" s="306" t="str">
        <f aca="false">IF($A124="N/A"," ",AG124*$AY124)</f>
        <v> </v>
      </c>
      <c r="CA124" s="306" t="str">
        <f aca="false">IF($A124="N/A"," ",AH124*$AZ124)</f>
        <v> </v>
      </c>
      <c r="CB124" s="307" t="str">
        <f aca="false">IF($A124="N/A"," ",AI124*$BA124)</f>
        <v> </v>
      </c>
      <c r="CC124" s="308" t="str">
        <f aca="false">IF($A124="N/A"," ",AJ124*$AS124)</f>
        <v> </v>
      </c>
      <c r="CD124" s="309" t="str">
        <f aca="false">IF($A124="N/A"," ",AK124*$AT124)</f>
        <v> </v>
      </c>
      <c r="CE124" s="309" t="str">
        <f aca="false">IF($A124="N/A"," ",AL124*$AU124)</f>
        <v> </v>
      </c>
      <c r="CF124" s="309" t="str">
        <f aca="false">IF($A124="N/A"," ",AM124*$AV124)</f>
        <v> </v>
      </c>
      <c r="CG124" s="309" t="str">
        <f aca="false">IF($A124="N/A"," ",AN124*$AW124)</f>
        <v> </v>
      </c>
      <c r="CH124" s="309" t="str">
        <f aca="false">IF($A124="N/A"," ",AO124*$AX124)</f>
        <v> </v>
      </c>
      <c r="CI124" s="309" t="str">
        <f aca="false">IF($A124="N/A"," ",AP124*$AY124)</f>
        <v> </v>
      </c>
      <c r="CJ124" s="309" t="str">
        <f aca="false">IF($A124="N/A"," ",AQ124*$AZ124)</f>
        <v> </v>
      </c>
      <c r="CK124" s="310" t="str">
        <f aca="false">IF($A124="N/A"," ",AR124*$BA124)</f>
        <v> </v>
      </c>
      <c r="CL124" s="311" t="str">
        <f aca="false">IF(A124="N/A"," ",(VLOOKUP(A124,PowerVolTable,(IF(VolBMO=2,7,IF(VolBMO=1,6,8))),FALSE())))</f>
        <v> </v>
      </c>
      <c r="CM124" s="312" t="str">
        <f aca="false">IF(A124="N/A"," ",(VLOOKUP(A124,IntraPowerVol,(IF(VolBMO=2,3,IF(VolBMO=1,2,4))),FALSE())*VLOOKUP(MONTH($A124),Volscale,2)))</f>
        <v> </v>
      </c>
      <c r="CN124" s="312" t="str">
        <f aca="false">IF($A124="N/A"," ",IF(VolType=1,CM124,CL124))</f>
        <v> </v>
      </c>
      <c r="CO124" s="312" t="str">
        <f aca="false">IF($A124="N/A"," ",(VLOOKUP($A124,OffPeakVol,(IF(VolBMO=2,7,IF(VolBMO=1,6,8))),FALSE())))</f>
        <v> </v>
      </c>
      <c r="CP124" s="312" t="str">
        <f aca="false">IF($A124="N/A"," ",(VLOOKUP($A124,OffPeakVol,(IF(VolBMO=2,3,IF(VolBMO=1,2,4))),FALSE())*VLOOKUP(MONTH($A124),Volscale,2)))</f>
        <v> </v>
      </c>
      <c r="CQ124" s="312" t="str">
        <f aca="false">IF($A124="N/A"," ",IF(VolType=1,CP124,CO124))</f>
        <v> </v>
      </c>
      <c r="CR124" s="312" t="str">
        <f aca="false">IF($A124="N/A"," ",(VLOOKUP($A124,GasVolTable,(IF(VolBMO=2,6,IF(VolBMO=1,7,5))),FALSE())))</f>
        <v> </v>
      </c>
      <c r="CS124" s="312" t="str">
        <f aca="false">IF($A124="N/A"," ",(VLOOKUP($A124,OmicronVol,(IF(VolBMO=2,3,IF(VolBMO=1,4,2))),FALSE())))</f>
        <v> </v>
      </c>
      <c r="CT124" s="312" t="str">
        <f aca="false">IF($A124="N/A"," ",(IF(DateToday&gt;$A124,$CS124,IF(VolType=1,((($CR124^2)*((($A124-1)-DateToday)/((EOMONTH($A124,0)+1)-DateToday-15)))+((($CS124)^2)*((15)/((EOMONTH($A124,0)+1)-DateToday-15))))^0.5,CR124))))</f>
        <v> </v>
      </c>
      <c r="CU124" s="312" t="str">
        <f aca="false">IF($A124="N/A"," ",IF('Pricing Inputs'!$AR$23=TRUE(),Inputs!$S$22,VLOOKUP($A124,CorrelationTable,2,FALSE())))</f>
        <v> </v>
      </c>
      <c r="CV124" s="313" t="str">
        <f aca="false">IF($A124="N/A"," ",F124+G124+(D124*('Pricing Inputs'!X159)))</f>
        <v> </v>
      </c>
      <c r="CW124" s="314" t="str">
        <f aca="false">IF($A124="N/A"," ",IF(PV=1,0,'Pricing Inputs'!Y159))</f>
        <v> </v>
      </c>
      <c r="CX124" s="315" t="str">
        <f aca="false">IF($A124="N/A"," ",(1+CW124/2)^(-2*((EOMONTH(A124,0)+20)-DateToday)/365.25))</f>
        <v> </v>
      </c>
      <c r="CY124" s="316" t="str">
        <f aca="false">IF($A124="N/A"," ",(IF(MONTH(A124)&gt;=4,IF(MONTH(A124)&lt;=10,Inputs!$S$26,Inputs!$S$27),Inputs!$S$27))*$CX124)</f>
        <v> </v>
      </c>
      <c r="CZ124" s="317" t="str">
        <f aca="false">IF($A124="N/A"," ",BK124+BL124+BN124+BO124+BQ124+BR124)</f>
        <v> </v>
      </c>
      <c r="DA124" s="318" t="str">
        <f aca="false">IF($A124="N/A"," ",BM124+BP124+BS124)</f>
        <v> </v>
      </c>
      <c r="DB124" s="319" t="str">
        <f aca="false">IF($A124="N/A"," ",BT124+BU124+BW124+BX124+BZ124+CA124)</f>
        <v> </v>
      </c>
      <c r="DC124" s="319" t="str">
        <f aca="false">IF($A124="N/A"," ",BV124+BY124+CB124)</f>
        <v> </v>
      </c>
      <c r="DD124" s="320" t="str">
        <f aca="false">IF($A124="N/A"," ",SUM(CC124:CK124))</f>
        <v> </v>
      </c>
      <c r="DE124" s="321" t="str">
        <f aca="false">IF($A124="N/A"," ",VLOOKUP($A124,NumberofDaysTable,2)*Availability)</f>
        <v> </v>
      </c>
      <c r="DF124" s="94" t="str">
        <f aca="false">IF($A124="N/A"," ",VLOOKUP($A124,NumberofDaysTable,3)*Availability)</f>
        <v> </v>
      </c>
      <c r="DG124" s="322" t="str">
        <f aca="false">IF($A124="N/A"," ",VLOOKUP($A124,NumberofDaysTable,4)*Availability)</f>
        <v> </v>
      </c>
      <c r="DH124" s="323" t="str">
        <f aca="false">IF($A124="N/A"," ",IF(Option=1,$D124*Inputs!$S$15*SUM(AS124:BA124),0))</f>
        <v> </v>
      </c>
      <c r="DI124" s="324" t="str">
        <f aca="false">IF($A124="N/A"," ",IF(Option=1,$D124*Inputs!$S$16*SUM(AS124:BA124),0))</f>
        <v> </v>
      </c>
      <c r="DJ124" s="325" t="str">
        <f aca="false">IF($A124="N/A"," ",SUM(AS124:AT124))</f>
        <v> </v>
      </c>
      <c r="DK124" s="325" t="str">
        <f aca="false">IF($A124="N/A"," ",SUM(AU124:BA124))</f>
        <v> </v>
      </c>
      <c r="DL124" s="325" t="str">
        <f aca="false">IF($A124="N/A"," ",SUM(BB124:BC124))</f>
        <v> </v>
      </c>
      <c r="DM124" s="325" t="str">
        <f aca="false">IF($A124="N/A"," ",SUM(BD124:BJ124))</f>
        <v> </v>
      </c>
    </row>
    <row r="125" customFormat="false" ht="12.75" hidden="false" customHeight="false" outlineLevel="0" collapsed="false">
      <c r="A125" s="282" t="str">
        <f aca="false">IF(A124="N/A","N/A",IF(EDATE(A124,1)&gt;Inputs!$S$5,"N/A",EDATE(A124,1)))</f>
        <v>N/A</v>
      </c>
      <c r="B125" s="283" t="str">
        <f aca="false">IF(A125="N/A"," ",YEAR(A125))</f>
        <v> </v>
      </c>
      <c r="C125" s="284" t="str">
        <f aca="false">IF(A125="N/A"," ",VLOOKUP(A125,ScaledPrice,14))</f>
        <v> </v>
      </c>
      <c r="D125" s="285" t="str">
        <f aca="false">IF(A125="N/A"," ",(VLOOKUP(MONTH($A125),Hrtable,2))/1000)</f>
        <v> </v>
      </c>
      <c r="E125" s="286" t="str">
        <f aca="false">IF($A125="N/A"," ",(C125)*D125)</f>
        <v> </v>
      </c>
      <c r="F125" s="287" t="str">
        <f aca="false">IF(A125="N/A"," ",VOM*(1+VOMesc)^(YEAR(A125)-YEAR(Today)))</f>
        <v> </v>
      </c>
      <c r="G125" s="287" t="str">
        <f aca="false">IF(A125="N/A"," ",Perstart/VLOOKUP(Dayrun,'Pricing Inputs'!$AQ$4:$AS$14,3)/(CY125/CX125))</f>
        <v> </v>
      </c>
      <c r="H125" s="288" t="str">
        <f aca="false">IF(A125="N/A"," ",SUM(E125:G125))</f>
        <v> </v>
      </c>
      <c r="I125" s="289" t="str">
        <f aca="false">VLOOKUP($A125,ScaledPrice,6)</f>
        <v> </v>
      </c>
      <c r="J125" s="290" t="str">
        <f aca="false">VLOOKUP($A125,ScaledPrice,10)</f>
        <v> </v>
      </c>
      <c r="K125" s="290" t="str">
        <f aca="false">VLOOKUP($A125,ScaledPrice,13)</f>
        <v> </v>
      </c>
      <c r="L125" s="290" t="str">
        <f aca="false">VLOOKUP($A125,ScaledPrice,7)</f>
        <v> </v>
      </c>
      <c r="M125" s="290" t="str">
        <f aca="false">VLOOKUP($A125,ScaledPrice,11)</f>
        <v> </v>
      </c>
      <c r="N125" s="290" t="str">
        <f aca="false">VLOOKUP($A125,ScaledPrice,13)</f>
        <v> </v>
      </c>
      <c r="O125" s="290" t="str">
        <f aca="false">VLOOKUP($A125,ScaledPrice,8)</f>
        <v> </v>
      </c>
      <c r="P125" s="290" t="str">
        <f aca="false">VLOOKUP($A125,ScaledPrice,12)</f>
        <v> </v>
      </c>
      <c r="Q125" s="291" t="str">
        <f aca="false">VLOOKUP($A125,ScaledPrice,13)</f>
        <v> </v>
      </c>
      <c r="R125" s="292" t="str">
        <f aca="false">IF($A125="N/A"," ",IF(Dayrun&gt;=3,IF(Option=1,MAX($I125-$H125,0),IF(Option=2,MAX($H125-$I125,0),0)),0))</f>
        <v> </v>
      </c>
      <c r="S125" s="286" t="str">
        <f aca="false">IF($A125="N/A"," ",IF(Dayrun&gt;=6,IF(Option=1,MAX($J125-H125,0),IF(Option=2,MAX(H125-$J125,0),0)),0))</f>
        <v> </v>
      </c>
      <c r="T125" s="286" t="str">
        <f aca="false">IF($A125="N/A"," ",IF(OR(Dayrun&lt;=2,Dayrun&gt;=9),IF(Option=1,MAX($K125-$H125,0),IF(Option=2,MAX($H125-$K125,0),0)),0))</f>
        <v> </v>
      </c>
      <c r="U125" s="286" t="str">
        <f aca="false">IF($A125="N/A"," ",IF(OR(Dayrun=1,Dayrun=4,Dayrun=5,Dayrun=7,Dayrun=8,Dayrun=10,Dayrun=11),IF(Option=1,MAX($L125-H125,0),IF(Option=2,MAX(H125-$L125,0),0)),0))</f>
        <v> </v>
      </c>
      <c r="V125" s="286" t="str">
        <f aca="false">IF($A125="N/A"," ",IF(OR(Dayrun=1,Dayrun=7,Dayrun=8,Dayrun=10,Dayrun=11),IF(Option=1,MAX($M125-H125,0),IF(Option=2,MAX(H125-$M125,0),0)),0))</f>
        <v> </v>
      </c>
      <c r="W125" s="286" t="str">
        <f aca="false">IF($A125="N/A"," ",IF(OR(Dayrun&lt;=2,Dayrun&gt;=10),IF(Option=1,MAX($N125-$H125,0),IF(Option=2,MAX($H125-$N125,0),0)),0))</f>
        <v> </v>
      </c>
      <c r="X125" s="286" t="str">
        <f aca="false">IF($A125="N/A"," ",IF(OR(Dayrun=1,Dayrun=5,Dayrun=8,Dayrun=11),IF(Option=1,MAX($O125-H125,0),IF(Option=2,MAX(H125-$O125,0),0)),0))</f>
        <v> </v>
      </c>
      <c r="Y125" s="286" t="str">
        <f aca="false">IF($A125="N/A"," ",IF(OR(Dayrun=1,Dayrun=8,Dayrun=11),IF(Option=1,MAX($P125-H125,0),IF(Option=2,MAX(H125-$P125,0),0)),0))</f>
        <v> </v>
      </c>
      <c r="Z125" s="293" t="str">
        <f aca="false">IF($A125="N/A"," ",IF(OR(Dayrun&lt;=2,Dayrun&gt;=11),IF(Option=1,MAX($Q125-$H125,0),IF(Option=2,MAX($H125-$Q125,0),0)),0))</f>
        <v> </v>
      </c>
      <c r="AA125" s="289" t="str">
        <f aca="false">IF($A125="N/A"," ",IF(Dayrun&gt;=3,(MAX(0,(xSPRDOPT(I125,($E125-'Pricing Inputs'!$X160*$D125),$CV125,0,($CN125+IF(Smile=TRUE(),VLOOKUP(MAX(-5,$H125-I125),Volsmile,2),0)),$CT125,$CU125,($A125-DateToday)+15,ABS(Option-2),0)-R125))),0))</f>
        <v> </v>
      </c>
      <c r="AB125" s="290" t="str">
        <f aca="false">IF($A125="N/A"," ",IF(Dayrun&gt;=6,MAX(0,(xSPRDOPT(J125,($E125-'Pricing Inputs'!$X160*$D125),$CV125,0,($CN125+IF(Smile=TRUE(),VLOOKUP(MAX(-5,$H125-J125),Volsmile,2),0)),$CT125,$CU125,($A125-DateToday)+15,ABS(Option-2),0)-S125)),0))</f>
        <v> </v>
      </c>
      <c r="AC125" s="290" t="str">
        <f aca="false">IF($A125="N/A"," ",IF(OR(Dayrun&lt;=2,Dayrun&gt;=9),IF(OffPeakEx=TRUE(),MAX(0,(xSPRDOPT(K125,($E125-'Pricing Inputs'!$X160*$D125),$CV125,0,($CQ125+IF(Smile=TRUE(),VLOOKUP(MAX(-5,$H125-K125),Volsmile,2),0)),$CT125,$CU125,($A125-DateToday)+15,ABS(Option-2),0)-T125)),0),0))</f>
        <v> </v>
      </c>
      <c r="AD125" s="290" t="str">
        <f aca="false">IF($A125="N/A"," ",IF(OR(Dayrun=1,Dayrun=4,Dayrun=5,Dayrun=7,Dayrun=8,Dayrun=10,Dayrun=11),MAX(0,(xSPRDOPT(L125,($E125-'Pricing Inputs'!$X160*$D125),$CV125,0,($CQ125+IF(Smile=TRUE(),VLOOKUP(MAX(-5,$H125-L125),Volsmile,2),0)),$CT125,$CU125,($A125-DateToday)+15,ABS(Option-2),0)-U125)),0))</f>
        <v> </v>
      </c>
      <c r="AE125" s="290" t="str">
        <f aca="false">IF($A125="N/A"," ",IF(OR(Dayrun=1,Dayrun=7,Dayrun=8,Dayrun=10,Dayrun=11),MAX(0,(xSPRDOPT(M125,($E125-'Pricing Inputs'!$X160*$D125),$CV125,0,($CQ125+IF(Smile=TRUE(),VLOOKUP(MAX(-5,$H125-M125),Volsmile,2),0)),$CT125,$CU125,($A125-DateToday)+15,ABS(Option-2),0)-V125)),0))</f>
        <v> </v>
      </c>
      <c r="AF125" s="290" t="str">
        <f aca="false">IF($A125="N/A"," ",IF(OR(Dayrun&lt;=2,Dayrun&gt;=10),IF(OffPeakEx=TRUE(),MAX(0,(xSPRDOPT(N125,($E125-'Pricing Inputs'!$X160*$D125),$CV125,0,($CQ125+IF(Smile=TRUE(),VLOOKUP(MAX(-5,$H125-N125),Volsmile,2),0)),$CT125,$CU125,($A125-DateToday)+15,ABS(Option-2),0)-W125)),0),0))</f>
        <v> </v>
      </c>
      <c r="AG125" s="290" t="str">
        <f aca="false">IF($A125="N/A"," ",IF(OR(Dayrun=1,Dayrun=5,Dayrun=8,Dayrun=11),MAX(0,(xSPRDOPT(O125,($E125-'Pricing Inputs'!$X160*$D125),$CV125,0,($CQ125+IF(Smile=TRUE(),VLOOKUP(MAX(-5,$H125-O125),Volsmile,2),0)),$CT125,$CU125,($A125-DateToday)+15,ABS(Option-2),0)-X125)),0))</f>
        <v> </v>
      </c>
      <c r="AH125" s="290" t="str">
        <f aca="false">IF($A125="N/A"," ",IF(OR(Dayrun=1,Dayrun=8,Dayrun=11),MAX(0,(xSPRDOPT(P125,($E125-'Pricing Inputs'!$X160*$D125),$CV125,0,($CQ125+IF(Smile=TRUE(),VLOOKUP(MAX(-5,$H125-P125),Volsmile,2),0)),$CT125,$CU125,($A125-DateToday)+15,ABS(Option-2),0)-Y125)),0))</f>
        <v> </v>
      </c>
      <c r="AI125" s="290" t="str">
        <f aca="false">IF($A125="N/A"," ",IF(OR(Dayrun&lt;=2,Dayrun&gt;=11),IF(OffPeakEx=TRUE(),MAX(0,(xSPRDOPT(Q125,($E125-'Pricing Inputs'!$X160*$D125),$CV125,0,($CQ125+IF(Smile=TRUE(),VLOOKUP(MAX(-5,$H125-Q125),Volsmile,2),0)),$CT125,$CU125,($A125-DateToday)+15,ABS(Option-2),0)-Z125)),0),0))</f>
        <v> </v>
      </c>
      <c r="AJ125" s="294" t="str">
        <f aca="false">IF($A125="N/A"," ",IF(Dayrun&gt;=3,IF(Option=1,$I125-$H125,IF(Option=2,$H125-$I125)),0))</f>
        <v> </v>
      </c>
      <c r="AK125" s="295" t="str">
        <f aca="false">IF($A125="N/A"," ",IF(Dayrun&gt;=6,IF(Option=1,$J125-H125,IF(Option=2,H125-$J125)),0))</f>
        <v> </v>
      </c>
      <c r="AL125" s="295" t="str">
        <f aca="false">IF($A125="N/A"," ",IF(OR(Dayrun&lt;=2,Dayrun&gt;=9),IF(Option=1,$K125-$H125,IF(Option=2,$H125-$K125)),0))</f>
        <v> </v>
      </c>
      <c r="AM125" s="295" t="str">
        <f aca="false">IF($A125="N/A"," ",IF(OR(Dayrun=1,Dayrun=4,Dayrun=5,Dayrun=7,Dayrun=8,Dayrun=10,Dayrun=11),IF(Option=1,$L125-H125,IF(Option=2,H125-$L125)),0))</f>
        <v> </v>
      </c>
      <c r="AN125" s="295" t="str">
        <f aca="false">IF($A125="N/A"," ",IF(OR(Dayrun=1,Dayrun=7,Dayrun=8,Dayrun=10,Dayrun=11),IF(Option=1,$M125-H125,IF(Option=2,H125-$M125)),0))</f>
        <v> </v>
      </c>
      <c r="AO125" s="295" t="str">
        <f aca="false">IF($A125="N/A"," ",IF(OR(Dayrun&lt;=2,Dayrun&gt;=9),IF(Option=1,$N125-$H125,IF(Option=2,$H125-$N125)),0))</f>
        <v> </v>
      </c>
      <c r="AP125" s="295" t="str">
        <f aca="false">IF($A125="N/A"," ",IF(OR(Dayrun=1,Dayrun=5,Dayrun=8,Dayrun=11),IF(Option=1,$O125-H125,IF(Option=2,H125-$O125)),0))</f>
        <v> </v>
      </c>
      <c r="AQ125" s="295" t="str">
        <f aca="false">IF($A125="N/A"," ",IF(OR(Dayrun=1,Dayrun=8,Dayrun=11),IF(Option=1,$P125-H125,IF(Option=2,H125-$P125)),0))</f>
        <v> </v>
      </c>
      <c r="AR125" s="296" t="str">
        <f aca="false">IF($A125="N/A"," ",IF(OR(Dayrun&lt;=2,Dayrun&gt;=9),IF(Option=1,$Q125-H125,IF(Option=2,H125-$Q125)),0))</f>
        <v> </v>
      </c>
      <c r="AS125" s="297" t="str">
        <f aca="false">IF($A125="N/A"," ",IF(VLOOKUP(MONTH($A125),ManualTable,2)=1,IF(Dayrun&gt;=3,$DE125*8*$CY125,0),0))</f>
        <v> </v>
      </c>
      <c r="AT125" s="297" t="str">
        <f aca="false">IF($A125="N/A"," ",IF(VLOOKUP(MONTH($A125),ManualTable,3)=1,IF(Dayrun&gt;=6,$DE125*8*$CY125,0),0))</f>
        <v> </v>
      </c>
      <c r="AU125" s="297" t="str">
        <f aca="false">IF($A125="N/A"," ",IF(VLOOKUP(MONTH($A125),ManualTable,4)=1,IF(OR(Dayrun&lt;=2,Dayrun&gt;=9),$DE125*8*$CY125,0),0))</f>
        <v> </v>
      </c>
      <c r="AV125" s="297" t="str">
        <f aca="false">IF($A125="N/A"," ",IF(VLOOKUP(MONTH($A125),ManualTable,5)=1,IF(OR(Dayrun=1,Dayrun=4,Dayrun=5,Dayrun=7,Dayrun=8,Dayrun=10,Dayrun=11),$DF125*8*$CY125,0),0))</f>
        <v> </v>
      </c>
      <c r="AW125" s="297" t="str">
        <f aca="false">IF($A125="N/A"," ",IF(VLOOKUP(MONTH($A125),ManualTable,6)=1,IF(OR(Dayrun=1,Dayrun=7,Dayrun=8,Dayrun=10,Dayrun=11),$DF125*8*$CY125,0),0))</f>
        <v> </v>
      </c>
      <c r="AX125" s="297" t="str">
        <f aca="false">IF($A125="N/A"," ",IF(VLOOKUP(MONTH($A125),ManualTable,7)=1,IF(OR(Dayrun&lt;=2,Dayrun&gt;=9),$DF125*8*$CY125,0),0))</f>
        <v> </v>
      </c>
      <c r="AY125" s="297" t="str">
        <f aca="false">IF($A125="N/A"," ",IF(VLOOKUP(MONTH($A125),ManualTable,8)=1,IF(OR(Dayrun=1,Dayrun=5,Dayrun=8,Dayrun=11),$DG125*8*$CY125,0),0))</f>
        <v> </v>
      </c>
      <c r="AZ125" s="297" t="str">
        <f aca="false">IF($A125="N/A"," ",IF(VLOOKUP(MONTH($A125),ManualTable,9)=1,IF(OR(Dayrun=1,Dayrun=8,Dayrun=11),$DG125*8*$CY125,0),0))</f>
        <v> </v>
      </c>
      <c r="BA125" s="298" t="str">
        <f aca="false">IF($A125="N/A"," ",IF(VLOOKUP(MONTH($A125),ManualTable,10)=1,IF(OR(Dayrun&lt;=2,Dayrun&gt;=9),$DG125*8*$CY125,0),0))</f>
        <v> </v>
      </c>
      <c r="BB125" s="299" t="str">
        <f aca="false">IF($A125="N/A"," ",IF(Dayrun&gt;=3,(MAX(0,(xSPRDOPT(I125,($E125-'Pricing Inputs'!$X160*$D125),$CV125,0,($CN125+IF(Smile=TRUE(),VLOOKUP(MAX(-5,$H125-I125),Volsmile,2),0)),$CT125,$CU125,($A125-DateToday)+15,ABS(Option-2),1)*DE125*8))),0))</f>
        <v> </v>
      </c>
      <c r="BC125" s="300" t="str">
        <f aca="false">IF($A125="N/A"," ",IF(Dayrun&gt;=6,MAX(0,(xSPRDOPT(J125,($E125-'Pricing Inputs'!$X160*$D125),$CV125,0,($CN125+IF(Smile=TRUE(),VLOOKUP(MAX(-5,$H125-J125),Volsmile,2),0)),$CT125,$CU125,($A125-DateToday)+15,ABS(Option-2),1)*DE125*8)),0))</f>
        <v> </v>
      </c>
      <c r="BD125" s="300" t="str">
        <f aca="false">IF($A125="N/A"," ",IF(OR(Dayrun&lt;=2,Dayrun&gt;=9),IF(OffPeakEx=TRUE(),MAX(0,(xSPRDOPT(K125,($E125-'Pricing Inputs'!$X160*$D125),$CV125,0,($CQ125+IF(Smile=TRUE(),VLOOKUP(MAX(-5,$H125-K125),Volsmile,2),0)),$CT125,$CU125,($A125-DateToday)+15,ABS(Option-2),1)*DE125*8)),0),0))</f>
        <v> </v>
      </c>
      <c r="BE125" s="300" t="str">
        <f aca="false">IF($A125="N/A"," ",IF(OR(Dayrun=1,Dayrun=4,Dayrun=5,Dayrun=7,Dayrun=8,Dayrun=10,Dayrun=11),MAX(0,(xSPRDOPT(L125,($E125-'Pricing Inputs'!$X160*$D125),$CV125,0,($CQ125+IF(Smile=TRUE(),VLOOKUP(MAX(-5,$H125-L125),Volsmile,2),0)),$CT125,$CU125,($A125-DateToday)+15,ABS(Option-2),1)*DF125*8)),0))</f>
        <v> </v>
      </c>
      <c r="BF125" s="300" t="str">
        <f aca="false">IF($A125="N/A"," ",IF(OR(Dayrun=1,Dayrun=7,Dayrun=8,Dayrun=10,Dayrun=11),MAX(0,(xSPRDOPT(M125,($E125-'Pricing Inputs'!$X160*$D125),$CV125,0,($CQ125+IF(Smile=TRUE(),VLOOKUP(MAX(-5,$H125-M125),Volsmile,2),0)),$CT125,$CU125,($A125-DateToday)+15,ABS(Option-2),1)*DF125*8)),0))</f>
        <v> </v>
      </c>
      <c r="BG125" s="300" t="str">
        <f aca="false">IF($A125="N/A"," ",IF(OR(Dayrun&lt;=2,Dayrun&gt;=10),IF(OffPeakEx=TRUE(),MAX(0,(xSPRDOPT(N125,($E125-'Pricing Inputs'!$X160*$D125),$CV125,0,($CQ125+IF(Smile=TRUE(),VLOOKUP(MAX(-5,$H125-N125),Volsmile,2),0)),$CT125,$CU125,($A125-DateToday)+15,ABS(Option-2),1)*DF125*8)),0),0))</f>
        <v> </v>
      </c>
      <c r="BH125" s="300" t="str">
        <f aca="false">IF($A125="N/A"," ",IF(OR(Dayrun=1,Dayrun=5,Dayrun=8,Dayrun=11),MAX(0,(xSPRDOPT(O125,($E125-'Pricing Inputs'!$X160*$D125),$CV125,0,($CQ125+IF(Smile=TRUE(),VLOOKUP(MAX(-5,$H125-O125),Volsmile,2),0)),$CT125,$CU125,($A125-DateToday)+15,ABS(Option-2),1)*DG125*8)),0))</f>
        <v> </v>
      </c>
      <c r="BI125" s="300" t="str">
        <f aca="false">IF($A125="N/A"," ",IF(OR(Dayrun=1,Dayrun=8,Dayrun=11),MAX(0,(xSPRDOPT(P125,($E125-'Pricing Inputs'!$X160*$D125),$CV125,0,($CQ125+IF(Smile=TRUE(),VLOOKUP(MAX(-5,$H125-P125),Volsmile,2),0)),$CT125,$CU125,($A125-DateToday)+15,ABS(Option-2),1)*DG125*8)),0))</f>
        <v> </v>
      </c>
      <c r="BJ125" s="301" t="str">
        <f aca="false">IF($A125="N/A"," ",IF(OR(Dayrun&lt;=2,Dayrun&gt;=11),IF(OffPeakEx=TRUE(),MAX(0,(xSPRDOPT(Q125,($E125-'Pricing Inputs'!$X160*$D125),$CV125,0,($CQ125+IF(Smile=TRUE(),VLOOKUP(MAX(-5,$H125-Q125),Volsmile,2),0)),$CT125,$CU125,($A125-DateToday)+15,ABS(Option-2),1)*DG125*8)),0),0))</f>
        <v> </v>
      </c>
      <c r="BK125" s="302" t="str">
        <f aca="false">IF($A125="N/A"," ",R125*$AS125)</f>
        <v> </v>
      </c>
      <c r="BL125" s="303" t="str">
        <f aca="false">IF($A125="N/A"," ",S125*$AT125)</f>
        <v> </v>
      </c>
      <c r="BM125" s="303" t="str">
        <f aca="false">IF($A125="N/A"," ",T125*$AU125)</f>
        <v> </v>
      </c>
      <c r="BN125" s="303" t="str">
        <f aca="false">IF($A125="N/A"," ",U125*$AV125)</f>
        <v> </v>
      </c>
      <c r="BO125" s="303" t="str">
        <f aca="false">IF($A125="N/A"," ",V125*$AW125)</f>
        <v> </v>
      </c>
      <c r="BP125" s="303" t="str">
        <f aca="false">IF($A125="N/A"," ",W125*$AX125)</f>
        <v> </v>
      </c>
      <c r="BQ125" s="303" t="str">
        <f aca="false">IF($A125="N/A"," ",X125*$AY125)</f>
        <v> </v>
      </c>
      <c r="BR125" s="303" t="str">
        <f aca="false">IF($A125="N/A"," ",Y125*$AZ125)</f>
        <v> </v>
      </c>
      <c r="BS125" s="304" t="str">
        <f aca="false">IF($A125="N/A"," ",Z125*$BA125)</f>
        <v> </v>
      </c>
      <c r="BT125" s="305" t="str">
        <f aca="false">IF($A125="N/A"," ",AA125*$AS125)</f>
        <v> </v>
      </c>
      <c r="BU125" s="306" t="str">
        <f aca="false">IF($A125="N/A"," ",AB125*$AT125)</f>
        <v> </v>
      </c>
      <c r="BV125" s="306" t="str">
        <f aca="false">IF($A125="N/A"," ",AC125*$AU125)</f>
        <v> </v>
      </c>
      <c r="BW125" s="306" t="str">
        <f aca="false">IF($A125="N/A"," ",AD125*$AV125)</f>
        <v> </v>
      </c>
      <c r="BX125" s="306" t="str">
        <f aca="false">IF($A125="N/A"," ",AE125*$AW125)</f>
        <v> </v>
      </c>
      <c r="BY125" s="306" t="str">
        <f aca="false">IF($A125="N/A"," ",AF125*$AX125)</f>
        <v> </v>
      </c>
      <c r="BZ125" s="306" t="str">
        <f aca="false">IF($A125="N/A"," ",AG125*$AY125)</f>
        <v> </v>
      </c>
      <c r="CA125" s="306" t="str">
        <f aca="false">IF($A125="N/A"," ",AH125*$AZ125)</f>
        <v> </v>
      </c>
      <c r="CB125" s="307" t="str">
        <f aca="false">IF($A125="N/A"," ",AI125*$BA125)</f>
        <v> </v>
      </c>
      <c r="CC125" s="308" t="str">
        <f aca="false">IF($A125="N/A"," ",AJ125*$AS125)</f>
        <v> </v>
      </c>
      <c r="CD125" s="309" t="str">
        <f aca="false">IF($A125="N/A"," ",AK125*$AT125)</f>
        <v> </v>
      </c>
      <c r="CE125" s="309" t="str">
        <f aca="false">IF($A125="N/A"," ",AL125*$AU125)</f>
        <v> </v>
      </c>
      <c r="CF125" s="309" t="str">
        <f aca="false">IF($A125="N/A"," ",AM125*$AV125)</f>
        <v> </v>
      </c>
      <c r="CG125" s="309" t="str">
        <f aca="false">IF($A125="N/A"," ",AN125*$AW125)</f>
        <v> </v>
      </c>
      <c r="CH125" s="309" t="str">
        <f aca="false">IF($A125="N/A"," ",AO125*$AX125)</f>
        <v> </v>
      </c>
      <c r="CI125" s="309" t="str">
        <f aca="false">IF($A125="N/A"," ",AP125*$AY125)</f>
        <v> </v>
      </c>
      <c r="CJ125" s="309" t="str">
        <f aca="false">IF($A125="N/A"," ",AQ125*$AZ125)</f>
        <v> </v>
      </c>
      <c r="CK125" s="310" t="str">
        <f aca="false">IF($A125="N/A"," ",AR125*$BA125)</f>
        <v> </v>
      </c>
      <c r="CL125" s="311" t="str">
        <f aca="false">IF(A125="N/A"," ",(VLOOKUP(A125,PowerVolTable,(IF(VolBMO=2,7,IF(VolBMO=1,6,8))),FALSE())))</f>
        <v> </v>
      </c>
      <c r="CM125" s="312" t="str">
        <f aca="false">IF(A125="N/A"," ",(VLOOKUP(A125,IntraPowerVol,(IF(VolBMO=2,3,IF(VolBMO=1,2,4))),FALSE())*VLOOKUP(MONTH($A125),Volscale,2)))</f>
        <v> </v>
      </c>
      <c r="CN125" s="312" t="str">
        <f aca="false">IF($A125="N/A"," ",IF(VolType=1,CM125,CL125))</f>
        <v> </v>
      </c>
      <c r="CO125" s="312" t="str">
        <f aca="false">IF($A125="N/A"," ",(VLOOKUP($A125,OffPeakVol,(IF(VolBMO=2,7,IF(VolBMO=1,6,8))),FALSE())))</f>
        <v> </v>
      </c>
      <c r="CP125" s="312" t="str">
        <f aca="false">IF($A125="N/A"," ",(VLOOKUP($A125,OffPeakVol,(IF(VolBMO=2,3,IF(VolBMO=1,2,4))),FALSE())*VLOOKUP(MONTH($A125),Volscale,2)))</f>
        <v> </v>
      </c>
      <c r="CQ125" s="312" t="str">
        <f aca="false">IF($A125="N/A"," ",IF(VolType=1,CP125,CO125))</f>
        <v> </v>
      </c>
      <c r="CR125" s="312" t="str">
        <f aca="false">IF($A125="N/A"," ",(VLOOKUP($A125,GasVolTable,(IF(VolBMO=2,6,IF(VolBMO=1,7,5))),FALSE())))</f>
        <v> </v>
      </c>
      <c r="CS125" s="312" t="str">
        <f aca="false">IF($A125="N/A"," ",(VLOOKUP($A125,OmicronVol,(IF(VolBMO=2,3,IF(VolBMO=1,4,2))),FALSE())))</f>
        <v> </v>
      </c>
      <c r="CT125" s="312" t="str">
        <f aca="false">IF($A125="N/A"," ",(IF(DateToday&gt;$A125,$CS125,IF(VolType=1,((($CR125^2)*((($A125-1)-DateToday)/((EOMONTH($A125,0)+1)-DateToday-15)))+((($CS125)^2)*((15)/((EOMONTH($A125,0)+1)-DateToday-15))))^0.5,CR125))))</f>
        <v> </v>
      </c>
      <c r="CU125" s="312" t="str">
        <f aca="false">IF($A125="N/A"," ",IF('Pricing Inputs'!$AR$23=TRUE(),Inputs!$S$22,VLOOKUP($A125,CorrelationTable,2,FALSE())))</f>
        <v> </v>
      </c>
      <c r="CV125" s="313" t="str">
        <f aca="false">IF($A125="N/A"," ",F125+G125+(D125*('Pricing Inputs'!X160)))</f>
        <v> </v>
      </c>
      <c r="CW125" s="314" t="str">
        <f aca="false">IF($A125="N/A"," ",IF(PV=1,0,'Pricing Inputs'!Y160))</f>
        <v> </v>
      </c>
      <c r="CX125" s="315" t="str">
        <f aca="false">IF($A125="N/A"," ",(1+CW125/2)^(-2*((EOMONTH(A125,0)+20)-DateToday)/365.25))</f>
        <v> </v>
      </c>
      <c r="CY125" s="316" t="str">
        <f aca="false">IF($A125="N/A"," ",(IF(MONTH(A125)&gt;=4,IF(MONTH(A125)&lt;=10,Inputs!$S$26,Inputs!$S$27),Inputs!$S$27))*$CX125)</f>
        <v> </v>
      </c>
      <c r="CZ125" s="317" t="str">
        <f aca="false">IF($A125="N/A"," ",BK125+BL125+BN125+BO125+BQ125+BR125)</f>
        <v> </v>
      </c>
      <c r="DA125" s="318" t="str">
        <f aca="false">IF($A125="N/A"," ",BM125+BP125+BS125)</f>
        <v> </v>
      </c>
      <c r="DB125" s="319" t="str">
        <f aca="false">IF($A125="N/A"," ",BT125+BU125+BW125+BX125+BZ125+CA125)</f>
        <v> </v>
      </c>
      <c r="DC125" s="319" t="str">
        <f aca="false">IF($A125="N/A"," ",BV125+BY125+CB125)</f>
        <v> </v>
      </c>
      <c r="DD125" s="320" t="str">
        <f aca="false">IF($A125="N/A"," ",SUM(CC125:CK125))</f>
        <v> </v>
      </c>
      <c r="DE125" s="321" t="str">
        <f aca="false">IF($A125="N/A"," ",VLOOKUP($A125,NumberofDaysTable,2)*Availability)</f>
        <v> </v>
      </c>
      <c r="DF125" s="94" t="str">
        <f aca="false">IF($A125="N/A"," ",VLOOKUP($A125,NumberofDaysTable,3)*Availability)</f>
        <v> </v>
      </c>
      <c r="DG125" s="322" t="str">
        <f aca="false">IF($A125="N/A"," ",VLOOKUP($A125,NumberofDaysTable,4)*Availability)</f>
        <v> </v>
      </c>
      <c r="DH125" s="323" t="str">
        <f aca="false">IF($A125="N/A"," ",IF(Option=1,$D125*Inputs!$S$15*SUM(AS125:BA125),0))</f>
        <v> </v>
      </c>
      <c r="DI125" s="324" t="str">
        <f aca="false">IF($A125="N/A"," ",IF(Option=1,$D125*Inputs!$S$16*SUM(AS125:BA125),0))</f>
        <v> </v>
      </c>
      <c r="DJ125" s="325" t="str">
        <f aca="false">IF($A125="N/A"," ",SUM(AS125:AT125))</f>
        <v> </v>
      </c>
      <c r="DK125" s="325" t="str">
        <f aca="false">IF($A125="N/A"," ",SUM(AU125:BA125))</f>
        <v> </v>
      </c>
      <c r="DL125" s="325" t="str">
        <f aca="false">IF($A125="N/A"," ",SUM(BB125:BC125))</f>
        <v> </v>
      </c>
      <c r="DM125" s="325" t="str">
        <f aca="false">IF($A125="N/A"," ",SUM(BD125:BJ125))</f>
        <v> </v>
      </c>
    </row>
    <row r="126" customFormat="false" ht="12.75" hidden="false" customHeight="false" outlineLevel="0" collapsed="false">
      <c r="A126" s="282" t="str">
        <f aca="false">IF(A125="N/A","N/A",IF(EDATE(A125,1)&gt;Inputs!$S$5,"N/A",EDATE(A125,1)))</f>
        <v>N/A</v>
      </c>
      <c r="B126" s="283" t="str">
        <f aca="false">IF(A126="N/A"," ",YEAR(A126))</f>
        <v> </v>
      </c>
      <c r="C126" s="284" t="str">
        <f aca="false">IF(A126="N/A"," ",VLOOKUP(A126,ScaledPrice,14))</f>
        <v> </v>
      </c>
      <c r="D126" s="285" t="str">
        <f aca="false">IF(A126="N/A"," ",(VLOOKUP(MONTH($A126),Hrtable,2))/1000)</f>
        <v> </v>
      </c>
      <c r="E126" s="286" t="str">
        <f aca="false">IF($A126="N/A"," ",(C126)*D126)</f>
        <v> </v>
      </c>
      <c r="F126" s="287" t="str">
        <f aca="false">IF(A126="N/A"," ",VOM*(1+VOMesc)^(YEAR(A126)-YEAR(Today)))</f>
        <v> </v>
      </c>
      <c r="G126" s="287" t="str">
        <f aca="false">IF(A126="N/A"," ",Perstart/VLOOKUP(Dayrun,'Pricing Inputs'!$AQ$4:$AS$14,3)/(CY126/CX126))</f>
        <v> </v>
      </c>
      <c r="H126" s="288" t="str">
        <f aca="false">IF(A126="N/A"," ",SUM(E126:G126))</f>
        <v> </v>
      </c>
      <c r="I126" s="289" t="str">
        <f aca="false">VLOOKUP($A126,ScaledPrice,6)</f>
        <v> </v>
      </c>
      <c r="J126" s="290" t="str">
        <f aca="false">VLOOKUP($A126,ScaledPrice,10)</f>
        <v> </v>
      </c>
      <c r="K126" s="290" t="str">
        <f aca="false">VLOOKUP($A126,ScaledPrice,13)</f>
        <v> </v>
      </c>
      <c r="L126" s="290" t="str">
        <f aca="false">VLOOKUP($A126,ScaledPrice,7)</f>
        <v> </v>
      </c>
      <c r="M126" s="290" t="str">
        <f aca="false">VLOOKUP($A126,ScaledPrice,11)</f>
        <v> </v>
      </c>
      <c r="N126" s="290" t="str">
        <f aca="false">VLOOKUP($A126,ScaledPrice,13)</f>
        <v> </v>
      </c>
      <c r="O126" s="290" t="str">
        <f aca="false">VLOOKUP($A126,ScaledPrice,8)</f>
        <v> </v>
      </c>
      <c r="P126" s="290" t="str">
        <f aca="false">VLOOKUP($A126,ScaledPrice,12)</f>
        <v> </v>
      </c>
      <c r="Q126" s="291" t="str">
        <f aca="false">VLOOKUP($A126,ScaledPrice,13)</f>
        <v> </v>
      </c>
      <c r="R126" s="292" t="str">
        <f aca="false">IF($A126="N/A"," ",IF(Dayrun&gt;=3,IF(Option=1,MAX($I126-$H126,0),IF(Option=2,MAX($H126-$I126,0),0)),0))</f>
        <v> </v>
      </c>
      <c r="S126" s="286" t="str">
        <f aca="false">IF($A126="N/A"," ",IF(Dayrun&gt;=6,IF(Option=1,MAX($J126-H126,0),IF(Option=2,MAX(H126-$J126,0),0)),0))</f>
        <v> </v>
      </c>
      <c r="T126" s="286" t="str">
        <f aca="false">IF($A126="N/A"," ",IF(OR(Dayrun&lt;=2,Dayrun&gt;=9),IF(Option=1,MAX($K126-$H126,0),IF(Option=2,MAX($H126-$K126,0),0)),0))</f>
        <v> </v>
      </c>
      <c r="U126" s="286" t="str">
        <f aca="false">IF($A126="N/A"," ",IF(OR(Dayrun=1,Dayrun=4,Dayrun=5,Dayrun=7,Dayrun=8,Dayrun=10,Dayrun=11),IF(Option=1,MAX($L126-H126,0),IF(Option=2,MAX(H126-$L126,0),0)),0))</f>
        <v> </v>
      </c>
      <c r="V126" s="286" t="str">
        <f aca="false">IF($A126="N/A"," ",IF(OR(Dayrun=1,Dayrun=7,Dayrun=8,Dayrun=10,Dayrun=11),IF(Option=1,MAX($M126-H126,0),IF(Option=2,MAX(H126-$M126,0),0)),0))</f>
        <v> </v>
      </c>
      <c r="W126" s="286" t="str">
        <f aca="false">IF($A126="N/A"," ",IF(OR(Dayrun&lt;=2,Dayrun&gt;=10),IF(Option=1,MAX($N126-$H126,0),IF(Option=2,MAX($H126-$N126,0),0)),0))</f>
        <v> </v>
      </c>
      <c r="X126" s="286" t="str">
        <f aca="false">IF($A126="N/A"," ",IF(OR(Dayrun=1,Dayrun=5,Dayrun=8,Dayrun=11),IF(Option=1,MAX($O126-H126,0),IF(Option=2,MAX(H126-$O126,0),0)),0))</f>
        <v> </v>
      </c>
      <c r="Y126" s="286" t="str">
        <f aca="false">IF($A126="N/A"," ",IF(OR(Dayrun=1,Dayrun=8,Dayrun=11),IF(Option=1,MAX($P126-H126,0),IF(Option=2,MAX(H126-$P126,0),0)),0))</f>
        <v> </v>
      </c>
      <c r="Z126" s="293" t="str">
        <f aca="false">IF($A126="N/A"," ",IF(OR(Dayrun&lt;=2,Dayrun&gt;=11),IF(Option=1,MAX($Q126-$H126,0),IF(Option=2,MAX($H126-$Q126,0),0)),0))</f>
        <v> </v>
      </c>
      <c r="AA126" s="289" t="str">
        <f aca="false">IF($A126="N/A"," ",IF(Dayrun&gt;=3,(MAX(0,(xSPRDOPT(I126,($E126-'Pricing Inputs'!$X161*$D126),$CV126,0,($CN126+IF(Smile=TRUE(),VLOOKUP(MAX(-5,$H126-I126),Volsmile,2),0)),$CT126,$CU126,($A126-DateToday)+15,ABS(Option-2),0)-R126))),0))</f>
        <v> </v>
      </c>
      <c r="AB126" s="290" t="str">
        <f aca="false">IF($A126="N/A"," ",IF(Dayrun&gt;=6,MAX(0,(xSPRDOPT(J126,($E126-'Pricing Inputs'!$X161*$D126),$CV126,0,($CN126+IF(Smile=TRUE(),VLOOKUP(MAX(-5,$H126-J126),Volsmile,2),0)),$CT126,$CU126,($A126-DateToday)+15,ABS(Option-2),0)-S126)),0))</f>
        <v> </v>
      </c>
      <c r="AC126" s="290" t="str">
        <f aca="false">IF($A126="N/A"," ",IF(OR(Dayrun&lt;=2,Dayrun&gt;=9),IF(OffPeakEx=TRUE(),MAX(0,(xSPRDOPT(K126,($E126-'Pricing Inputs'!$X161*$D126),$CV126,0,($CQ126+IF(Smile=TRUE(),VLOOKUP(MAX(-5,$H126-K126),Volsmile,2),0)),$CT126,$CU126,($A126-DateToday)+15,ABS(Option-2),0)-T126)),0),0))</f>
        <v> </v>
      </c>
      <c r="AD126" s="290" t="str">
        <f aca="false">IF($A126="N/A"," ",IF(OR(Dayrun=1,Dayrun=4,Dayrun=5,Dayrun=7,Dayrun=8,Dayrun=10,Dayrun=11),MAX(0,(xSPRDOPT(L126,($E126-'Pricing Inputs'!$X161*$D126),$CV126,0,($CQ126+IF(Smile=TRUE(),VLOOKUP(MAX(-5,$H126-L126),Volsmile,2),0)),$CT126,$CU126,($A126-DateToday)+15,ABS(Option-2),0)-U126)),0))</f>
        <v> </v>
      </c>
      <c r="AE126" s="290" t="str">
        <f aca="false">IF($A126="N/A"," ",IF(OR(Dayrun=1,Dayrun=7,Dayrun=8,Dayrun=10,Dayrun=11),MAX(0,(xSPRDOPT(M126,($E126-'Pricing Inputs'!$X161*$D126),$CV126,0,($CQ126+IF(Smile=TRUE(),VLOOKUP(MAX(-5,$H126-M126),Volsmile,2),0)),$CT126,$CU126,($A126-DateToday)+15,ABS(Option-2),0)-V126)),0))</f>
        <v> </v>
      </c>
      <c r="AF126" s="290" t="str">
        <f aca="false">IF($A126="N/A"," ",IF(OR(Dayrun&lt;=2,Dayrun&gt;=10),IF(OffPeakEx=TRUE(),MAX(0,(xSPRDOPT(N126,($E126-'Pricing Inputs'!$X161*$D126),$CV126,0,($CQ126+IF(Smile=TRUE(),VLOOKUP(MAX(-5,$H126-N126),Volsmile,2),0)),$CT126,$CU126,($A126-DateToday)+15,ABS(Option-2),0)-W126)),0),0))</f>
        <v> </v>
      </c>
      <c r="AG126" s="290" t="str">
        <f aca="false">IF($A126="N/A"," ",IF(OR(Dayrun=1,Dayrun=5,Dayrun=8,Dayrun=11),MAX(0,(xSPRDOPT(O126,($E126-'Pricing Inputs'!$X161*$D126),$CV126,0,($CQ126+IF(Smile=TRUE(),VLOOKUP(MAX(-5,$H126-O126),Volsmile,2),0)),$CT126,$CU126,($A126-DateToday)+15,ABS(Option-2),0)-X126)),0))</f>
        <v> </v>
      </c>
      <c r="AH126" s="290" t="str">
        <f aca="false">IF($A126="N/A"," ",IF(OR(Dayrun=1,Dayrun=8,Dayrun=11),MAX(0,(xSPRDOPT(P126,($E126-'Pricing Inputs'!$X161*$D126),$CV126,0,($CQ126+IF(Smile=TRUE(),VLOOKUP(MAX(-5,$H126-P126),Volsmile,2),0)),$CT126,$CU126,($A126-DateToday)+15,ABS(Option-2),0)-Y126)),0))</f>
        <v> </v>
      </c>
      <c r="AI126" s="290" t="str">
        <f aca="false">IF($A126="N/A"," ",IF(OR(Dayrun&lt;=2,Dayrun&gt;=11),IF(OffPeakEx=TRUE(),MAX(0,(xSPRDOPT(Q126,($E126-'Pricing Inputs'!$X161*$D126),$CV126,0,($CQ126+IF(Smile=TRUE(),VLOOKUP(MAX(-5,$H126-Q126),Volsmile,2),0)),$CT126,$CU126,($A126-DateToday)+15,ABS(Option-2),0)-Z126)),0),0))</f>
        <v> </v>
      </c>
      <c r="AJ126" s="294" t="str">
        <f aca="false">IF($A126="N/A"," ",IF(Dayrun&gt;=3,IF(Option=1,$I126-$H126,IF(Option=2,$H126-$I126)),0))</f>
        <v> </v>
      </c>
      <c r="AK126" s="295" t="str">
        <f aca="false">IF($A126="N/A"," ",IF(Dayrun&gt;=6,IF(Option=1,$J126-H126,IF(Option=2,H126-$J126)),0))</f>
        <v> </v>
      </c>
      <c r="AL126" s="295" t="str">
        <f aca="false">IF($A126="N/A"," ",IF(OR(Dayrun&lt;=2,Dayrun&gt;=9),IF(Option=1,$K126-$H126,IF(Option=2,$H126-$K126)),0))</f>
        <v> </v>
      </c>
      <c r="AM126" s="295" t="str">
        <f aca="false">IF($A126="N/A"," ",IF(OR(Dayrun=1,Dayrun=4,Dayrun=5,Dayrun=7,Dayrun=8,Dayrun=10,Dayrun=11),IF(Option=1,$L126-H126,IF(Option=2,H126-$L126)),0))</f>
        <v> </v>
      </c>
      <c r="AN126" s="295" t="str">
        <f aca="false">IF($A126="N/A"," ",IF(OR(Dayrun=1,Dayrun=7,Dayrun=8,Dayrun=10,Dayrun=11),IF(Option=1,$M126-H126,IF(Option=2,H126-$M126)),0))</f>
        <v> </v>
      </c>
      <c r="AO126" s="295" t="str">
        <f aca="false">IF($A126="N/A"," ",IF(OR(Dayrun&lt;=2,Dayrun&gt;=9),IF(Option=1,$N126-$H126,IF(Option=2,$H126-$N126)),0))</f>
        <v> </v>
      </c>
      <c r="AP126" s="295" t="str">
        <f aca="false">IF($A126="N/A"," ",IF(OR(Dayrun=1,Dayrun=5,Dayrun=8,Dayrun=11),IF(Option=1,$O126-H126,IF(Option=2,H126-$O126)),0))</f>
        <v> </v>
      </c>
      <c r="AQ126" s="295" t="str">
        <f aca="false">IF($A126="N/A"," ",IF(OR(Dayrun=1,Dayrun=8,Dayrun=11),IF(Option=1,$P126-H126,IF(Option=2,H126-$P126)),0))</f>
        <v> </v>
      </c>
      <c r="AR126" s="296" t="str">
        <f aca="false">IF($A126="N/A"," ",IF(OR(Dayrun&lt;=2,Dayrun&gt;=9),IF(Option=1,$Q126-H126,IF(Option=2,H126-$Q126)),0))</f>
        <v> </v>
      </c>
      <c r="AS126" s="297" t="str">
        <f aca="false">IF($A126="N/A"," ",IF(VLOOKUP(MONTH($A126),ManualTable,2)=1,IF(Dayrun&gt;=3,$DE126*8*$CY126,0),0))</f>
        <v> </v>
      </c>
      <c r="AT126" s="297" t="str">
        <f aca="false">IF($A126="N/A"," ",IF(VLOOKUP(MONTH($A126),ManualTable,3)=1,IF(Dayrun&gt;=6,$DE126*8*$CY126,0),0))</f>
        <v> </v>
      </c>
      <c r="AU126" s="297" t="str">
        <f aca="false">IF($A126="N/A"," ",IF(VLOOKUP(MONTH($A126),ManualTable,4)=1,IF(OR(Dayrun&lt;=2,Dayrun&gt;=9),$DE126*8*$CY126,0),0))</f>
        <v> </v>
      </c>
      <c r="AV126" s="297" t="str">
        <f aca="false">IF($A126="N/A"," ",IF(VLOOKUP(MONTH($A126),ManualTable,5)=1,IF(OR(Dayrun=1,Dayrun=4,Dayrun=5,Dayrun=7,Dayrun=8,Dayrun=10,Dayrun=11),$DF126*8*$CY126,0),0))</f>
        <v> </v>
      </c>
      <c r="AW126" s="297" t="str">
        <f aca="false">IF($A126="N/A"," ",IF(VLOOKUP(MONTH($A126),ManualTable,6)=1,IF(OR(Dayrun=1,Dayrun=7,Dayrun=8,Dayrun=10,Dayrun=11),$DF126*8*$CY126,0),0))</f>
        <v> </v>
      </c>
      <c r="AX126" s="297" t="str">
        <f aca="false">IF($A126="N/A"," ",IF(VLOOKUP(MONTH($A126),ManualTable,7)=1,IF(OR(Dayrun&lt;=2,Dayrun&gt;=9),$DF126*8*$CY126,0),0))</f>
        <v> </v>
      </c>
      <c r="AY126" s="297" t="str">
        <f aca="false">IF($A126="N/A"," ",IF(VLOOKUP(MONTH($A126),ManualTable,8)=1,IF(OR(Dayrun=1,Dayrun=5,Dayrun=8,Dayrun=11),$DG126*8*$CY126,0),0))</f>
        <v> </v>
      </c>
      <c r="AZ126" s="297" t="str">
        <f aca="false">IF($A126="N/A"," ",IF(VLOOKUP(MONTH($A126),ManualTable,9)=1,IF(OR(Dayrun=1,Dayrun=8,Dayrun=11),$DG126*8*$CY126,0),0))</f>
        <v> </v>
      </c>
      <c r="BA126" s="298" t="str">
        <f aca="false">IF($A126="N/A"," ",IF(VLOOKUP(MONTH($A126),ManualTable,10)=1,IF(OR(Dayrun&lt;=2,Dayrun&gt;=9),$DG126*8*$CY126,0),0))</f>
        <v> </v>
      </c>
      <c r="BB126" s="299" t="str">
        <f aca="false">IF($A126="N/A"," ",IF(Dayrun&gt;=3,(MAX(0,(xSPRDOPT(I126,($E126-'Pricing Inputs'!$X161*$D126),$CV126,0,($CN126+IF(Smile=TRUE(),VLOOKUP(MAX(-5,$H126-I126),Volsmile,2),0)),$CT126,$CU126,($A126-DateToday)+15,ABS(Option-2),1)*DE126*8))),0))</f>
        <v> </v>
      </c>
      <c r="BC126" s="300" t="str">
        <f aca="false">IF($A126="N/A"," ",IF(Dayrun&gt;=6,MAX(0,(xSPRDOPT(J126,($E126-'Pricing Inputs'!$X161*$D126),$CV126,0,($CN126+IF(Smile=TRUE(),VLOOKUP(MAX(-5,$H126-J126),Volsmile,2),0)),$CT126,$CU126,($A126-DateToday)+15,ABS(Option-2),1)*DE126*8)),0))</f>
        <v> </v>
      </c>
      <c r="BD126" s="300" t="str">
        <f aca="false">IF($A126="N/A"," ",IF(OR(Dayrun&lt;=2,Dayrun&gt;=9),IF(OffPeakEx=TRUE(),MAX(0,(xSPRDOPT(K126,($E126-'Pricing Inputs'!$X161*$D126),$CV126,0,($CQ126+IF(Smile=TRUE(),VLOOKUP(MAX(-5,$H126-K126),Volsmile,2),0)),$CT126,$CU126,($A126-DateToday)+15,ABS(Option-2),1)*DE126*8)),0),0))</f>
        <v> </v>
      </c>
      <c r="BE126" s="300" t="str">
        <f aca="false">IF($A126="N/A"," ",IF(OR(Dayrun=1,Dayrun=4,Dayrun=5,Dayrun=7,Dayrun=8,Dayrun=10,Dayrun=11),MAX(0,(xSPRDOPT(L126,($E126-'Pricing Inputs'!$X161*$D126),$CV126,0,($CQ126+IF(Smile=TRUE(),VLOOKUP(MAX(-5,$H126-L126),Volsmile,2),0)),$CT126,$CU126,($A126-DateToday)+15,ABS(Option-2),1)*DF126*8)),0))</f>
        <v> </v>
      </c>
      <c r="BF126" s="300" t="str">
        <f aca="false">IF($A126="N/A"," ",IF(OR(Dayrun=1,Dayrun=7,Dayrun=8,Dayrun=10,Dayrun=11),MAX(0,(xSPRDOPT(M126,($E126-'Pricing Inputs'!$X161*$D126),$CV126,0,($CQ126+IF(Smile=TRUE(),VLOOKUP(MAX(-5,$H126-M126),Volsmile,2),0)),$CT126,$CU126,($A126-DateToday)+15,ABS(Option-2),1)*DF126*8)),0))</f>
        <v> </v>
      </c>
      <c r="BG126" s="300" t="str">
        <f aca="false">IF($A126="N/A"," ",IF(OR(Dayrun&lt;=2,Dayrun&gt;=10),IF(OffPeakEx=TRUE(),MAX(0,(xSPRDOPT(N126,($E126-'Pricing Inputs'!$X161*$D126),$CV126,0,($CQ126+IF(Smile=TRUE(),VLOOKUP(MAX(-5,$H126-N126),Volsmile,2),0)),$CT126,$CU126,($A126-DateToday)+15,ABS(Option-2),1)*DF126*8)),0),0))</f>
        <v> </v>
      </c>
      <c r="BH126" s="300" t="str">
        <f aca="false">IF($A126="N/A"," ",IF(OR(Dayrun=1,Dayrun=5,Dayrun=8,Dayrun=11),MAX(0,(xSPRDOPT(O126,($E126-'Pricing Inputs'!$X161*$D126),$CV126,0,($CQ126+IF(Smile=TRUE(),VLOOKUP(MAX(-5,$H126-O126),Volsmile,2),0)),$CT126,$CU126,($A126-DateToday)+15,ABS(Option-2),1)*DG126*8)),0))</f>
        <v> </v>
      </c>
      <c r="BI126" s="300" t="str">
        <f aca="false">IF($A126="N/A"," ",IF(OR(Dayrun=1,Dayrun=8,Dayrun=11),MAX(0,(xSPRDOPT(P126,($E126-'Pricing Inputs'!$X161*$D126),$CV126,0,($CQ126+IF(Smile=TRUE(),VLOOKUP(MAX(-5,$H126-P126),Volsmile,2),0)),$CT126,$CU126,($A126-DateToday)+15,ABS(Option-2),1)*DG126*8)),0))</f>
        <v> </v>
      </c>
      <c r="BJ126" s="301" t="str">
        <f aca="false">IF($A126="N/A"," ",IF(OR(Dayrun&lt;=2,Dayrun&gt;=11),IF(OffPeakEx=TRUE(),MAX(0,(xSPRDOPT(Q126,($E126-'Pricing Inputs'!$X161*$D126),$CV126,0,($CQ126+IF(Smile=TRUE(),VLOOKUP(MAX(-5,$H126-Q126),Volsmile,2),0)),$CT126,$CU126,($A126-DateToday)+15,ABS(Option-2),1)*DG126*8)),0),0))</f>
        <v> </v>
      </c>
      <c r="BK126" s="302" t="str">
        <f aca="false">IF($A126="N/A"," ",R126*$AS126)</f>
        <v> </v>
      </c>
      <c r="BL126" s="303" t="str">
        <f aca="false">IF($A126="N/A"," ",S126*$AT126)</f>
        <v> </v>
      </c>
      <c r="BM126" s="303" t="str">
        <f aca="false">IF($A126="N/A"," ",T126*$AU126)</f>
        <v> </v>
      </c>
      <c r="BN126" s="303" t="str">
        <f aca="false">IF($A126="N/A"," ",U126*$AV126)</f>
        <v> </v>
      </c>
      <c r="BO126" s="303" t="str">
        <f aca="false">IF($A126="N/A"," ",V126*$AW126)</f>
        <v> </v>
      </c>
      <c r="BP126" s="303" t="str">
        <f aca="false">IF($A126="N/A"," ",W126*$AX126)</f>
        <v> </v>
      </c>
      <c r="BQ126" s="303" t="str">
        <f aca="false">IF($A126="N/A"," ",X126*$AY126)</f>
        <v> </v>
      </c>
      <c r="BR126" s="303" t="str">
        <f aca="false">IF($A126="N/A"," ",Y126*$AZ126)</f>
        <v> </v>
      </c>
      <c r="BS126" s="304" t="str">
        <f aca="false">IF($A126="N/A"," ",Z126*$BA126)</f>
        <v> </v>
      </c>
      <c r="BT126" s="305" t="str">
        <f aca="false">IF($A126="N/A"," ",AA126*$AS126)</f>
        <v> </v>
      </c>
      <c r="BU126" s="306" t="str">
        <f aca="false">IF($A126="N/A"," ",AB126*$AT126)</f>
        <v> </v>
      </c>
      <c r="BV126" s="306" t="str">
        <f aca="false">IF($A126="N/A"," ",AC126*$AU126)</f>
        <v> </v>
      </c>
      <c r="BW126" s="306" t="str">
        <f aca="false">IF($A126="N/A"," ",AD126*$AV126)</f>
        <v> </v>
      </c>
      <c r="BX126" s="306" t="str">
        <f aca="false">IF($A126="N/A"," ",AE126*$AW126)</f>
        <v> </v>
      </c>
      <c r="BY126" s="306" t="str">
        <f aca="false">IF($A126="N/A"," ",AF126*$AX126)</f>
        <v> </v>
      </c>
      <c r="BZ126" s="306" t="str">
        <f aca="false">IF($A126="N/A"," ",AG126*$AY126)</f>
        <v> </v>
      </c>
      <c r="CA126" s="306" t="str">
        <f aca="false">IF($A126="N/A"," ",AH126*$AZ126)</f>
        <v> </v>
      </c>
      <c r="CB126" s="307" t="str">
        <f aca="false">IF($A126="N/A"," ",AI126*$BA126)</f>
        <v> </v>
      </c>
      <c r="CC126" s="308" t="str">
        <f aca="false">IF($A126="N/A"," ",AJ126*$AS126)</f>
        <v> </v>
      </c>
      <c r="CD126" s="309" t="str">
        <f aca="false">IF($A126="N/A"," ",AK126*$AT126)</f>
        <v> </v>
      </c>
      <c r="CE126" s="309" t="str">
        <f aca="false">IF($A126="N/A"," ",AL126*$AU126)</f>
        <v> </v>
      </c>
      <c r="CF126" s="309" t="str">
        <f aca="false">IF($A126="N/A"," ",AM126*$AV126)</f>
        <v> </v>
      </c>
      <c r="CG126" s="309" t="str">
        <f aca="false">IF($A126="N/A"," ",AN126*$AW126)</f>
        <v> </v>
      </c>
      <c r="CH126" s="309" t="str">
        <f aca="false">IF($A126="N/A"," ",AO126*$AX126)</f>
        <v> </v>
      </c>
      <c r="CI126" s="309" t="str">
        <f aca="false">IF($A126="N/A"," ",AP126*$AY126)</f>
        <v> </v>
      </c>
      <c r="CJ126" s="309" t="str">
        <f aca="false">IF($A126="N/A"," ",AQ126*$AZ126)</f>
        <v> </v>
      </c>
      <c r="CK126" s="310" t="str">
        <f aca="false">IF($A126="N/A"," ",AR126*$BA126)</f>
        <v> </v>
      </c>
      <c r="CL126" s="311" t="str">
        <f aca="false">IF(A126="N/A"," ",(VLOOKUP(A126,PowerVolTable,(IF(VolBMO=2,7,IF(VolBMO=1,6,8))),FALSE())))</f>
        <v> </v>
      </c>
      <c r="CM126" s="312" t="str">
        <f aca="false">IF(A126="N/A"," ",(VLOOKUP(A126,IntraPowerVol,(IF(VolBMO=2,3,IF(VolBMO=1,2,4))),FALSE())*VLOOKUP(MONTH($A126),Volscale,2)))</f>
        <v> </v>
      </c>
      <c r="CN126" s="312" t="str">
        <f aca="false">IF($A126="N/A"," ",IF(VolType=1,CM126,CL126))</f>
        <v> </v>
      </c>
      <c r="CO126" s="312" t="str">
        <f aca="false">IF($A126="N/A"," ",(VLOOKUP($A126,OffPeakVol,(IF(VolBMO=2,7,IF(VolBMO=1,6,8))),FALSE())))</f>
        <v> </v>
      </c>
      <c r="CP126" s="312" t="str">
        <f aca="false">IF($A126="N/A"," ",(VLOOKUP($A126,OffPeakVol,(IF(VolBMO=2,3,IF(VolBMO=1,2,4))),FALSE())*VLOOKUP(MONTH($A126),Volscale,2)))</f>
        <v> </v>
      </c>
      <c r="CQ126" s="312" t="str">
        <f aca="false">IF($A126="N/A"," ",IF(VolType=1,CP126,CO126))</f>
        <v> </v>
      </c>
      <c r="CR126" s="312" t="str">
        <f aca="false">IF($A126="N/A"," ",(VLOOKUP($A126,GasVolTable,(IF(VolBMO=2,6,IF(VolBMO=1,7,5))),FALSE())))</f>
        <v> </v>
      </c>
      <c r="CS126" s="312" t="str">
        <f aca="false">IF($A126="N/A"," ",(VLOOKUP($A126,OmicronVol,(IF(VolBMO=2,3,IF(VolBMO=1,4,2))),FALSE())))</f>
        <v> </v>
      </c>
      <c r="CT126" s="312" t="str">
        <f aca="false">IF($A126="N/A"," ",(IF(DateToday&gt;$A126,$CS126,IF(VolType=1,((($CR126^2)*((($A126-1)-DateToday)/((EOMONTH($A126,0)+1)-DateToday-15)))+((($CS126)^2)*((15)/((EOMONTH($A126,0)+1)-DateToday-15))))^0.5,CR126))))</f>
        <v> </v>
      </c>
      <c r="CU126" s="312" t="str">
        <f aca="false">IF($A126="N/A"," ",IF('Pricing Inputs'!$AR$23=TRUE(),Inputs!$S$22,VLOOKUP($A126,CorrelationTable,2,FALSE())))</f>
        <v> </v>
      </c>
      <c r="CV126" s="313" t="str">
        <f aca="false">IF($A126="N/A"," ",F126+G126+(D126*('Pricing Inputs'!X161)))</f>
        <v> </v>
      </c>
      <c r="CW126" s="314" t="str">
        <f aca="false">IF($A126="N/A"," ",IF(PV=1,0,'Pricing Inputs'!Y161))</f>
        <v> </v>
      </c>
      <c r="CX126" s="315" t="str">
        <f aca="false">IF($A126="N/A"," ",(1+CW126/2)^(-2*((EOMONTH(A126,0)+20)-DateToday)/365.25))</f>
        <v> </v>
      </c>
      <c r="CY126" s="316" t="str">
        <f aca="false">IF($A126="N/A"," ",(IF(MONTH(A126)&gt;=4,IF(MONTH(A126)&lt;=10,Inputs!$S$26,Inputs!$S$27),Inputs!$S$27))*$CX126)</f>
        <v> </v>
      </c>
      <c r="CZ126" s="317" t="str">
        <f aca="false">IF($A126="N/A"," ",BK126+BL126+BN126+BO126+BQ126+BR126)</f>
        <v> </v>
      </c>
      <c r="DA126" s="318" t="str">
        <f aca="false">IF($A126="N/A"," ",BM126+BP126+BS126)</f>
        <v> </v>
      </c>
      <c r="DB126" s="319" t="str">
        <f aca="false">IF($A126="N/A"," ",BT126+BU126+BW126+BX126+BZ126+CA126)</f>
        <v> </v>
      </c>
      <c r="DC126" s="319" t="str">
        <f aca="false">IF($A126="N/A"," ",BV126+BY126+CB126)</f>
        <v> </v>
      </c>
      <c r="DD126" s="320" t="str">
        <f aca="false">IF($A126="N/A"," ",SUM(CC126:CK126))</f>
        <v> </v>
      </c>
      <c r="DE126" s="321" t="str">
        <f aca="false">IF($A126="N/A"," ",VLOOKUP($A126,NumberofDaysTable,2)*Availability)</f>
        <v> </v>
      </c>
      <c r="DF126" s="94" t="str">
        <f aca="false">IF($A126="N/A"," ",VLOOKUP($A126,NumberofDaysTable,3)*Availability)</f>
        <v> </v>
      </c>
      <c r="DG126" s="322" t="str">
        <f aca="false">IF($A126="N/A"," ",VLOOKUP($A126,NumberofDaysTable,4)*Availability)</f>
        <v> </v>
      </c>
      <c r="DH126" s="323" t="str">
        <f aca="false">IF($A126="N/A"," ",IF(Option=1,$D126*Inputs!$S$15*SUM(AS126:BA126),0))</f>
        <v> </v>
      </c>
      <c r="DI126" s="324" t="str">
        <f aca="false">IF($A126="N/A"," ",IF(Option=1,$D126*Inputs!$S$16*SUM(AS126:BA126),0))</f>
        <v> </v>
      </c>
      <c r="DJ126" s="325" t="str">
        <f aca="false">IF($A126="N/A"," ",SUM(AS126:AT126))</f>
        <v> </v>
      </c>
      <c r="DK126" s="325" t="str">
        <f aca="false">IF($A126="N/A"," ",SUM(AU126:BA126))</f>
        <v> </v>
      </c>
      <c r="DL126" s="325" t="str">
        <f aca="false">IF($A126="N/A"," ",SUM(BB126:BC126))</f>
        <v> </v>
      </c>
      <c r="DM126" s="325" t="str">
        <f aca="false">IF($A126="N/A"," ",SUM(BD126:BJ126))</f>
        <v> </v>
      </c>
    </row>
    <row r="127" customFormat="false" ht="12.75" hidden="false" customHeight="false" outlineLevel="0" collapsed="false">
      <c r="A127" s="282" t="str">
        <f aca="false">IF(A126="N/A","N/A",IF(EDATE(A126,1)&gt;Inputs!$S$5,"N/A",EDATE(A126,1)))</f>
        <v>N/A</v>
      </c>
      <c r="B127" s="283" t="str">
        <f aca="false">IF(A127="N/A"," ",YEAR(A127))</f>
        <v> </v>
      </c>
      <c r="C127" s="284" t="str">
        <f aca="false">IF(A127="N/A"," ",VLOOKUP(A127,ScaledPrice,14))</f>
        <v> </v>
      </c>
      <c r="D127" s="285" t="str">
        <f aca="false">IF(A127="N/A"," ",(VLOOKUP(MONTH($A127),Hrtable,2))/1000)</f>
        <v> </v>
      </c>
      <c r="E127" s="286" t="str">
        <f aca="false">IF($A127="N/A"," ",(C127)*D127)</f>
        <v> </v>
      </c>
      <c r="F127" s="287" t="str">
        <f aca="false">IF(A127="N/A"," ",VOM*(1+VOMesc)^(YEAR(A127)-YEAR(Today)))</f>
        <v> </v>
      </c>
      <c r="G127" s="287" t="str">
        <f aca="false">IF(A127="N/A"," ",Perstart/VLOOKUP(Dayrun,'Pricing Inputs'!$AQ$4:$AS$14,3)/(CY127/CX127))</f>
        <v> </v>
      </c>
      <c r="H127" s="288" t="str">
        <f aca="false">IF(A127="N/A"," ",SUM(E127:G127))</f>
        <v> </v>
      </c>
      <c r="I127" s="289" t="str">
        <f aca="false">VLOOKUP($A127,ScaledPrice,6)</f>
        <v> </v>
      </c>
      <c r="J127" s="290" t="str">
        <f aca="false">VLOOKUP($A127,ScaledPrice,10)</f>
        <v> </v>
      </c>
      <c r="K127" s="290" t="str">
        <f aca="false">VLOOKUP($A127,ScaledPrice,13)</f>
        <v> </v>
      </c>
      <c r="L127" s="290" t="str">
        <f aca="false">VLOOKUP($A127,ScaledPrice,7)</f>
        <v> </v>
      </c>
      <c r="M127" s="290" t="str">
        <f aca="false">VLOOKUP($A127,ScaledPrice,11)</f>
        <v> </v>
      </c>
      <c r="N127" s="290" t="str">
        <f aca="false">VLOOKUP($A127,ScaledPrice,13)</f>
        <v> </v>
      </c>
      <c r="O127" s="290" t="str">
        <f aca="false">VLOOKUP($A127,ScaledPrice,8)</f>
        <v> </v>
      </c>
      <c r="P127" s="290" t="str">
        <f aca="false">VLOOKUP($A127,ScaledPrice,12)</f>
        <v> </v>
      </c>
      <c r="Q127" s="291" t="str">
        <f aca="false">VLOOKUP($A127,ScaledPrice,13)</f>
        <v> </v>
      </c>
      <c r="R127" s="292" t="str">
        <f aca="false">IF($A127="N/A"," ",IF(Dayrun&gt;=3,IF(Option=1,MAX($I127-$H127,0),IF(Option=2,MAX($H127-$I127,0),0)),0))</f>
        <v> </v>
      </c>
      <c r="S127" s="286" t="str">
        <f aca="false">IF($A127="N/A"," ",IF(Dayrun&gt;=6,IF(Option=1,MAX($J127-H127,0),IF(Option=2,MAX(H127-$J127,0),0)),0))</f>
        <v> </v>
      </c>
      <c r="T127" s="286" t="str">
        <f aca="false">IF($A127="N/A"," ",IF(OR(Dayrun&lt;=2,Dayrun&gt;=9),IF(Option=1,MAX($K127-$H127,0),IF(Option=2,MAX($H127-$K127,0),0)),0))</f>
        <v> </v>
      </c>
      <c r="U127" s="286" t="str">
        <f aca="false">IF($A127="N/A"," ",IF(OR(Dayrun=1,Dayrun=4,Dayrun=5,Dayrun=7,Dayrun=8,Dayrun=10,Dayrun=11),IF(Option=1,MAX($L127-H127,0),IF(Option=2,MAX(H127-$L127,0),0)),0))</f>
        <v> </v>
      </c>
      <c r="V127" s="286" t="str">
        <f aca="false">IF($A127="N/A"," ",IF(OR(Dayrun=1,Dayrun=7,Dayrun=8,Dayrun=10,Dayrun=11),IF(Option=1,MAX($M127-H127,0),IF(Option=2,MAX(H127-$M127,0),0)),0))</f>
        <v> </v>
      </c>
      <c r="W127" s="286" t="str">
        <f aca="false">IF($A127="N/A"," ",IF(OR(Dayrun&lt;=2,Dayrun&gt;=10),IF(Option=1,MAX($N127-$H127,0),IF(Option=2,MAX($H127-$N127,0),0)),0))</f>
        <v> </v>
      </c>
      <c r="X127" s="286" t="str">
        <f aca="false">IF($A127="N/A"," ",IF(OR(Dayrun=1,Dayrun=5,Dayrun=8,Dayrun=11),IF(Option=1,MAX($O127-H127,0),IF(Option=2,MAX(H127-$O127,0),0)),0))</f>
        <v> </v>
      </c>
      <c r="Y127" s="286" t="str">
        <f aca="false">IF($A127="N/A"," ",IF(OR(Dayrun=1,Dayrun=8,Dayrun=11),IF(Option=1,MAX($P127-H127,0),IF(Option=2,MAX(H127-$P127,0),0)),0))</f>
        <v> </v>
      </c>
      <c r="Z127" s="293" t="str">
        <f aca="false">IF($A127="N/A"," ",IF(OR(Dayrun&lt;=2,Dayrun&gt;=11),IF(Option=1,MAX($Q127-$H127,0),IF(Option=2,MAX($H127-$Q127,0),0)),0))</f>
        <v> </v>
      </c>
      <c r="AA127" s="289" t="str">
        <f aca="false">IF($A127="N/A"," ",IF(Dayrun&gt;=3,(MAX(0,(xSPRDOPT(I127,($E127-'Pricing Inputs'!$X162*$D127),$CV127,0,($CN127+IF(Smile=TRUE(),VLOOKUP(MAX(-5,$H127-I127),Volsmile,2),0)),$CT127,$CU127,($A127-DateToday)+15,ABS(Option-2),0)-R127))),0))</f>
        <v> </v>
      </c>
      <c r="AB127" s="290" t="str">
        <f aca="false">IF($A127="N/A"," ",IF(Dayrun&gt;=6,MAX(0,(xSPRDOPT(J127,($E127-'Pricing Inputs'!$X162*$D127),$CV127,0,($CN127+IF(Smile=TRUE(),VLOOKUP(MAX(-5,$H127-J127),Volsmile,2),0)),$CT127,$CU127,($A127-DateToday)+15,ABS(Option-2),0)-S127)),0))</f>
        <v> </v>
      </c>
      <c r="AC127" s="290" t="str">
        <f aca="false">IF($A127="N/A"," ",IF(OR(Dayrun&lt;=2,Dayrun&gt;=9),IF(OffPeakEx=TRUE(),MAX(0,(xSPRDOPT(K127,($E127-'Pricing Inputs'!$X162*$D127),$CV127,0,($CQ127+IF(Smile=TRUE(),VLOOKUP(MAX(-5,$H127-K127),Volsmile,2),0)),$CT127,$CU127,($A127-DateToday)+15,ABS(Option-2),0)-T127)),0),0))</f>
        <v> </v>
      </c>
      <c r="AD127" s="290" t="str">
        <f aca="false">IF($A127="N/A"," ",IF(OR(Dayrun=1,Dayrun=4,Dayrun=5,Dayrun=7,Dayrun=8,Dayrun=10,Dayrun=11),MAX(0,(xSPRDOPT(L127,($E127-'Pricing Inputs'!$X162*$D127),$CV127,0,($CQ127+IF(Smile=TRUE(),VLOOKUP(MAX(-5,$H127-L127),Volsmile,2),0)),$CT127,$CU127,($A127-DateToday)+15,ABS(Option-2),0)-U127)),0))</f>
        <v> </v>
      </c>
      <c r="AE127" s="290" t="str">
        <f aca="false">IF($A127="N/A"," ",IF(OR(Dayrun=1,Dayrun=7,Dayrun=8,Dayrun=10,Dayrun=11),MAX(0,(xSPRDOPT(M127,($E127-'Pricing Inputs'!$X162*$D127),$CV127,0,($CQ127+IF(Smile=TRUE(),VLOOKUP(MAX(-5,$H127-M127),Volsmile,2),0)),$CT127,$CU127,($A127-DateToday)+15,ABS(Option-2),0)-V127)),0))</f>
        <v> </v>
      </c>
      <c r="AF127" s="290" t="str">
        <f aca="false">IF($A127="N/A"," ",IF(OR(Dayrun&lt;=2,Dayrun&gt;=10),IF(OffPeakEx=TRUE(),MAX(0,(xSPRDOPT(N127,($E127-'Pricing Inputs'!$X162*$D127),$CV127,0,($CQ127+IF(Smile=TRUE(),VLOOKUP(MAX(-5,$H127-N127),Volsmile,2),0)),$CT127,$CU127,($A127-DateToday)+15,ABS(Option-2),0)-W127)),0),0))</f>
        <v> </v>
      </c>
      <c r="AG127" s="290" t="str">
        <f aca="false">IF($A127="N/A"," ",IF(OR(Dayrun=1,Dayrun=5,Dayrun=8,Dayrun=11),MAX(0,(xSPRDOPT(O127,($E127-'Pricing Inputs'!$X162*$D127),$CV127,0,($CQ127+IF(Smile=TRUE(),VLOOKUP(MAX(-5,$H127-O127),Volsmile,2),0)),$CT127,$CU127,($A127-DateToday)+15,ABS(Option-2),0)-X127)),0))</f>
        <v> </v>
      </c>
      <c r="AH127" s="290" t="str">
        <f aca="false">IF($A127="N/A"," ",IF(OR(Dayrun=1,Dayrun=8,Dayrun=11),MAX(0,(xSPRDOPT(P127,($E127-'Pricing Inputs'!$X162*$D127),$CV127,0,($CQ127+IF(Smile=TRUE(),VLOOKUP(MAX(-5,$H127-P127),Volsmile,2),0)),$CT127,$CU127,($A127-DateToday)+15,ABS(Option-2),0)-Y127)),0))</f>
        <v> </v>
      </c>
      <c r="AI127" s="290" t="str">
        <f aca="false">IF($A127="N/A"," ",IF(OR(Dayrun&lt;=2,Dayrun&gt;=11),IF(OffPeakEx=TRUE(),MAX(0,(xSPRDOPT(Q127,($E127-'Pricing Inputs'!$X162*$D127),$CV127,0,($CQ127+IF(Smile=TRUE(),VLOOKUP(MAX(-5,$H127-Q127),Volsmile,2),0)),$CT127,$CU127,($A127-DateToday)+15,ABS(Option-2),0)-Z127)),0),0))</f>
        <v> </v>
      </c>
      <c r="AJ127" s="294" t="str">
        <f aca="false">IF($A127="N/A"," ",IF(Dayrun&gt;=3,IF(Option=1,$I127-$H127,IF(Option=2,$H127-$I127)),0))</f>
        <v> </v>
      </c>
      <c r="AK127" s="295" t="str">
        <f aca="false">IF($A127="N/A"," ",IF(Dayrun&gt;=6,IF(Option=1,$J127-H127,IF(Option=2,H127-$J127)),0))</f>
        <v> </v>
      </c>
      <c r="AL127" s="295" t="str">
        <f aca="false">IF($A127="N/A"," ",IF(OR(Dayrun&lt;=2,Dayrun&gt;=9),IF(Option=1,$K127-$H127,IF(Option=2,$H127-$K127)),0))</f>
        <v> </v>
      </c>
      <c r="AM127" s="295" t="str">
        <f aca="false">IF($A127="N/A"," ",IF(OR(Dayrun=1,Dayrun=4,Dayrun=5,Dayrun=7,Dayrun=8,Dayrun=10,Dayrun=11),IF(Option=1,$L127-H127,IF(Option=2,H127-$L127)),0))</f>
        <v> </v>
      </c>
      <c r="AN127" s="295" t="str">
        <f aca="false">IF($A127="N/A"," ",IF(OR(Dayrun=1,Dayrun=7,Dayrun=8,Dayrun=10,Dayrun=11),IF(Option=1,$M127-H127,IF(Option=2,H127-$M127)),0))</f>
        <v> </v>
      </c>
      <c r="AO127" s="295" t="str">
        <f aca="false">IF($A127="N/A"," ",IF(OR(Dayrun&lt;=2,Dayrun&gt;=9),IF(Option=1,$N127-$H127,IF(Option=2,$H127-$N127)),0))</f>
        <v> </v>
      </c>
      <c r="AP127" s="295" t="str">
        <f aca="false">IF($A127="N/A"," ",IF(OR(Dayrun=1,Dayrun=5,Dayrun=8,Dayrun=11),IF(Option=1,$O127-H127,IF(Option=2,H127-$O127)),0))</f>
        <v> </v>
      </c>
      <c r="AQ127" s="295" t="str">
        <f aca="false">IF($A127="N/A"," ",IF(OR(Dayrun=1,Dayrun=8,Dayrun=11),IF(Option=1,$P127-H127,IF(Option=2,H127-$P127)),0))</f>
        <v> </v>
      </c>
      <c r="AR127" s="296" t="str">
        <f aca="false">IF($A127="N/A"," ",IF(OR(Dayrun&lt;=2,Dayrun&gt;=9),IF(Option=1,$Q127-H127,IF(Option=2,H127-$Q127)),0))</f>
        <v> </v>
      </c>
      <c r="AS127" s="297" t="str">
        <f aca="false">IF($A127="N/A"," ",IF(VLOOKUP(MONTH($A127),ManualTable,2)=1,IF(Dayrun&gt;=3,$DE127*8*$CY127,0),0))</f>
        <v> </v>
      </c>
      <c r="AT127" s="297" t="str">
        <f aca="false">IF($A127="N/A"," ",IF(VLOOKUP(MONTH($A127),ManualTable,3)=1,IF(Dayrun&gt;=6,$DE127*8*$CY127,0),0))</f>
        <v> </v>
      </c>
      <c r="AU127" s="297" t="str">
        <f aca="false">IF($A127="N/A"," ",IF(VLOOKUP(MONTH($A127),ManualTable,4)=1,IF(OR(Dayrun&lt;=2,Dayrun&gt;=9),$DE127*8*$CY127,0),0))</f>
        <v> </v>
      </c>
      <c r="AV127" s="297" t="str">
        <f aca="false">IF($A127="N/A"," ",IF(VLOOKUP(MONTH($A127),ManualTable,5)=1,IF(OR(Dayrun=1,Dayrun=4,Dayrun=5,Dayrun=7,Dayrun=8,Dayrun=10,Dayrun=11),$DF127*8*$CY127,0),0))</f>
        <v> </v>
      </c>
      <c r="AW127" s="297" t="str">
        <f aca="false">IF($A127="N/A"," ",IF(VLOOKUP(MONTH($A127),ManualTable,6)=1,IF(OR(Dayrun=1,Dayrun=7,Dayrun=8,Dayrun=10,Dayrun=11),$DF127*8*$CY127,0),0))</f>
        <v> </v>
      </c>
      <c r="AX127" s="297" t="str">
        <f aca="false">IF($A127="N/A"," ",IF(VLOOKUP(MONTH($A127),ManualTable,7)=1,IF(OR(Dayrun&lt;=2,Dayrun&gt;=9),$DF127*8*$CY127,0),0))</f>
        <v> </v>
      </c>
      <c r="AY127" s="297" t="str">
        <f aca="false">IF($A127="N/A"," ",IF(VLOOKUP(MONTH($A127),ManualTable,8)=1,IF(OR(Dayrun=1,Dayrun=5,Dayrun=8,Dayrun=11),$DG127*8*$CY127,0),0))</f>
        <v> </v>
      </c>
      <c r="AZ127" s="297" t="str">
        <f aca="false">IF($A127="N/A"," ",IF(VLOOKUP(MONTH($A127),ManualTable,9)=1,IF(OR(Dayrun=1,Dayrun=8,Dayrun=11),$DG127*8*$CY127,0),0))</f>
        <v> </v>
      </c>
      <c r="BA127" s="298" t="str">
        <f aca="false">IF($A127="N/A"," ",IF(VLOOKUP(MONTH($A127),ManualTable,10)=1,IF(OR(Dayrun&lt;=2,Dayrun&gt;=9),$DG127*8*$CY127,0),0))</f>
        <v> </v>
      </c>
      <c r="BB127" s="299" t="str">
        <f aca="false">IF($A127="N/A"," ",IF(Dayrun&gt;=3,(MAX(0,(xSPRDOPT(I127,($E127-'Pricing Inputs'!$X162*$D127),$CV127,0,($CN127+IF(Smile=TRUE(),VLOOKUP(MAX(-5,$H127-I127),Volsmile,2),0)),$CT127,$CU127,($A127-DateToday)+15,ABS(Option-2),1)*DE127*8))),0))</f>
        <v> </v>
      </c>
      <c r="BC127" s="300" t="str">
        <f aca="false">IF($A127="N/A"," ",IF(Dayrun&gt;=6,MAX(0,(xSPRDOPT(J127,($E127-'Pricing Inputs'!$X162*$D127),$CV127,0,($CN127+IF(Smile=TRUE(),VLOOKUP(MAX(-5,$H127-J127),Volsmile,2),0)),$CT127,$CU127,($A127-DateToday)+15,ABS(Option-2),1)*DE127*8)),0))</f>
        <v> </v>
      </c>
      <c r="BD127" s="300" t="str">
        <f aca="false">IF($A127="N/A"," ",IF(OR(Dayrun&lt;=2,Dayrun&gt;=9),IF(OffPeakEx=TRUE(),MAX(0,(xSPRDOPT(K127,($E127-'Pricing Inputs'!$X162*$D127),$CV127,0,($CQ127+IF(Smile=TRUE(),VLOOKUP(MAX(-5,$H127-K127),Volsmile,2),0)),$CT127,$CU127,($A127-DateToday)+15,ABS(Option-2),1)*DE127*8)),0),0))</f>
        <v> </v>
      </c>
      <c r="BE127" s="300" t="str">
        <f aca="false">IF($A127="N/A"," ",IF(OR(Dayrun=1,Dayrun=4,Dayrun=5,Dayrun=7,Dayrun=8,Dayrun=10,Dayrun=11),MAX(0,(xSPRDOPT(L127,($E127-'Pricing Inputs'!$X162*$D127),$CV127,0,($CQ127+IF(Smile=TRUE(),VLOOKUP(MAX(-5,$H127-L127),Volsmile,2),0)),$CT127,$CU127,($A127-DateToday)+15,ABS(Option-2),1)*DF127*8)),0))</f>
        <v> </v>
      </c>
      <c r="BF127" s="300" t="str">
        <f aca="false">IF($A127="N/A"," ",IF(OR(Dayrun=1,Dayrun=7,Dayrun=8,Dayrun=10,Dayrun=11),MAX(0,(xSPRDOPT(M127,($E127-'Pricing Inputs'!$X162*$D127),$CV127,0,($CQ127+IF(Smile=TRUE(),VLOOKUP(MAX(-5,$H127-M127),Volsmile,2),0)),$CT127,$CU127,($A127-DateToday)+15,ABS(Option-2),1)*DF127*8)),0))</f>
        <v> </v>
      </c>
      <c r="BG127" s="300" t="str">
        <f aca="false">IF($A127="N/A"," ",IF(OR(Dayrun&lt;=2,Dayrun&gt;=10),IF(OffPeakEx=TRUE(),MAX(0,(xSPRDOPT(N127,($E127-'Pricing Inputs'!$X162*$D127),$CV127,0,($CQ127+IF(Smile=TRUE(),VLOOKUP(MAX(-5,$H127-N127),Volsmile,2),0)),$CT127,$CU127,($A127-DateToday)+15,ABS(Option-2),1)*DF127*8)),0),0))</f>
        <v> </v>
      </c>
      <c r="BH127" s="300" t="str">
        <f aca="false">IF($A127="N/A"," ",IF(OR(Dayrun=1,Dayrun=5,Dayrun=8,Dayrun=11),MAX(0,(xSPRDOPT(O127,($E127-'Pricing Inputs'!$X162*$D127),$CV127,0,($CQ127+IF(Smile=TRUE(),VLOOKUP(MAX(-5,$H127-O127),Volsmile,2),0)),$CT127,$CU127,($A127-DateToday)+15,ABS(Option-2),1)*DG127*8)),0))</f>
        <v> </v>
      </c>
      <c r="BI127" s="300" t="str">
        <f aca="false">IF($A127="N/A"," ",IF(OR(Dayrun=1,Dayrun=8,Dayrun=11),MAX(0,(xSPRDOPT(P127,($E127-'Pricing Inputs'!$X162*$D127),$CV127,0,($CQ127+IF(Smile=TRUE(),VLOOKUP(MAX(-5,$H127-P127),Volsmile,2),0)),$CT127,$CU127,($A127-DateToday)+15,ABS(Option-2),1)*DG127*8)),0))</f>
        <v> </v>
      </c>
      <c r="BJ127" s="301" t="str">
        <f aca="false">IF($A127="N/A"," ",IF(OR(Dayrun&lt;=2,Dayrun&gt;=11),IF(OffPeakEx=TRUE(),MAX(0,(xSPRDOPT(Q127,($E127-'Pricing Inputs'!$X162*$D127),$CV127,0,($CQ127+IF(Smile=TRUE(),VLOOKUP(MAX(-5,$H127-Q127),Volsmile,2),0)),$CT127,$CU127,($A127-DateToday)+15,ABS(Option-2),1)*DG127*8)),0),0))</f>
        <v> </v>
      </c>
      <c r="BK127" s="302" t="str">
        <f aca="false">IF($A127="N/A"," ",R127*$AS127)</f>
        <v> </v>
      </c>
      <c r="BL127" s="303" t="str">
        <f aca="false">IF($A127="N/A"," ",S127*$AT127)</f>
        <v> </v>
      </c>
      <c r="BM127" s="303" t="str">
        <f aca="false">IF($A127="N/A"," ",T127*$AU127)</f>
        <v> </v>
      </c>
      <c r="BN127" s="303" t="str">
        <f aca="false">IF($A127="N/A"," ",U127*$AV127)</f>
        <v> </v>
      </c>
      <c r="BO127" s="303" t="str">
        <f aca="false">IF($A127="N/A"," ",V127*$AW127)</f>
        <v> </v>
      </c>
      <c r="BP127" s="303" t="str">
        <f aca="false">IF($A127="N/A"," ",W127*$AX127)</f>
        <v> </v>
      </c>
      <c r="BQ127" s="303" t="str">
        <f aca="false">IF($A127="N/A"," ",X127*$AY127)</f>
        <v> </v>
      </c>
      <c r="BR127" s="303" t="str">
        <f aca="false">IF($A127="N/A"," ",Y127*$AZ127)</f>
        <v> </v>
      </c>
      <c r="BS127" s="304" t="str">
        <f aca="false">IF($A127="N/A"," ",Z127*$BA127)</f>
        <v> </v>
      </c>
      <c r="BT127" s="305" t="str">
        <f aca="false">IF($A127="N/A"," ",AA127*$AS127)</f>
        <v> </v>
      </c>
      <c r="BU127" s="306" t="str">
        <f aca="false">IF($A127="N/A"," ",AB127*$AT127)</f>
        <v> </v>
      </c>
      <c r="BV127" s="306" t="str">
        <f aca="false">IF($A127="N/A"," ",AC127*$AU127)</f>
        <v> </v>
      </c>
      <c r="BW127" s="306" t="str">
        <f aca="false">IF($A127="N/A"," ",AD127*$AV127)</f>
        <v> </v>
      </c>
      <c r="BX127" s="306" t="str">
        <f aca="false">IF($A127="N/A"," ",AE127*$AW127)</f>
        <v> </v>
      </c>
      <c r="BY127" s="306" t="str">
        <f aca="false">IF($A127="N/A"," ",AF127*$AX127)</f>
        <v> </v>
      </c>
      <c r="BZ127" s="306" t="str">
        <f aca="false">IF($A127="N/A"," ",AG127*$AY127)</f>
        <v> </v>
      </c>
      <c r="CA127" s="306" t="str">
        <f aca="false">IF($A127="N/A"," ",AH127*$AZ127)</f>
        <v> </v>
      </c>
      <c r="CB127" s="307" t="str">
        <f aca="false">IF($A127="N/A"," ",AI127*$BA127)</f>
        <v> </v>
      </c>
      <c r="CC127" s="308" t="str">
        <f aca="false">IF($A127="N/A"," ",AJ127*$AS127)</f>
        <v> </v>
      </c>
      <c r="CD127" s="309" t="str">
        <f aca="false">IF($A127="N/A"," ",AK127*$AT127)</f>
        <v> </v>
      </c>
      <c r="CE127" s="309" t="str">
        <f aca="false">IF($A127="N/A"," ",AL127*$AU127)</f>
        <v> </v>
      </c>
      <c r="CF127" s="309" t="str">
        <f aca="false">IF($A127="N/A"," ",AM127*$AV127)</f>
        <v> </v>
      </c>
      <c r="CG127" s="309" t="str">
        <f aca="false">IF($A127="N/A"," ",AN127*$AW127)</f>
        <v> </v>
      </c>
      <c r="CH127" s="309" t="str">
        <f aca="false">IF($A127="N/A"," ",AO127*$AX127)</f>
        <v> </v>
      </c>
      <c r="CI127" s="309" t="str">
        <f aca="false">IF($A127="N/A"," ",AP127*$AY127)</f>
        <v> </v>
      </c>
      <c r="CJ127" s="309" t="str">
        <f aca="false">IF($A127="N/A"," ",AQ127*$AZ127)</f>
        <v> </v>
      </c>
      <c r="CK127" s="310" t="str">
        <f aca="false">IF($A127="N/A"," ",AR127*$BA127)</f>
        <v> </v>
      </c>
      <c r="CL127" s="311" t="str">
        <f aca="false">IF(A127="N/A"," ",(VLOOKUP(A127,PowerVolTable,(IF(VolBMO=2,7,IF(VolBMO=1,6,8))),FALSE())))</f>
        <v> </v>
      </c>
      <c r="CM127" s="312" t="str">
        <f aca="false">IF(A127="N/A"," ",(VLOOKUP(A127,IntraPowerVol,(IF(VolBMO=2,3,IF(VolBMO=1,2,4))),FALSE())*VLOOKUP(MONTH($A127),Volscale,2)))</f>
        <v> </v>
      </c>
      <c r="CN127" s="312" t="str">
        <f aca="false">IF($A127="N/A"," ",IF(VolType=1,CM127,CL127))</f>
        <v> </v>
      </c>
      <c r="CO127" s="312" t="str">
        <f aca="false">IF($A127="N/A"," ",(VLOOKUP($A127,OffPeakVol,(IF(VolBMO=2,7,IF(VolBMO=1,6,8))),FALSE())))</f>
        <v> </v>
      </c>
      <c r="CP127" s="312" t="str">
        <f aca="false">IF($A127="N/A"," ",(VLOOKUP($A127,OffPeakVol,(IF(VolBMO=2,3,IF(VolBMO=1,2,4))),FALSE())*VLOOKUP(MONTH($A127),Volscale,2)))</f>
        <v> </v>
      </c>
      <c r="CQ127" s="312" t="str">
        <f aca="false">IF($A127="N/A"," ",IF(VolType=1,CP127,CO127))</f>
        <v> </v>
      </c>
      <c r="CR127" s="312" t="str">
        <f aca="false">IF($A127="N/A"," ",(VLOOKUP($A127,GasVolTable,(IF(VolBMO=2,6,IF(VolBMO=1,7,5))),FALSE())))</f>
        <v> </v>
      </c>
      <c r="CS127" s="312" t="str">
        <f aca="false">IF($A127="N/A"," ",(VLOOKUP($A127,OmicronVol,(IF(VolBMO=2,3,IF(VolBMO=1,4,2))),FALSE())))</f>
        <v> </v>
      </c>
      <c r="CT127" s="312" t="str">
        <f aca="false">IF($A127="N/A"," ",(IF(DateToday&gt;$A127,$CS127,IF(VolType=1,((($CR127^2)*((($A127-1)-DateToday)/((EOMONTH($A127,0)+1)-DateToday-15)))+((($CS127)^2)*((15)/((EOMONTH($A127,0)+1)-DateToday-15))))^0.5,CR127))))</f>
        <v> </v>
      </c>
      <c r="CU127" s="312" t="str">
        <f aca="false">IF($A127="N/A"," ",IF('Pricing Inputs'!$AR$23=TRUE(),Inputs!$S$22,VLOOKUP($A127,CorrelationTable,2,FALSE())))</f>
        <v> </v>
      </c>
      <c r="CV127" s="313" t="str">
        <f aca="false">IF($A127="N/A"," ",F127+G127+(D127*('Pricing Inputs'!X162)))</f>
        <v> </v>
      </c>
      <c r="CW127" s="314" t="str">
        <f aca="false">IF($A127="N/A"," ",IF(PV=1,0,'Pricing Inputs'!Y162))</f>
        <v> </v>
      </c>
      <c r="CX127" s="315" t="str">
        <f aca="false">IF($A127="N/A"," ",(1+CW127/2)^(-2*((EOMONTH(A127,0)+20)-DateToday)/365.25))</f>
        <v> </v>
      </c>
      <c r="CY127" s="316" t="str">
        <f aca="false">IF($A127="N/A"," ",(IF(MONTH(A127)&gt;=4,IF(MONTH(A127)&lt;=10,Inputs!$S$26,Inputs!$S$27),Inputs!$S$27))*$CX127)</f>
        <v> </v>
      </c>
      <c r="CZ127" s="317" t="str">
        <f aca="false">IF($A127="N/A"," ",BK127+BL127+BN127+BO127+BQ127+BR127)</f>
        <v> </v>
      </c>
      <c r="DA127" s="318" t="str">
        <f aca="false">IF($A127="N/A"," ",BM127+BP127+BS127)</f>
        <v> </v>
      </c>
      <c r="DB127" s="319" t="str">
        <f aca="false">IF($A127="N/A"," ",BT127+BU127+BW127+BX127+BZ127+CA127)</f>
        <v> </v>
      </c>
      <c r="DC127" s="319" t="str">
        <f aca="false">IF($A127="N/A"," ",BV127+BY127+CB127)</f>
        <v> </v>
      </c>
      <c r="DD127" s="320" t="str">
        <f aca="false">IF($A127="N/A"," ",SUM(CC127:CK127))</f>
        <v> </v>
      </c>
      <c r="DE127" s="321" t="str">
        <f aca="false">IF($A127="N/A"," ",VLOOKUP($A127,NumberofDaysTable,2)*Availability)</f>
        <v> </v>
      </c>
      <c r="DF127" s="94" t="str">
        <f aca="false">IF($A127="N/A"," ",VLOOKUP($A127,NumberofDaysTable,3)*Availability)</f>
        <v> </v>
      </c>
      <c r="DG127" s="322" t="str">
        <f aca="false">IF($A127="N/A"," ",VLOOKUP($A127,NumberofDaysTable,4)*Availability)</f>
        <v> </v>
      </c>
      <c r="DH127" s="323" t="str">
        <f aca="false">IF($A127="N/A"," ",IF(Option=1,$D127*Inputs!$S$15*SUM(AS127:BA127),0))</f>
        <v> </v>
      </c>
      <c r="DI127" s="324" t="str">
        <f aca="false">IF($A127="N/A"," ",IF(Option=1,$D127*Inputs!$S$16*SUM(AS127:BA127),0))</f>
        <v> </v>
      </c>
      <c r="DJ127" s="325" t="str">
        <f aca="false">IF($A127="N/A"," ",SUM(AS127:AT127))</f>
        <v> </v>
      </c>
      <c r="DK127" s="325" t="str">
        <f aca="false">IF($A127="N/A"," ",SUM(AU127:BA127))</f>
        <v> </v>
      </c>
      <c r="DL127" s="325" t="str">
        <f aca="false">IF($A127="N/A"," ",SUM(BB127:BC127))</f>
        <v> </v>
      </c>
      <c r="DM127" s="325" t="str">
        <f aca="false">IF($A127="N/A"," ",SUM(BD127:BJ127))</f>
        <v> </v>
      </c>
    </row>
    <row r="128" customFormat="false" ht="12.75" hidden="false" customHeight="false" outlineLevel="0" collapsed="false">
      <c r="A128" s="282" t="str">
        <f aca="false">IF(A127="N/A","N/A",IF(EDATE(A127,1)&gt;Inputs!$S$5,"N/A",EDATE(A127,1)))</f>
        <v>N/A</v>
      </c>
      <c r="B128" s="283" t="str">
        <f aca="false">IF(A128="N/A"," ",YEAR(A128))</f>
        <v> </v>
      </c>
      <c r="C128" s="284" t="str">
        <f aca="false">IF(A128="N/A"," ",VLOOKUP(A128,ScaledPrice,14))</f>
        <v> </v>
      </c>
      <c r="D128" s="285" t="str">
        <f aca="false">IF(A128="N/A"," ",(VLOOKUP(MONTH($A128),Hrtable,2))/1000)</f>
        <v> </v>
      </c>
      <c r="E128" s="286" t="str">
        <f aca="false">IF($A128="N/A"," ",(C128)*D128)</f>
        <v> </v>
      </c>
      <c r="F128" s="287" t="str">
        <f aca="false">IF(A128="N/A"," ",VOM*(1+VOMesc)^(YEAR(A128)-YEAR(Today)))</f>
        <v> </v>
      </c>
      <c r="G128" s="287" t="str">
        <f aca="false">IF(A128="N/A"," ",Perstart/VLOOKUP(Dayrun,'Pricing Inputs'!$AQ$4:$AS$14,3)/(CY128/CX128))</f>
        <v> </v>
      </c>
      <c r="H128" s="288" t="str">
        <f aca="false">IF(A128="N/A"," ",SUM(E128:G128))</f>
        <v> </v>
      </c>
      <c r="I128" s="289" t="str">
        <f aca="false">VLOOKUP($A128,ScaledPrice,6)</f>
        <v> </v>
      </c>
      <c r="J128" s="290" t="str">
        <f aca="false">VLOOKUP($A128,ScaledPrice,10)</f>
        <v> </v>
      </c>
      <c r="K128" s="290" t="str">
        <f aca="false">VLOOKUP($A128,ScaledPrice,13)</f>
        <v> </v>
      </c>
      <c r="L128" s="290" t="str">
        <f aca="false">VLOOKUP($A128,ScaledPrice,7)</f>
        <v> </v>
      </c>
      <c r="M128" s="290" t="str">
        <f aca="false">VLOOKUP($A128,ScaledPrice,11)</f>
        <v> </v>
      </c>
      <c r="N128" s="290" t="str">
        <f aca="false">VLOOKUP($A128,ScaledPrice,13)</f>
        <v> </v>
      </c>
      <c r="O128" s="290" t="str">
        <f aca="false">VLOOKUP($A128,ScaledPrice,8)</f>
        <v> </v>
      </c>
      <c r="P128" s="290" t="str">
        <f aca="false">VLOOKUP($A128,ScaledPrice,12)</f>
        <v> </v>
      </c>
      <c r="Q128" s="291" t="str">
        <f aca="false">VLOOKUP($A128,ScaledPrice,13)</f>
        <v> </v>
      </c>
      <c r="R128" s="292" t="str">
        <f aca="false">IF($A128="N/A"," ",IF(Dayrun&gt;=3,IF(Option=1,MAX($I128-$H128,0),IF(Option=2,MAX($H128-$I128,0),0)),0))</f>
        <v> </v>
      </c>
      <c r="S128" s="286" t="str">
        <f aca="false">IF($A128="N/A"," ",IF(Dayrun&gt;=6,IF(Option=1,MAX($J128-H128,0),IF(Option=2,MAX(H128-$J128,0),0)),0))</f>
        <v> </v>
      </c>
      <c r="T128" s="286" t="str">
        <f aca="false">IF($A128="N/A"," ",IF(OR(Dayrun&lt;=2,Dayrun&gt;=9),IF(Option=1,MAX($K128-$H128,0),IF(Option=2,MAX($H128-$K128,0),0)),0))</f>
        <v> </v>
      </c>
      <c r="U128" s="286" t="str">
        <f aca="false">IF($A128="N/A"," ",IF(OR(Dayrun=1,Dayrun=4,Dayrun=5,Dayrun=7,Dayrun=8,Dayrun=10,Dayrun=11),IF(Option=1,MAX($L128-H128,0),IF(Option=2,MAX(H128-$L128,0),0)),0))</f>
        <v> </v>
      </c>
      <c r="V128" s="286" t="str">
        <f aca="false">IF($A128="N/A"," ",IF(OR(Dayrun=1,Dayrun=7,Dayrun=8,Dayrun=10,Dayrun=11),IF(Option=1,MAX($M128-H128,0),IF(Option=2,MAX(H128-$M128,0),0)),0))</f>
        <v> </v>
      </c>
      <c r="W128" s="286" t="str">
        <f aca="false">IF($A128="N/A"," ",IF(OR(Dayrun&lt;=2,Dayrun&gt;=10),IF(Option=1,MAX($N128-$H128,0),IF(Option=2,MAX($H128-$N128,0),0)),0))</f>
        <v> </v>
      </c>
      <c r="X128" s="286" t="str">
        <f aca="false">IF($A128="N/A"," ",IF(OR(Dayrun=1,Dayrun=5,Dayrun=8,Dayrun=11),IF(Option=1,MAX($O128-H128,0),IF(Option=2,MAX(H128-$O128,0),0)),0))</f>
        <v> </v>
      </c>
      <c r="Y128" s="286" t="str">
        <f aca="false">IF($A128="N/A"," ",IF(OR(Dayrun=1,Dayrun=8,Dayrun=11),IF(Option=1,MAX($P128-H128,0),IF(Option=2,MAX(H128-$P128,0),0)),0))</f>
        <v> </v>
      </c>
      <c r="Z128" s="293" t="str">
        <f aca="false">IF($A128="N/A"," ",IF(OR(Dayrun&lt;=2,Dayrun&gt;=11),IF(Option=1,MAX($Q128-$H128,0),IF(Option=2,MAX($H128-$Q128,0),0)),0))</f>
        <v> </v>
      </c>
      <c r="AA128" s="289" t="str">
        <f aca="false">IF($A128="N/A"," ",IF(Dayrun&gt;=3,(MAX(0,(xSPRDOPT(I128,($E128-'Pricing Inputs'!$X163*$D128),$CV128,0,($CN128+IF(Smile=TRUE(),VLOOKUP(MAX(-5,$H128-I128),Volsmile,2),0)),$CT128,$CU128,($A128-DateToday)+15,ABS(Option-2),0)-R128))),0))</f>
        <v> </v>
      </c>
      <c r="AB128" s="290" t="str">
        <f aca="false">IF($A128="N/A"," ",IF(Dayrun&gt;=6,MAX(0,(xSPRDOPT(J128,($E128-'Pricing Inputs'!$X163*$D128),$CV128,0,($CN128+IF(Smile=TRUE(),VLOOKUP(MAX(-5,$H128-J128),Volsmile,2),0)),$CT128,$CU128,($A128-DateToday)+15,ABS(Option-2),0)-S128)),0))</f>
        <v> </v>
      </c>
      <c r="AC128" s="290" t="str">
        <f aca="false">IF($A128="N/A"," ",IF(OR(Dayrun&lt;=2,Dayrun&gt;=9),IF(OffPeakEx=TRUE(),MAX(0,(xSPRDOPT(K128,($E128-'Pricing Inputs'!$X163*$D128),$CV128,0,($CQ128+IF(Smile=TRUE(),VLOOKUP(MAX(-5,$H128-K128),Volsmile,2),0)),$CT128,$CU128,($A128-DateToday)+15,ABS(Option-2),0)-T128)),0),0))</f>
        <v> </v>
      </c>
      <c r="AD128" s="290" t="str">
        <f aca="false">IF($A128="N/A"," ",IF(OR(Dayrun=1,Dayrun=4,Dayrun=5,Dayrun=7,Dayrun=8,Dayrun=10,Dayrun=11),MAX(0,(xSPRDOPT(L128,($E128-'Pricing Inputs'!$X163*$D128),$CV128,0,($CQ128+IF(Smile=TRUE(),VLOOKUP(MAX(-5,$H128-L128),Volsmile,2),0)),$CT128,$CU128,($A128-DateToday)+15,ABS(Option-2),0)-U128)),0))</f>
        <v> </v>
      </c>
      <c r="AE128" s="290" t="str">
        <f aca="false">IF($A128="N/A"," ",IF(OR(Dayrun=1,Dayrun=7,Dayrun=8,Dayrun=10,Dayrun=11),MAX(0,(xSPRDOPT(M128,($E128-'Pricing Inputs'!$X163*$D128),$CV128,0,($CQ128+IF(Smile=TRUE(),VLOOKUP(MAX(-5,$H128-M128),Volsmile,2),0)),$CT128,$CU128,($A128-DateToday)+15,ABS(Option-2),0)-V128)),0))</f>
        <v> </v>
      </c>
      <c r="AF128" s="290" t="str">
        <f aca="false">IF($A128="N/A"," ",IF(OR(Dayrun&lt;=2,Dayrun&gt;=10),IF(OffPeakEx=TRUE(),MAX(0,(xSPRDOPT(N128,($E128-'Pricing Inputs'!$X163*$D128),$CV128,0,($CQ128+IF(Smile=TRUE(),VLOOKUP(MAX(-5,$H128-N128),Volsmile,2),0)),$CT128,$CU128,($A128-DateToday)+15,ABS(Option-2),0)-W128)),0),0))</f>
        <v> </v>
      </c>
      <c r="AG128" s="290" t="str">
        <f aca="false">IF($A128="N/A"," ",IF(OR(Dayrun=1,Dayrun=5,Dayrun=8,Dayrun=11),MAX(0,(xSPRDOPT(O128,($E128-'Pricing Inputs'!$X163*$D128),$CV128,0,($CQ128+IF(Smile=TRUE(),VLOOKUP(MAX(-5,$H128-O128),Volsmile,2),0)),$CT128,$CU128,($A128-DateToday)+15,ABS(Option-2),0)-X128)),0))</f>
        <v> </v>
      </c>
      <c r="AH128" s="290" t="str">
        <f aca="false">IF($A128="N/A"," ",IF(OR(Dayrun=1,Dayrun=8,Dayrun=11),MAX(0,(xSPRDOPT(P128,($E128-'Pricing Inputs'!$X163*$D128),$CV128,0,($CQ128+IF(Smile=TRUE(),VLOOKUP(MAX(-5,$H128-P128),Volsmile,2),0)),$CT128,$CU128,($A128-DateToday)+15,ABS(Option-2),0)-Y128)),0))</f>
        <v> </v>
      </c>
      <c r="AI128" s="290" t="str">
        <f aca="false">IF($A128="N/A"," ",IF(OR(Dayrun&lt;=2,Dayrun&gt;=11),IF(OffPeakEx=TRUE(),MAX(0,(xSPRDOPT(Q128,($E128-'Pricing Inputs'!$X163*$D128),$CV128,0,($CQ128+IF(Smile=TRUE(),VLOOKUP(MAX(-5,$H128-Q128),Volsmile,2),0)),$CT128,$CU128,($A128-DateToday)+15,ABS(Option-2),0)-Z128)),0),0))</f>
        <v> </v>
      </c>
      <c r="AJ128" s="294" t="str">
        <f aca="false">IF($A128="N/A"," ",IF(Dayrun&gt;=3,IF(Option=1,$I128-$H128,IF(Option=2,$H128-$I128)),0))</f>
        <v> </v>
      </c>
      <c r="AK128" s="295" t="str">
        <f aca="false">IF($A128="N/A"," ",IF(Dayrun&gt;=6,IF(Option=1,$J128-H128,IF(Option=2,H128-$J128)),0))</f>
        <v> </v>
      </c>
      <c r="AL128" s="295" t="str">
        <f aca="false">IF($A128="N/A"," ",IF(OR(Dayrun&lt;=2,Dayrun&gt;=9),IF(Option=1,$K128-$H128,IF(Option=2,$H128-$K128)),0))</f>
        <v> </v>
      </c>
      <c r="AM128" s="295" t="str">
        <f aca="false">IF($A128="N/A"," ",IF(OR(Dayrun=1,Dayrun=4,Dayrun=5,Dayrun=7,Dayrun=8,Dayrun=10,Dayrun=11),IF(Option=1,$L128-H128,IF(Option=2,H128-$L128)),0))</f>
        <v> </v>
      </c>
      <c r="AN128" s="295" t="str">
        <f aca="false">IF($A128="N/A"," ",IF(OR(Dayrun=1,Dayrun=7,Dayrun=8,Dayrun=10,Dayrun=11),IF(Option=1,$M128-H128,IF(Option=2,H128-$M128)),0))</f>
        <v> </v>
      </c>
      <c r="AO128" s="295" t="str">
        <f aca="false">IF($A128="N/A"," ",IF(OR(Dayrun&lt;=2,Dayrun&gt;=9),IF(Option=1,$N128-$H128,IF(Option=2,$H128-$N128)),0))</f>
        <v> </v>
      </c>
      <c r="AP128" s="295" t="str">
        <f aca="false">IF($A128="N/A"," ",IF(OR(Dayrun=1,Dayrun=5,Dayrun=8,Dayrun=11),IF(Option=1,$O128-H128,IF(Option=2,H128-$O128)),0))</f>
        <v> </v>
      </c>
      <c r="AQ128" s="295" t="str">
        <f aca="false">IF($A128="N/A"," ",IF(OR(Dayrun=1,Dayrun=8,Dayrun=11),IF(Option=1,$P128-H128,IF(Option=2,H128-$P128)),0))</f>
        <v> </v>
      </c>
      <c r="AR128" s="296" t="str">
        <f aca="false">IF($A128="N/A"," ",IF(OR(Dayrun&lt;=2,Dayrun&gt;=9),IF(Option=1,$Q128-H128,IF(Option=2,H128-$Q128)),0))</f>
        <v> </v>
      </c>
      <c r="AS128" s="297" t="str">
        <f aca="false">IF($A128="N/A"," ",IF(VLOOKUP(MONTH($A128),ManualTable,2)=1,IF(Dayrun&gt;=3,$DE128*8*$CY128,0),0))</f>
        <v> </v>
      </c>
      <c r="AT128" s="297" t="str">
        <f aca="false">IF($A128="N/A"," ",IF(VLOOKUP(MONTH($A128),ManualTable,3)=1,IF(Dayrun&gt;=6,$DE128*8*$CY128,0),0))</f>
        <v> </v>
      </c>
      <c r="AU128" s="297" t="str">
        <f aca="false">IF($A128="N/A"," ",IF(VLOOKUP(MONTH($A128),ManualTable,4)=1,IF(OR(Dayrun&lt;=2,Dayrun&gt;=9),$DE128*8*$CY128,0),0))</f>
        <v> </v>
      </c>
      <c r="AV128" s="297" t="str">
        <f aca="false">IF($A128="N/A"," ",IF(VLOOKUP(MONTH($A128),ManualTable,5)=1,IF(OR(Dayrun=1,Dayrun=4,Dayrun=5,Dayrun=7,Dayrun=8,Dayrun=10,Dayrun=11),$DF128*8*$CY128,0),0))</f>
        <v> </v>
      </c>
      <c r="AW128" s="297" t="str">
        <f aca="false">IF($A128="N/A"," ",IF(VLOOKUP(MONTH($A128),ManualTable,6)=1,IF(OR(Dayrun=1,Dayrun=7,Dayrun=8,Dayrun=10,Dayrun=11),$DF128*8*$CY128,0),0))</f>
        <v> </v>
      </c>
      <c r="AX128" s="297" t="str">
        <f aca="false">IF($A128="N/A"," ",IF(VLOOKUP(MONTH($A128),ManualTable,7)=1,IF(OR(Dayrun&lt;=2,Dayrun&gt;=9),$DF128*8*$CY128,0),0))</f>
        <v> </v>
      </c>
      <c r="AY128" s="297" t="str">
        <f aca="false">IF($A128="N/A"," ",IF(VLOOKUP(MONTH($A128),ManualTable,8)=1,IF(OR(Dayrun=1,Dayrun=5,Dayrun=8,Dayrun=11),$DG128*8*$CY128,0),0))</f>
        <v> </v>
      </c>
      <c r="AZ128" s="297" t="str">
        <f aca="false">IF($A128="N/A"," ",IF(VLOOKUP(MONTH($A128),ManualTable,9)=1,IF(OR(Dayrun=1,Dayrun=8,Dayrun=11),$DG128*8*$CY128,0),0))</f>
        <v> </v>
      </c>
      <c r="BA128" s="298" t="str">
        <f aca="false">IF($A128="N/A"," ",IF(VLOOKUP(MONTH($A128),ManualTable,10)=1,IF(OR(Dayrun&lt;=2,Dayrun&gt;=9),$DG128*8*$CY128,0),0))</f>
        <v> </v>
      </c>
      <c r="BB128" s="299" t="str">
        <f aca="false">IF($A128="N/A"," ",IF(Dayrun&gt;=3,(MAX(0,(xSPRDOPT(I128,($E128-'Pricing Inputs'!$X163*$D128),$CV128,0,($CN128+IF(Smile=TRUE(),VLOOKUP(MAX(-5,$H128-I128),Volsmile,2),0)),$CT128,$CU128,($A128-DateToday)+15,ABS(Option-2),1)*DE128*8))),0))</f>
        <v> </v>
      </c>
      <c r="BC128" s="300" t="str">
        <f aca="false">IF($A128="N/A"," ",IF(Dayrun&gt;=6,MAX(0,(xSPRDOPT(J128,($E128-'Pricing Inputs'!$X163*$D128),$CV128,0,($CN128+IF(Smile=TRUE(),VLOOKUP(MAX(-5,$H128-J128),Volsmile,2),0)),$CT128,$CU128,($A128-DateToday)+15,ABS(Option-2),1)*DE128*8)),0))</f>
        <v> </v>
      </c>
      <c r="BD128" s="300" t="str">
        <f aca="false">IF($A128="N/A"," ",IF(OR(Dayrun&lt;=2,Dayrun&gt;=9),IF(OffPeakEx=TRUE(),MAX(0,(xSPRDOPT(K128,($E128-'Pricing Inputs'!$X163*$D128),$CV128,0,($CQ128+IF(Smile=TRUE(),VLOOKUP(MAX(-5,$H128-K128),Volsmile,2),0)),$CT128,$CU128,($A128-DateToday)+15,ABS(Option-2),1)*DE128*8)),0),0))</f>
        <v> </v>
      </c>
      <c r="BE128" s="300" t="str">
        <f aca="false">IF($A128="N/A"," ",IF(OR(Dayrun=1,Dayrun=4,Dayrun=5,Dayrun=7,Dayrun=8,Dayrun=10,Dayrun=11),MAX(0,(xSPRDOPT(L128,($E128-'Pricing Inputs'!$X163*$D128),$CV128,0,($CQ128+IF(Smile=TRUE(),VLOOKUP(MAX(-5,$H128-L128),Volsmile,2),0)),$CT128,$CU128,($A128-DateToday)+15,ABS(Option-2),1)*DF128*8)),0))</f>
        <v> </v>
      </c>
      <c r="BF128" s="300" t="str">
        <f aca="false">IF($A128="N/A"," ",IF(OR(Dayrun=1,Dayrun=7,Dayrun=8,Dayrun=10,Dayrun=11),MAX(0,(xSPRDOPT(M128,($E128-'Pricing Inputs'!$X163*$D128),$CV128,0,($CQ128+IF(Smile=TRUE(),VLOOKUP(MAX(-5,$H128-M128),Volsmile,2),0)),$CT128,$CU128,($A128-DateToday)+15,ABS(Option-2),1)*DF128*8)),0))</f>
        <v> </v>
      </c>
      <c r="BG128" s="300" t="str">
        <f aca="false">IF($A128="N/A"," ",IF(OR(Dayrun&lt;=2,Dayrun&gt;=10),IF(OffPeakEx=TRUE(),MAX(0,(xSPRDOPT(N128,($E128-'Pricing Inputs'!$X163*$D128),$CV128,0,($CQ128+IF(Smile=TRUE(),VLOOKUP(MAX(-5,$H128-N128),Volsmile,2),0)),$CT128,$CU128,($A128-DateToday)+15,ABS(Option-2),1)*DF128*8)),0),0))</f>
        <v> </v>
      </c>
      <c r="BH128" s="300" t="str">
        <f aca="false">IF($A128="N/A"," ",IF(OR(Dayrun=1,Dayrun=5,Dayrun=8,Dayrun=11),MAX(0,(xSPRDOPT(O128,($E128-'Pricing Inputs'!$X163*$D128),$CV128,0,($CQ128+IF(Smile=TRUE(),VLOOKUP(MAX(-5,$H128-O128),Volsmile,2),0)),$CT128,$CU128,($A128-DateToday)+15,ABS(Option-2),1)*DG128*8)),0))</f>
        <v> </v>
      </c>
      <c r="BI128" s="300" t="str">
        <f aca="false">IF($A128="N/A"," ",IF(OR(Dayrun=1,Dayrun=8,Dayrun=11),MAX(0,(xSPRDOPT(P128,($E128-'Pricing Inputs'!$X163*$D128),$CV128,0,($CQ128+IF(Smile=TRUE(),VLOOKUP(MAX(-5,$H128-P128),Volsmile,2),0)),$CT128,$CU128,($A128-DateToday)+15,ABS(Option-2),1)*DG128*8)),0))</f>
        <v> </v>
      </c>
      <c r="BJ128" s="301" t="str">
        <f aca="false">IF($A128="N/A"," ",IF(OR(Dayrun&lt;=2,Dayrun&gt;=11),IF(OffPeakEx=TRUE(),MAX(0,(xSPRDOPT(Q128,($E128-'Pricing Inputs'!$X163*$D128),$CV128,0,($CQ128+IF(Smile=TRUE(),VLOOKUP(MAX(-5,$H128-Q128),Volsmile,2),0)),$CT128,$CU128,($A128-DateToday)+15,ABS(Option-2),1)*DG128*8)),0),0))</f>
        <v> </v>
      </c>
      <c r="BK128" s="302" t="str">
        <f aca="false">IF($A128="N/A"," ",R128*$AS128)</f>
        <v> </v>
      </c>
      <c r="BL128" s="303" t="str">
        <f aca="false">IF($A128="N/A"," ",S128*$AT128)</f>
        <v> </v>
      </c>
      <c r="BM128" s="303" t="str">
        <f aca="false">IF($A128="N/A"," ",T128*$AU128)</f>
        <v> </v>
      </c>
      <c r="BN128" s="303" t="str">
        <f aca="false">IF($A128="N/A"," ",U128*$AV128)</f>
        <v> </v>
      </c>
      <c r="BO128" s="303" t="str">
        <f aca="false">IF($A128="N/A"," ",V128*$AW128)</f>
        <v> </v>
      </c>
      <c r="BP128" s="303" t="str">
        <f aca="false">IF($A128="N/A"," ",W128*$AX128)</f>
        <v> </v>
      </c>
      <c r="BQ128" s="303" t="str">
        <f aca="false">IF($A128="N/A"," ",X128*$AY128)</f>
        <v> </v>
      </c>
      <c r="BR128" s="303" t="str">
        <f aca="false">IF($A128="N/A"," ",Y128*$AZ128)</f>
        <v> </v>
      </c>
      <c r="BS128" s="304" t="str">
        <f aca="false">IF($A128="N/A"," ",Z128*$BA128)</f>
        <v> </v>
      </c>
      <c r="BT128" s="305" t="str">
        <f aca="false">IF($A128="N/A"," ",AA128*$AS128)</f>
        <v> </v>
      </c>
      <c r="BU128" s="306" t="str">
        <f aca="false">IF($A128="N/A"," ",AB128*$AT128)</f>
        <v> </v>
      </c>
      <c r="BV128" s="306" t="str">
        <f aca="false">IF($A128="N/A"," ",AC128*$AU128)</f>
        <v> </v>
      </c>
      <c r="BW128" s="306" t="str">
        <f aca="false">IF($A128="N/A"," ",AD128*$AV128)</f>
        <v> </v>
      </c>
      <c r="BX128" s="306" t="str">
        <f aca="false">IF($A128="N/A"," ",AE128*$AW128)</f>
        <v> </v>
      </c>
      <c r="BY128" s="306" t="str">
        <f aca="false">IF($A128="N/A"," ",AF128*$AX128)</f>
        <v> </v>
      </c>
      <c r="BZ128" s="306" t="str">
        <f aca="false">IF($A128="N/A"," ",AG128*$AY128)</f>
        <v> </v>
      </c>
      <c r="CA128" s="306" t="str">
        <f aca="false">IF($A128="N/A"," ",AH128*$AZ128)</f>
        <v> </v>
      </c>
      <c r="CB128" s="307" t="str">
        <f aca="false">IF($A128="N/A"," ",AI128*$BA128)</f>
        <v> </v>
      </c>
      <c r="CC128" s="308" t="str">
        <f aca="false">IF($A128="N/A"," ",AJ128*$AS128)</f>
        <v> </v>
      </c>
      <c r="CD128" s="309" t="str">
        <f aca="false">IF($A128="N/A"," ",AK128*$AT128)</f>
        <v> </v>
      </c>
      <c r="CE128" s="309" t="str">
        <f aca="false">IF($A128="N/A"," ",AL128*$AU128)</f>
        <v> </v>
      </c>
      <c r="CF128" s="309" t="str">
        <f aca="false">IF($A128="N/A"," ",AM128*$AV128)</f>
        <v> </v>
      </c>
      <c r="CG128" s="309" t="str">
        <f aca="false">IF($A128="N/A"," ",AN128*$AW128)</f>
        <v> </v>
      </c>
      <c r="CH128" s="309" t="str">
        <f aca="false">IF($A128="N/A"," ",AO128*$AX128)</f>
        <v> </v>
      </c>
      <c r="CI128" s="309" t="str">
        <f aca="false">IF($A128="N/A"," ",AP128*$AY128)</f>
        <v> </v>
      </c>
      <c r="CJ128" s="309" t="str">
        <f aca="false">IF($A128="N/A"," ",AQ128*$AZ128)</f>
        <v> </v>
      </c>
      <c r="CK128" s="310" t="str">
        <f aca="false">IF($A128="N/A"," ",AR128*$BA128)</f>
        <v> </v>
      </c>
      <c r="CL128" s="311" t="str">
        <f aca="false">IF(A128="N/A"," ",(VLOOKUP(A128,PowerVolTable,(IF(VolBMO=2,7,IF(VolBMO=1,6,8))),FALSE())))</f>
        <v> </v>
      </c>
      <c r="CM128" s="312" t="str">
        <f aca="false">IF(A128="N/A"," ",(VLOOKUP(A128,IntraPowerVol,(IF(VolBMO=2,3,IF(VolBMO=1,2,4))),FALSE())*VLOOKUP(MONTH($A128),Volscale,2)))</f>
        <v> </v>
      </c>
      <c r="CN128" s="312" t="str">
        <f aca="false">IF($A128="N/A"," ",IF(VolType=1,CM128,CL128))</f>
        <v> </v>
      </c>
      <c r="CO128" s="312" t="str">
        <f aca="false">IF($A128="N/A"," ",(VLOOKUP($A128,OffPeakVol,(IF(VolBMO=2,7,IF(VolBMO=1,6,8))),FALSE())))</f>
        <v> </v>
      </c>
      <c r="CP128" s="312" t="str">
        <f aca="false">IF($A128="N/A"," ",(VLOOKUP($A128,OffPeakVol,(IF(VolBMO=2,3,IF(VolBMO=1,2,4))),FALSE())*VLOOKUP(MONTH($A128),Volscale,2)))</f>
        <v> </v>
      </c>
      <c r="CQ128" s="312" t="str">
        <f aca="false">IF($A128="N/A"," ",IF(VolType=1,CP128,CO128))</f>
        <v> </v>
      </c>
      <c r="CR128" s="312" t="str">
        <f aca="false">IF($A128="N/A"," ",(VLOOKUP($A128,GasVolTable,(IF(VolBMO=2,6,IF(VolBMO=1,7,5))),FALSE())))</f>
        <v> </v>
      </c>
      <c r="CS128" s="312" t="str">
        <f aca="false">IF($A128="N/A"," ",(VLOOKUP($A128,OmicronVol,(IF(VolBMO=2,3,IF(VolBMO=1,4,2))),FALSE())))</f>
        <v> </v>
      </c>
      <c r="CT128" s="312" t="str">
        <f aca="false">IF($A128="N/A"," ",(IF(DateToday&gt;$A128,$CS128,IF(VolType=1,((($CR128^2)*((($A128-1)-DateToday)/((EOMONTH($A128,0)+1)-DateToday-15)))+((($CS128)^2)*((15)/((EOMONTH($A128,0)+1)-DateToday-15))))^0.5,CR128))))</f>
        <v> </v>
      </c>
      <c r="CU128" s="312" t="str">
        <f aca="false">IF($A128="N/A"," ",IF('Pricing Inputs'!$AR$23=TRUE(),Inputs!$S$22,VLOOKUP($A128,CorrelationTable,2,FALSE())))</f>
        <v> </v>
      </c>
      <c r="CV128" s="313" t="str">
        <f aca="false">IF($A128="N/A"," ",F128+G128+(D128*('Pricing Inputs'!X163)))</f>
        <v> </v>
      </c>
      <c r="CW128" s="314" t="str">
        <f aca="false">IF($A128="N/A"," ",IF(PV=1,0,'Pricing Inputs'!Y163))</f>
        <v> </v>
      </c>
      <c r="CX128" s="315" t="str">
        <f aca="false">IF($A128="N/A"," ",(1+CW128/2)^(-2*((EOMONTH(A128,0)+20)-DateToday)/365.25))</f>
        <v> </v>
      </c>
      <c r="CY128" s="316" t="str">
        <f aca="false">IF($A128="N/A"," ",(IF(MONTH(A128)&gt;=4,IF(MONTH(A128)&lt;=10,Inputs!$S$26,Inputs!$S$27),Inputs!$S$27))*$CX128)</f>
        <v> </v>
      </c>
      <c r="CZ128" s="317" t="str">
        <f aca="false">IF($A128="N/A"," ",BK128+BL128+BN128+BO128+BQ128+BR128)</f>
        <v> </v>
      </c>
      <c r="DA128" s="318" t="str">
        <f aca="false">IF($A128="N/A"," ",BM128+BP128+BS128)</f>
        <v> </v>
      </c>
      <c r="DB128" s="319" t="str">
        <f aca="false">IF($A128="N/A"," ",BT128+BU128+BW128+BX128+BZ128+CA128)</f>
        <v> </v>
      </c>
      <c r="DC128" s="319" t="str">
        <f aca="false">IF($A128="N/A"," ",BV128+BY128+CB128)</f>
        <v> </v>
      </c>
      <c r="DD128" s="320" t="str">
        <f aca="false">IF($A128="N/A"," ",SUM(CC128:CK128))</f>
        <v> </v>
      </c>
      <c r="DE128" s="321" t="str">
        <f aca="false">IF($A128="N/A"," ",VLOOKUP($A128,NumberofDaysTable,2)*Availability)</f>
        <v> </v>
      </c>
      <c r="DF128" s="94" t="str">
        <f aca="false">IF($A128="N/A"," ",VLOOKUP($A128,NumberofDaysTable,3)*Availability)</f>
        <v> </v>
      </c>
      <c r="DG128" s="322" t="str">
        <f aca="false">IF($A128="N/A"," ",VLOOKUP($A128,NumberofDaysTable,4)*Availability)</f>
        <v> </v>
      </c>
      <c r="DH128" s="323" t="str">
        <f aca="false">IF($A128="N/A"," ",IF(Option=1,$D128*Inputs!$S$15*SUM(AS128:BA128),0))</f>
        <v> </v>
      </c>
      <c r="DI128" s="324" t="str">
        <f aca="false">IF($A128="N/A"," ",IF(Option=1,$D128*Inputs!$S$16*SUM(AS128:BA128),0))</f>
        <v> </v>
      </c>
      <c r="DJ128" s="325" t="str">
        <f aca="false">IF($A128="N/A"," ",SUM(AS128:AT128))</f>
        <v> </v>
      </c>
      <c r="DK128" s="325" t="str">
        <f aca="false">IF($A128="N/A"," ",SUM(AU128:BA128))</f>
        <v> </v>
      </c>
      <c r="DL128" s="325" t="str">
        <f aca="false">IF($A128="N/A"," ",SUM(BB128:BC128))</f>
        <v> </v>
      </c>
      <c r="DM128" s="325" t="str">
        <f aca="false">IF($A128="N/A"," ",SUM(BD128:BJ128))</f>
        <v> </v>
      </c>
    </row>
    <row r="129" customFormat="false" ht="12.75" hidden="false" customHeight="false" outlineLevel="0" collapsed="false">
      <c r="A129" s="282" t="str">
        <f aca="false">IF(A128="N/A","N/A",IF(EDATE(A128,1)&gt;Inputs!$S$5,"N/A",EDATE(A128,1)))</f>
        <v>N/A</v>
      </c>
      <c r="B129" s="283" t="str">
        <f aca="false">IF(A129="N/A"," ",YEAR(A129))</f>
        <v> </v>
      </c>
      <c r="C129" s="284" t="str">
        <f aca="false">IF(A129="N/A"," ",VLOOKUP(A129,ScaledPrice,14))</f>
        <v> </v>
      </c>
      <c r="D129" s="285" t="str">
        <f aca="false">IF(A129="N/A"," ",(VLOOKUP(MONTH($A129),Hrtable,2))/1000)</f>
        <v> </v>
      </c>
      <c r="E129" s="286" t="str">
        <f aca="false">IF($A129="N/A"," ",(C129)*D129)</f>
        <v> </v>
      </c>
      <c r="F129" s="287" t="str">
        <f aca="false">IF(A129="N/A"," ",VOM*(1+VOMesc)^(YEAR(A129)-YEAR(Today)))</f>
        <v> </v>
      </c>
      <c r="G129" s="287" t="str">
        <f aca="false">IF(A129="N/A"," ",Perstart/VLOOKUP(Dayrun,'Pricing Inputs'!$AQ$4:$AS$14,3)/(CY129/CX129))</f>
        <v> </v>
      </c>
      <c r="H129" s="288" t="str">
        <f aca="false">IF(A129="N/A"," ",SUM(E129:G129))</f>
        <v> </v>
      </c>
      <c r="I129" s="289" t="str">
        <f aca="false">VLOOKUP($A129,ScaledPrice,6)</f>
        <v> </v>
      </c>
      <c r="J129" s="290" t="str">
        <f aca="false">VLOOKUP($A129,ScaledPrice,10)</f>
        <v> </v>
      </c>
      <c r="K129" s="290" t="str">
        <f aca="false">VLOOKUP($A129,ScaledPrice,13)</f>
        <v> </v>
      </c>
      <c r="L129" s="290" t="str">
        <f aca="false">VLOOKUP($A129,ScaledPrice,7)</f>
        <v> </v>
      </c>
      <c r="M129" s="290" t="str">
        <f aca="false">VLOOKUP($A129,ScaledPrice,11)</f>
        <v> </v>
      </c>
      <c r="N129" s="290" t="str">
        <f aca="false">VLOOKUP($A129,ScaledPrice,13)</f>
        <v> </v>
      </c>
      <c r="O129" s="290" t="str">
        <f aca="false">VLOOKUP($A129,ScaledPrice,8)</f>
        <v> </v>
      </c>
      <c r="P129" s="290" t="str">
        <f aca="false">VLOOKUP($A129,ScaledPrice,12)</f>
        <v> </v>
      </c>
      <c r="Q129" s="291" t="str">
        <f aca="false">VLOOKUP($A129,ScaledPrice,13)</f>
        <v> </v>
      </c>
      <c r="R129" s="292" t="str">
        <f aca="false">IF($A129="N/A"," ",IF(Dayrun&gt;=3,IF(Option=1,MAX($I129-$H129,0),IF(Option=2,MAX($H129-$I129,0),0)),0))</f>
        <v> </v>
      </c>
      <c r="S129" s="286" t="str">
        <f aca="false">IF($A129="N/A"," ",IF(Dayrun&gt;=6,IF(Option=1,MAX($J129-H129,0),IF(Option=2,MAX(H129-$J129,0),0)),0))</f>
        <v> </v>
      </c>
      <c r="T129" s="286" t="str">
        <f aca="false">IF($A129="N/A"," ",IF(OR(Dayrun&lt;=2,Dayrun&gt;=9),IF(Option=1,MAX($K129-$H129,0),IF(Option=2,MAX($H129-$K129,0),0)),0))</f>
        <v> </v>
      </c>
      <c r="U129" s="286" t="str">
        <f aca="false">IF($A129="N/A"," ",IF(OR(Dayrun=1,Dayrun=4,Dayrun=5,Dayrun=7,Dayrun=8,Dayrun=10,Dayrun=11),IF(Option=1,MAX($L129-H129,0),IF(Option=2,MAX(H129-$L129,0),0)),0))</f>
        <v> </v>
      </c>
      <c r="V129" s="286" t="str">
        <f aca="false">IF($A129="N/A"," ",IF(OR(Dayrun=1,Dayrun=7,Dayrun=8,Dayrun=10,Dayrun=11),IF(Option=1,MAX($M129-H129,0),IF(Option=2,MAX(H129-$M129,0),0)),0))</f>
        <v> </v>
      </c>
      <c r="W129" s="286" t="str">
        <f aca="false">IF($A129="N/A"," ",IF(OR(Dayrun&lt;=2,Dayrun&gt;=10),IF(Option=1,MAX($N129-$H129,0),IF(Option=2,MAX($H129-$N129,0),0)),0))</f>
        <v> </v>
      </c>
      <c r="X129" s="286" t="str">
        <f aca="false">IF($A129="N/A"," ",IF(OR(Dayrun=1,Dayrun=5,Dayrun=8,Dayrun=11),IF(Option=1,MAX($O129-H129,0),IF(Option=2,MAX(H129-$O129,0),0)),0))</f>
        <v> </v>
      </c>
      <c r="Y129" s="286" t="str">
        <f aca="false">IF($A129="N/A"," ",IF(OR(Dayrun=1,Dayrun=8,Dayrun=11),IF(Option=1,MAX($P129-H129,0),IF(Option=2,MAX(H129-$P129,0),0)),0))</f>
        <v> </v>
      </c>
      <c r="Z129" s="293" t="str">
        <f aca="false">IF($A129="N/A"," ",IF(OR(Dayrun&lt;=2,Dayrun&gt;=11),IF(Option=1,MAX($Q129-$H129,0),IF(Option=2,MAX($H129-$Q129,0),0)),0))</f>
        <v> </v>
      </c>
      <c r="AA129" s="289" t="str">
        <f aca="false">IF($A129="N/A"," ",IF(Dayrun&gt;=3,(MAX(0,(xSPRDOPT(I129,($E129-'Pricing Inputs'!$X164*$D129),$CV129,0,($CN129+IF(Smile=TRUE(),VLOOKUP(MAX(-5,$H129-I129),Volsmile,2),0)),$CT129,$CU129,($A129-DateToday)+15,ABS(Option-2),0)-R129))),0))</f>
        <v> </v>
      </c>
      <c r="AB129" s="290" t="str">
        <f aca="false">IF($A129="N/A"," ",IF(Dayrun&gt;=6,MAX(0,(xSPRDOPT(J129,($E129-'Pricing Inputs'!$X164*$D129),$CV129,0,($CN129+IF(Smile=TRUE(),VLOOKUP(MAX(-5,$H129-J129),Volsmile,2),0)),$CT129,$CU129,($A129-DateToday)+15,ABS(Option-2),0)-S129)),0))</f>
        <v> </v>
      </c>
      <c r="AC129" s="290" t="str">
        <f aca="false">IF($A129="N/A"," ",IF(OR(Dayrun&lt;=2,Dayrun&gt;=9),IF(OffPeakEx=TRUE(),MAX(0,(xSPRDOPT(K129,($E129-'Pricing Inputs'!$X164*$D129),$CV129,0,($CQ129+IF(Smile=TRUE(),VLOOKUP(MAX(-5,$H129-K129),Volsmile,2),0)),$CT129,$CU129,($A129-DateToday)+15,ABS(Option-2),0)-T129)),0),0))</f>
        <v> </v>
      </c>
      <c r="AD129" s="290" t="str">
        <f aca="false">IF($A129="N/A"," ",IF(OR(Dayrun=1,Dayrun=4,Dayrun=5,Dayrun=7,Dayrun=8,Dayrun=10,Dayrun=11),MAX(0,(xSPRDOPT(L129,($E129-'Pricing Inputs'!$X164*$D129),$CV129,0,($CQ129+IF(Smile=TRUE(),VLOOKUP(MAX(-5,$H129-L129),Volsmile,2),0)),$CT129,$CU129,($A129-DateToday)+15,ABS(Option-2),0)-U129)),0))</f>
        <v> </v>
      </c>
      <c r="AE129" s="290" t="str">
        <f aca="false">IF($A129="N/A"," ",IF(OR(Dayrun=1,Dayrun=7,Dayrun=8,Dayrun=10,Dayrun=11),MAX(0,(xSPRDOPT(M129,($E129-'Pricing Inputs'!$X164*$D129),$CV129,0,($CQ129+IF(Smile=TRUE(),VLOOKUP(MAX(-5,$H129-M129),Volsmile,2),0)),$CT129,$CU129,($A129-DateToday)+15,ABS(Option-2),0)-V129)),0))</f>
        <v> </v>
      </c>
      <c r="AF129" s="290" t="str">
        <f aca="false">IF($A129="N/A"," ",IF(OR(Dayrun&lt;=2,Dayrun&gt;=10),IF(OffPeakEx=TRUE(),MAX(0,(xSPRDOPT(N129,($E129-'Pricing Inputs'!$X164*$D129),$CV129,0,($CQ129+IF(Smile=TRUE(),VLOOKUP(MAX(-5,$H129-N129),Volsmile,2),0)),$CT129,$CU129,($A129-DateToday)+15,ABS(Option-2),0)-W129)),0),0))</f>
        <v> </v>
      </c>
      <c r="AG129" s="290" t="str">
        <f aca="false">IF($A129="N/A"," ",IF(OR(Dayrun=1,Dayrun=5,Dayrun=8,Dayrun=11),MAX(0,(xSPRDOPT(O129,($E129-'Pricing Inputs'!$X164*$D129),$CV129,0,($CQ129+IF(Smile=TRUE(),VLOOKUP(MAX(-5,$H129-O129),Volsmile,2),0)),$CT129,$CU129,($A129-DateToday)+15,ABS(Option-2),0)-X129)),0))</f>
        <v> </v>
      </c>
      <c r="AH129" s="290" t="str">
        <f aca="false">IF($A129="N/A"," ",IF(OR(Dayrun=1,Dayrun=8,Dayrun=11),MAX(0,(xSPRDOPT(P129,($E129-'Pricing Inputs'!$X164*$D129),$CV129,0,($CQ129+IF(Smile=TRUE(),VLOOKUP(MAX(-5,$H129-P129),Volsmile,2),0)),$CT129,$CU129,($A129-DateToday)+15,ABS(Option-2),0)-Y129)),0))</f>
        <v> </v>
      </c>
      <c r="AI129" s="290" t="str">
        <f aca="false">IF($A129="N/A"," ",IF(OR(Dayrun&lt;=2,Dayrun&gt;=11),IF(OffPeakEx=TRUE(),MAX(0,(xSPRDOPT(Q129,($E129-'Pricing Inputs'!$X164*$D129),$CV129,0,($CQ129+IF(Smile=TRUE(),VLOOKUP(MAX(-5,$H129-Q129),Volsmile,2),0)),$CT129,$CU129,($A129-DateToday)+15,ABS(Option-2),0)-Z129)),0),0))</f>
        <v> </v>
      </c>
      <c r="AJ129" s="294" t="str">
        <f aca="false">IF($A129="N/A"," ",IF(Dayrun&gt;=3,IF(Option=1,$I129-$H129,IF(Option=2,$H129-$I129)),0))</f>
        <v> </v>
      </c>
      <c r="AK129" s="295" t="str">
        <f aca="false">IF($A129="N/A"," ",IF(Dayrun&gt;=6,IF(Option=1,$J129-H129,IF(Option=2,H129-$J129)),0))</f>
        <v> </v>
      </c>
      <c r="AL129" s="295" t="str">
        <f aca="false">IF($A129="N/A"," ",IF(OR(Dayrun&lt;=2,Dayrun&gt;=9),IF(Option=1,$K129-$H129,IF(Option=2,$H129-$K129)),0))</f>
        <v> </v>
      </c>
      <c r="AM129" s="295" t="str">
        <f aca="false">IF($A129="N/A"," ",IF(OR(Dayrun=1,Dayrun=4,Dayrun=5,Dayrun=7,Dayrun=8,Dayrun=10,Dayrun=11),IF(Option=1,$L129-H129,IF(Option=2,H129-$L129)),0))</f>
        <v> </v>
      </c>
      <c r="AN129" s="295" t="str">
        <f aca="false">IF($A129="N/A"," ",IF(OR(Dayrun=1,Dayrun=7,Dayrun=8,Dayrun=10,Dayrun=11),IF(Option=1,$M129-H129,IF(Option=2,H129-$M129)),0))</f>
        <v> </v>
      </c>
      <c r="AO129" s="295" t="str">
        <f aca="false">IF($A129="N/A"," ",IF(OR(Dayrun&lt;=2,Dayrun&gt;=9),IF(Option=1,$N129-$H129,IF(Option=2,$H129-$N129)),0))</f>
        <v> </v>
      </c>
      <c r="AP129" s="295" t="str">
        <f aca="false">IF($A129="N/A"," ",IF(OR(Dayrun=1,Dayrun=5,Dayrun=8,Dayrun=11),IF(Option=1,$O129-H129,IF(Option=2,H129-$O129)),0))</f>
        <v> </v>
      </c>
      <c r="AQ129" s="295" t="str">
        <f aca="false">IF($A129="N/A"," ",IF(OR(Dayrun=1,Dayrun=8,Dayrun=11),IF(Option=1,$P129-H129,IF(Option=2,H129-$P129)),0))</f>
        <v> </v>
      </c>
      <c r="AR129" s="296" t="str">
        <f aca="false">IF($A129="N/A"," ",IF(OR(Dayrun&lt;=2,Dayrun&gt;=9),IF(Option=1,$Q129-H129,IF(Option=2,H129-$Q129)),0))</f>
        <v> </v>
      </c>
      <c r="AS129" s="297" t="str">
        <f aca="false">IF($A129="N/A"," ",IF(VLOOKUP(MONTH($A129),ManualTable,2)=1,IF(Dayrun&gt;=3,$DE129*8*$CY129,0),0))</f>
        <v> </v>
      </c>
      <c r="AT129" s="297" t="str">
        <f aca="false">IF($A129="N/A"," ",IF(VLOOKUP(MONTH($A129),ManualTable,3)=1,IF(Dayrun&gt;=6,$DE129*8*$CY129,0),0))</f>
        <v> </v>
      </c>
      <c r="AU129" s="297" t="str">
        <f aca="false">IF($A129="N/A"," ",IF(VLOOKUP(MONTH($A129),ManualTable,4)=1,IF(OR(Dayrun&lt;=2,Dayrun&gt;=9),$DE129*8*$CY129,0),0))</f>
        <v> </v>
      </c>
      <c r="AV129" s="297" t="str">
        <f aca="false">IF($A129="N/A"," ",IF(VLOOKUP(MONTH($A129),ManualTable,5)=1,IF(OR(Dayrun=1,Dayrun=4,Dayrun=5,Dayrun=7,Dayrun=8,Dayrun=10,Dayrun=11),$DF129*8*$CY129,0),0))</f>
        <v> </v>
      </c>
      <c r="AW129" s="297" t="str">
        <f aca="false">IF($A129="N/A"," ",IF(VLOOKUP(MONTH($A129),ManualTable,6)=1,IF(OR(Dayrun=1,Dayrun=7,Dayrun=8,Dayrun=10,Dayrun=11),$DF129*8*$CY129,0),0))</f>
        <v> </v>
      </c>
      <c r="AX129" s="297" t="str">
        <f aca="false">IF($A129="N/A"," ",IF(VLOOKUP(MONTH($A129),ManualTable,7)=1,IF(OR(Dayrun&lt;=2,Dayrun&gt;=9),$DF129*8*$CY129,0),0))</f>
        <v> </v>
      </c>
      <c r="AY129" s="297" t="str">
        <f aca="false">IF($A129="N/A"," ",IF(VLOOKUP(MONTH($A129),ManualTable,8)=1,IF(OR(Dayrun=1,Dayrun=5,Dayrun=8,Dayrun=11),$DG129*8*$CY129,0),0))</f>
        <v> </v>
      </c>
      <c r="AZ129" s="297" t="str">
        <f aca="false">IF($A129="N/A"," ",IF(VLOOKUP(MONTH($A129),ManualTable,9)=1,IF(OR(Dayrun=1,Dayrun=8,Dayrun=11),$DG129*8*$CY129,0),0))</f>
        <v> </v>
      </c>
      <c r="BA129" s="298" t="str">
        <f aca="false">IF($A129="N/A"," ",IF(VLOOKUP(MONTH($A129),ManualTable,10)=1,IF(OR(Dayrun&lt;=2,Dayrun&gt;=9),$DG129*8*$CY129,0),0))</f>
        <v> </v>
      </c>
      <c r="BB129" s="299" t="str">
        <f aca="false">IF($A129="N/A"," ",IF(Dayrun&gt;=3,(MAX(0,(xSPRDOPT(I129,($E129-'Pricing Inputs'!$X164*$D129),$CV129,0,($CN129+IF(Smile=TRUE(),VLOOKUP(MAX(-5,$H129-I129),Volsmile,2),0)),$CT129,$CU129,($A129-DateToday)+15,ABS(Option-2),1)*DE129*8))),0))</f>
        <v> </v>
      </c>
      <c r="BC129" s="300" t="str">
        <f aca="false">IF($A129="N/A"," ",IF(Dayrun&gt;=6,MAX(0,(xSPRDOPT(J129,($E129-'Pricing Inputs'!$X164*$D129),$CV129,0,($CN129+IF(Smile=TRUE(),VLOOKUP(MAX(-5,$H129-J129),Volsmile,2),0)),$CT129,$CU129,($A129-DateToday)+15,ABS(Option-2),1)*DE129*8)),0))</f>
        <v> </v>
      </c>
      <c r="BD129" s="300" t="str">
        <f aca="false">IF($A129="N/A"," ",IF(OR(Dayrun&lt;=2,Dayrun&gt;=9),IF(OffPeakEx=TRUE(),MAX(0,(xSPRDOPT(K129,($E129-'Pricing Inputs'!$X164*$D129),$CV129,0,($CQ129+IF(Smile=TRUE(),VLOOKUP(MAX(-5,$H129-K129),Volsmile,2),0)),$CT129,$CU129,($A129-DateToday)+15,ABS(Option-2),1)*DE129*8)),0),0))</f>
        <v> </v>
      </c>
      <c r="BE129" s="300" t="str">
        <f aca="false">IF($A129="N/A"," ",IF(OR(Dayrun=1,Dayrun=4,Dayrun=5,Dayrun=7,Dayrun=8,Dayrun=10,Dayrun=11),MAX(0,(xSPRDOPT(L129,($E129-'Pricing Inputs'!$X164*$D129),$CV129,0,($CQ129+IF(Smile=TRUE(),VLOOKUP(MAX(-5,$H129-L129),Volsmile,2),0)),$CT129,$CU129,($A129-DateToday)+15,ABS(Option-2),1)*DF129*8)),0))</f>
        <v> </v>
      </c>
      <c r="BF129" s="300" t="str">
        <f aca="false">IF($A129="N/A"," ",IF(OR(Dayrun=1,Dayrun=7,Dayrun=8,Dayrun=10,Dayrun=11),MAX(0,(xSPRDOPT(M129,($E129-'Pricing Inputs'!$X164*$D129),$CV129,0,($CQ129+IF(Smile=TRUE(),VLOOKUP(MAX(-5,$H129-M129),Volsmile,2),0)),$CT129,$CU129,($A129-DateToday)+15,ABS(Option-2),1)*DF129*8)),0))</f>
        <v> </v>
      </c>
      <c r="BG129" s="300" t="str">
        <f aca="false">IF($A129="N/A"," ",IF(OR(Dayrun&lt;=2,Dayrun&gt;=10),IF(OffPeakEx=TRUE(),MAX(0,(xSPRDOPT(N129,($E129-'Pricing Inputs'!$X164*$D129),$CV129,0,($CQ129+IF(Smile=TRUE(),VLOOKUP(MAX(-5,$H129-N129),Volsmile,2),0)),$CT129,$CU129,($A129-DateToday)+15,ABS(Option-2),1)*DF129*8)),0),0))</f>
        <v> </v>
      </c>
      <c r="BH129" s="300" t="str">
        <f aca="false">IF($A129="N/A"," ",IF(OR(Dayrun=1,Dayrun=5,Dayrun=8,Dayrun=11),MAX(0,(xSPRDOPT(O129,($E129-'Pricing Inputs'!$X164*$D129),$CV129,0,($CQ129+IF(Smile=TRUE(),VLOOKUP(MAX(-5,$H129-O129),Volsmile,2),0)),$CT129,$CU129,($A129-DateToday)+15,ABS(Option-2),1)*DG129*8)),0))</f>
        <v> </v>
      </c>
      <c r="BI129" s="300" t="str">
        <f aca="false">IF($A129="N/A"," ",IF(OR(Dayrun=1,Dayrun=8,Dayrun=11),MAX(0,(xSPRDOPT(P129,($E129-'Pricing Inputs'!$X164*$D129),$CV129,0,($CQ129+IF(Smile=TRUE(),VLOOKUP(MAX(-5,$H129-P129),Volsmile,2),0)),$CT129,$CU129,($A129-DateToday)+15,ABS(Option-2),1)*DG129*8)),0))</f>
        <v> </v>
      </c>
      <c r="BJ129" s="301" t="str">
        <f aca="false">IF($A129="N/A"," ",IF(OR(Dayrun&lt;=2,Dayrun&gt;=11),IF(OffPeakEx=TRUE(),MAX(0,(xSPRDOPT(Q129,($E129-'Pricing Inputs'!$X164*$D129),$CV129,0,($CQ129+IF(Smile=TRUE(),VLOOKUP(MAX(-5,$H129-Q129),Volsmile,2),0)),$CT129,$CU129,($A129-DateToday)+15,ABS(Option-2),1)*DG129*8)),0),0))</f>
        <v> </v>
      </c>
      <c r="BK129" s="302" t="str">
        <f aca="false">IF($A129="N/A"," ",R129*$AS129)</f>
        <v> </v>
      </c>
      <c r="BL129" s="303" t="str">
        <f aca="false">IF($A129="N/A"," ",S129*$AT129)</f>
        <v> </v>
      </c>
      <c r="BM129" s="303" t="str">
        <f aca="false">IF($A129="N/A"," ",T129*$AU129)</f>
        <v> </v>
      </c>
      <c r="BN129" s="303" t="str">
        <f aca="false">IF($A129="N/A"," ",U129*$AV129)</f>
        <v> </v>
      </c>
      <c r="BO129" s="303" t="str">
        <f aca="false">IF($A129="N/A"," ",V129*$AW129)</f>
        <v> </v>
      </c>
      <c r="BP129" s="303" t="str">
        <f aca="false">IF($A129="N/A"," ",W129*$AX129)</f>
        <v> </v>
      </c>
      <c r="BQ129" s="303" t="str">
        <f aca="false">IF($A129="N/A"," ",X129*$AY129)</f>
        <v> </v>
      </c>
      <c r="BR129" s="303" t="str">
        <f aca="false">IF($A129="N/A"," ",Y129*$AZ129)</f>
        <v> </v>
      </c>
      <c r="BS129" s="304" t="str">
        <f aca="false">IF($A129="N/A"," ",Z129*$BA129)</f>
        <v> </v>
      </c>
      <c r="BT129" s="305" t="str">
        <f aca="false">IF($A129="N/A"," ",AA129*$AS129)</f>
        <v> </v>
      </c>
      <c r="BU129" s="306" t="str">
        <f aca="false">IF($A129="N/A"," ",AB129*$AT129)</f>
        <v> </v>
      </c>
      <c r="BV129" s="306" t="str">
        <f aca="false">IF($A129="N/A"," ",AC129*$AU129)</f>
        <v> </v>
      </c>
      <c r="BW129" s="306" t="str">
        <f aca="false">IF($A129="N/A"," ",AD129*$AV129)</f>
        <v> </v>
      </c>
      <c r="BX129" s="306" t="str">
        <f aca="false">IF($A129="N/A"," ",AE129*$AW129)</f>
        <v> </v>
      </c>
      <c r="BY129" s="306" t="str">
        <f aca="false">IF($A129="N/A"," ",AF129*$AX129)</f>
        <v> </v>
      </c>
      <c r="BZ129" s="306" t="str">
        <f aca="false">IF($A129="N/A"," ",AG129*$AY129)</f>
        <v> </v>
      </c>
      <c r="CA129" s="306" t="str">
        <f aca="false">IF($A129="N/A"," ",AH129*$AZ129)</f>
        <v> </v>
      </c>
      <c r="CB129" s="307" t="str">
        <f aca="false">IF($A129="N/A"," ",AI129*$BA129)</f>
        <v> </v>
      </c>
      <c r="CC129" s="308" t="str">
        <f aca="false">IF($A129="N/A"," ",AJ129*$AS129)</f>
        <v> </v>
      </c>
      <c r="CD129" s="309" t="str">
        <f aca="false">IF($A129="N/A"," ",AK129*$AT129)</f>
        <v> </v>
      </c>
      <c r="CE129" s="309" t="str">
        <f aca="false">IF($A129="N/A"," ",AL129*$AU129)</f>
        <v> </v>
      </c>
      <c r="CF129" s="309" t="str">
        <f aca="false">IF($A129="N/A"," ",AM129*$AV129)</f>
        <v> </v>
      </c>
      <c r="CG129" s="309" t="str">
        <f aca="false">IF($A129="N/A"," ",AN129*$AW129)</f>
        <v> </v>
      </c>
      <c r="CH129" s="309" t="str">
        <f aca="false">IF($A129="N/A"," ",AO129*$AX129)</f>
        <v> </v>
      </c>
      <c r="CI129" s="309" t="str">
        <f aca="false">IF($A129="N/A"," ",AP129*$AY129)</f>
        <v> </v>
      </c>
      <c r="CJ129" s="309" t="str">
        <f aca="false">IF($A129="N/A"," ",AQ129*$AZ129)</f>
        <v> </v>
      </c>
      <c r="CK129" s="310" t="str">
        <f aca="false">IF($A129="N/A"," ",AR129*$BA129)</f>
        <v> </v>
      </c>
      <c r="CL129" s="311" t="str">
        <f aca="false">IF(A129="N/A"," ",(VLOOKUP(A129,PowerVolTable,(IF(VolBMO=2,7,IF(VolBMO=1,6,8))),FALSE())))</f>
        <v> </v>
      </c>
      <c r="CM129" s="312" t="str">
        <f aca="false">IF(A129="N/A"," ",(VLOOKUP(A129,IntraPowerVol,(IF(VolBMO=2,3,IF(VolBMO=1,2,4))),FALSE())*VLOOKUP(MONTH($A129),Volscale,2)))</f>
        <v> </v>
      </c>
      <c r="CN129" s="312" t="str">
        <f aca="false">IF($A129="N/A"," ",IF(VolType=1,CM129,CL129))</f>
        <v> </v>
      </c>
      <c r="CO129" s="312" t="str">
        <f aca="false">IF($A129="N/A"," ",(VLOOKUP($A129,OffPeakVol,(IF(VolBMO=2,7,IF(VolBMO=1,6,8))),FALSE())))</f>
        <v> </v>
      </c>
      <c r="CP129" s="312" t="str">
        <f aca="false">IF($A129="N/A"," ",(VLOOKUP($A129,OffPeakVol,(IF(VolBMO=2,3,IF(VolBMO=1,2,4))),FALSE())*VLOOKUP(MONTH($A129),Volscale,2)))</f>
        <v> </v>
      </c>
      <c r="CQ129" s="312" t="str">
        <f aca="false">IF($A129="N/A"," ",IF(VolType=1,CP129,CO129))</f>
        <v> </v>
      </c>
      <c r="CR129" s="312" t="str">
        <f aca="false">IF($A129="N/A"," ",(VLOOKUP($A129,GasVolTable,(IF(VolBMO=2,6,IF(VolBMO=1,7,5))),FALSE())))</f>
        <v> </v>
      </c>
      <c r="CS129" s="312" t="str">
        <f aca="false">IF($A129="N/A"," ",(VLOOKUP($A129,OmicronVol,(IF(VolBMO=2,3,IF(VolBMO=1,4,2))),FALSE())))</f>
        <v> </v>
      </c>
      <c r="CT129" s="312" t="str">
        <f aca="false">IF($A129="N/A"," ",(IF(DateToday&gt;$A129,$CS129,IF(VolType=1,((($CR129^2)*((($A129-1)-DateToday)/((EOMONTH($A129,0)+1)-DateToday-15)))+((($CS129)^2)*((15)/((EOMONTH($A129,0)+1)-DateToday-15))))^0.5,CR129))))</f>
        <v> </v>
      </c>
      <c r="CU129" s="312" t="str">
        <f aca="false">IF($A129="N/A"," ",IF('Pricing Inputs'!$AR$23=TRUE(),Inputs!$S$22,VLOOKUP($A129,CorrelationTable,2,FALSE())))</f>
        <v> </v>
      </c>
      <c r="CV129" s="313" t="str">
        <f aca="false">IF($A129="N/A"," ",F129+G129+(D129*('Pricing Inputs'!X164)))</f>
        <v> </v>
      </c>
      <c r="CW129" s="314" t="str">
        <f aca="false">IF($A129="N/A"," ",IF(PV=1,0,'Pricing Inputs'!Y164))</f>
        <v> </v>
      </c>
      <c r="CX129" s="315" t="str">
        <f aca="false">IF($A129="N/A"," ",(1+CW129/2)^(-2*((EOMONTH(A129,0)+20)-DateToday)/365.25))</f>
        <v> </v>
      </c>
      <c r="CY129" s="316" t="str">
        <f aca="false">IF($A129="N/A"," ",(IF(MONTH(A129)&gt;=4,IF(MONTH(A129)&lt;=10,Inputs!$S$26,Inputs!$S$27),Inputs!$S$27))*$CX129)</f>
        <v> </v>
      </c>
      <c r="CZ129" s="317" t="str">
        <f aca="false">IF($A129="N/A"," ",BK129+BL129+BN129+BO129+BQ129+BR129)</f>
        <v> </v>
      </c>
      <c r="DA129" s="318" t="str">
        <f aca="false">IF($A129="N/A"," ",BM129+BP129+BS129)</f>
        <v> </v>
      </c>
      <c r="DB129" s="319" t="str">
        <f aca="false">IF($A129="N/A"," ",BT129+BU129+BW129+BX129+BZ129+CA129)</f>
        <v> </v>
      </c>
      <c r="DC129" s="319" t="str">
        <f aca="false">IF($A129="N/A"," ",BV129+BY129+CB129)</f>
        <v> </v>
      </c>
      <c r="DD129" s="320" t="str">
        <f aca="false">IF($A129="N/A"," ",SUM(CC129:CK129))</f>
        <v> </v>
      </c>
      <c r="DE129" s="321" t="str">
        <f aca="false">IF($A129="N/A"," ",VLOOKUP($A129,NumberofDaysTable,2)*Availability)</f>
        <v> </v>
      </c>
      <c r="DF129" s="94" t="str">
        <f aca="false">IF($A129="N/A"," ",VLOOKUP($A129,NumberofDaysTable,3)*Availability)</f>
        <v> </v>
      </c>
      <c r="DG129" s="322" t="str">
        <f aca="false">IF($A129="N/A"," ",VLOOKUP($A129,NumberofDaysTable,4)*Availability)</f>
        <v> </v>
      </c>
      <c r="DH129" s="323" t="str">
        <f aca="false">IF($A129="N/A"," ",IF(Option=1,$D129*Inputs!$S$15*SUM(AS129:BA129),0))</f>
        <v> </v>
      </c>
      <c r="DI129" s="324" t="str">
        <f aca="false">IF($A129="N/A"," ",IF(Option=1,$D129*Inputs!$S$16*SUM(AS129:BA129),0))</f>
        <v> </v>
      </c>
      <c r="DJ129" s="325" t="str">
        <f aca="false">IF($A129="N/A"," ",SUM(AS129:AT129))</f>
        <v> </v>
      </c>
      <c r="DK129" s="325" t="str">
        <f aca="false">IF($A129="N/A"," ",SUM(AU129:BA129))</f>
        <v> </v>
      </c>
      <c r="DL129" s="325" t="str">
        <f aca="false">IF($A129="N/A"," ",SUM(BB129:BC129))</f>
        <v> </v>
      </c>
      <c r="DM129" s="325" t="str">
        <f aca="false">IF($A129="N/A"," ",SUM(BD129:BJ129))</f>
        <v> </v>
      </c>
    </row>
    <row r="130" customFormat="false" ht="12.75" hidden="false" customHeight="false" outlineLevel="0" collapsed="false">
      <c r="A130" s="282" t="str">
        <f aca="false">IF(A129="N/A","N/A",IF(EDATE(A129,1)&gt;Inputs!$S$5,"N/A",EDATE(A129,1)))</f>
        <v>N/A</v>
      </c>
      <c r="B130" s="283" t="str">
        <f aca="false">IF(A130="N/A"," ",YEAR(A130))</f>
        <v> </v>
      </c>
      <c r="C130" s="284" t="str">
        <f aca="false">IF(A130="N/A"," ",VLOOKUP(A130,ScaledPrice,14))</f>
        <v> </v>
      </c>
      <c r="D130" s="285" t="str">
        <f aca="false">IF(A130="N/A"," ",(VLOOKUP(MONTH($A130),Hrtable,2))/1000)</f>
        <v> </v>
      </c>
      <c r="E130" s="286" t="str">
        <f aca="false">IF($A130="N/A"," ",(C130)*D130)</f>
        <v> </v>
      </c>
      <c r="F130" s="287" t="str">
        <f aca="false">IF(A130="N/A"," ",VOM*(1+VOMesc)^(YEAR(A130)-YEAR(Today)))</f>
        <v> </v>
      </c>
      <c r="G130" s="287" t="str">
        <f aca="false">IF(A130="N/A"," ",Perstart/VLOOKUP(Dayrun,'Pricing Inputs'!$AQ$4:$AS$14,3)/(CY130/CX130))</f>
        <v> </v>
      </c>
      <c r="H130" s="288" t="str">
        <f aca="false">IF(A130="N/A"," ",SUM(E130:G130))</f>
        <v> </v>
      </c>
      <c r="I130" s="289" t="str">
        <f aca="false">VLOOKUP($A130,ScaledPrice,6)</f>
        <v> </v>
      </c>
      <c r="J130" s="290" t="str">
        <f aca="false">VLOOKUP($A130,ScaledPrice,10)</f>
        <v> </v>
      </c>
      <c r="K130" s="290" t="str">
        <f aca="false">VLOOKUP($A130,ScaledPrice,13)</f>
        <v> </v>
      </c>
      <c r="L130" s="290" t="str">
        <f aca="false">VLOOKUP($A130,ScaledPrice,7)</f>
        <v> </v>
      </c>
      <c r="M130" s="290" t="str">
        <f aca="false">VLOOKUP($A130,ScaledPrice,11)</f>
        <v> </v>
      </c>
      <c r="N130" s="290" t="str">
        <f aca="false">VLOOKUP($A130,ScaledPrice,13)</f>
        <v> </v>
      </c>
      <c r="O130" s="290" t="str">
        <f aca="false">VLOOKUP($A130,ScaledPrice,8)</f>
        <v> </v>
      </c>
      <c r="P130" s="290" t="str">
        <f aca="false">VLOOKUP($A130,ScaledPrice,12)</f>
        <v> </v>
      </c>
      <c r="Q130" s="291" t="str">
        <f aca="false">VLOOKUP($A130,ScaledPrice,13)</f>
        <v> </v>
      </c>
      <c r="R130" s="292" t="str">
        <f aca="false">IF($A130="N/A"," ",IF(Dayrun&gt;=3,IF(Option=1,MAX($I130-$H130,0),IF(Option=2,MAX($H130-$I130,0),0)),0))</f>
        <v> </v>
      </c>
      <c r="S130" s="286" t="str">
        <f aca="false">IF($A130="N/A"," ",IF(Dayrun&gt;=6,IF(Option=1,MAX($J130-H130,0),IF(Option=2,MAX(H130-$J130,0),0)),0))</f>
        <v> </v>
      </c>
      <c r="T130" s="286" t="str">
        <f aca="false">IF($A130="N/A"," ",IF(OR(Dayrun&lt;=2,Dayrun&gt;=9),IF(Option=1,MAX($K130-$H130,0),IF(Option=2,MAX($H130-$K130,0),0)),0))</f>
        <v> </v>
      </c>
      <c r="U130" s="286" t="str">
        <f aca="false">IF($A130="N/A"," ",IF(OR(Dayrun=1,Dayrun=4,Dayrun=5,Dayrun=7,Dayrun=8,Dayrun=10,Dayrun=11),IF(Option=1,MAX($L130-H130,0),IF(Option=2,MAX(H130-$L130,0),0)),0))</f>
        <v> </v>
      </c>
      <c r="V130" s="286" t="str">
        <f aca="false">IF($A130="N/A"," ",IF(OR(Dayrun=1,Dayrun=7,Dayrun=8,Dayrun=10,Dayrun=11),IF(Option=1,MAX($M130-H130,0),IF(Option=2,MAX(H130-$M130,0),0)),0))</f>
        <v> </v>
      </c>
      <c r="W130" s="286" t="str">
        <f aca="false">IF($A130="N/A"," ",IF(OR(Dayrun&lt;=2,Dayrun&gt;=10),IF(Option=1,MAX($N130-$H130,0),IF(Option=2,MAX($H130-$N130,0),0)),0))</f>
        <v> </v>
      </c>
      <c r="X130" s="286" t="str">
        <f aca="false">IF($A130="N/A"," ",IF(OR(Dayrun=1,Dayrun=5,Dayrun=8,Dayrun=11),IF(Option=1,MAX($O130-H130,0),IF(Option=2,MAX(H130-$O130,0),0)),0))</f>
        <v> </v>
      </c>
      <c r="Y130" s="286" t="str">
        <f aca="false">IF($A130="N/A"," ",IF(OR(Dayrun=1,Dayrun=8,Dayrun=11),IF(Option=1,MAX($P130-H130,0),IF(Option=2,MAX(H130-$P130,0),0)),0))</f>
        <v> </v>
      </c>
      <c r="Z130" s="293" t="str">
        <f aca="false">IF($A130="N/A"," ",IF(OR(Dayrun&lt;=2,Dayrun&gt;=11),IF(Option=1,MAX($Q130-$H130,0),IF(Option=2,MAX($H130-$Q130,0),0)),0))</f>
        <v> </v>
      </c>
      <c r="AA130" s="289" t="str">
        <f aca="false">IF($A130="N/A"," ",IF(Dayrun&gt;=3,(MAX(0,(xSPRDOPT(I130,($E130-'Pricing Inputs'!$X165*$D130),$CV130,0,($CN130+IF(Smile=TRUE(),VLOOKUP(MAX(-5,$H130-I130),Volsmile,2),0)),$CT130,$CU130,($A130-DateToday)+15,ABS(Option-2),0)-R130))),0))</f>
        <v> </v>
      </c>
      <c r="AB130" s="290" t="str">
        <f aca="false">IF($A130="N/A"," ",IF(Dayrun&gt;=6,MAX(0,(xSPRDOPT(J130,($E130-'Pricing Inputs'!$X165*$D130),$CV130,0,($CN130+IF(Smile=TRUE(),VLOOKUP(MAX(-5,$H130-J130),Volsmile,2),0)),$CT130,$CU130,($A130-DateToday)+15,ABS(Option-2),0)-S130)),0))</f>
        <v> </v>
      </c>
      <c r="AC130" s="290" t="str">
        <f aca="false">IF($A130="N/A"," ",IF(OR(Dayrun&lt;=2,Dayrun&gt;=9),IF(OffPeakEx=TRUE(),MAX(0,(xSPRDOPT(K130,($E130-'Pricing Inputs'!$X165*$D130),$CV130,0,($CQ130+IF(Smile=TRUE(),VLOOKUP(MAX(-5,$H130-K130),Volsmile,2),0)),$CT130,$CU130,($A130-DateToday)+15,ABS(Option-2),0)-T130)),0),0))</f>
        <v> </v>
      </c>
      <c r="AD130" s="290" t="str">
        <f aca="false">IF($A130="N/A"," ",IF(OR(Dayrun=1,Dayrun=4,Dayrun=5,Dayrun=7,Dayrun=8,Dayrun=10,Dayrun=11),MAX(0,(xSPRDOPT(L130,($E130-'Pricing Inputs'!$X165*$D130),$CV130,0,($CQ130+IF(Smile=TRUE(),VLOOKUP(MAX(-5,$H130-L130),Volsmile,2),0)),$CT130,$CU130,($A130-DateToday)+15,ABS(Option-2),0)-U130)),0))</f>
        <v> </v>
      </c>
      <c r="AE130" s="290" t="str">
        <f aca="false">IF($A130="N/A"," ",IF(OR(Dayrun=1,Dayrun=7,Dayrun=8,Dayrun=10,Dayrun=11),MAX(0,(xSPRDOPT(M130,($E130-'Pricing Inputs'!$X165*$D130),$CV130,0,($CQ130+IF(Smile=TRUE(),VLOOKUP(MAX(-5,$H130-M130),Volsmile,2),0)),$CT130,$CU130,($A130-DateToday)+15,ABS(Option-2),0)-V130)),0))</f>
        <v> </v>
      </c>
      <c r="AF130" s="290" t="str">
        <f aca="false">IF($A130="N/A"," ",IF(OR(Dayrun&lt;=2,Dayrun&gt;=10),IF(OffPeakEx=TRUE(),MAX(0,(xSPRDOPT(N130,($E130-'Pricing Inputs'!$X165*$D130),$CV130,0,($CQ130+IF(Smile=TRUE(),VLOOKUP(MAX(-5,$H130-N130),Volsmile,2),0)),$CT130,$CU130,($A130-DateToday)+15,ABS(Option-2),0)-W130)),0),0))</f>
        <v> </v>
      </c>
      <c r="AG130" s="290" t="str">
        <f aca="false">IF($A130="N/A"," ",IF(OR(Dayrun=1,Dayrun=5,Dayrun=8,Dayrun=11),MAX(0,(xSPRDOPT(O130,($E130-'Pricing Inputs'!$X165*$D130),$CV130,0,($CQ130+IF(Smile=TRUE(),VLOOKUP(MAX(-5,$H130-O130),Volsmile,2),0)),$CT130,$CU130,($A130-DateToday)+15,ABS(Option-2),0)-X130)),0))</f>
        <v> </v>
      </c>
      <c r="AH130" s="290" t="str">
        <f aca="false">IF($A130="N/A"," ",IF(OR(Dayrun=1,Dayrun=8,Dayrun=11),MAX(0,(xSPRDOPT(P130,($E130-'Pricing Inputs'!$X165*$D130),$CV130,0,($CQ130+IF(Smile=TRUE(),VLOOKUP(MAX(-5,$H130-P130),Volsmile,2),0)),$CT130,$CU130,($A130-DateToday)+15,ABS(Option-2),0)-Y130)),0))</f>
        <v> </v>
      </c>
      <c r="AI130" s="290" t="str">
        <f aca="false">IF($A130="N/A"," ",IF(OR(Dayrun&lt;=2,Dayrun&gt;=11),IF(OffPeakEx=TRUE(),MAX(0,(xSPRDOPT(Q130,($E130-'Pricing Inputs'!$X165*$D130),$CV130,0,($CQ130+IF(Smile=TRUE(),VLOOKUP(MAX(-5,$H130-Q130),Volsmile,2),0)),$CT130,$CU130,($A130-DateToday)+15,ABS(Option-2),0)-Z130)),0),0))</f>
        <v> </v>
      </c>
      <c r="AJ130" s="294" t="str">
        <f aca="false">IF($A130="N/A"," ",IF(Dayrun&gt;=3,IF(Option=1,$I130-$H130,IF(Option=2,$H130-$I130)),0))</f>
        <v> </v>
      </c>
      <c r="AK130" s="295" t="str">
        <f aca="false">IF($A130="N/A"," ",IF(Dayrun&gt;=6,IF(Option=1,$J130-H130,IF(Option=2,H130-$J130)),0))</f>
        <v> </v>
      </c>
      <c r="AL130" s="295" t="str">
        <f aca="false">IF($A130="N/A"," ",IF(OR(Dayrun&lt;=2,Dayrun&gt;=9),IF(Option=1,$K130-$H130,IF(Option=2,$H130-$K130)),0))</f>
        <v> </v>
      </c>
      <c r="AM130" s="295" t="str">
        <f aca="false">IF($A130="N/A"," ",IF(OR(Dayrun=1,Dayrun=4,Dayrun=5,Dayrun=7,Dayrun=8,Dayrun=10,Dayrun=11),IF(Option=1,$L130-H130,IF(Option=2,H130-$L130)),0))</f>
        <v> </v>
      </c>
      <c r="AN130" s="295" t="str">
        <f aca="false">IF($A130="N/A"," ",IF(OR(Dayrun=1,Dayrun=7,Dayrun=8,Dayrun=10,Dayrun=11),IF(Option=1,$M130-H130,IF(Option=2,H130-$M130)),0))</f>
        <v> </v>
      </c>
      <c r="AO130" s="295" t="str">
        <f aca="false">IF($A130="N/A"," ",IF(OR(Dayrun&lt;=2,Dayrun&gt;=9),IF(Option=1,$N130-$H130,IF(Option=2,$H130-$N130)),0))</f>
        <v> </v>
      </c>
      <c r="AP130" s="295" t="str">
        <f aca="false">IF($A130="N/A"," ",IF(OR(Dayrun=1,Dayrun=5,Dayrun=8,Dayrun=11),IF(Option=1,$O130-H130,IF(Option=2,H130-$O130)),0))</f>
        <v> </v>
      </c>
      <c r="AQ130" s="295" t="str">
        <f aca="false">IF($A130="N/A"," ",IF(OR(Dayrun=1,Dayrun=8,Dayrun=11),IF(Option=1,$P130-H130,IF(Option=2,H130-$P130)),0))</f>
        <v> </v>
      </c>
      <c r="AR130" s="296" t="str">
        <f aca="false">IF($A130="N/A"," ",IF(OR(Dayrun&lt;=2,Dayrun&gt;=9),IF(Option=1,$Q130-H130,IF(Option=2,H130-$Q130)),0))</f>
        <v> </v>
      </c>
      <c r="AS130" s="297" t="str">
        <f aca="false">IF($A130="N/A"," ",IF(VLOOKUP(MONTH($A130),ManualTable,2)=1,IF(Dayrun&gt;=3,$DE130*8*$CY130,0),0))</f>
        <v> </v>
      </c>
      <c r="AT130" s="297" t="str">
        <f aca="false">IF($A130="N/A"," ",IF(VLOOKUP(MONTH($A130),ManualTable,3)=1,IF(Dayrun&gt;=6,$DE130*8*$CY130,0),0))</f>
        <v> </v>
      </c>
      <c r="AU130" s="297" t="str">
        <f aca="false">IF($A130="N/A"," ",IF(VLOOKUP(MONTH($A130),ManualTable,4)=1,IF(OR(Dayrun&lt;=2,Dayrun&gt;=9),$DE130*8*$CY130,0),0))</f>
        <v> </v>
      </c>
      <c r="AV130" s="297" t="str">
        <f aca="false">IF($A130="N/A"," ",IF(VLOOKUP(MONTH($A130),ManualTable,5)=1,IF(OR(Dayrun=1,Dayrun=4,Dayrun=5,Dayrun=7,Dayrun=8,Dayrun=10,Dayrun=11),$DF130*8*$CY130,0),0))</f>
        <v> </v>
      </c>
      <c r="AW130" s="297" t="str">
        <f aca="false">IF($A130="N/A"," ",IF(VLOOKUP(MONTH($A130),ManualTable,6)=1,IF(OR(Dayrun=1,Dayrun=7,Dayrun=8,Dayrun=10,Dayrun=11),$DF130*8*$CY130,0),0))</f>
        <v> </v>
      </c>
      <c r="AX130" s="297" t="str">
        <f aca="false">IF($A130="N/A"," ",IF(VLOOKUP(MONTH($A130),ManualTable,7)=1,IF(OR(Dayrun&lt;=2,Dayrun&gt;=9),$DF130*8*$CY130,0),0))</f>
        <v> </v>
      </c>
      <c r="AY130" s="297" t="str">
        <f aca="false">IF($A130="N/A"," ",IF(VLOOKUP(MONTH($A130),ManualTable,8)=1,IF(OR(Dayrun=1,Dayrun=5,Dayrun=8,Dayrun=11),$DG130*8*$CY130,0),0))</f>
        <v> </v>
      </c>
      <c r="AZ130" s="297" t="str">
        <f aca="false">IF($A130="N/A"," ",IF(VLOOKUP(MONTH($A130),ManualTable,9)=1,IF(OR(Dayrun=1,Dayrun=8,Dayrun=11),$DG130*8*$CY130,0),0))</f>
        <v> </v>
      </c>
      <c r="BA130" s="298" t="str">
        <f aca="false">IF($A130="N/A"," ",IF(VLOOKUP(MONTH($A130),ManualTable,10)=1,IF(OR(Dayrun&lt;=2,Dayrun&gt;=9),$DG130*8*$CY130,0),0))</f>
        <v> </v>
      </c>
      <c r="BB130" s="299" t="str">
        <f aca="false">IF($A130="N/A"," ",IF(Dayrun&gt;=3,(MAX(0,(xSPRDOPT(I130,($E130-'Pricing Inputs'!$X165*$D130),$CV130,0,($CN130+IF(Smile=TRUE(),VLOOKUP(MAX(-5,$H130-I130),Volsmile,2),0)),$CT130,$CU130,($A130-DateToday)+15,ABS(Option-2),1)*DE130*8))),0))</f>
        <v> </v>
      </c>
      <c r="BC130" s="300" t="str">
        <f aca="false">IF($A130="N/A"," ",IF(Dayrun&gt;=6,MAX(0,(xSPRDOPT(J130,($E130-'Pricing Inputs'!$X165*$D130),$CV130,0,($CN130+IF(Smile=TRUE(),VLOOKUP(MAX(-5,$H130-J130),Volsmile,2),0)),$CT130,$CU130,($A130-DateToday)+15,ABS(Option-2),1)*DE130*8)),0))</f>
        <v> </v>
      </c>
      <c r="BD130" s="300" t="str">
        <f aca="false">IF($A130="N/A"," ",IF(OR(Dayrun&lt;=2,Dayrun&gt;=9),IF(OffPeakEx=TRUE(),MAX(0,(xSPRDOPT(K130,($E130-'Pricing Inputs'!$X165*$D130),$CV130,0,($CQ130+IF(Smile=TRUE(),VLOOKUP(MAX(-5,$H130-K130),Volsmile,2),0)),$CT130,$CU130,($A130-DateToday)+15,ABS(Option-2),1)*DE130*8)),0),0))</f>
        <v> </v>
      </c>
      <c r="BE130" s="300" t="str">
        <f aca="false">IF($A130="N/A"," ",IF(OR(Dayrun=1,Dayrun=4,Dayrun=5,Dayrun=7,Dayrun=8,Dayrun=10,Dayrun=11),MAX(0,(xSPRDOPT(L130,($E130-'Pricing Inputs'!$X165*$D130),$CV130,0,($CQ130+IF(Smile=TRUE(),VLOOKUP(MAX(-5,$H130-L130),Volsmile,2),0)),$CT130,$CU130,($A130-DateToday)+15,ABS(Option-2),1)*DF130*8)),0))</f>
        <v> </v>
      </c>
      <c r="BF130" s="300" t="str">
        <f aca="false">IF($A130="N/A"," ",IF(OR(Dayrun=1,Dayrun=7,Dayrun=8,Dayrun=10,Dayrun=11),MAX(0,(xSPRDOPT(M130,($E130-'Pricing Inputs'!$X165*$D130),$CV130,0,($CQ130+IF(Smile=TRUE(),VLOOKUP(MAX(-5,$H130-M130),Volsmile,2),0)),$CT130,$CU130,($A130-DateToday)+15,ABS(Option-2),1)*DF130*8)),0))</f>
        <v> </v>
      </c>
      <c r="BG130" s="300" t="str">
        <f aca="false">IF($A130="N/A"," ",IF(OR(Dayrun&lt;=2,Dayrun&gt;=10),IF(OffPeakEx=TRUE(),MAX(0,(xSPRDOPT(N130,($E130-'Pricing Inputs'!$X165*$D130),$CV130,0,($CQ130+IF(Smile=TRUE(),VLOOKUP(MAX(-5,$H130-N130),Volsmile,2),0)),$CT130,$CU130,($A130-DateToday)+15,ABS(Option-2),1)*DF130*8)),0),0))</f>
        <v> </v>
      </c>
      <c r="BH130" s="300" t="str">
        <f aca="false">IF($A130="N/A"," ",IF(OR(Dayrun=1,Dayrun=5,Dayrun=8,Dayrun=11),MAX(0,(xSPRDOPT(O130,($E130-'Pricing Inputs'!$X165*$D130),$CV130,0,($CQ130+IF(Smile=TRUE(),VLOOKUP(MAX(-5,$H130-O130),Volsmile,2),0)),$CT130,$CU130,($A130-DateToday)+15,ABS(Option-2),1)*DG130*8)),0))</f>
        <v> </v>
      </c>
      <c r="BI130" s="300" t="str">
        <f aca="false">IF($A130="N/A"," ",IF(OR(Dayrun=1,Dayrun=8,Dayrun=11),MAX(0,(xSPRDOPT(P130,($E130-'Pricing Inputs'!$X165*$D130),$CV130,0,($CQ130+IF(Smile=TRUE(),VLOOKUP(MAX(-5,$H130-P130),Volsmile,2),0)),$CT130,$CU130,($A130-DateToday)+15,ABS(Option-2),1)*DG130*8)),0))</f>
        <v> </v>
      </c>
      <c r="BJ130" s="301" t="str">
        <f aca="false">IF($A130="N/A"," ",IF(OR(Dayrun&lt;=2,Dayrun&gt;=11),IF(OffPeakEx=TRUE(),MAX(0,(xSPRDOPT(Q130,($E130-'Pricing Inputs'!$X165*$D130),$CV130,0,($CQ130+IF(Smile=TRUE(),VLOOKUP(MAX(-5,$H130-Q130),Volsmile,2),0)),$CT130,$CU130,($A130-DateToday)+15,ABS(Option-2),1)*DG130*8)),0),0))</f>
        <v> </v>
      </c>
      <c r="BK130" s="302" t="str">
        <f aca="false">IF($A130="N/A"," ",R130*$AS130)</f>
        <v> </v>
      </c>
      <c r="BL130" s="303" t="str">
        <f aca="false">IF($A130="N/A"," ",S130*$AT130)</f>
        <v> </v>
      </c>
      <c r="BM130" s="303" t="str">
        <f aca="false">IF($A130="N/A"," ",T130*$AU130)</f>
        <v> </v>
      </c>
      <c r="BN130" s="303" t="str">
        <f aca="false">IF($A130="N/A"," ",U130*$AV130)</f>
        <v> </v>
      </c>
      <c r="BO130" s="303" t="str">
        <f aca="false">IF($A130="N/A"," ",V130*$AW130)</f>
        <v> </v>
      </c>
      <c r="BP130" s="303" t="str">
        <f aca="false">IF($A130="N/A"," ",W130*$AX130)</f>
        <v> </v>
      </c>
      <c r="BQ130" s="303" t="str">
        <f aca="false">IF($A130="N/A"," ",X130*$AY130)</f>
        <v> </v>
      </c>
      <c r="BR130" s="303" t="str">
        <f aca="false">IF($A130="N/A"," ",Y130*$AZ130)</f>
        <v> </v>
      </c>
      <c r="BS130" s="304" t="str">
        <f aca="false">IF($A130="N/A"," ",Z130*$BA130)</f>
        <v> </v>
      </c>
      <c r="BT130" s="305" t="str">
        <f aca="false">IF($A130="N/A"," ",AA130*$AS130)</f>
        <v> </v>
      </c>
      <c r="BU130" s="306" t="str">
        <f aca="false">IF($A130="N/A"," ",AB130*$AT130)</f>
        <v> </v>
      </c>
      <c r="BV130" s="306" t="str">
        <f aca="false">IF($A130="N/A"," ",AC130*$AU130)</f>
        <v> </v>
      </c>
      <c r="BW130" s="306" t="str">
        <f aca="false">IF($A130="N/A"," ",AD130*$AV130)</f>
        <v> </v>
      </c>
      <c r="BX130" s="306" t="str">
        <f aca="false">IF($A130="N/A"," ",AE130*$AW130)</f>
        <v> </v>
      </c>
      <c r="BY130" s="306" t="str">
        <f aca="false">IF($A130="N/A"," ",AF130*$AX130)</f>
        <v> </v>
      </c>
      <c r="BZ130" s="306" t="str">
        <f aca="false">IF($A130="N/A"," ",AG130*$AY130)</f>
        <v> </v>
      </c>
      <c r="CA130" s="306" t="str">
        <f aca="false">IF($A130="N/A"," ",AH130*$AZ130)</f>
        <v> </v>
      </c>
      <c r="CB130" s="307" t="str">
        <f aca="false">IF($A130="N/A"," ",AI130*$BA130)</f>
        <v> </v>
      </c>
      <c r="CC130" s="308" t="str">
        <f aca="false">IF($A130="N/A"," ",AJ130*$AS130)</f>
        <v> </v>
      </c>
      <c r="CD130" s="309" t="str">
        <f aca="false">IF($A130="N/A"," ",AK130*$AT130)</f>
        <v> </v>
      </c>
      <c r="CE130" s="309" t="str">
        <f aca="false">IF($A130="N/A"," ",AL130*$AU130)</f>
        <v> </v>
      </c>
      <c r="CF130" s="309" t="str">
        <f aca="false">IF($A130="N/A"," ",AM130*$AV130)</f>
        <v> </v>
      </c>
      <c r="CG130" s="309" t="str">
        <f aca="false">IF($A130="N/A"," ",AN130*$AW130)</f>
        <v> </v>
      </c>
      <c r="CH130" s="309" t="str">
        <f aca="false">IF($A130="N/A"," ",AO130*$AX130)</f>
        <v> </v>
      </c>
      <c r="CI130" s="309" t="str">
        <f aca="false">IF($A130="N/A"," ",AP130*$AY130)</f>
        <v> </v>
      </c>
      <c r="CJ130" s="309" t="str">
        <f aca="false">IF($A130="N/A"," ",AQ130*$AZ130)</f>
        <v> </v>
      </c>
      <c r="CK130" s="310" t="str">
        <f aca="false">IF($A130="N/A"," ",AR130*$BA130)</f>
        <v> </v>
      </c>
      <c r="CL130" s="311" t="str">
        <f aca="false">IF(A130="N/A"," ",(VLOOKUP(A130,PowerVolTable,(IF(VolBMO=2,7,IF(VolBMO=1,6,8))),FALSE())))</f>
        <v> </v>
      </c>
      <c r="CM130" s="312" t="str">
        <f aca="false">IF(A130="N/A"," ",(VLOOKUP(A130,IntraPowerVol,(IF(VolBMO=2,3,IF(VolBMO=1,2,4))),FALSE())*VLOOKUP(MONTH($A130),Volscale,2)))</f>
        <v> </v>
      </c>
      <c r="CN130" s="312" t="str">
        <f aca="false">IF($A130="N/A"," ",IF(VolType=1,CM130,CL130))</f>
        <v> </v>
      </c>
      <c r="CO130" s="312" t="str">
        <f aca="false">IF($A130="N/A"," ",(VLOOKUP($A130,OffPeakVol,(IF(VolBMO=2,7,IF(VolBMO=1,6,8))),FALSE())))</f>
        <v> </v>
      </c>
      <c r="CP130" s="312" t="str">
        <f aca="false">IF($A130="N/A"," ",(VLOOKUP($A130,OffPeakVol,(IF(VolBMO=2,3,IF(VolBMO=1,2,4))),FALSE())*VLOOKUP(MONTH($A130),Volscale,2)))</f>
        <v> </v>
      </c>
      <c r="CQ130" s="312" t="str">
        <f aca="false">IF($A130="N/A"," ",IF(VolType=1,CP130,CO130))</f>
        <v> </v>
      </c>
      <c r="CR130" s="312" t="str">
        <f aca="false">IF($A130="N/A"," ",(VLOOKUP($A130,GasVolTable,(IF(VolBMO=2,6,IF(VolBMO=1,7,5))),FALSE())))</f>
        <v> </v>
      </c>
      <c r="CS130" s="312" t="str">
        <f aca="false">IF($A130="N/A"," ",(VLOOKUP($A130,OmicronVol,(IF(VolBMO=2,3,IF(VolBMO=1,4,2))),FALSE())))</f>
        <v> </v>
      </c>
      <c r="CT130" s="312" t="str">
        <f aca="false">IF($A130="N/A"," ",(IF(DateToday&gt;$A130,$CS130,IF(VolType=1,((($CR130^2)*((($A130-1)-DateToday)/((EOMONTH($A130,0)+1)-DateToday-15)))+((($CS130)^2)*((15)/((EOMONTH($A130,0)+1)-DateToday-15))))^0.5,CR130))))</f>
        <v> </v>
      </c>
      <c r="CU130" s="312" t="str">
        <f aca="false">IF($A130="N/A"," ",IF('Pricing Inputs'!$AR$23=TRUE(),Inputs!$S$22,VLOOKUP($A130,CorrelationTable,2,FALSE())))</f>
        <v> </v>
      </c>
      <c r="CV130" s="313" t="str">
        <f aca="false">IF($A130="N/A"," ",F130+G130+(D130*('Pricing Inputs'!X165)))</f>
        <v> </v>
      </c>
      <c r="CW130" s="314" t="str">
        <f aca="false">IF($A130="N/A"," ",IF(PV=1,0,'Pricing Inputs'!Y165))</f>
        <v> </v>
      </c>
      <c r="CX130" s="315" t="str">
        <f aca="false">IF($A130="N/A"," ",(1+CW130/2)^(-2*((EOMONTH(A130,0)+20)-DateToday)/365.25))</f>
        <v> </v>
      </c>
      <c r="CY130" s="316" t="str">
        <f aca="false">IF($A130="N/A"," ",(IF(MONTH(A130)&gt;=4,IF(MONTH(A130)&lt;=10,Inputs!$S$26,Inputs!$S$27),Inputs!$S$27))*$CX130)</f>
        <v> </v>
      </c>
      <c r="CZ130" s="317" t="str">
        <f aca="false">IF($A130="N/A"," ",BK130+BL130+BN130+BO130+BQ130+BR130)</f>
        <v> </v>
      </c>
      <c r="DA130" s="318" t="str">
        <f aca="false">IF($A130="N/A"," ",BM130+BP130+BS130)</f>
        <v> </v>
      </c>
      <c r="DB130" s="319" t="str">
        <f aca="false">IF($A130="N/A"," ",BT130+BU130+BW130+BX130+BZ130+CA130)</f>
        <v> </v>
      </c>
      <c r="DC130" s="319" t="str">
        <f aca="false">IF($A130="N/A"," ",BV130+BY130+CB130)</f>
        <v> </v>
      </c>
      <c r="DD130" s="320" t="str">
        <f aca="false">IF($A130="N/A"," ",SUM(CC130:CK130))</f>
        <v> </v>
      </c>
      <c r="DE130" s="321" t="str">
        <f aca="false">IF($A130="N/A"," ",VLOOKUP($A130,NumberofDaysTable,2)*Availability)</f>
        <v> </v>
      </c>
      <c r="DF130" s="94" t="str">
        <f aca="false">IF($A130="N/A"," ",VLOOKUP($A130,NumberofDaysTable,3)*Availability)</f>
        <v> </v>
      </c>
      <c r="DG130" s="322" t="str">
        <f aca="false">IF($A130="N/A"," ",VLOOKUP($A130,NumberofDaysTable,4)*Availability)</f>
        <v> </v>
      </c>
      <c r="DH130" s="323" t="str">
        <f aca="false">IF($A130="N/A"," ",IF(Option=1,$D130*Inputs!$S$15*SUM(AS130:BA130),0))</f>
        <v> </v>
      </c>
      <c r="DI130" s="324" t="str">
        <f aca="false">IF($A130="N/A"," ",IF(Option=1,$D130*Inputs!$S$16*SUM(AS130:BA130),0))</f>
        <v> </v>
      </c>
      <c r="DJ130" s="325" t="str">
        <f aca="false">IF($A130="N/A"," ",SUM(AS130:AT130))</f>
        <v> </v>
      </c>
      <c r="DK130" s="325" t="str">
        <f aca="false">IF($A130="N/A"," ",SUM(AU130:BA130))</f>
        <v> </v>
      </c>
      <c r="DL130" s="325" t="str">
        <f aca="false">IF($A130="N/A"," ",SUM(BB130:BC130))</f>
        <v> </v>
      </c>
      <c r="DM130" s="325" t="str">
        <f aca="false">IF($A130="N/A"," ",SUM(BD130:BJ130))</f>
        <v> </v>
      </c>
    </row>
    <row r="131" customFormat="false" ht="12.75" hidden="false" customHeight="false" outlineLevel="0" collapsed="false">
      <c r="A131" s="282" t="str">
        <f aca="false">IF(A130="N/A","N/A",IF(EDATE(A130,1)&gt;Inputs!$S$5,"N/A",EDATE(A130,1)))</f>
        <v>N/A</v>
      </c>
      <c r="B131" s="283" t="str">
        <f aca="false">IF(A131="N/A"," ",YEAR(A131))</f>
        <v> </v>
      </c>
      <c r="C131" s="284" t="str">
        <f aca="false">IF(A131="N/A"," ",VLOOKUP(A131,ScaledPrice,14))</f>
        <v> </v>
      </c>
      <c r="D131" s="285" t="str">
        <f aca="false">IF(A131="N/A"," ",(VLOOKUP(MONTH($A131),Hrtable,2))/1000)</f>
        <v> </v>
      </c>
      <c r="E131" s="286" t="str">
        <f aca="false">IF($A131="N/A"," ",(C131)*D131)</f>
        <v> </v>
      </c>
      <c r="F131" s="287" t="str">
        <f aca="false">IF(A131="N/A"," ",VOM*(1+VOMesc)^(YEAR(A131)-YEAR(Today)))</f>
        <v> </v>
      </c>
      <c r="G131" s="287" t="str">
        <f aca="false">IF(A131="N/A"," ",Perstart/VLOOKUP(Dayrun,'Pricing Inputs'!$AQ$4:$AS$14,3)/(CY131/CX131))</f>
        <v> </v>
      </c>
      <c r="H131" s="288" t="str">
        <f aca="false">IF(A131="N/A"," ",SUM(E131:G131))</f>
        <v> </v>
      </c>
      <c r="I131" s="289" t="str">
        <f aca="false">VLOOKUP($A131,ScaledPrice,6)</f>
        <v> </v>
      </c>
      <c r="J131" s="290" t="str">
        <f aca="false">VLOOKUP($A131,ScaledPrice,10)</f>
        <v> </v>
      </c>
      <c r="K131" s="290" t="str">
        <f aca="false">VLOOKUP($A131,ScaledPrice,13)</f>
        <v> </v>
      </c>
      <c r="L131" s="290" t="str">
        <f aca="false">VLOOKUP($A131,ScaledPrice,7)</f>
        <v> </v>
      </c>
      <c r="M131" s="290" t="str">
        <f aca="false">VLOOKUP($A131,ScaledPrice,11)</f>
        <v> </v>
      </c>
      <c r="N131" s="290" t="str">
        <f aca="false">VLOOKUP($A131,ScaledPrice,13)</f>
        <v> </v>
      </c>
      <c r="O131" s="290" t="str">
        <f aca="false">VLOOKUP($A131,ScaledPrice,8)</f>
        <v> </v>
      </c>
      <c r="P131" s="290" t="str">
        <f aca="false">VLOOKUP($A131,ScaledPrice,12)</f>
        <v> </v>
      </c>
      <c r="Q131" s="291" t="str">
        <f aca="false">VLOOKUP($A131,ScaledPrice,13)</f>
        <v> </v>
      </c>
      <c r="R131" s="292" t="str">
        <f aca="false">IF($A131="N/A"," ",IF(Dayrun&gt;=3,IF(Option=1,MAX($I131-$H131,0),IF(Option=2,MAX($H131-$I131,0),0)),0))</f>
        <v> </v>
      </c>
      <c r="S131" s="286" t="str">
        <f aca="false">IF($A131="N/A"," ",IF(Dayrun&gt;=6,IF(Option=1,MAX($J131-H131,0),IF(Option=2,MAX(H131-$J131,0),0)),0))</f>
        <v> </v>
      </c>
      <c r="T131" s="286" t="str">
        <f aca="false">IF($A131="N/A"," ",IF(OR(Dayrun&lt;=2,Dayrun&gt;=9),IF(Option=1,MAX($K131-$H131,0),IF(Option=2,MAX($H131-$K131,0),0)),0))</f>
        <v> </v>
      </c>
      <c r="U131" s="286" t="str">
        <f aca="false">IF($A131="N/A"," ",IF(OR(Dayrun=1,Dayrun=4,Dayrun=5,Dayrun=7,Dayrun=8,Dayrun=10,Dayrun=11),IF(Option=1,MAX($L131-H131,0),IF(Option=2,MAX(H131-$L131,0),0)),0))</f>
        <v> </v>
      </c>
      <c r="V131" s="286" t="str">
        <f aca="false">IF($A131="N/A"," ",IF(OR(Dayrun=1,Dayrun=7,Dayrun=8,Dayrun=10,Dayrun=11),IF(Option=1,MAX($M131-H131,0),IF(Option=2,MAX(H131-$M131,0),0)),0))</f>
        <v> </v>
      </c>
      <c r="W131" s="286" t="str">
        <f aca="false">IF($A131="N/A"," ",IF(OR(Dayrun&lt;=2,Dayrun&gt;=10),IF(Option=1,MAX($N131-$H131,0),IF(Option=2,MAX($H131-$N131,0),0)),0))</f>
        <v> </v>
      </c>
      <c r="X131" s="286" t="str">
        <f aca="false">IF($A131="N/A"," ",IF(OR(Dayrun=1,Dayrun=5,Dayrun=8,Dayrun=11),IF(Option=1,MAX($O131-H131,0),IF(Option=2,MAX(H131-$O131,0),0)),0))</f>
        <v> </v>
      </c>
      <c r="Y131" s="286" t="str">
        <f aca="false">IF($A131="N/A"," ",IF(OR(Dayrun=1,Dayrun=8,Dayrun=11),IF(Option=1,MAX($P131-H131,0),IF(Option=2,MAX(H131-$P131,0),0)),0))</f>
        <v> </v>
      </c>
      <c r="Z131" s="293" t="str">
        <f aca="false">IF($A131="N/A"," ",IF(OR(Dayrun&lt;=2,Dayrun&gt;=11),IF(Option=1,MAX($Q131-$H131,0),IF(Option=2,MAX($H131-$Q131,0),0)),0))</f>
        <v> </v>
      </c>
      <c r="AA131" s="289" t="str">
        <f aca="false">IF($A131="N/A"," ",IF(Dayrun&gt;=3,(MAX(0,(xSPRDOPT(I131,($E131-'Pricing Inputs'!$X166*$D131),$CV131,0,($CN131+IF(Smile=TRUE(),VLOOKUP(MAX(-5,$H131-I131),Volsmile,2),0)),$CT131,$CU131,($A131-DateToday)+15,ABS(Option-2),0)-R131))),0))</f>
        <v> </v>
      </c>
      <c r="AB131" s="290" t="str">
        <f aca="false">IF($A131="N/A"," ",IF(Dayrun&gt;=6,MAX(0,(xSPRDOPT(J131,($E131-'Pricing Inputs'!$X166*$D131),$CV131,0,($CN131+IF(Smile=TRUE(),VLOOKUP(MAX(-5,$H131-J131),Volsmile,2),0)),$CT131,$CU131,($A131-DateToday)+15,ABS(Option-2),0)-S131)),0))</f>
        <v> </v>
      </c>
      <c r="AC131" s="290" t="str">
        <f aca="false">IF($A131="N/A"," ",IF(OR(Dayrun&lt;=2,Dayrun&gt;=9),IF(OffPeakEx=TRUE(),MAX(0,(xSPRDOPT(K131,($E131-'Pricing Inputs'!$X166*$D131),$CV131,0,($CQ131+IF(Smile=TRUE(),VLOOKUP(MAX(-5,$H131-K131),Volsmile,2),0)),$CT131,$CU131,($A131-DateToday)+15,ABS(Option-2),0)-T131)),0),0))</f>
        <v> </v>
      </c>
      <c r="AD131" s="290" t="str">
        <f aca="false">IF($A131="N/A"," ",IF(OR(Dayrun=1,Dayrun=4,Dayrun=5,Dayrun=7,Dayrun=8,Dayrun=10,Dayrun=11),MAX(0,(xSPRDOPT(L131,($E131-'Pricing Inputs'!$X166*$D131),$CV131,0,($CQ131+IF(Smile=TRUE(),VLOOKUP(MAX(-5,$H131-L131),Volsmile,2),0)),$CT131,$CU131,($A131-DateToday)+15,ABS(Option-2),0)-U131)),0))</f>
        <v> </v>
      </c>
      <c r="AE131" s="290" t="str">
        <f aca="false">IF($A131="N/A"," ",IF(OR(Dayrun=1,Dayrun=7,Dayrun=8,Dayrun=10,Dayrun=11),MAX(0,(xSPRDOPT(M131,($E131-'Pricing Inputs'!$X166*$D131),$CV131,0,($CQ131+IF(Smile=TRUE(),VLOOKUP(MAX(-5,$H131-M131),Volsmile,2),0)),$CT131,$CU131,($A131-DateToday)+15,ABS(Option-2),0)-V131)),0))</f>
        <v> </v>
      </c>
      <c r="AF131" s="290" t="str">
        <f aca="false">IF($A131="N/A"," ",IF(OR(Dayrun&lt;=2,Dayrun&gt;=10),IF(OffPeakEx=TRUE(),MAX(0,(xSPRDOPT(N131,($E131-'Pricing Inputs'!$X166*$D131),$CV131,0,($CQ131+IF(Smile=TRUE(),VLOOKUP(MAX(-5,$H131-N131),Volsmile,2),0)),$CT131,$CU131,($A131-DateToday)+15,ABS(Option-2),0)-W131)),0),0))</f>
        <v> </v>
      </c>
      <c r="AG131" s="290" t="str">
        <f aca="false">IF($A131="N/A"," ",IF(OR(Dayrun=1,Dayrun=5,Dayrun=8,Dayrun=11),MAX(0,(xSPRDOPT(O131,($E131-'Pricing Inputs'!$X166*$D131),$CV131,0,($CQ131+IF(Smile=TRUE(),VLOOKUP(MAX(-5,$H131-O131),Volsmile,2),0)),$CT131,$CU131,($A131-DateToday)+15,ABS(Option-2),0)-X131)),0))</f>
        <v> </v>
      </c>
      <c r="AH131" s="290" t="str">
        <f aca="false">IF($A131="N/A"," ",IF(OR(Dayrun=1,Dayrun=8,Dayrun=11),MAX(0,(xSPRDOPT(P131,($E131-'Pricing Inputs'!$X166*$D131),$CV131,0,($CQ131+IF(Smile=TRUE(),VLOOKUP(MAX(-5,$H131-P131),Volsmile,2),0)),$CT131,$CU131,($A131-DateToday)+15,ABS(Option-2),0)-Y131)),0))</f>
        <v> </v>
      </c>
      <c r="AI131" s="290" t="str">
        <f aca="false">IF($A131="N/A"," ",IF(OR(Dayrun&lt;=2,Dayrun&gt;=11),IF(OffPeakEx=TRUE(),MAX(0,(xSPRDOPT(Q131,($E131-'Pricing Inputs'!$X166*$D131),$CV131,0,($CQ131+IF(Smile=TRUE(),VLOOKUP(MAX(-5,$H131-Q131),Volsmile,2),0)),$CT131,$CU131,($A131-DateToday)+15,ABS(Option-2),0)-Z131)),0),0))</f>
        <v> </v>
      </c>
      <c r="AJ131" s="294" t="str">
        <f aca="false">IF($A131="N/A"," ",IF(Dayrun&gt;=3,IF(Option=1,$I131-$H131,IF(Option=2,$H131-$I131)),0))</f>
        <v> </v>
      </c>
      <c r="AK131" s="295" t="str">
        <f aca="false">IF($A131="N/A"," ",IF(Dayrun&gt;=6,IF(Option=1,$J131-H131,IF(Option=2,H131-$J131)),0))</f>
        <v> </v>
      </c>
      <c r="AL131" s="295" t="str">
        <f aca="false">IF($A131="N/A"," ",IF(OR(Dayrun&lt;=2,Dayrun&gt;=9),IF(Option=1,$K131-$H131,IF(Option=2,$H131-$K131)),0))</f>
        <v> </v>
      </c>
      <c r="AM131" s="295" t="str">
        <f aca="false">IF($A131="N/A"," ",IF(OR(Dayrun=1,Dayrun=4,Dayrun=5,Dayrun=7,Dayrun=8,Dayrun=10,Dayrun=11),IF(Option=1,$L131-H131,IF(Option=2,H131-$L131)),0))</f>
        <v> </v>
      </c>
      <c r="AN131" s="295" t="str">
        <f aca="false">IF($A131="N/A"," ",IF(OR(Dayrun=1,Dayrun=7,Dayrun=8,Dayrun=10,Dayrun=11),IF(Option=1,$M131-H131,IF(Option=2,H131-$M131)),0))</f>
        <v> </v>
      </c>
      <c r="AO131" s="295" t="str">
        <f aca="false">IF($A131="N/A"," ",IF(OR(Dayrun&lt;=2,Dayrun&gt;=9),IF(Option=1,$N131-$H131,IF(Option=2,$H131-$N131)),0))</f>
        <v> </v>
      </c>
      <c r="AP131" s="295" t="str">
        <f aca="false">IF($A131="N/A"," ",IF(OR(Dayrun=1,Dayrun=5,Dayrun=8,Dayrun=11),IF(Option=1,$O131-H131,IF(Option=2,H131-$O131)),0))</f>
        <v> </v>
      </c>
      <c r="AQ131" s="295" t="str">
        <f aca="false">IF($A131="N/A"," ",IF(OR(Dayrun=1,Dayrun=8,Dayrun=11),IF(Option=1,$P131-H131,IF(Option=2,H131-$P131)),0))</f>
        <v> </v>
      </c>
      <c r="AR131" s="296" t="str">
        <f aca="false">IF($A131="N/A"," ",IF(OR(Dayrun&lt;=2,Dayrun&gt;=9),IF(Option=1,$Q131-H131,IF(Option=2,H131-$Q131)),0))</f>
        <v> </v>
      </c>
      <c r="AS131" s="297" t="str">
        <f aca="false">IF($A131="N/A"," ",IF(VLOOKUP(MONTH($A131),ManualTable,2)=1,IF(Dayrun&gt;=3,$DE131*8*$CY131,0),0))</f>
        <v> </v>
      </c>
      <c r="AT131" s="297" t="str">
        <f aca="false">IF($A131="N/A"," ",IF(VLOOKUP(MONTH($A131),ManualTable,3)=1,IF(Dayrun&gt;=6,$DE131*8*$CY131,0),0))</f>
        <v> </v>
      </c>
      <c r="AU131" s="297" t="str">
        <f aca="false">IF($A131="N/A"," ",IF(VLOOKUP(MONTH($A131),ManualTable,4)=1,IF(OR(Dayrun&lt;=2,Dayrun&gt;=9),$DE131*8*$CY131,0),0))</f>
        <v> </v>
      </c>
      <c r="AV131" s="297" t="str">
        <f aca="false">IF($A131="N/A"," ",IF(VLOOKUP(MONTH($A131),ManualTable,5)=1,IF(OR(Dayrun=1,Dayrun=4,Dayrun=5,Dayrun=7,Dayrun=8,Dayrun=10,Dayrun=11),$DF131*8*$CY131,0),0))</f>
        <v> </v>
      </c>
      <c r="AW131" s="297" t="str">
        <f aca="false">IF($A131="N/A"," ",IF(VLOOKUP(MONTH($A131),ManualTable,6)=1,IF(OR(Dayrun=1,Dayrun=7,Dayrun=8,Dayrun=10,Dayrun=11),$DF131*8*$CY131,0),0))</f>
        <v> </v>
      </c>
      <c r="AX131" s="297" t="str">
        <f aca="false">IF($A131="N/A"," ",IF(VLOOKUP(MONTH($A131),ManualTable,7)=1,IF(OR(Dayrun&lt;=2,Dayrun&gt;=9),$DF131*8*$CY131,0),0))</f>
        <v> </v>
      </c>
      <c r="AY131" s="297" t="str">
        <f aca="false">IF($A131="N/A"," ",IF(VLOOKUP(MONTH($A131),ManualTable,8)=1,IF(OR(Dayrun=1,Dayrun=5,Dayrun=8,Dayrun=11),$DG131*8*$CY131,0),0))</f>
        <v> </v>
      </c>
      <c r="AZ131" s="297" t="str">
        <f aca="false">IF($A131="N/A"," ",IF(VLOOKUP(MONTH($A131),ManualTable,9)=1,IF(OR(Dayrun=1,Dayrun=8,Dayrun=11),$DG131*8*$CY131,0),0))</f>
        <v> </v>
      </c>
      <c r="BA131" s="298" t="str">
        <f aca="false">IF($A131="N/A"," ",IF(VLOOKUP(MONTH($A131),ManualTable,10)=1,IF(OR(Dayrun&lt;=2,Dayrun&gt;=9),$DG131*8*$CY131,0),0))</f>
        <v> </v>
      </c>
      <c r="BB131" s="299" t="str">
        <f aca="false">IF($A131="N/A"," ",IF(Dayrun&gt;=3,(MAX(0,(xSPRDOPT(I131,($E131-'Pricing Inputs'!$X166*$D131),$CV131,0,($CN131+IF(Smile=TRUE(),VLOOKUP(MAX(-5,$H131-I131),Volsmile,2),0)),$CT131,$CU131,($A131-DateToday)+15,ABS(Option-2),1)*DE131*8))),0))</f>
        <v> </v>
      </c>
      <c r="BC131" s="300" t="str">
        <f aca="false">IF($A131="N/A"," ",IF(Dayrun&gt;=6,MAX(0,(xSPRDOPT(J131,($E131-'Pricing Inputs'!$X166*$D131),$CV131,0,($CN131+IF(Smile=TRUE(),VLOOKUP(MAX(-5,$H131-J131),Volsmile,2),0)),$CT131,$CU131,($A131-DateToday)+15,ABS(Option-2),1)*DE131*8)),0))</f>
        <v> </v>
      </c>
      <c r="BD131" s="300" t="str">
        <f aca="false">IF($A131="N/A"," ",IF(OR(Dayrun&lt;=2,Dayrun&gt;=9),IF(OffPeakEx=TRUE(),MAX(0,(xSPRDOPT(K131,($E131-'Pricing Inputs'!$X166*$D131),$CV131,0,($CQ131+IF(Smile=TRUE(),VLOOKUP(MAX(-5,$H131-K131),Volsmile,2),0)),$CT131,$CU131,($A131-DateToday)+15,ABS(Option-2),1)*DE131*8)),0),0))</f>
        <v> </v>
      </c>
      <c r="BE131" s="300" t="str">
        <f aca="false">IF($A131="N/A"," ",IF(OR(Dayrun=1,Dayrun=4,Dayrun=5,Dayrun=7,Dayrun=8,Dayrun=10,Dayrun=11),MAX(0,(xSPRDOPT(L131,($E131-'Pricing Inputs'!$X166*$D131),$CV131,0,($CQ131+IF(Smile=TRUE(),VLOOKUP(MAX(-5,$H131-L131),Volsmile,2),0)),$CT131,$CU131,($A131-DateToday)+15,ABS(Option-2),1)*DF131*8)),0))</f>
        <v> </v>
      </c>
      <c r="BF131" s="300" t="str">
        <f aca="false">IF($A131="N/A"," ",IF(OR(Dayrun=1,Dayrun=7,Dayrun=8,Dayrun=10,Dayrun=11),MAX(0,(xSPRDOPT(M131,($E131-'Pricing Inputs'!$X166*$D131),$CV131,0,($CQ131+IF(Smile=TRUE(),VLOOKUP(MAX(-5,$H131-M131),Volsmile,2),0)),$CT131,$CU131,($A131-DateToday)+15,ABS(Option-2),1)*DF131*8)),0))</f>
        <v> </v>
      </c>
      <c r="BG131" s="300" t="str">
        <f aca="false">IF($A131="N/A"," ",IF(OR(Dayrun&lt;=2,Dayrun&gt;=10),IF(OffPeakEx=TRUE(),MAX(0,(xSPRDOPT(N131,($E131-'Pricing Inputs'!$X166*$D131),$CV131,0,($CQ131+IF(Smile=TRUE(),VLOOKUP(MAX(-5,$H131-N131),Volsmile,2),0)),$CT131,$CU131,($A131-DateToday)+15,ABS(Option-2),1)*DF131*8)),0),0))</f>
        <v> </v>
      </c>
      <c r="BH131" s="300" t="str">
        <f aca="false">IF($A131="N/A"," ",IF(OR(Dayrun=1,Dayrun=5,Dayrun=8,Dayrun=11),MAX(0,(xSPRDOPT(O131,($E131-'Pricing Inputs'!$X166*$D131),$CV131,0,($CQ131+IF(Smile=TRUE(),VLOOKUP(MAX(-5,$H131-O131),Volsmile,2),0)),$CT131,$CU131,($A131-DateToday)+15,ABS(Option-2),1)*DG131*8)),0))</f>
        <v> </v>
      </c>
      <c r="BI131" s="300" t="str">
        <f aca="false">IF($A131="N/A"," ",IF(OR(Dayrun=1,Dayrun=8,Dayrun=11),MAX(0,(xSPRDOPT(P131,($E131-'Pricing Inputs'!$X166*$D131),$CV131,0,($CQ131+IF(Smile=TRUE(),VLOOKUP(MAX(-5,$H131-P131),Volsmile,2),0)),$CT131,$CU131,($A131-DateToday)+15,ABS(Option-2),1)*DG131*8)),0))</f>
        <v> </v>
      </c>
      <c r="BJ131" s="301" t="str">
        <f aca="false">IF($A131="N/A"," ",IF(OR(Dayrun&lt;=2,Dayrun&gt;=11),IF(OffPeakEx=TRUE(),MAX(0,(xSPRDOPT(Q131,($E131-'Pricing Inputs'!$X166*$D131),$CV131,0,($CQ131+IF(Smile=TRUE(),VLOOKUP(MAX(-5,$H131-Q131),Volsmile,2),0)),$CT131,$CU131,($A131-DateToday)+15,ABS(Option-2),1)*DG131*8)),0),0))</f>
        <v> </v>
      </c>
      <c r="BK131" s="302" t="str">
        <f aca="false">IF($A131="N/A"," ",R131*$AS131)</f>
        <v> </v>
      </c>
      <c r="BL131" s="303" t="str">
        <f aca="false">IF($A131="N/A"," ",S131*$AT131)</f>
        <v> </v>
      </c>
      <c r="BM131" s="303" t="str">
        <f aca="false">IF($A131="N/A"," ",T131*$AU131)</f>
        <v> </v>
      </c>
      <c r="BN131" s="303" t="str">
        <f aca="false">IF($A131="N/A"," ",U131*$AV131)</f>
        <v> </v>
      </c>
      <c r="BO131" s="303" t="str">
        <f aca="false">IF($A131="N/A"," ",V131*$AW131)</f>
        <v> </v>
      </c>
      <c r="BP131" s="303" t="str">
        <f aca="false">IF($A131="N/A"," ",W131*$AX131)</f>
        <v> </v>
      </c>
      <c r="BQ131" s="303" t="str">
        <f aca="false">IF($A131="N/A"," ",X131*$AY131)</f>
        <v> </v>
      </c>
      <c r="BR131" s="303" t="str">
        <f aca="false">IF($A131="N/A"," ",Y131*$AZ131)</f>
        <v> </v>
      </c>
      <c r="BS131" s="304" t="str">
        <f aca="false">IF($A131="N/A"," ",Z131*$BA131)</f>
        <v> </v>
      </c>
      <c r="BT131" s="305" t="str">
        <f aca="false">IF($A131="N/A"," ",AA131*$AS131)</f>
        <v> </v>
      </c>
      <c r="BU131" s="306" t="str">
        <f aca="false">IF($A131="N/A"," ",AB131*$AT131)</f>
        <v> </v>
      </c>
      <c r="BV131" s="306" t="str">
        <f aca="false">IF($A131="N/A"," ",AC131*$AU131)</f>
        <v> </v>
      </c>
      <c r="BW131" s="306" t="str">
        <f aca="false">IF($A131="N/A"," ",AD131*$AV131)</f>
        <v> </v>
      </c>
      <c r="BX131" s="306" t="str">
        <f aca="false">IF($A131="N/A"," ",AE131*$AW131)</f>
        <v> </v>
      </c>
      <c r="BY131" s="306" t="str">
        <f aca="false">IF($A131="N/A"," ",AF131*$AX131)</f>
        <v> </v>
      </c>
      <c r="BZ131" s="306" t="str">
        <f aca="false">IF($A131="N/A"," ",AG131*$AY131)</f>
        <v> </v>
      </c>
      <c r="CA131" s="306" t="str">
        <f aca="false">IF($A131="N/A"," ",AH131*$AZ131)</f>
        <v> </v>
      </c>
      <c r="CB131" s="307" t="str">
        <f aca="false">IF($A131="N/A"," ",AI131*$BA131)</f>
        <v> </v>
      </c>
      <c r="CC131" s="308" t="str">
        <f aca="false">IF($A131="N/A"," ",AJ131*$AS131)</f>
        <v> </v>
      </c>
      <c r="CD131" s="309" t="str">
        <f aca="false">IF($A131="N/A"," ",AK131*$AT131)</f>
        <v> </v>
      </c>
      <c r="CE131" s="309" t="str">
        <f aca="false">IF($A131="N/A"," ",AL131*$AU131)</f>
        <v> </v>
      </c>
      <c r="CF131" s="309" t="str">
        <f aca="false">IF($A131="N/A"," ",AM131*$AV131)</f>
        <v> </v>
      </c>
      <c r="CG131" s="309" t="str">
        <f aca="false">IF($A131="N/A"," ",AN131*$AW131)</f>
        <v> </v>
      </c>
      <c r="CH131" s="309" t="str">
        <f aca="false">IF($A131="N/A"," ",AO131*$AX131)</f>
        <v> </v>
      </c>
      <c r="CI131" s="309" t="str">
        <f aca="false">IF($A131="N/A"," ",AP131*$AY131)</f>
        <v> </v>
      </c>
      <c r="CJ131" s="309" t="str">
        <f aca="false">IF($A131="N/A"," ",AQ131*$AZ131)</f>
        <v> </v>
      </c>
      <c r="CK131" s="310" t="str">
        <f aca="false">IF($A131="N/A"," ",AR131*$BA131)</f>
        <v> </v>
      </c>
      <c r="CL131" s="311" t="str">
        <f aca="false">IF(A131="N/A"," ",(VLOOKUP(A131,PowerVolTable,(IF(VolBMO=2,7,IF(VolBMO=1,6,8))),FALSE())))</f>
        <v> </v>
      </c>
      <c r="CM131" s="312" t="str">
        <f aca="false">IF(A131="N/A"," ",(VLOOKUP(A131,IntraPowerVol,(IF(VolBMO=2,3,IF(VolBMO=1,2,4))),FALSE())*VLOOKUP(MONTH($A131),Volscale,2)))</f>
        <v> </v>
      </c>
      <c r="CN131" s="312" t="str">
        <f aca="false">IF($A131="N/A"," ",IF(VolType=1,CM131,CL131))</f>
        <v> </v>
      </c>
      <c r="CO131" s="312" t="str">
        <f aca="false">IF($A131="N/A"," ",(VLOOKUP($A131,OffPeakVol,(IF(VolBMO=2,7,IF(VolBMO=1,6,8))),FALSE())))</f>
        <v> </v>
      </c>
      <c r="CP131" s="312" t="str">
        <f aca="false">IF($A131="N/A"," ",(VLOOKUP($A131,OffPeakVol,(IF(VolBMO=2,3,IF(VolBMO=1,2,4))),FALSE())*VLOOKUP(MONTH($A131),Volscale,2)))</f>
        <v> </v>
      </c>
      <c r="CQ131" s="312" t="str">
        <f aca="false">IF($A131="N/A"," ",IF(VolType=1,CP131,CO131))</f>
        <v> </v>
      </c>
      <c r="CR131" s="312" t="str">
        <f aca="false">IF($A131="N/A"," ",(VLOOKUP($A131,GasVolTable,(IF(VolBMO=2,6,IF(VolBMO=1,7,5))),FALSE())))</f>
        <v> </v>
      </c>
      <c r="CS131" s="312" t="str">
        <f aca="false">IF($A131="N/A"," ",(VLOOKUP($A131,OmicronVol,(IF(VolBMO=2,3,IF(VolBMO=1,4,2))),FALSE())))</f>
        <v> </v>
      </c>
      <c r="CT131" s="312" t="str">
        <f aca="false">IF($A131="N/A"," ",(IF(DateToday&gt;$A131,$CS131,IF(VolType=1,((($CR131^2)*((($A131-1)-DateToday)/((EOMONTH($A131,0)+1)-DateToday-15)))+((($CS131)^2)*((15)/((EOMONTH($A131,0)+1)-DateToday-15))))^0.5,CR131))))</f>
        <v> </v>
      </c>
      <c r="CU131" s="312" t="str">
        <f aca="false">IF($A131="N/A"," ",IF('Pricing Inputs'!$AR$23=TRUE(),Inputs!$S$22,VLOOKUP($A131,CorrelationTable,2,FALSE())))</f>
        <v> </v>
      </c>
      <c r="CV131" s="313" t="str">
        <f aca="false">IF($A131="N/A"," ",F131+G131+(D131*('Pricing Inputs'!X166)))</f>
        <v> </v>
      </c>
      <c r="CW131" s="314" t="str">
        <f aca="false">IF($A131="N/A"," ",IF(PV=1,0,'Pricing Inputs'!Y166))</f>
        <v> </v>
      </c>
      <c r="CX131" s="315" t="str">
        <f aca="false">IF($A131="N/A"," ",(1+CW131/2)^(-2*((EOMONTH(A131,0)+20)-DateToday)/365.25))</f>
        <v> </v>
      </c>
      <c r="CY131" s="316" t="str">
        <f aca="false">IF($A131="N/A"," ",(IF(MONTH(A131)&gt;=4,IF(MONTH(A131)&lt;=10,Inputs!$S$26,Inputs!$S$27),Inputs!$S$27))*$CX131)</f>
        <v> </v>
      </c>
      <c r="CZ131" s="317" t="str">
        <f aca="false">IF($A131="N/A"," ",BK131+BL131+BN131+BO131+BQ131+BR131)</f>
        <v> </v>
      </c>
      <c r="DA131" s="318" t="str">
        <f aca="false">IF($A131="N/A"," ",BM131+BP131+BS131)</f>
        <v> </v>
      </c>
      <c r="DB131" s="319" t="str">
        <f aca="false">IF($A131="N/A"," ",BT131+BU131+BW131+BX131+BZ131+CA131)</f>
        <v> </v>
      </c>
      <c r="DC131" s="319" t="str">
        <f aca="false">IF($A131="N/A"," ",BV131+BY131+CB131)</f>
        <v> </v>
      </c>
      <c r="DD131" s="320" t="str">
        <f aca="false">IF($A131="N/A"," ",SUM(CC131:CK131))</f>
        <v> </v>
      </c>
      <c r="DE131" s="321" t="str">
        <f aca="false">IF($A131="N/A"," ",VLOOKUP($A131,NumberofDaysTable,2)*Availability)</f>
        <v> </v>
      </c>
      <c r="DF131" s="94" t="str">
        <f aca="false">IF($A131="N/A"," ",VLOOKUP($A131,NumberofDaysTable,3)*Availability)</f>
        <v> </v>
      </c>
      <c r="DG131" s="322" t="str">
        <f aca="false">IF($A131="N/A"," ",VLOOKUP($A131,NumberofDaysTable,4)*Availability)</f>
        <v> </v>
      </c>
      <c r="DH131" s="323" t="str">
        <f aca="false">IF($A131="N/A"," ",IF(Option=1,$D131*Inputs!$S$15*SUM(AS131:BA131),0))</f>
        <v> </v>
      </c>
      <c r="DI131" s="324" t="str">
        <f aca="false">IF($A131="N/A"," ",IF(Option=1,$D131*Inputs!$S$16*SUM(AS131:BA131),0))</f>
        <v> </v>
      </c>
      <c r="DJ131" s="325" t="str">
        <f aca="false">IF($A131="N/A"," ",SUM(AS131:AT131))</f>
        <v> </v>
      </c>
      <c r="DK131" s="325" t="str">
        <f aca="false">IF($A131="N/A"," ",SUM(AU131:BA131))</f>
        <v> </v>
      </c>
      <c r="DL131" s="325" t="str">
        <f aca="false">IF($A131="N/A"," ",SUM(BB131:BC131))</f>
        <v> </v>
      </c>
      <c r="DM131" s="325" t="str">
        <f aca="false">IF($A131="N/A"," ",SUM(BD131:BJ131))</f>
        <v> </v>
      </c>
    </row>
    <row r="132" customFormat="false" ht="12.75" hidden="false" customHeight="false" outlineLevel="0" collapsed="false">
      <c r="A132" s="282" t="str">
        <f aca="false">IF(A131="N/A","N/A",IF(EDATE(A131,1)&gt;Inputs!$S$5,"N/A",EDATE(A131,1)))</f>
        <v>N/A</v>
      </c>
      <c r="B132" s="283" t="str">
        <f aca="false">IF(A132="N/A"," ",YEAR(A132))</f>
        <v> </v>
      </c>
      <c r="C132" s="284" t="str">
        <f aca="false">IF(A132="N/A"," ",VLOOKUP(A132,ScaledPrice,14))</f>
        <v> </v>
      </c>
      <c r="D132" s="285" t="str">
        <f aca="false">IF(A132="N/A"," ",(VLOOKUP(MONTH($A132),Hrtable,2))/1000)</f>
        <v> </v>
      </c>
      <c r="E132" s="286" t="str">
        <f aca="false">IF($A132="N/A"," ",(C132)*D132)</f>
        <v> </v>
      </c>
      <c r="F132" s="287" t="str">
        <f aca="false">IF(A132="N/A"," ",VOM*(1+VOMesc)^(YEAR(A132)-YEAR(Today)))</f>
        <v> </v>
      </c>
      <c r="G132" s="287" t="str">
        <f aca="false">IF(A132="N/A"," ",Perstart/VLOOKUP(Dayrun,'Pricing Inputs'!$AQ$4:$AS$14,3)/(CY132/CX132))</f>
        <v> </v>
      </c>
      <c r="H132" s="288" t="str">
        <f aca="false">IF(A132="N/A"," ",SUM(E132:G132))</f>
        <v> </v>
      </c>
      <c r="I132" s="289" t="str">
        <f aca="false">VLOOKUP($A132,ScaledPrice,6)</f>
        <v> </v>
      </c>
      <c r="J132" s="290" t="str">
        <f aca="false">VLOOKUP($A132,ScaledPrice,10)</f>
        <v> </v>
      </c>
      <c r="K132" s="290" t="str">
        <f aca="false">VLOOKUP($A132,ScaledPrice,13)</f>
        <v> </v>
      </c>
      <c r="L132" s="290" t="str">
        <f aca="false">VLOOKUP($A132,ScaledPrice,7)</f>
        <v> </v>
      </c>
      <c r="M132" s="290" t="str">
        <f aca="false">VLOOKUP($A132,ScaledPrice,11)</f>
        <v> </v>
      </c>
      <c r="N132" s="290" t="str">
        <f aca="false">VLOOKUP($A132,ScaledPrice,13)</f>
        <v> </v>
      </c>
      <c r="O132" s="290" t="str">
        <f aca="false">VLOOKUP($A132,ScaledPrice,8)</f>
        <v> </v>
      </c>
      <c r="P132" s="290" t="str">
        <f aca="false">VLOOKUP($A132,ScaledPrice,12)</f>
        <v> </v>
      </c>
      <c r="Q132" s="291" t="str">
        <f aca="false">VLOOKUP($A132,ScaledPrice,13)</f>
        <v> </v>
      </c>
      <c r="R132" s="292" t="str">
        <f aca="false">IF($A132="N/A"," ",IF(Dayrun&gt;=3,IF(Option=1,MAX($I132-$H132,0),IF(Option=2,MAX($H132-$I132,0),0)),0))</f>
        <v> </v>
      </c>
      <c r="S132" s="286" t="str">
        <f aca="false">IF($A132="N/A"," ",IF(Dayrun&gt;=6,IF(Option=1,MAX($J132-H132,0),IF(Option=2,MAX(H132-$J132,0),0)),0))</f>
        <v> </v>
      </c>
      <c r="T132" s="286" t="str">
        <f aca="false">IF($A132="N/A"," ",IF(OR(Dayrun&lt;=2,Dayrun&gt;=9),IF(Option=1,MAX($K132-$H132,0),IF(Option=2,MAX($H132-$K132,0),0)),0))</f>
        <v> </v>
      </c>
      <c r="U132" s="286" t="str">
        <f aca="false">IF($A132="N/A"," ",IF(OR(Dayrun=1,Dayrun=4,Dayrun=5,Dayrun=7,Dayrun=8,Dayrun=10,Dayrun=11),IF(Option=1,MAX($L132-H132,0),IF(Option=2,MAX(H132-$L132,0),0)),0))</f>
        <v> </v>
      </c>
      <c r="V132" s="286" t="str">
        <f aca="false">IF($A132="N/A"," ",IF(OR(Dayrun=1,Dayrun=7,Dayrun=8,Dayrun=10,Dayrun=11),IF(Option=1,MAX($M132-H132,0),IF(Option=2,MAX(H132-$M132,0),0)),0))</f>
        <v> </v>
      </c>
      <c r="W132" s="286" t="str">
        <f aca="false">IF($A132="N/A"," ",IF(OR(Dayrun&lt;=2,Dayrun&gt;=10),IF(Option=1,MAX($N132-$H132,0),IF(Option=2,MAX($H132-$N132,0),0)),0))</f>
        <v> </v>
      </c>
      <c r="X132" s="286" t="str">
        <f aca="false">IF($A132="N/A"," ",IF(OR(Dayrun=1,Dayrun=5,Dayrun=8,Dayrun=11),IF(Option=1,MAX($O132-H132,0),IF(Option=2,MAX(H132-$O132,0),0)),0))</f>
        <v> </v>
      </c>
      <c r="Y132" s="286" t="str">
        <f aca="false">IF($A132="N/A"," ",IF(OR(Dayrun=1,Dayrun=8,Dayrun=11),IF(Option=1,MAX($P132-H132,0),IF(Option=2,MAX(H132-$P132,0),0)),0))</f>
        <v> </v>
      </c>
      <c r="Z132" s="293" t="str">
        <f aca="false">IF($A132="N/A"," ",IF(OR(Dayrun&lt;=2,Dayrun&gt;=11),IF(Option=1,MAX($Q132-$H132,0),IF(Option=2,MAX($H132-$Q132,0),0)),0))</f>
        <v> </v>
      </c>
      <c r="AA132" s="289" t="str">
        <f aca="false">IF($A132="N/A"," ",IF(Dayrun&gt;=3,(MAX(0,(xSPRDOPT(I132,($E132-'Pricing Inputs'!$X167*$D132),$CV132,0,($CN132+IF(Smile=TRUE(),VLOOKUP(MAX(-5,$H132-I132),Volsmile,2),0)),$CT132,$CU132,($A132-DateToday)+15,ABS(Option-2),0)-R132))),0))</f>
        <v> </v>
      </c>
      <c r="AB132" s="290" t="str">
        <f aca="false">IF($A132="N/A"," ",IF(Dayrun&gt;=6,MAX(0,(xSPRDOPT(J132,($E132-'Pricing Inputs'!$X167*$D132),$CV132,0,($CN132+IF(Smile=TRUE(),VLOOKUP(MAX(-5,$H132-J132),Volsmile,2),0)),$CT132,$CU132,($A132-DateToday)+15,ABS(Option-2),0)-S132)),0))</f>
        <v> </v>
      </c>
      <c r="AC132" s="290" t="str">
        <f aca="false">IF($A132="N/A"," ",IF(OR(Dayrun&lt;=2,Dayrun&gt;=9),IF(OffPeakEx=TRUE(),MAX(0,(xSPRDOPT(K132,($E132-'Pricing Inputs'!$X167*$D132),$CV132,0,($CQ132+IF(Smile=TRUE(),VLOOKUP(MAX(-5,$H132-K132),Volsmile,2),0)),$CT132,$CU132,($A132-DateToday)+15,ABS(Option-2),0)-T132)),0),0))</f>
        <v> </v>
      </c>
      <c r="AD132" s="290" t="str">
        <f aca="false">IF($A132="N/A"," ",IF(OR(Dayrun=1,Dayrun=4,Dayrun=5,Dayrun=7,Dayrun=8,Dayrun=10,Dayrun=11),MAX(0,(xSPRDOPT(L132,($E132-'Pricing Inputs'!$X167*$D132),$CV132,0,($CQ132+IF(Smile=TRUE(),VLOOKUP(MAX(-5,$H132-L132),Volsmile,2),0)),$CT132,$CU132,($A132-DateToday)+15,ABS(Option-2),0)-U132)),0))</f>
        <v> </v>
      </c>
      <c r="AE132" s="290" t="str">
        <f aca="false">IF($A132="N/A"," ",IF(OR(Dayrun=1,Dayrun=7,Dayrun=8,Dayrun=10,Dayrun=11),MAX(0,(xSPRDOPT(M132,($E132-'Pricing Inputs'!$X167*$D132),$CV132,0,($CQ132+IF(Smile=TRUE(),VLOOKUP(MAX(-5,$H132-M132),Volsmile,2),0)),$CT132,$CU132,($A132-DateToday)+15,ABS(Option-2),0)-V132)),0))</f>
        <v> </v>
      </c>
      <c r="AF132" s="290" t="str">
        <f aca="false">IF($A132="N/A"," ",IF(OR(Dayrun&lt;=2,Dayrun&gt;=10),IF(OffPeakEx=TRUE(),MAX(0,(xSPRDOPT(N132,($E132-'Pricing Inputs'!$X167*$D132),$CV132,0,($CQ132+IF(Smile=TRUE(),VLOOKUP(MAX(-5,$H132-N132),Volsmile,2),0)),$CT132,$CU132,($A132-DateToday)+15,ABS(Option-2),0)-W132)),0),0))</f>
        <v> </v>
      </c>
      <c r="AG132" s="290" t="str">
        <f aca="false">IF($A132="N/A"," ",IF(OR(Dayrun=1,Dayrun=5,Dayrun=8,Dayrun=11),MAX(0,(xSPRDOPT(O132,($E132-'Pricing Inputs'!$X167*$D132),$CV132,0,($CQ132+IF(Smile=TRUE(),VLOOKUP(MAX(-5,$H132-O132),Volsmile,2),0)),$CT132,$CU132,($A132-DateToday)+15,ABS(Option-2),0)-X132)),0))</f>
        <v> </v>
      </c>
      <c r="AH132" s="290" t="str">
        <f aca="false">IF($A132="N/A"," ",IF(OR(Dayrun=1,Dayrun=8,Dayrun=11),MAX(0,(xSPRDOPT(P132,($E132-'Pricing Inputs'!$X167*$D132),$CV132,0,($CQ132+IF(Smile=TRUE(),VLOOKUP(MAX(-5,$H132-P132),Volsmile,2),0)),$CT132,$CU132,($A132-DateToday)+15,ABS(Option-2),0)-Y132)),0))</f>
        <v> </v>
      </c>
      <c r="AI132" s="290" t="str">
        <f aca="false">IF($A132="N/A"," ",IF(OR(Dayrun&lt;=2,Dayrun&gt;=11),IF(OffPeakEx=TRUE(),MAX(0,(xSPRDOPT(Q132,($E132-'Pricing Inputs'!$X167*$D132),$CV132,0,($CQ132+IF(Smile=TRUE(),VLOOKUP(MAX(-5,$H132-Q132),Volsmile,2),0)),$CT132,$CU132,($A132-DateToday)+15,ABS(Option-2),0)-Z132)),0),0))</f>
        <v> </v>
      </c>
      <c r="AJ132" s="294" t="str">
        <f aca="false">IF($A132="N/A"," ",IF(Dayrun&gt;=3,IF(Option=1,$I132-$H132,IF(Option=2,$H132-$I132)),0))</f>
        <v> </v>
      </c>
      <c r="AK132" s="295" t="str">
        <f aca="false">IF($A132="N/A"," ",IF(Dayrun&gt;=6,IF(Option=1,$J132-H132,IF(Option=2,H132-$J132)),0))</f>
        <v> </v>
      </c>
      <c r="AL132" s="295" t="str">
        <f aca="false">IF($A132="N/A"," ",IF(OR(Dayrun&lt;=2,Dayrun&gt;=9),IF(Option=1,$K132-$H132,IF(Option=2,$H132-$K132)),0))</f>
        <v> </v>
      </c>
      <c r="AM132" s="295" t="str">
        <f aca="false">IF($A132="N/A"," ",IF(OR(Dayrun=1,Dayrun=4,Dayrun=5,Dayrun=7,Dayrun=8,Dayrun=10,Dayrun=11),IF(Option=1,$L132-H132,IF(Option=2,H132-$L132)),0))</f>
        <v> </v>
      </c>
      <c r="AN132" s="295" t="str">
        <f aca="false">IF($A132="N/A"," ",IF(OR(Dayrun=1,Dayrun=7,Dayrun=8,Dayrun=10,Dayrun=11),IF(Option=1,$M132-H132,IF(Option=2,H132-$M132)),0))</f>
        <v> </v>
      </c>
      <c r="AO132" s="295" t="str">
        <f aca="false">IF($A132="N/A"," ",IF(OR(Dayrun&lt;=2,Dayrun&gt;=9),IF(Option=1,$N132-$H132,IF(Option=2,$H132-$N132)),0))</f>
        <v> </v>
      </c>
      <c r="AP132" s="295" t="str">
        <f aca="false">IF($A132="N/A"," ",IF(OR(Dayrun=1,Dayrun=5,Dayrun=8,Dayrun=11),IF(Option=1,$O132-H132,IF(Option=2,H132-$O132)),0))</f>
        <v> </v>
      </c>
      <c r="AQ132" s="295" t="str">
        <f aca="false">IF($A132="N/A"," ",IF(OR(Dayrun=1,Dayrun=8,Dayrun=11),IF(Option=1,$P132-H132,IF(Option=2,H132-$P132)),0))</f>
        <v> </v>
      </c>
      <c r="AR132" s="296" t="str">
        <f aca="false">IF($A132="N/A"," ",IF(OR(Dayrun&lt;=2,Dayrun&gt;=9),IF(Option=1,$Q132-H132,IF(Option=2,H132-$Q132)),0))</f>
        <v> </v>
      </c>
      <c r="AS132" s="297" t="str">
        <f aca="false">IF($A132="N/A"," ",IF(VLOOKUP(MONTH($A132),ManualTable,2)=1,IF(Dayrun&gt;=3,$DE132*8*$CY132,0),0))</f>
        <v> </v>
      </c>
      <c r="AT132" s="297" t="str">
        <f aca="false">IF($A132="N/A"," ",IF(VLOOKUP(MONTH($A132),ManualTable,3)=1,IF(Dayrun&gt;=6,$DE132*8*$CY132,0),0))</f>
        <v> </v>
      </c>
      <c r="AU132" s="297" t="str">
        <f aca="false">IF($A132="N/A"," ",IF(VLOOKUP(MONTH($A132),ManualTable,4)=1,IF(OR(Dayrun&lt;=2,Dayrun&gt;=9),$DE132*8*$CY132,0),0))</f>
        <v> </v>
      </c>
      <c r="AV132" s="297" t="str">
        <f aca="false">IF($A132="N/A"," ",IF(VLOOKUP(MONTH($A132),ManualTable,5)=1,IF(OR(Dayrun=1,Dayrun=4,Dayrun=5,Dayrun=7,Dayrun=8,Dayrun=10,Dayrun=11),$DF132*8*$CY132,0),0))</f>
        <v> </v>
      </c>
      <c r="AW132" s="297" t="str">
        <f aca="false">IF($A132="N/A"," ",IF(VLOOKUP(MONTH($A132),ManualTable,6)=1,IF(OR(Dayrun=1,Dayrun=7,Dayrun=8,Dayrun=10,Dayrun=11),$DF132*8*$CY132,0),0))</f>
        <v> </v>
      </c>
      <c r="AX132" s="297" t="str">
        <f aca="false">IF($A132="N/A"," ",IF(VLOOKUP(MONTH($A132),ManualTable,7)=1,IF(OR(Dayrun&lt;=2,Dayrun&gt;=9),$DF132*8*$CY132,0),0))</f>
        <v> </v>
      </c>
      <c r="AY132" s="297" t="str">
        <f aca="false">IF($A132="N/A"," ",IF(VLOOKUP(MONTH($A132),ManualTable,8)=1,IF(OR(Dayrun=1,Dayrun=5,Dayrun=8,Dayrun=11),$DG132*8*$CY132,0),0))</f>
        <v> </v>
      </c>
      <c r="AZ132" s="297" t="str">
        <f aca="false">IF($A132="N/A"," ",IF(VLOOKUP(MONTH($A132),ManualTable,9)=1,IF(OR(Dayrun=1,Dayrun=8,Dayrun=11),$DG132*8*$CY132,0),0))</f>
        <v> </v>
      </c>
      <c r="BA132" s="298" t="str">
        <f aca="false">IF($A132="N/A"," ",IF(VLOOKUP(MONTH($A132),ManualTable,10)=1,IF(OR(Dayrun&lt;=2,Dayrun&gt;=9),$DG132*8*$CY132,0),0))</f>
        <v> </v>
      </c>
      <c r="BB132" s="299" t="str">
        <f aca="false">IF($A132="N/A"," ",IF(Dayrun&gt;=3,(MAX(0,(xSPRDOPT(I132,($E132-'Pricing Inputs'!$X167*$D132),$CV132,0,($CN132+IF(Smile=TRUE(),VLOOKUP(MAX(-5,$H132-I132),Volsmile,2),0)),$CT132,$CU132,($A132-DateToday)+15,ABS(Option-2),1)*DE132*8))),0))</f>
        <v> </v>
      </c>
      <c r="BC132" s="300" t="str">
        <f aca="false">IF($A132="N/A"," ",IF(Dayrun&gt;=6,MAX(0,(xSPRDOPT(J132,($E132-'Pricing Inputs'!$X167*$D132),$CV132,0,($CN132+IF(Smile=TRUE(),VLOOKUP(MAX(-5,$H132-J132),Volsmile,2),0)),$CT132,$CU132,($A132-DateToday)+15,ABS(Option-2),1)*DE132*8)),0))</f>
        <v> </v>
      </c>
      <c r="BD132" s="300" t="str">
        <f aca="false">IF($A132="N/A"," ",IF(OR(Dayrun&lt;=2,Dayrun&gt;=9),IF(OffPeakEx=TRUE(),MAX(0,(xSPRDOPT(K132,($E132-'Pricing Inputs'!$X167*$D132),$CV132,0,($CQ132+IF(Smile=TRUE(),VLOOKUP(MAX(-5,$H132-K132),Volsmile,2),0)),$CT132,$CU132,($A132-DateToday)+15,ABS(Option-2),1)*DE132*8)),0),0))</f>
        <v> </v>
      </c>
      <c r="BE132" s="300" t="str">
        <f aca="false">IF($A132="N/A"," ",IF(OR(Dayrun=1,Dayrun=4,Dayrun=5,Dayrun=7,Dayrun=8,Dayrun=10,Dayrun=11),MAX(0,(xSPRDOPT(L132,($E132-'Pricing Inputs'!$X167*$D132),$CV132,0,($CQ132+IF(Smile=TRUE(),VLOOKUP(MAX(-5,$H132-L132),Volsmile,2),0)),$CT132,$CU132,($A132-DateToday)+15,ABS(Option-2),1)*DF132*8)),0))</f>
        <v> </v>
      </c>
      <c r="BF132" s="300" t="str">
        <f aca="false">IF($A132="N/A"," ",IF(OR(Dayrun=1,Dayrun=7,Dayrun=8,Dayrun=10,Dayrun=11),MAX(0,(xSPRDOPT(M132,($E132-'Pricing Inputs'!$X167*$D132),$CV132,0,($CQ132+IF(Smile=TRUE(),VLOOKUP(MAX(-5,$H132-M132),Volsmile,2),0)),$CT132,$CU132,($A132-DateToday)+15,ABS(Option-2),1)*DF132*8)),0))</f>
        <v> </v>
      </c>
      <c r="BG132" s="300" t="str">
        <f aca="false">IF($A132="N/A"," ",IF(OR(Dayrun&lt;=2,Dayrun&gt;=10),IF(OffPeakEx=TRUE(),MAX(0,(xSPRDOPT(N132,($E132-'Pricing Inputs'!$X167*$D132),$CV132,0,($CQ132+IF(Smile=TRUE(),VLOOKUP(MAX(-5,$H132-N132),Volsmile,2),0)),$CT132,$CU132,($A132-DateToday)+15,ABS(Option-2),1)*DF132*8)),0),0))</f>
        <v> </v>
      </c>
      <c r="BH132" s="300" t="str">
        <f aca="false">IF($A132="N/A"," ",IF(OR(Dayrun=1,Dayrun=5,Dayrun=8,Dayrun=11),MAX(0,(xSPRDOPT(O132,($E132-'Pricing Inputs'!$X167*$D132),$CV132,0,($CQ132+IF(Smile=TRUE(),VLOOKUP(MAX(-5,$H132-O132),Volsmile,2),0)),$CT132,$CU132,($A132-DateToday)+15,ABS(Option-2),1)*DG132*8)),0))</f>
        <v> </v>
      </c>
      <c r="BI132" s="300" t="str">
        <f aca="false">IF($A132="N/A"," ",IF(OR(Dayrun=1,Dayrun=8,Dayrun=11),MAX(0,(xSPRDOPT(P132,($E132-'Pricing Inputs'!$X167*$D132),$CV132,0,($CQ132+IF(Smile=TRUE(),VLOOKUP(MAX(-5,$H132-P132),Volsmile,2),0)),$CT132,$CU132,($A132-DateToday)+15,ABS(Option-2),1)*DG132*8)),0))</f>
        <v> </v>
      </c>
      <c r="BJ132" s="301" t="str">
        <f aca="false">IF($A132="N/A"," ",IF(OR(Dayrun&lt;=2,Dayrun&gt;=11),IF(OffPeakEx=TRUE(),MAX(0,(xSPRDOPT(Q132,($E132-'Pricing Inputs'!$X167*$D132),$CV132,0,($CQ132+IF(Smile=TRUE(),VLOOKUP(MAX(-5,$H132-Q132),Volsmile,2),0)),$CT132,$CU132,($A132-DateToday)+15,ABS(Option-2),1)*DG132*8)),0),0))</f>
        <v> </v>
      </c>
      <c r="BK132" s="302" t="str">
        <f aca="false">IF($A132="N/A"," ",R132*$AS132)</f>
        <v> </v>
      </c>
      <c r="BL132" s="303" t="str">
        <f aca="false">IF($A132="N/A"," ",S132*$AT132)</f>
        <v> </v>
      </c>
      <c r="BM132" s="303" t="str">
        <f aca="false">IF($A132="N/A"," ",T132*$AU132)</f>
        <v> </v>
      </c>
      <c r="BN132" s="303" t="str">
        <f aca="false">IF($A132="N/A"," ",U132*$AV132)</f>
        <v> </v>
      </c>
      <c r="BO132" s="303" t="str">
        <f aca="false">IF($A132="N/A"," ",V132*$AW132)</f>
        <v> </v>
      </c>
      <c r="BP132" s="303" t="str">
        <f aca="false">IF($A132="N/A"," ",W132*$AX132)</f>
        <v> </v>
      </c>
      <c r="BQ132" s="303" t="str">
        <f aca="false">IF($A132="N/A"," ",X132*$AY132)</f>
        <v> </v>
      </c>
      <c r="BR132" s="303" t="str">
        <f aca="false">IF($A132="N/A"," ",Y132*$AZ132)</f>
        <v> </v>
      </c>
      <c r="BS132" s="304" t="str">
        <f aca="false">IF($A132="N/A"," ",Z132*$BA132)</f>
        <v> </v>
      </c>
      <c r="BT132" s="305" t="str">
        <f aca="false">IF($A132="N/A"," ",AA132*$AS132)</f>
        <v> </v>
      </c>
      <c r="BU132" s="306" t="str">
        <f aca="false">IF($A132="N/A"," ",AB132*$AT132)</f>
        <v> </v>
      </c>
      <c r="BV132" s="306" t="str">
        <f aca="false">IF($A132="N/A"," ",AC132*$AU132)</f>
        <v> </v>
      </c>
      <c r="BW132" s="306" t="str">
        <f aca="false">IF($A132="N/A"," ",AD132*$AV132)</f>
        <v> </v>
      </c>
      <c r="BX132" s="306" t="str">
        <f aca="false">IF($A132="N/A"," ",AE132*$AW132)</f>
        <v> </v>
      </c>
      <c r="BY132" s="306" t="str">
        <f aca="false">IF($A132="N/A"," ",AF132*$AX132)</f>
        <v> </v>
      </c>
      <c r="BZ132" s="306" t="str">
        <f aca="false">IF($A132="N/A"," ",AG132*$AY132)</f>
        <v> </v>
      </c>
      <c r="CA132" s="306" t="str">
        <f aca="false">IF($A132="N/A"," ",AH132*$AZ132)</f>
        <v> </v>
      </c>
      <c r="CB132" s="307" t="str">
        <f aca="false">IF($A132="N/A"," ",AI132*$BA132)</f>
        <v> </v>
      </c>
      <c r="CC132" s="308" t="str">
        <f aca="false">IF($A132="N/A"," ",AJ132*$AS132)</f>
        <v> </v>
      </c>
      <c r="CD132" s="309" t="str">
        <f aca="false">IF($A132="N/A"," ",AK132*$AT132)</f>
        <v> </v>
      </c>
      <c r="CE132" s="309" t="str">
        <f aca="false">IF($A132="N/A"," ",AL132*$AU132)</f>
        <v> </v>
      </c>
      <c r="CF132" s="309" t="str">
        <f aca="false">IF($A132="N/A"," ",AM132*$AV132)</f>
        <v> </v>
      </c>
      <c r="CG132" s="309" t="str">
        <f aca="false">IF($A132="N/A"," ",AN132*$AW132)</f>
        <v> </v>
      </c>
      <c r="CH132" s="309" t="str">
        <f aca="false">IF($A132="N/A"," ",AO132*$AX132)</f>
        <v> </v>
      </c>
      <c r="CI132" s="309" t="str">
        <f aca="false">IF($A132="N/A"," ",AP132*$AY132)</f>
        <v> </v>
      </c>
      <c r="CJ132" s="309" t="str">
        <f aca="false">IF($A132="N/A"," ",AQ132*$AZ132)</f>
        <v> </v>
      </c>
      <c r="CK132" s="310" t="str">
        <f aca="false">IF($A132="N/A"," ",AR132*$BA132)</f>
        <v> </v>
      </c>
      <c r="CL132" s="311" t="str">
        <f aca="false">IF(A132="N/A"," ",(VLOOKUP(A132,PowerVolTable,(IF(VolBMO=2,7,IF(VolBMO=1,6,8))),FALSE())))</f>
        <v> </v>
      </c>
      <c r="CM132" s="312" t="str">
        <f aca="false">IF(A132="N/A"," ",(VLOOKUP(A132,IntraPowerVol,(IF(VolBMO=2,3,IF(VolBMO=1,2,4))),FALSE())*VLOOKUP(MONTH($A132),Volscale,2)))</f>
        <v> </v>
      </c>
      <c r="CN132" s="312" t="str">
        <f aca="false">IF($A132="N/A"," ",IF(VolType=1,CM132,CL132))</f>
        <v> </v>
      </c>
      <c r="CO132" s="312" t="str">
        <f aca="false">IF($A132="N/A"," ",(VLOOKUP($A132,OffPeakVol,(IF(VolBMO=2,7,IF(VolBMO=1,6,8))),FALSE())))</f>
        <v> </v>
      </c>
      <c r="CP132" s="312" t="str">
        <f aca="false">IF($A132="N/A"," ",(VLOOKUP($A132,OffPeakVol,(IF(VolBMO=2,3,IF(VolBMO=1,2,4))),FALSE())*VLOOKUP(MONTH($A132),Volscale,2)))</f>
        <v> </v>
      </c>
      <c r="CQ132" s="312" t="str">
        <f aca="false">IF($A132="N/A"," ",IF(VolType=1,CP132,CO132))</f>
        <v> </v>
      </c>
      <c r="CR132" s="312" t="str">
        <f aca="false">IF($A132="N/A"," ",(VLOOKUP($A132,GasVolTable,(IF(VolBMO=2,6,IF(VolBMO=1,7,5))),FALSE())))</f>
        <v> </v>
      </c>
      <c r="CS132" s="312" t="str">
        <f aca="false">IF($A132="N/A"," ",(VLOOKUP($A132,OmicronVol,(IF(VolBMO=2,3,IF(VolBMO=1,4,2))),FALSE())))</f>
        <v> </v>
      </c>
      <c r="CT132" s="312" t="str">
        <f aca="false">IF($A132="N/A"," ",(IF(DateToday&gt;$A132,$CS132,IF(VolType=1,((($CR132^2)*((($A132-1)-DateToday)/((EOMONTH($A132,0)+1)-DateToday-15)))+((($CS132)^2)*((15)/((EOMONTH($A132,0)+1)-DateToday-15))))^0.5,CR132))))</f>
        <v> </v>
      </c>
      <c r="CU132" s="312" t="str">
        <f aca="false">IF($A132="N/A"," ",IF('Pricing Inputs'!$AR$23=TRUE(),Inputs!$S$22,VLOOKUP($A132,CorrelationTable,2,FALSE())))</f>
        <v> </v>
      </c>
      <c r="CV132" s="313" t="str">
        <f aca="false">IF($A132="N/A"," ",F132+G132+(D132*('Pricing Inputs'!X167)))</f>
        <v> </v>
      </c>
      <c r="CW132" s="314" t="str">
        <f aca="false">IF($A132="N/A"," ",IF(PV=1,0,'Pricing Inputs'!Y167))</f>
        <v> </v>
      </c>
      <c r="CX132" s="315" t="str">
        <f aca="false">IF($A132="N/A"," ",(1+CW132/2)^(-2*((EOMONTH(A132,0)+20)-DateToday)/365.25))</f>
        <v> </v>
      </c>
      <c r="CY132" s="316" t="str">
        <f aca="false">IF($A132="N/A"," ",(IF(MONTH(A132)&gt;=4,IF(MONTH(A132)&lt;=10,Inputs!$S$26,Inputs!$S$27),Inputs!$S$27))*$CX132)</f>
        <v> </v>
      </c>
      <c r="CZ132" s="317" t="str">
        <f aca="false">IF($A132="N/A"," ",BK132+BL132+BN132+BO132+BQ132+BR132)</f>
        <v> </v>
      </c>
      <c r="DA132" s="318" t="str">
        <f aca="false">IF($A132="N/A"," ",BM132+BP132+BS132)</f>
        <v> </v>
      </c>
      <c r="DB132" s="319" t="str">
        <f aca="false">IF($A132="N/A"," ",BT132+BU132+BW132+BX132+BZ132+CA132)</f>
        <v> </v>
      </c>
      <c r="DC132" s="319" t="str">
        <f aca="false">IF($A132="N/A"," ",BV132+BY132+CB132)</f>
        <v> </v>
      </c>
      <c r="DD132" s="320" t="str">
        <f aca="false">IF($A132="N/A"," ",SUM(CC132:CK132))</f>
        <v> </v>
      </c>
      <c r="DE132" s="321" t="str">
        <f aca="false">IF($A132="N/A"," ",VLOOKUP($A132,NumberofDaysTable,2)*Availability)</f>
        <v> </v>
      </c>
      <c r="DF132" s="94" t="str">
        <f aca="false">IF($A132="N/A"," ",VLOOKUP($A132,NumberofDaysTable,3)*Availability)</f>
        <v> </v>
      </c>
      <c r="DG132" s="322" t="str">
        <f aca="false">IF($A132="N/A"," ",VLOOKUP($A132,NumberofDaysTable,4)*Availability)</f>
        <v> </v>
      </c>
      <c r="DH132" s="323" t="str">
        <f aca="false">IF($A132="N/A"," ",IF(Option=1,$D132*Inputs!$S$15*SUM(AS132:BA132),0))</f>
        <v> </v>
      </c>
      <c r="DI132" s="324" t="str">
        <f aca="false">IF($A132="N/A"," ",IF(Option=1,$D132*Inputs!$S$16*SUM(AS132:BA132),0))</f>
        <v> </v>
      </c>
      <c r="DJ132" s="325" t="str">
        <f aca="false">IF($A132="N/A"," ",SUM(AS132:AT132))</f>
        <v> </v>
      </c>
      <c r="DK132" s="325" t="str">
        <f aca="false">IF($A132="N/A"," ",SUM(AU132:BA132))</f>
        <v> </v>
      </c>
      <c r="DL132" s="325" t="str">
        <f aca="false">IF($A132="N/A"," ",SUM(BB132:BC132))</f>
        <v> </v>
      </c>
      <c r="DM132" s="325" t="str">
        <f aca="false">IF($A132="N/A"," ",SUM(BD132:BJ132))</f>
        <v> </v>
      </c>
    </row>
    <row r="133" customFormat="false" ht="12.75" hidden="false" customHeight="false" outlineLevel="0" collapsed="false">
      <c r="A133" s="282" t="str">
        <f aca="false">IF(A132="N/A","N/A",IF(EDATE(A132,1)&gt;Inputs!$S$5,"N/A",EDATE(A132,1)))</f>
        <v>N/A</v>
      </c>
      <c r="B133" s="283" t="str">
        <f aca="false">IF(A133="N/A"," ",YEAR(A133))</f>
        <v> </v>
      </c>
      <c r="C133" s="284" t="str">
        <f aca="false">IF(A133="N/A"," ",VLOOKUP(A133,ScaledPrice,14))</f>
        <v> </v>
      </c>
      <c r="D133" s="285" t="str">
        <f aca="false">IF(A133="N/A"," ",(VLOOKUP(MONTH($A133),Hrtable,2))/1000)</f>
        <v> </v>
      </c>
      <c r="E133" s="286" t="str">
        <f aca="false">IF($A133="N/A"," ",(C133)*D133)</f>
        <v> </v>
      </c>
      <c r="F133" s="287" t="str">
        <f aca="false">IF(A133="N/A"," ",VOM*(1+VOMesc)^(YEAR(A133)-YEAR(Today)))</f>
        <v> </v>
      </c>
      <c r="G133" s="287" t="str">
        <f aca="false">IF(A133="N/A"," ",Perstart/VLOOKUP(Dayrun,'Pricing Inputs'!$AQ$4:$AS$14,3)/(CY133/CX133))</f>
        <v> </v>
      </c>
      <c r="H133" s="288" t="str">
        <f aca="false">IF(A133="N/A"," ",SUM(E133:G133))</f>
        <v> </v>
      </c>
      <c r="I133" s="289" t="str">
        <f aca="false">VLOOKUP($A133,ScaledPrice,6)</f>
        <v> </v>
      </c>
      <c r="J133" s="290" t="str">
        <f aca="false">VLOOKUP($A133,ScaledPrice,10)</f>
        <v> </v>
      </c>
      <c r="K133" s="290" t="str">
        <f aca="false">VLOOKUP($A133,ScaledPrice,13)</f>
        <v> </v>
      </c>
      <c r="L133" s="290" t="str">
        <f aca="false">VLOOKUP($A133,ScaledPrice,7)</f>
        <v> </v>
      </c>
      <c r="M133" s="290" t="str">
        <f aca="false">VLOOKUP($A133,ScaledPrice,11)</f>
        <v> </v>
      </c>
      <c r="N133" s="290" t="str">
        <f aca="false">VLOOKUP($A133,ScaledPrice,13)</f>
        <v> </v>
      </c>
      <c r="O133" s="290" t="str">
        <f aca="false">VLOOKUP($A133,ScaledPrice,8)</f>
        <v> </v>
      </c>
      <c r="P133" s="290" t="str">
        <f aca="false">VLOOKUP($A133,ScaledPrice,12)</f>
        <v> </v>
      </c>
      <c r="Q133" s="291" t="str">
        <f aca="false">VLOOKUP($A133,ScaledPrice,13)</f>
        <v> </v>
      </c>
      <c r="R133" s="292" t="str">
        <f aca="false">IF($A133="N/A"," ",IF(Dayrun&gt;=3,IF(Option=1,MAX($I133-$H133,0),IF(Option=2,MAX($H133-$I133,0),0)),0))</f>
        <v> </v>
      </c>
      <c r="S133" s="286" t="str">
        <f aca="false">IF($A133="N/A"," ",IF(Dayrun&gt;=6,IF(Option=1,MAX($J133-H133,0),IF(Option=2,MAX(H133-$J133,0),0)),0))</f>
        <v> </v>
      </c>
      <c r="T133" s="286" t="str">
        <f aca="false">IF($A133="N/A"," ",IF(OR(Dayrun&lt;=2,Dayrun&gt;=9),IF(Option=1,MAX($K133-$H133,0),IF(Option=2,MAX($H133-$K133,0),0)),0))</f>
        <v> </v>
      </c>
      <c r="U133" s="286" t="str">
        <f aca="false">IF($A133="N/A"," ",IF(OR(Dayrun=1,Dayrun=4,Dayrun=5,Dayrun=7,Dayrun=8,Dayrun=10,Dayrun=11),IF(Option=1,MAX($L133-H133,0),IF(Option=2,MAX(H133-$L133,0),0)),0))</f>
        <v> </v>
      </c>
      <c r="V133" s="286" t="str">
        <f aca="false">IF($A133="N/A"," ",IF(OR(Dayrun=1,Dayrun=7,Dayrun=8,Dayrun=10,Dayrun=11),IF(Option=1,MAX($M133-H133,0),IF(Option=2,MAX(H133-$M133,0),0)),0))</f>
        <v> </v>
      </c>
      <c r="W133" s="286" t="str">
        <f aca="false">IF($A133="N/A"," ",IF(OR(Dayrun&lt;=2,Dayrun&gt;=10),IF(Option=1,MAX($N133-$H133,0),IF(Option=2,MAX($H133-$N133,0),0)),0))</f>
        <v> </v>
      </c>
      <c r="X133" s="286" t="str">
        <f aca="false">IF($A133="N/A"," ",IF(OR(Dayrun=1,Dayrun=5,Dayrun=8,Dayrun=11),IF(Option=1,MAX($O133-H133,0),IF(Option=2,MAX(H133-$O133,0),0)),0))</f>
        <v> </v>
      </c>
      <c r="Y133" s="286" t="str">
        <f aca="false">IF($A133="N/A"," ",IF(OR(Dayrun=1,Dayrun=8,Dayrun=11),IF(Option=1,MAX($P133-H133,0),IF(Option=2,MAX(H133-$P133,0),0)),0))</f>
        <v> </v>
      </c>
      <c r="Z133" s="293" t="str">
        <f aca="false">IF($A133="N/A"," ",IF(OR(Dayrun&lt;=2,Dayrun&gt;=11),IF(Option=1,MAX($Q133-$H133,0),IF(Option=2,MAX($H133-$Q133,0),0)),0))</f>
        <v> </v>
      </c>
      <c r="AA133" s="289" t="str">
        <f aca="false">IF($A133="N/A"," ",IF(Dayrun&gt;=3,(MAX(0,(xSPRDOPT(I133,($E133-'Pricing Inputs'!$X168*$D133),$CV133,0,($CN133+IF(Smile=TRUE(),VLOOKUP(MAX(-5,$H133-I133),Volsmile,2),0)),$CT133,$CU133,($A133-DateToday)+15,ABS(Option-2),0)-R133))),0))</f>
        <v> </v>
      </c>
      <c r="AB133" s="290" t="str">
        <f aca="false">IF($A133="N/A"," ",IF(Dayrun&gt;=6,MAX(0,(xSPRDOPT(J133,($E133-'Pricing Inputs'!$X168*$D133),$CV133,0,($CN133+IF(Smile=TRUE(),VLOOKUP(MAX(-5,$H133-J133),Volsmile,2),0)),$CT133,$CU133,($A133-DateToday)+15,ABS(Option-2),0)-S133)),0))</f>
        <v> </v>
      </c>
      <c r="AC133" s="290" t="str">
        <f aca="false">IF($A133="N/A"," ",IF(OR(Dayrun&lt;=2,Dayrun&gt;=9),IF(OffPeakEx=TRUE(),MAX(0,(xSPRDOPT(K133,($E133-'Pricing Inputs'!$X168*$D133),$CV133,0,($CQ133+IF(Smile=TRUE(),VLOOKUP(MAX(-5,$H133-K133),Volsmile,2),0)),$CT133,$CU133,($A133-DateToday)+15,ABS(Option-2),0)-T133)),0),0))</f>
        <v> </v>
      </c>
      <c r="AD133" s="290" t="str">
        <f aca="false">IF($A133="N/A"," ",IF(OR(Dayrun=1,Dayrun=4,Dayrun=5,Dayrun=7,Dayrun=8,Dayrun=10,Dayrun=11),MAX(0,(xSPRDOPT(L133,($E133-'Pricing Inputs'!$X168*$D133),$CV133,0,($CQ133+IF(Smile=TRUE(),VLOOKUP(MAX(-5,$H133-L133),Volsmile,2),0)),$CT133,$CU133,($A133-DateToday)+15,ABS(Option-2),0)-U133)),0))</f>
        <v> </v>
      </c>
      <c r="AE133" s="290" t="str">
        <f aca="false">IF($A133="N/A"," ",IF(OR(Dayrun=1,Dayrun=7,Dayrun=8,Dayrun=10,Dayrun=11),MAX(0,(xSPRDOPT(M133,($E133-'Pricing Inputs'!$X168*$D133),$CV133,0,($CQ133+IF(Smile=TRUE(),VLOOKUP(MAX(-5,$H133-M133),Volsmile,2),0)),$CT133,$CU133,($A133-DateToday)+15,ABS(Option-2),0)-V133)),0))</f>
        <v> </v>
      </c>
      <c r="AF133" s="290" t="str">
        <f aca="false">IF($A133="N/A"," ",IF(OR(Dayrun&lt;=2,Dayrun&gt;=10),IF(OffPeakEx=TRUE(),MAX(0,(xSPRDOPT(N133,($E133-'Pricing Inputs'!$X168*$D133),$CV133,0,($CQ133+IF(Smile=TRUE(),VLOOKUP(MAX(-5,$H133-N133),Volsmile,2),0)),$CT133,$CU133,($A133-DateToday)+15,ABS(Option-2),0)-W133)),0),0))</f>
        <v> </v>
      </c>
      <c r="AG133" s="290" t="str">
        <f aca="false">IF($A133="N/A"," ",IF(OR(Dayrun=1,Dayrun=5,Dayrun=8,Dayrun=11),MAX(0,(xSPRDOPT(O133,($E133-'Pricing Inputs'!$X168*$D133),$CV133,0,($CQ133+IF(Smile=TRUE(),VLOOKUP(MAX(-5,$H133-O133),Volsmile,2),0)),$CT133,$CU133,($A133-DateToday)+15,ABS(Option-2),0)-X133)),0))</f>
        <v> </v>
      </c>
      <c r="AH133" s="290" t="str">
        <f aca="false">IF($A133="N/A"," ",IF(OR(Dayrun=1,Dayrun=8,Dayrun=11),MAX(0,(xSPRDOPT(P133,($E133-'Pricing Inputs'!$X168*$D133),$CV133,0,($CQ133+IF(Smile=TRUE(),VLOOKUP(MAX(-5,$H133-P133),Volsmile,2),0)),$CT133,$CU133,($A133-DateToday)+15,ABS(Option-2),0)-Y133)),0))</f>
        <v> </v>
      </c>
      <c r="AI133" s="290" t="str">
        <f aca="false">IF($A133="N/A"," ",IF(OR(Dayrun&lt;=2,Dayrun&gt;=11),IF(OffPeakEx=TRUE(),MAX(0,(xSPRDOPT(Q133,($E133-'Pricing Inputs'!$X168*$D133),$CV133,0,($CQ133+IF(Smile=TRUE(),VLOOKUP(MAX(-5,$H133-Q133),Volsmile,2),0)),$CT133,$CU133,($A133-DateToday)+15,ABS(Option-2),0)-Z133)),0),0))</f>
        <v> </v>
      </c>
      <c r="AJ133" s="294" t="str">
        <f aca="false">IF($A133="N/A"," ",IF(Dayrun&gt;=3,IF(Option=1,$I133-$H133,IF(Option=2,$H133-$I133)),0))</f>
        <v> </v>
      </c>
      <c r="AK133" s="295" t="str">
        <f aca="false">IF($A133="N/A"," ",IF(Dayrun&gt;=6,IF(Option=1,$J133-H133,IF(Option=2,H133-$J133)),0))</f>
        <v> </v>
      </c>
      <c r="AL133" s="295" t="str">
        <f aca="false">IF($A133="N/A"," ",IF(OR(Dayrun&lt;=2,Dayrun&gt;=9),IF(Option=1,$K133-$H133,IF(Option=2,$H133-$K133)),0))</f>
        <v> </v>
      </c>
      <c r="AM133" s="295" t="str">
        <f aca="false">IF($A133="N/A"," ",IF(OR(Dayrun=1,Dayrun=4,Dayrun=5,Dayrun=7,Dayrun=8,Dayrun=10,Dayrun=11),IF(Option=1,$L133-H133,IF(Option=2,H133-$L133)),0))</f>
        <v> </v>
      </c>
      <c r="AN133" s="295" t="str">
        <f aca="false">IF($A133="N/A"," ",IF(OR(Dayrun=1,Dayrun=7,Dayrun=8,Dayrun=10,Dayrun=11),IF(Option=1,$M133-H133,IF(Option=2,H133-$M133)),0))</f>
        <v> </v>
      </c>
      <c r="AO133" s="295" t="str">
        <f aca="false">IF($A133="N/A"," ",IF(OR(Dayrun&lt;=2,Dayrun&gt;=9),IF(Option=1,$N133-$H133,IF(Option=2,$H133-$N133)),0))</f>
        <v> </v>
      </c>
      <c r="AP133" s="295" t="str">
        <f aca="false">IF($A133="N/A"," ",IF(OR(Dayrun=1,Dayrun=5,Dayrun=8,Dayrun=11),IF(Option=1,$O133-H133,IF(Option=2,H133-$O133)),0))</f>
        <v> </v>
      </c>
      <c r="AQ133" s="295" t="str">
        <f aca="false">IF($A133="N/A"," ",IF(OR(Dayrun=1,Dayrun=8,Dayrun=11),IF(Option=1,$P133-H133,IF(Option=2,H133-$P133)),0))</f>
        <v> </v>
      </c>
      <c r="AR133" s="296" t="str">
        <f aca="false">IF($A133="N/A"," ",IF(OR(Dayrun&lt;=2,Dayrun&gt;=9),IF(Option=1,$Q133-H133,IF(Option=2,H133-$Q133)),0))</f>
        <v> </v>
      </c>
      <c r="AS133" s="297" t="str">
        <f aca="false">IF($A133="N/A"," ",IF(VLOOKUP(MONTH($A133),ManualTable,2)=1,IF(Dayrun&gt;=3,$DE133*8*$CY133,0),0))</f>
        <v> </v>
      </c>
      <c r="AT133" s="297" t="str">
        <f aca="false">IF($A133="N/A"," ",IF(VLOOKUP(MONTH($A133),ManualTable,3)=1,IF(Dayrun&gt;=6,$DE133*8*$CY133,0),0))</f>
        <v> </v>
      </c>
      <c r="AU133" s="297" t="str">
        <f aca="false">IF($A133="N/A"," ",IF(VLOOKUP(MONTH($A133),ManualTable,4)=1,IF(OR(Dayrun&lt;=2,Dayrun&gt;=9),$DE133*8*$CY133,0),0))</f>
        <v> </v>
      </c>
      <c r="AV133" s="297" t="str">
        <f aca="false">IF($A133="N/A"," ",IF(VLOOKUP(MONTH($A133),ManualTable,5)=1,IF(OR(Dayrun=1,Dayrun=4,Dayrun=5,Dayrun=7,Dayrun=8,Dayrun=10,Dayrun=11),$DF133*8*$CY133,0),0))</f>
        <v> </v>
      </c>
      <c r="AW133" s="297" t="str">
        <f aca="false">IF($A133="N/A"," ",IF(VLOOKUP(MONTH($A133),ManualTable,6)=1,IF(OR(Dayrun=1,Dayrun=7,Dayrun=8,Dayrun=10,Dayrun=11),$DF133*8*$CY133,0),0))</f>
        <v> </v>
      </c>
      <c r="AX133" s="297" t="str">
        <f aca="false">IF($A133="N/A"," ",IF(VLOOKUP(MONTH($A133),ManualTable,7)=1,IF(OR(Dayrun&lt;=2,Dayrun&gt;=9),$DF133*8*$CY133,0),0))</f>
        <v> </v>
      </c>
      <c r="AY133" s="297" t="str">
        <f aca="false">IF($A133="N/A"," ",IF(VLOOKUP(MONTH($A133),ManualTable,8)=1,IF(OR(Dayrun=1,Dayrun=5,Dayrun=8,Dayrun=11),$DG133*8*$CY133,0),0))</f>
        <v> </v>
      </c>
      <c r="AZ133" s="297" t="str">
        <f aca="false">IF($A133="N/A"," ",IF(VLOOKUP(MONTH($A133),ManualTable,9)=1,IF(OR(Dayrun=1,Dayrun=8,Dayrun=11),$DG133*8*$CY133,0),0))</f>
        <v> </v>
      </c>
      <c r="BA133" s="298" t="str">
        <f aca="false">IF($A133="N/A"," ",IF(VLOOKUP(MONTH($A133),ManualTable,10)=1,IF(OR(Dayrun&lt;=2,Dayrun&gt;=9),$DG133*8*$CY133,0),0))</f>
        <v> </v>
      </c>
      <c r="BB133" s="299" t="str">
        <f aca="false">IF($A133="N/A"," ",IF(Dayrun&gt;=3,(MAX(0,(xSPRDOPT(I133,($E133-'Pricing Inputs'!$X168*$D133),$CV133,0,($CN133+IF(Smile=TRUE(),VLOOKUP(MAX(-5,$H133-I133),Volsmile,2),0)),$CT133,$CU133,($A133-DateToday)+15,ABS(Option-2),1)*DE133*8))),0))</f>
        <v> </v>
      </c>
      <c r="BC133" s="300" t="str">
        <f aca="false">IF($A133="N/A"," ",IF(Dayrun&gt;=6,MAX(0,(xSPRDOPT(J133,($E133-'Pricing Inputs'!$X168*$D133),$CV133,0,($CN133+IF(Smile=TRUE(),VLOOKUP(MAX(-5,$H133-J133),Volsmile,2),0)),$CT133,$CU133,($A133-DateToday)+15,ABS(Option-2),1)*DE133*8)),0))</f>
        <v> </v>
      </c>
      <c r="BD133" s="300" t="str">
        <f aca="false">IF($A133="N/A"," ",IF(OR(Dayrun&lt;=2,Dayrun&gt;=9),IF(OffPeakEx=TRUE(),MAX(0,(xSPRDOPT(K133,($E133-'Pricing Inputs'!$X168*$D133),$CV133,0,($CQ133+IF(Smile=TRUE(),VLOOKUP(MAX(-5,$H133-K133),Volsmile,2),0)),$CT133,$CU133,($A133-DateToday)+15,ABS(Option-2),1)*DE133*8)),0),0))</f>
        <v> </v>
      </c>
      <c r="BE133" s="300" t="str">
        <f aca="false">IF($A133="N/A"," ",IF(OR(Dayrun=1,Dayrun=4,Dayrun=5,Dayrun=7,Dayrun=8,Dayrun=10,Dayrun=11),MAX(0,(xSPRDOPT(L133,($E133-'Pricing Inputs'!$X168*$D133),$CV133,0,($CQ133+IF(Smile=TRUE(),VLOOKUP(MAX(-5,$H133-L133),Volsmile,2),0)),$CT133,$CU133,($A133-DateToday)+15,ABS(Option-2),1)*DF133*8)),0))</f>
        <v> </v>
      </c>
      <c r="BF133" s="300" t="str">
        <f aca="false">IF($A133="N/A"," ",IF(OR(Dayrun=1,Dayrun=7,Dayrun=8,Dayrun=10,Dayrun=11),MAX(0,(xSPRDOPT(M133,($E133-'Pricing Inputs'!$X168*$D133),$CV133,0,($CQ133+IF(Smile=TRUE(),VLOOKUP(MAX(-5,$H133-M133),Volsmile,2),0)),$CT133,$CU133,($A133-DateToday)+15,ABS(Option-2),1)*DF133*8)),0))</f>
        <v> </v>
      </c>
      <c r="BG133" s="300" t="str">
        <f aca="false">IF($A133="N/A"," ",IF(OR(Dayrun&lt;=2,Dayrun&gt;=10),IF(OffPeakEx=TRUE(),MAX(0,(xSPRDOPT(N133,($E133-'Pricing Inputs'!$X168*$D133),$CV133,0,($CQ133+IF(Smile=TRUE(),VLOOKUP(MAX(-5,$H133-N133),Volsmile,2),0)),$CT133,$CU133,($A133-DateToday)+15,ABS(Option-2),1)*DF133*8)),0),0))</f>
        <v> </v>
      </c>
      <c r="BH133" s="300" t="str">
        <f aca="false">IF($A133="N/A"," ",IF(OR(Dayrun=1,Dayrun=5,Dayrun=8,Dayrun=11),MAX(0,(xSPRDOPT(O133,($E133-'Pricing Inputs'!$X168*$D133),$CV133,0,($CQ133+IF(Smile=TRUE(),VLOOKUP(MAX(-5,$H133-O133),Volsmile,2),0)),$CT133,$CU133,($A133-DateToday)+15,ABS(Option-2),1)*DG133*8)),0))</f>
        <v> </v>
      </c>
      <c r="BI133" s="300" t="str">
        <f aca="false">IF($A133="N/A"," ",IF(OR(Dayrun=1,Dayrun=8,Dayrun=11),MAX(0,(xSPRDOPT(P133,($E133-'Pricing Inputs'!$X168*$D133),$CV133,0,($CQ133+IF(Smile=TRUE(),VLOOKUP(MAX(-5,$H133-P133),Volsmile,2),0)),$CT133,$CU133,($A133-DateToday)+15,ABS(Option-2),1)*DG133*8)),0))</f>
        <v> </v>
      </c>
      <c r="BJ133" s="301" t="str">
        <f aca="false">IF($A133="N/A"," ",IF(OR(Dayrun&lt;=2,Dayrun&gt;=11),IF(OffPeakEx=TRUE(),MAX(0,(xSPRDOPT(Q133,($E133-'Pricing Inputs'!$X168*$D133),$CV133,0,($CQ133+IF(Smile=TRUE(),VLOOKUP(MAX(-5,$H133-Q133),Volsmile,2),0)),$CT133,$CU133,($A133-DateToday)+15,ABS(Option-2),1)*DG133*8)),0),0))</f>
        <v> </v>
      </c>
      <c r="BK133" s="302" t="str">
        <f aca="false">IF($A133="N/A"," ",R133*$AS133)</f>
        <v> </v>
      </c>
      <c r="BL133" s="303" t="str">
        <f aca="false">IF($A133="N/A"," ",S133*$AT133)</f>
        <v> </v>
      </c>
      <c r="BM133" s="303" t="str">
        <f aca="false">IF($A133="N/A"," ",T133*$AU133)</f>
        <v> </v>
      </c>
      <c r="BN133" s="303" t="str">
        <f aca="false">IF($A133="N/A"," ",U133*$AV133)</f>
        <v> </v>
      </c>
      <c r="BO133" s="303" t="str">
        <f aca="false">IF($A133="N/A"," ",V133*$AW133)</f>
        <v> </v>
      </c>
      <c r="BP133" s="303" t="str">
        <f aca="false">IF($A133="N/A"," ",W133*$AX133)</f>
        <v> </v>
      </c>
      <c r="BQ133" s="303" t="str">
        <f aca="false">IF($A133="N/A"," ",X133*$AY133)</f>
        <v> </v>
      </c>
      <c r="BR133" s="303" t="str">
        <f aca="false">IF($A133="N/A"," ",Y133*$AZ133)</f>
        <v> </v>
      </c>
      <c r="BS133" s="304" t="str">
        <f aca="false">IF($A133="N/A"," ",Z133*$BA133)</f>
        <v> </v>
      </c>
      <c r="BT133" s="305" t="str">
        <f aca="false">IF($A133="N/A"," ",AA133*$AS133)</f>
        <v> </v>
      </c>
      <c r="BU133" s="306" t="str">
        <f aca="false">IF($A133="N/A"," ",AB133*$AT133)</f>
        <v> </v>
      </c>
      <c r="BV133" s="306" t="str">
        <f aca="false">IF($A133="N/A"," ",AC133*$AU133)</f>
        <v> </v>
      </c>
      <c r="BW133" s="306" t="str">
        <f aca="false">IF($A133="N/A"," ",AD133*$AV133)</f>
        <v> </v>
      </c>
      <c r="BX133" s="306" t="str">
        <f aca="false">IF($A133="N/A"," ",AE133*$AW133)</f>
        <v> </v>
      </c>
      <c r="BY133" s="306" t="str">
        <f aca="false">IF($A133="N/A"," ",AF133*$AX133)</f>
        <v> </v>
      </c>
      <c r="BZ133" s="306" t="str">
        <f aca="false">IF($A133="N/A"," ",AG133*$AY133)</f>
        <v> </v>
      </c>
      <c r="CA133" s="306" t="str">
        <f aca="false">IF($A133="N/A"," ",AH133*$AZ133)</f>
        <v> </v>
      </c>
      <c r="CB133" s="307" t="str">
        <f aca="false">IF($A133="N/A"," ",AI133*$BA133)</f>
        <v> </v>
      </c>
      <c r="CC133" s="308" t="str">
        <f aca="false">IF($A133="N/A"," ",AJ133*$AS133)</f>
        <v> </v>
      </c>
      <c r="CD133" s="309" t="str">
        <f aca="false">IF($A133="N/A"," ",AK133*$AT133)</f>
        <v> </v>
      </c>
      <c r="CE133" s="309" t="str">
        <f aca="false">IF($A133="N/A"," ",AL133*$AU133)</f>
        <v> </v>
      </c>
      <c r="CF133" s="309" t="str">
        <f aca="false">IF($A133="N/A"," ",AM133*$AV133)</f>
        <v> </v>
      </c>
      <c r="CG133" s="309" t="str">
        <f aca="false">IF($A133="N/A"," ",AN133*$AW133)</f>
        <v> </v>
      </c>
      <c r="CH133" s="309" t="str">
        <f aca="false">IF($A133="N/A"," ",AO133*$AX133)</f>
        <v> </v>
      </c>
      <c r="CI133" s="309" t="str">
        <f aca="false">IF($A133="N/A"," ",AP133*$AY133)</f>
        <v> </v>
      </c>
      <c r="CJ133" s="309" t="str">
        <f aca="false">IF($A133="N/A"," ",AQ133*$AZ133)</f>
        <v> </v>
      </c>
      <c r="CK133" s="310" t="str">
        <f aca="false">IF($A133="N/A"," ",AR133*$BA133)</f>
        <v> </v>
      </c>
      <c r="CL133" s="311" t="str">
        <f aca="false">IF(A133="N/A"," ",(VLOOKUP(A133,PowerVolTable,(IF(VolBMO=2,7,IF(VolBMO=1,6,8))),FALSE())))</f>
        <v> </v>
      </c>
      <c r="CM133" s="312" t="str">
        <f aca="false">IF(A133="N/A"," ",(VLOOKUP(A133,IntraPowerVol,(IF(VolBMO=2,3,IF(VolBMO=1,2,4))),FALSE())*VLOOKUP(MONTH($A133),Volscale,2)))</f>
        <v> </v>
      </c>
      <c r="CN133" s="312" t="str">
        <f aca="false">IF($A133="N/A"," ",IF(VolType=1,CM133,CL133))</f>
        <v> </v>
      </c>
      <c r="CO133" s="312" t="str">
        <f aca="false">IF($A133="N/A"," ",(VLOOKUP($A133,OffPeakVol,(IF(VolBMO=2,7,IF(VolBMO=1,6,8))),FALSE())))</f>
        <v> </v>
      </c>
      <c r="CP133" s="312" t="str">
        <f aca="false">IF($A133="N/A"," ",(VLOOKUP($A133,OffPeakVol,(IF(VolBMO=2,3,IF(VolBMO=1,2,4))),FALSE())*VLOOKUP(MONTH($A133),Volscale,2)))</f>
        <v> </v>
      </c>
      <c r="CQ133" s="312" t="str">
        <f aca="false">IF($A133="N/A"," ",IF(VolType=1,CP133,CO133))</f>
        <v> </v>
      </c>
      <c r="CR133" s="312" t="str">
        <f aca="false">IF($A133="N/A"," ",(VLOOKUP($A133,GasVolTable,(IF(VolBMO=2,6,IF(VolBMO=1,7,5))),FALSE())))</f>
        <v> </v>
      </c>
      <c r="CS133" s="312" t="str">
        <f aca="false">IF($A133="N/A"," ",(VLOOKUP($A133,OmicronVol,(IF(VolBMO=2,3,IF(VolBMO=1,4,2))),FALSE())))</f>
        <v> </v>
      </c>
      <c r="CT133" s="312" t="str">
        <f aca="false">IF($A133="N/A"," ",(IF(DateToday&gt;$A133,$CS133,IF(VolType=1,((($CR133^2)*((($A133-1)-DateToday)/((EOMONTH($A133,0)+1)-DateToday-15)))+((($CS133)^2)*((15)/((EOMONTH($A133,0)+1)-DateToday-15))))^0.5,CR133))))</f>
        <v> </v>
      </c>
      <c r="CU133" s="312" t="str">
        <f aca="false">IF($A133="N/A"," ",IF('Pricing Inputs'!$AR$23=TRUE(),Inputs!$S$22,VLOOKUP($A133,CorrelationTable,2,FALSE())))</f>
        <v> </v>
      </c>
      <c r="CV133" s="313" t="str">
        <f aca="false">IF($A133="N/A"," ",F133+G133+(D133*('Pricing Inputs'!X168)))</f>
        <v> </v>
      </c>
      <c r="CW133" s="314" t="str">
        <f aca="false">IF($A133="N/A"," ",IF(PV=1,0,'Pricing Inputs'!Y168))</f>
        <v> </v>
      </c>
      <c r="CX133" s="315" t="str">
        <f aca="false">IF($A133="N/A"," ",(1+CW133/2)^(-2*((EOMONTH(A133,0)+20)-DateToday)/365.25))</f>
        <v> </v>
      </c>
      <c r="CY133" s="316" t="str">
        <f aca="false">IF($A133="N/A"," ",(IF(MONTH(A133)&gt;=4,IF(MONTH(A133)&lt;=10,Inputs!$S$26,Inputs!$S$27),Inputs!$S$27))*$CX133)</f>
        <v> </v>
      </c>
      <c r="CZ133" s="317" t="str">
        <f aca="false">IF($A133="N/A"," ",BK133+BL133+BN133+BO133+BQ133+BR133)</f>
        <v> </v>
      </c>
      <c r="DA133" s="318" t="str">
        <f aca="false">IF($A133="N/A"," ",BM133+BP133+BS133)</f>
        <v> </v>
      </c>
      <c r="DB133" s="319" t="str">
        <f aca="false">IF($A133="N/A"," ",BT133+BU133+BW133+BX133+BZ133+CA133)</f>
        <v> </v>
      </c>
      <c r="DC133" s="319" t="str">
        <f aca="false">IF($A133="N/A"," ",BV133+BY133+CB133)</f>
        <v> </v>
      </c>
      <c r="DD133" s="320" t="str">
        <f aca="false">IF($A133="N/A"," ",SUM(CC133:CK133))</f>
        <v> </v>
      </c>
      <c r="DE133" s="321" t="str">
        <f aca="false">IF($A133="N/A"," ",VLOOKUP($A133,NumberofDaysTable,2)*Availability)</f>
        <v> </v>
      </c>
      <c r="DF133" s="94" t="str">
        <f aca="false">IF($A133="N/A"," ",VLOOKUP($A133,NumberofDaysTable,3)*Availability)</f>
        <v> </v>
      </c>
      <c r="DG133" s="322" t="str">
        <f aca="false">IF($A133="N/A"," ",VLOOKUP($A133,NumberofDaysTable,4)*Availability)</f>
        <v> </v>
      </c>
      <c r="DH133" s="323" t="str">
        <f aca="false">IF($A133="N/A"," ",IF(Option=1,$D133*Inputs!$S$15*SUM(AS133:BA133),0))</f>
        <v> </v>
      </c>
      <c r="DI133" s="324" t="str">
        <f aca="false">IF($A133="N/A"," ",IF(Option=1,$D133*Inputs!$S$16*SUM(AS133:BA133),0))</f>
        <v> </v>
      </c>
      <c r="DJ133" s="325" t="str">
        <f aca="false">IF($A133="N/A"," ",SUM(AS133:AT133))</f>
        <v> </v>
      </c>
      <c r="DK133" s="325" t="str">
        <f aca="false">IF($A133="N/A"," ",SUM(AU133:BA133))</f>
        <v> </v>
      </c>
      <c r="DL133" s="325" t="str">
        <f aca="false">IF($A133="N/A"," ",SUM(BB133:BC133))</f>
        <v> </v>
      </c>
      <c r="DM133" s="325" t="str">
        <f aca="false">IF($A133="N/A"," ",SUM(BD133:BJ133))</f>
        <v> </v>
      </c>
    </row>
    <row r="134" customFormat="false" ht="12.75" hidden="false" customHeight="false" outlineLevel="0" collapsed="false">
      <c r="A134" s="282" t="str">
        <f aca="false">IF(A133="N/A","N/A",IF(EDATE(A133,1)&gt;Inputs!$S$5,"N/A",EDATE(A133,1)))</f>
        <v>N/A</v>
      </c>
      <c r="B134" s="283" t="str">
        <f aca="false">IF(A134="N/A"," ",YEAR(A134))</f>
        <v> </v>
      </c>
      <c r="C134" s="284" t="str">
        <f aca="false">IF(A134="N/A"," ",VLOOKUP(A134,ScaledPrice,14))</f>
        <v> </v>
      </c>
      <c r="D134" s="285" t="str">
        <f aca="false">IF(A134="N/A"," ",(VLOOKUP(MONTH($A134),Hrtable,2))/1000)</f>
        <v> </v>
      </c>
      <c r="E134" s="286" t="str">
        <f aca="false">IF($A134="N/A"," ",(C134)*D134)</f>
        <v> </v>
      </c>
      <c r="F134" s="287" t="str">
        <f aca="false">IF(A134="N/A"," ",VOM*(1+VOMesc)^(YEAR(A134)-YEAR(Today)))</f>
        <v> </v>
      </c>
      <c r="G134" s="287" t="str">
        <f aca="false">IF(A134="N/A"," ",Perstart/VLOOKUP(Dayrun,'Pricing Inputs'!$AQ$4:$AS$14,3)/(CY134/CX134))</f>
        <v> </v>
      </c>
      <c r="H134" s="288" t="str">
        <f aca="false">IF(A134="N/A"," ",SUM(E134:G134))</f>
        <v> </v>
      </c>
      <c r="I134" s="289" t="str">
        <f aca="false">VLOOKUP($A134,ScaledPrice,6)</f>
        <v> </v>
      </c>
      <c r="J134" s="290" t="str">
        <f aca="false">VLOOKUP($A134,ScaledPrice,10)</f>
        <v> </v>
      </c>
      <c r="K134" s="290" t="str">
        <f aca="false">VLOOKUP($A134,ScaledPrice,13)</f>
        <v> </v>
      </c>
      <c r="L134" s="290" t="str">
        <f aca="false">VLOOKUP($A134,ScaledPrice,7)</f>
        <v> </v>
      </c>
      <c r="M134" s="290" t="str">
        <f aca="false">VLOOKUP($A134,ScaledPrice,11)</f>
        <v> </v>
      </c>
      <c r="N134" s="290" t="str">
        <f aca="false">VLOOKUP($A134,ScaledPrice,13)</f>
        <v> </v>
      </c>
      <c r="O134" s="290" t="str">
        <f aca="false">VLOOKUP($A134,ScaledPrice,8)</f>
        <v> </v>
      </c>
      <c r="P134" s="290" t="str">
        <f aca="false">VLOOKUP($A134,ScaledPrice,12)</f>
        <v> </v>
      </c>
      <c r="Q134" s="291" t="str">
        <f aca="false">VLOOKUP($A134,ScaledPrice,13)</f>
        <v> </v>
      </c>
      <c r="R134" s="292" t="str">
        <f aca="false">IF($A134="N/A"," ",IF(Dayrun&gt;=3,IF(Option=1,MAX($I134-$H134,0),IF(Option=2,MAX($H134-$I134,0),0)),0))</f>
        <v> </v>
      </c>
      <c r="S134" s="286" t="str">
        <f aca="false">IF($A134="N/A"," ",IF(Dayrun&gt;=6,IF(Option=1,MAX($J134-H134,0),IF(Option=2,MAX(H134-$J134,0),0)),0))</f>
        <v> </v>
      </c>
      <c r="T134" s="286" t="str">
        <f aca="false">IF($A134="N/A"," ",IF(OR(Dayrun&lt;=2,Dayrun&gt;=9),IF(Option=1,MAX($K134-$H134,0),IF(Option=2,MAX($H134-$K134,0),0)),0))</f>
        <v> </v>
      </c>
      <c r="U134" s="286" t="str">
        <f aca="false">IF($A134="N/A"," ",IF(OR(Dayrun=1,Dayrun=4,Dayrun=5,Dayrun=7,Dayrun=8,Dayrun=10,Dayrun=11),IF(Option=1,MAX($L134-H134,0),IF(Option=2,MAX(H134-$L134,0),0)),0))</f>
        <v> </v>
      </c>
      <c r="V134" s="286" t="str">
        <f aca="false">IF($A134="N/A"," ",IF(OR(Dayrun=1,Dayrun=7,Dayrun=8,Dayrun=10,Dayrun=11),IF(Option=1,MAX($M134-H134,0),IF(Option=2,MAX(H134-$M134,0),0)),0))</f>
        <v> </v>
      </c>
      <c r="W134" s="286" t="str">
        <f aca="false">IF($A134="N/A"," ",IF(OR(Dayrun&lt;=2,Dayrun&gt;=10),IF(Option=1,MAX($N134-$H134,0),IF(Option=2,MAX($H134-$N134,0),0)),0))</f>
        <v> </v>
      </c>
      <c r="X134" s="286" t="str">
        <f aca="false">IF($A134="N/A"," ",IF(OR(Dayrun=1,Dayrun=5,Dayrun=8,Dayrun=11),IF(Option=1,MAX($O134-H134,0),IF(Option=2,MAX(H134-$O134,0),0)),0))</f>
        <v> </v>
      </c>
      <c r="Y134" s="286" t="str">
        <f aca="false">IF($A134="N/A"," ",IF(OR(Dayrun=1,Dayrun=8,Dayrun=11),IF(Option=1,MAX($P134-H134,0),IF(Option=2,MAX(H134-$P134,0),0)),0))</f>
        <v> </v>
      </c>
      <c r="Z134" s="293" t="str">
        <f aca="false">IF($A134="N/A"," ",IF(OR(Dayrun&lt;=2,Dayrun&gt;=11),IF(Option=1,MAX($Q134-$H134,0),IF(Option=2,MAX($H134-$Q134,0),0)),0))</f>
        <v> </v>
      </c>
      <c r="AA134" s="289" t="str">
        <f aca="false">IF($A134="N/A"," ",IF(Dayrun&gt;=3,(MAX(0,(xSPRDOPT(I134,($E134-'Pricing Inputs'!$X169*$D134),$CV134,0,($CN134+IF(Smile=TRUE(),VLOOKUP(MAX(-5,$H134-I134),Volsmile,2),0)),$CT134,$CU134,($A134-DateToday)+15,ABS(Option-2),0)-R134))),0))</f>
        <v> </v>
      </c>
      <c r="AB134" s="290" t="str">
        <f aca="false">IF($A134="N/A"," ",IF(Dayrun&gt;=6,MAX(0,(xSPRDOPT(J134,($E134-'Pricing Inputs'!$X169*$D134),$CV134,0,($CN134+IF(Smile=TRUE(),VLOOKUP(MAX(-5,$H134-J134),Volsmile,2),0)),$CT134,$CU134,($A134-DateToday)+15,ABS(Option-2),0)-S134)),0))</f>
        <v> </v>
      </c>
      <c r="AC134" s="290" t="str">
        <f aca="false">IF($A134="N/A"," ",IF(OR(Dayrun&lt;=2,Dayrun&gt;=9),IF(OffPeakEx=TRUE(),MAX(0,(xSPRDOPT(K134,($E134-'Pricing Inputs'!$X169*$D134),$CV134,0,($CQ134+IF(Smile=TRUE(),VLOOKUP(MAX(-5,$H134-K134),Volsmile,2),0)),$CT134,$CU134,($A134-DateToday)+15,ABS(Option-2),0)-T134)),0),0))</f>
        <v> </v>
      </c>
      <c r="AD134" s="290" t="str">
        <f aca="false">IF($A134="N/A"," ",IF(OR(Dayrun=1,Dayrun=4,Dayrun=5,Dayrun=7,Dayrun=8,Dayrun=10,Dayrun=11),MAX(0,(xSPRDOPT(L134,($E134-'Pricing Inputs'!$X169*$D134),$CV134,0,($CQ134+IF(Smile=TRUE(),VLOOKUP(MAX(-5,$H134-L134),Volsmile,2),0)),$CT134,$CU134,($A134-DateToday)+15,ABS(Option-2),0)-U134)),0))</f>
        <v> </v>
      </c>
      <c r="AE134" s="290" t="str">
        <f aca="false">IF($A134="N/A"," ",IF(OR(Dayrun=1,Dayrun=7,Dayrun=8,Dayrun=10,Dayrun=11),MAX(0,(xSPRDOPT(M134,($E134-'Pricing Inputs'!$X169*$D134),$CV134,0,($CQ134+IF(Smile=TRUE(),VLOOKUP(MAX(-5,$H134-M134),Volsmile,2),0)),$CT134,$CU134,($A134-DateToday)+15,ABS(Option-2),0)-V134)),0))</f>
        <v> </v>
      </c>
      <c r="AF134" s="290" t="str">
        <f aca="false">IF($A134="N/A"," ",IF(OR(Dayrun&lt;=2,Dayrun&gt;=10),IF(OffPeakEx=TRUE(),MAX(0,(xSPRDOPT(N134,($E134-'Pricing Inputs'!$X169*$D134),$CV134,0,($CQ134+IF(Smile=TRUE(),VLOOKUP(MAX(-5,$H134-N134),Volsmile,2),0)),$CT134,$CU134,($A134-DateToday)+15,ABS(Option-2),0)-W134)),0),0))</f>
        <v> </v>
      </c>
      <c r="AG134" s="290" t="str">
        <f aca="false">IF($A134="N/A"," ",IF(OR(Dayrun=1,Dayrun=5,Dayrun=8,Dayrun=11),MAX(0,(xSPRDOPT(O134,($E134-'Pricing Inputs'!$X169*$D134),$CV134,0,($CQ134+IF(Smile=TRUE(),VLOOKUP(MAX(-5,$H134-O134),Volsmile,2),0)),$CT134,$CU134,($A134-DateToday)+15,ABS(Option-2),0)-X134)),0))</f>
        <v> </v>
      </c>
      <c r="AH134" s="290" t="str">
        <f aca="false">IF($A134="N/A"," ",IF(OR(Dayrun=1,Dayrun=8,Dayrun=11),MAX(0,(xSPRDOPT(P134,($E134-'Pricing Inputs'!$X169*$D134),$CV134,0,($CQ134+IF(Smile=TRUE(),VLOOKUP(MAX(-5,$H134-P134),Volsmile,2),0)),$CT134,$CU134,($A134-DateToday)+15,ABS(Option-2),0)-Y134)),0))</f>
        <v> </v>
      </c>
      <c r="AI134" s="290" t="str">
        <f aca="false">IF($A134="N/A"," ",IF(OR(Dayrun&lt;=2,Dayrun&gt;=11),IF(OffPeakEx=TRUE(),MAX(0,(xSPRDOPT(Q134,($E134-'Pricing Inputs'!$X169*$D134),$CV134,0,($CQ134+IF(Smile=TRUE(),VLOOKUP(MAX(-5,$H134-Q134),Volsmile,2),0)),$CT134,$CU134,($A134-DateToday)+15,ABS(Option-2),0)-Z134)),0),0))</f>
        <v> </v>
      </c>
      <c r="AJ134" s="294" t="str">
        <f aca="false">IF($A134="N/A"," ",IF(Dayrun&gt;=3,IF(Option=1,$I134-$H134,IF(Option=2,$H134-$I134)),0))</f>
        <v> </v>
      </c>
      <c r="AK134" s="295" t="str">
        <f aca="false">IF($A134="N/A"," ",IF(Dayrun&gt;=6,IF(Option=1,$J134-H134,IF(Option=2,H134-$J134)),0))</f>
        <v> </v>
      </c>
      <c r="AL134" s="295" t="str">
        <f aca="false">IF($A134="N/A"," ",IF(OR(Dayrun&lt;=2,Dayrun&gt;=9),IF(Option=1,$K134-$H134,IF(Option=2,$H134-$K134)),0))</f>
        <v> </v>
      </c>
      <c r="AM134" s="295" t="str">
        <f aca="false">IF($A134="N/A"," ",IF(OR(Dayrun=1,Dayrun=4,Dayrun=5,Dayrun=7,Dayrun=8,Dayrun=10,Dayrun=11),IF(Option=1,$L134-H134,IF(Option=2,H134-$L134)),0))</f>
        <v> </v>
      </c>
      <c r="AN134" s="295" t="str">
        <f aca="false">IF($A134="N/A"," ",IF(OR(Dayrun=1,Dayrun=7,Dayrun=8,Dayrun=10,Dayrun=11),IF(Option=1,$M134-H134,IF(Option=2,H134-$M134)),0))</f>
        <v> </v>
      </c>
      <c r="AO134" s="295" t="str">
        <f aca="false">IF($A134="N/A"," ",IF(OR(Dayrun&lt;=2,Dayrun&gt;=9),IF(Option=1,$N134-$H134,IF(Option=2,$H134-$N134)),0))</f>
        <v> </v>
      </c>
      <c r="AP134" s="295" t="str">
        <f aca="false">IF($A134="N/A"," ",IF(OR(Dayrun=1,Dayrun=5,Dayrun=8,Dayrun=11),IF(Option=1,$O134-H134,IF(Option=2,H134-$O134)),0))</f>
        <v> </v>
      </c>
      <c r="AQ134" s="295" t="str">
        <f aca="false">IF($A134="N/A"," ",IF(OR(Dayrun=1,Dayrun=8,Dayrun=11),IF(Option=1,$P134-H134,IF(Option=2,H134-$P134)),0))</f>
        <v> </v>
      </c>
      <c r="AR134" s="296" t="str">
        <f aca="false">IF($A134="N/A"," ",IF(OR(Dayrun&lt;=2,Dayrun&gt;=9),IF(Option=1,$Q134-H134,IF(Option=2,H134-$Q134)),0))</f>
        <v> </v>
      </c>
      <c r="AS134" s="297" t="str">
        <f aca="false">IF($A134="N/A"," ",IF(VLOOKUP(MONTH($A134),ManualTable,2)=1,IF(Dayrun&gt;=3,$DE134*8*$CY134,0),0))</f>
        <v> </v>
      </c>
      <c r="AT134" s="297" t="str">
        <f aca="false">IF($A134="N/A"," ",IF(VLOOKUP(MONTH($A134),ManualTable,3)=1,IF(Dayrun&gt;=6,$DE134*8*$CY134,0),0))</f>
        <v> </v>
      </c>
      <c r="AU134" s="297" t="str">
        <f aca="false">IF($A134="N/A"," ",IF(VLOOKUP(MONTH($A134),ManualTable,4)=1,IF(OR(Dayrun&lt;=2,Dayrun&gt;=9),$DE134*8*$CY134,0),0))</f>
        <v> </v>
      </c>
      <c r="AV134" s="297" t="str">
        <f aca="false">IF($A134="N/A"," ",IF(VLOOKUP(MONTH($A134),ManualTable,5)=1,IF(OR(Dayrun=1,Dayrun=4,Dayrun=5,Dayrun=7,Dayrun=8,Dayrun=10,Dayrun=11),$DF134*8*$CY134,0),0))</f>
        <v> </v>
      </c>
      <c r="AW134" s="297" t="str">
        <f aca="false">IF($A134="N/A"," ",IF(VLOOKUP(MONTH($A134),ManualTable,6)=1,IF(OR(Dayrun=1,Dayrun=7,Dayrun=8,Dayrun=10,Dayrun=11),$DF134*8*$CY134,0),0))</f>
        <v> </v>
      </c>
      <c r="AX134" s="297" t="str">
        <f aca="false">IF($A134="N/A"," ",IF(VLOOKUP(MONTH($A134),ManualTable,7)=1,IF(OR(Dayrun&lt;=2,Dayrun&gt;=9),$DF134*8*$CY134,0),0))</f>
        <v> </v>
      </c>
      <c r="AY134" s="297" t="str">
        <f aca="false">IF($A134="N/A"," ",IF(VLOOKUP(MONTH($A134),ManualTable,8)=1,IF(OR(Dayrun=1,Dayrun=5,Dayrun=8,Dayrun=11),$DG134*8*$CY134,0),0))</f>
        <v> </v>
      </c>
      <c r="AZ134" s="297" t="str">
        <f aca="false">IF($A134="N/A"," ",IF(VLOOKUP(MONTH($A134),ManualTable,9)=1,IF(OR(Dayrun=1,Dayrun=8,Dayrun=11),$DG134*8*$CY134,0),0))</f>
        <v> </v>
      </c>
      <c r="BA134" s="298" t="str">
        <f aca="false">IF($A134="N/A"," ",IF(VLOOKUP(MONTH($A134),ManualTable,10)=1,IF(OR(Dayrun&lt;=2,Dayrun&gt;=9),$DG134*8*$CY134,0),0))</f>
        <v> </v>
      </c>
      <c r="BB134" s="299" t="str">
        <f aca="false">IF($A134="N/A"," ",IF(Dayrun&gt;=3,(MAX(0,(xSPRDOPT(I134,($E134-'Pricing Inputs'!$X169*$D134),$CV134,0,($CN134+IF(Smile=TRUE(),VLOOKUP(MAX(-5,$H134-I134),Volsmile,2),0)),$CT134,$CU134,($A134-DateToday)+15,ABS(Option-2),1)*DE134*8))),0))</f>
        <v> </v>
      </c>
      <c r="BC134" s="300" t="str">
        <f aca="false">IF($A134="N/A"," ",IF(Dayrun&gt;=6,MAX(0,(xSPRDOPT(J134,($E134-'Pricing Inputs'!$X169*$D134),$CV134,0,($CN134+IF(Smile=TRUE(),VLOOKUP(MAX(-5,$H134-J134),Volsmile,2),0)),$CT134,$CU134,($A134-DateToday)+15,ABS(Option-2),1)*DE134*8)),0))</f>
        <v> </v>
      </c>
      <c r="BD134" s="300" t="str">
        <f aca="false">IF($A134="N/A"," ",IF(OR(Dayrun&lt;=2,Dayrun&gt;=9),IF(OffPeakEx=TRUE(),MAX(0,(xSPRDOPT(K134,($E134-'Pricing Inputs'!$X169*$D134),$CV134,0,($CQ134+IF(Smile=TRUE(),VLOOKUP(MAX(-5,$H134-K134),Volsmile,2),0)),$CT134,$CU134,($A134-DateToday)+15,ABS(Option-2),1)*DE134*8)),0),0))</f>
        <v> </v>
      </c>
      <c r="BE134" s="300" t="str">
        <f aca="false">IF($A134="N/A"," ",IF(OR(Dayrun=1,Dayrun=4,Dayrun=5,Dayrun=7,Dayrun=8,Dayrun=10,Dayrun=11),MAX(0,(xSPRDOPT(L134,($E134-'Pricing Inputs'!$X169*$D134),$CV134,0,($CQ134+IF(Smile=TRUE(),VLOOKUP(MAX(-5,$H134-L134),Volsmile,2),0)),$CT134,$CU134,($A134-DateToday)+15,ABS(Option-2),1)*DF134*8)),0))</f>
        <v> </v>
      </c>
      <c r="BF134" s="300" t="str">
        <f aca="false">IF($A134="N/A"," ",IF(OR(Dayrun=1,Dayrun=7,Dayrun=8,Dayrun=10,Dayrun=11),MAX(0,(xSPRDOPT(M134,($E134-'Pricing Inputs'!$X169*$D134),$CV134,0,($CQ134+IF(Smile=TRUE(),VLOOKUP(MAX(-5,$H134-M134),Volsmile,2),0)),$CT134,$CU134,($A134-DateToday)+15,ABS(Option-2),1)*DF134*8)),0))</f>
        <v> </v>
      </c>
      <c r="BG134" s="300" t="str">
        <f aca="false">IF($A134="N/A"," ",IF(OR(Dayrun&lt;=2,Dayrun&gt;=10),IF(OffPeakEx=TRUE(),MAX(0,(xSPRDOPT(N134,($E134-'Pricing Inputs'!$X169*$D134),$CV134,0,($CQ134+IF(Smile=TRUE(),VLOOKUP(MAX(-5,$H134-N134),Volsmile,2),0)),$CT134,$CU134,($A134-DateToday)+15,ABS(Option-2),1)*DF134*8)),0),0))</f>
        <v> </v>
      </c>
      <c r="BH134" s="300" t="str">
        <f aca="false">IF($A134="N/A"," ",IF(OR(Dayrun=1,Dayrun=5,Dayrun=8,Dayrun=11),MAX(0,(xSPRDOPT(O134,($E134-'Pricing Inputs'!$X169*$D134),$CV134,0,($CQ134+IF(Smile=TRUE(),VLOOKUP(MAX(-5,$H134-O134),Volsmile,2),0)),$CT134,$CU134,($A134-DateToday)+15,ABS(Option-2),1)*DG134*8)),0))</f>
        <v> </v>
      </c>
      <c r="BI134" s="300" t="str">
        <f aca="false">IF($A134="N/A"," ",IF(OR(Dayrun=1,Dayrun=8,Dayrun=11),MAX(0,(xSPRDOPT(P134,($E134-'Pricing Inputs'!$X169*$D134),$CV134,0,($CQ134+IF(Smile=TRUE(),VLOOKUP(MAX(-5,$H134-P134),Volsmile,2),0)),$CT134,$CU134,($A134-DateToday)+15,ABS(Option-2),1)*DG134*8)),0))</f>
        <v> </v>
      </c>
      <c r="BJ134" s="301" t="str">
        <f aca="false">IF($A134="N/A"," ",IF(OR(Dayrun&lt;=2,Dayrun&gt;=11),IF(OffPeakEx=TRUE(),MAX(0,(xSPRDOPT(Q134,($E134-'Pricing Inputs'!$X169*$D134),$CV134,0,($CQ134+IF(Smile=TRUE(),VLOOKUP(MAX(-5,$H134-Q134),Volsmile,2),0)),$CT134,$CU134,($A134-DateToday)+15,ABS(Option-2),1)*DG134*8)),0),0))</f>
        <v> </v>
      </c>
      <c r="BK134" s="302" t="str">
        <f aca="false">IF($A134="N/A"," ",R134*$AS134)</f>
        <v> </v>
      </c>
      <c r="BL134" s="303" t="str">
        <f aca="false">IF($A134="N/A"," ",S134*$AT134)</f>
        <v> </v>
      </c>
      <c r="BM134" s="303" t="str">
        <f aca="false">IF($A134="N/A"," ",T134*$AU134)</f>
        <v> </v>
      </c>
      <c r="BN134" s="303" t="str">
        <f aca="false">IF($A134="N/A"," ",U134*$AV134)</f>
        <v> </v>
      </c>
      <c r="BO134" s="303" t="str">
        <f aca="false">IF($A134="N/A"," ",V134*$AW134)</f>
        <v> </v>
      </c>
      <c r="BP134" s="303" t="str">
        <f aca="false">IF($A134="N/A"," ",W134*$AX134)</f>
        <v> </v>
      </c>
      <c r="BQ134" s="303" t="str">
        <f aca="false">IF($A134="N/A"," ",X134*$AY134)</f>
        <v> </v>
      </c>
      <c r="BR134" s="303" t="str">
        <f aca="false">IF($A134="N/A"," ",Y134*$AZ134)</f>
        <v> </v>
      </c>
      <c r="BS134" s="304" t="str">
        <f aca="false">IF($A134="N/A"," ",Z134*$BA134)</f>
        <v> </v>
      </c>
      <c r="BT134" s="305" t="str">
        <f aca="false">IF($A134="N/A"," ",AA134*$AS134)</f>
        <v> </v>
      </c>
      <c r="BU134" s="306" t="str">
        <f aca="false">IF($A134="N/A"," ",AB134*$AT134)</f>
        <v> </v>
      </c>
      <c r="BV134" s="306" t="str">
        <f aca="false">IF($A134="N/A"," ",AC134*$AU134)</f>
        <v> </v>
      </c>
      <c r="BW134" s="306" t="str">
        <f aca="false">IF($A134="N/A"," ",AD134*$AV134)</f>
        <v> </v>
      </c>
      <c r="BX134" s="306" t="str">
        <f aca="false">IF($A134="N/A"," ",AE134*$AW134)</f>
        <v> </v>
      </c>
      <c r="BY134" s="306" t="str">
        <f aca="false">IF($A134="N/A"," ",AF134*$AX134)</f>
        <v> </v>
      </c>
      <c r="BZ134" s="306" t="str">
        <f aca="false">IF($A134="N/A"," ",AG134*$AY134)</f>
        <v> </v>
      </c>
      <c r="CA134" s="306" t="str">
        <f aca="false">IF($A134="N/A"," ",AH134*$AZ134)</f>
        <v> </v>
      </c>
      <c r="CB134" s="307" t="str">
        <f aca="false">IF($A134="N/A"," ",AI134*$BA134)</f>
        <v> </v>
      </c>
      <c r="CC134" s="308" t="str">
        <f aca="false">IF($A134="N/A"," ",AJ134*$AS134)</f>
        <v> </v>
      </c>
      <c r="CD134" s="309" t="str">
        <f aca="false">IF($A134="N/A"," ",AK134*$AT134)</f>
        <v> </v>
      </c>
      <c r="CE134" s="309" t="str">
        <f aca="false">IF($A134="N/A"," ",AL134*$AU134)</f>
        <v> </v>
      </c>
      <c r="CF134" s="309" t="str">
        <f aca="false">IF($A134="N/A"," ",AM134*$AV134)</f>
        <v> </v>
      </c>
      <c r="CG134" s="309" t="str">
        <f aca="false">IF($A134="N/A"," ",AN134*$AW134)</f>
        <v> </v>
      </c>
      <c r="CH134" s="309" t="str">
        <f aca="false">IF($A134="N/A"," ",AO134*$AX134)</f>
        <v> </v>
      </c>
      <c r="CI134" s="309" t="str">
        <f aca="false">IF($A134="N/A"," ",AP134*$AY134)</f>
        <v> </v>
      </c>
      <c r="CJ134" s="309" t="str">
        <f aca="false">IF($A134="N/A"," ",AQ134*$AZ134)</f>
        <v> </v>
      </c>
      <c r="CK134" s="310" t="str">
        <f aca="false">IF($A134="N/A"," ",AR134*$BA134)</f>
        <v> </v>
      </c>
      <c r="CL134" s="311" t="str">
        <f aca="false">IF(A134="N/A"," ",(VLOOKUP(A134,PowerVolTable,(IF(VolBMO=2,7,IF(VolBMO=1,6,8))),FALSE())))</f>
        <v> </v>
      </c>
      <c r="CM134" s="312" t="str">
        <f aca="false">IF(A134="N/A"," ",(VLOOKUP(A134,IntraPowerVol,(IF(VolBMO=2,3,IF(VolBMO=1,2,4))),FALSE())*VLOOKUP(MONTH($A134),Volscale,2)))</f>
        <v> </v>
      </c>
      <c r="CN134" s="312" t="str">
        <f aca="false">IF($A134="N/A"," ",IF(VolType=1,CM134,CL134))</f>
        <v> </v>
      </c>
      <c r="CO134" s="312" t="str">
        <f aca="false">IF($A134="N/A"," ",(VLOOKUP($A134,OffPeakVol,(IF(VolBMO=2,7,IF(VolBMO=1,6,8))),FALSE())))</f>
        <v> </v>
      </c>
      <c r="CP134" s="312" t="str">
        <f aca="false">IF($A134="N/A"," ",(VLOOKUP($A134,OffPeakVol,(IF(VolBMO=2,3,IF(VolBMO=1,2,4))),FALSE())*VLOOKUP(MONTH($A134),Volscale,2)))</f>
        <v> </v>
      </c>
      <c r="CQ134" s="312" t="str">
        <f aca="false">IF($A134="N/A"," ",IF(VolType=1,CP134,CO134))</f>
        <v> </v>
      </c>
      <c r="CR134" s="312" t="str">
        <f aca="false">IF($A134="N/A"," ",(VLOOKUP($A134,GasVolTable,(IF(VolBMO=2,6,IF(VolBMO=1,7,5))),FALSE())))</f>
        <v> </v>
      </c>
      <c r="CS134" s="312" t="str">
        <f aca="false">IF($A134="N/A"," ",(VLOOKUP($A134,OmicronVol,(IF(VolBMO=2,3,IF(VolBMO=1,4,2))),FALSE())))</f>
        <v> </v>
      </c>
      <c r="CT134" s="312" t="str">
        <f aca="false">IF($A134="N/A"," ",(IF(DateToday&gt;$A134,$CS134,IF(VolType=1,((($CR134^2)*((($A134-1)-DateToday)/((EOMONTH($A134,0)+1)-DateToday-15)))+((($CS134)^2)*((15)/((EOMONTH($A134,0)+1)-DateToday-15))))^0.5,CR134))))</f>
        <v> </v>
      </c>
      <c r="CU134" s="312" t="str">
        <f aca="false">IF($A134="N/A"," ",IF('Pricing Inputs'!$AR$23=TRUE(),Inputs!$S$22,VLOOKUP($A134,CorrelationTable,2,FALSE())))</f>
        <v> </v>
      </c>
      <c r="CV134" s="313" t="str">
        <f aca="false">IF($A134="N/A"," ",F134+G134+(D134*('Pricing Inputs'!X169)))</f>
        <v> </v>
      </c>
      <c r="CW134" s="314" t="str">
        <f aca="false">IF($A134="N/A"," ",IF(PV=1,0,'Pricing Inputs'!Y169))</f>
        <v> </v>
      </c>
      <c r="CX134" s="315" t="str">
        <f aca="false">IF($A134="N/A"," ",(1+CW134/2)^(-2*((EOMONTH(A134,0)+20)-DateToday)/365.25))</f>
        <v> </v>
      </c>
      <c r="CY134" s="316" t="str">
        <f aca="false">IF($A134="N/A"," ",(IF(MONTH(A134)&gt;=4,IF(MONTH(A134)&lt;=10,Inputs!$S$26,Inputs!$S$27),Inputs!$S$27))*$CX134)</f>
        <v> </v>
      </c>
      <c r="CZ134" s="317" t="str">
        <f aca="false">IF($A134="N/A"," ",BK134+BL134+BN134+BO134+BQ134+BR134)</f>
        <v> </v>
      </c>
      <c r="DA134" s="318" t="str">
        <f aca="false">IF($A134="N/A"," ",BM134+BP134+BS134)</f>
        <v> </v>
      </c>
      <c r="DB134" s="319" t="str">
        <f aca="false">IF($A134="N/A"," ",BT134+BU134+BW134+BX134+BZ134+CA134)</f>
        <v> </v>
      </c>
      <c r="DC134" s="319" t="str">
        <f aca="false">IF($A134="N/A"," ",BV134+BY134+CB134)</f>
        <v> </v>
      </c>
      <c r="DD134" s="320" t="str">
        <f aca="false">IF($A134="N/A"," ",SUM(CC134:CK134))</f>
        <v> </v>
      </c>
      <c r="DE134" s="321" t="str">
        <f aca="false">IF($A134="N/A"," ",VLOOKUP($A134,NumberofDaysTable,2)*Availability)</f>
        <v> </v>
      </c>
      <c r="DF134" s="94" t="str">
        <f aca="false">IF($A134="N/A"," ",VLOOKUP($A134,NumberofDaysTable,3)*Availability)</f>
        <v> </v>
      </c>
      <c r="DG134" s="322" t="str">
        <f aca="false">IF($A134="N/A"," ",VLOOKUP($A134,NumberofDaysTable,4)*Availability)</f>
        <v> </v>
      </c>
      <c r="DH134" s="323" t="str">
        <f aca="false">IF($A134="N/A"," ",IF(Option=1,$D134*Inputs!$S$15*SUM(AS134:BA134),0))</f>
        <v> </v>
      </c>
      <c r="DI134" s="324" t="str">
        <f aca="false">IF($A134="N/A"," ",IF(Option=1,$D134*Inputs!$S$16*SUM(AS134:BA134),0))</f>
        <v> </v>
      </c>
      <c r="DJ134" s="325" t="str">
        <f aca="false">IF($A134="N/A"," ",SUM(AS134:AT134))</f>
        <v> </v>
      </c>
      <c r="DK134" s="325" t="str">
        <f aca="false">IF($A134="N/A"," ",SUM(AU134:BA134))</f>
        <v> </v>
      </c>
      <c r="DL134" s="325" t="str">
        <f aca="false">IF($A134="N/A"," ",SUM(BB134:BC134))</f>
        <v> </v>
      </c>
      <c r="DM134" s="325" t="str">
        <f aca="false">IF($A134="N/A"," ",SUM(BD134:BJ134))</f>
        <v> </v>
      </c>
    </row>
    <row r="135" customFormat="false" ht="12.75" hidden="false" customHeight="false" outlineLevel="0" collapsed="false">
      <c r="A135" s="282" t="str">
        <f aca="false">IF(A134="N/A","N/A",IF(EDATE(A134,1)&gt;Inputs!$S$5,"N/A",EDATE(A134,1)))</f>
        <v>N/A</v>
      </c>
      <c r="B135" s="283" t="str">
        <f aca="false">IF(A135="N/A"," ",YEAR(A135))</f>
        <v> </v>
      </c>
      <c r="C135" s="284" t="str">
        <f aca="false">IF(A135="N/A"," ",VLOOKUP(A135,ScaledPrice,14))</f>
        <v> </v>
      </c>
      <c r="D135" s="285" t="str">
        <f aca="false">IF(A135="N/A"," ",(VLOOKUP(MONTH($A135),Hrtable,2))/1000)</f>
        <v> </v>
      </c>
      <c r="E135" s="286" t="str">
        <f aca="false">IF($A135="N/A"," ",(C135)*D135)</f>
        <v> </v>
      </c>
      <c r="F135" s="287" t="str">
        <f aca="false">IF(A135="N/A"," ",VOM*(1+VOMesc)^(YEAR(A135)-YEAR(Today)))</f>
        <v> </v>
      </c>
      <c r="G135" s="287" t="str">
        <f aca="false">IF(A135="N/A"," ",Perstart/VLOOKUP(Dayrun,'Pricing Inputs'!$AQ$4:$AS$14,3)/(CY135/CX135))</f>
        <v> </v>
      </c>
      <c r="H135" s="288" t="str">
        <f aca="false">IF(A135="N/A"," ",SUM(E135:G135))</f>
        <v> </v>
      </c>
      <c r="I135" s="289" t="str">
        <f aca="false">VLOOKUP($A135,ScaledPrice,6)</f>
        <v> </v>
      </c>
      <c r="J135" s="290" t="str">
        <f aca="false">VLOOKUP($A135,ScaledPrice,10)</f>
        <v> </v>
      </c>
      <c r="K135" s="290" t="str">
        <f aca="false">VLOOKUP($A135,ScaledPrice,13)</f>
        <v> </v>
      </c>
      <c r="L135" s="290" t="str">
        <f aca="false">VLOOKUP($A135,ScaledPrice,7)</f>
        <v> </v>
      </c>
      <c r="M135" s="290" t="str">
        <f aca="false">VLOOKUP($A135,ScaledPrice,11)</f>
        <v> </v>
      </c>
      <c r="N135" s="290" t="str">
        <f aca="false">VLOOKUP($A135,ScaledPrice,13)</f>
        <v> </v>
      </c>
      <c r="O135" s="290" t="str">
        <f aca="false">VLOOKUP($A135,ScaledPrice,8)</f>
        <v> </v>
      </c>
      <c r="P135" s="290" t="str">
        <f aca="false">VLOOKUP($A135,ScaledPrice,12)</f>
        <v> </v>
      </c>
      <c r="Q135" s="291" t="str">
        <f aca="false">VLOOKUP($A135,ScaledPrice,13)</f>
        <v> </v>
      </c>
      <c r="R135" s="292" t="str">
        <f aca="false">IF($A135="N/A"," ",IF(Dayrun&gt;=3,IF(Option=1,MAX($I135-$H135,0),IF(Option=2,MAX($H135-$I135,0),0)),0))</f>
        <v> </v>
      </c>
      <c r="S135" s="286" t="str">
        <f aca="false">IF($A135="N/A"," ",IF(Dayrun&gt;=6,IF(Option=1,MAX($J135-H135,0),IF(Option=2,MAX(H135-$J135,0),0)),0))</f>
        <v> </v>
      </c>
      <c r="T135" s="286" t="str">
        <f aca="false">IF($A135="N/A"," ",IF(OR(Dayrun&lt;=2,Dayrun&gt;=9),IF(Option=1,MAX($K135-$H135,0),IF(Option=2,MAX($H135-$K135,0),0)),0))</f>
        <v> </v>
      </c>
      <c r="U135" s="286" t="str">
        <f aca="false">IF($A135="N/A"," ",IF(OR(Dayrun=1,Dayrun=4,Dayrun=5,Dayrun=7,Dayrun=8,Dayrun=10,Dayrun=11),IF(Option=1,MAX($L135-H135,0),IF(Option=2,MAX(H135-$L135,0),0)),0))</f>
        <v> </v>
      </c>
      <c r="V135" s="286" t="str">
        <f aca="false">IF($A135="N/A"," ",IF(OR(Dayrun=1,Dayrun=7,Dayrun=8,Dayrun=10,Dayrun=11),IF(Option=1,MAX($M135-H135,0),IF(Option=2,MAX(H135-$M135,0),0)),0))</f>
        <v> </v>
      </c>
      <c r="W135" s="286" t="str">
        <f aca="false">IF($A135="N/A"," ",IF(OR(Dayrun&lt;=2,Dayrun&gt;=10),IF(Option=1,MAX($N135-$H135,0),IF(Option=2,MAX($H135-$N135,0),0)),0))</f>
        <v> </v>
      </c>
      <c r="X135" s="286" t="str">
        <f aca="false">IF($A135="N/A"," ",IF(OR(Dayrun=1,Dayrun=5,Dayrun=8,Dayrun=11),IF(Option=1,MAX($O135-H135,0),IF(Option=2,MAX(H135-$O135,0),0)),0))</f>
        <v> </v>
      </c>
      <c r="Y135" s="286" t="str">
        <f aca="false">IF($A135="N/A"," ",IF(OR(Dayrun=1,Dayrun=8,Dayrun=11),IF(Option=1,MAX($P135-H135,0),IF(Option=2,MAX(H135-$P135,0),0)),0))</f>
        <v> </v>
      </c>
      <c r="Z135" s="293" t="str">
        <f aca="false">IF($A135="N/A"," ",IF(OR(Dayrun&lt;=2,Dayrun&gt;=11),IF(Option=1,MAX($Q135-$H135,0),IF(Option=2,MAX($H135-$Q135,0),0)),0))</f>
        <v> </v>
      </c>
      <c r="AA135" s="289" t="str">
        <f aca="false">IF($A135="N/A"," ",IF(Dayrun&gt;=3,(MAX(0,(xSPRDOPT(I135,($E135-'Pricing Inputs'!$X170*$D135),$CV135,0,($CN135+IF(Smile=TRUE(),VLOOKUP(MAX(-5,$H135-I135),Volsmile,2),0)),$CT135,$CU135,($A135-DateToday)+15,ABS(Option-2),0)-R135))),0))</f>
        <v> </v>
      </c>
      <c r="AB135" s="290" t="str">
        <f aca="false">IF($A135="N/A"," ",IF(Dayrun&gt;=6,MAX(0,(xSPRDOPT(J135,($E135-'Pricing Inputs'!$X170*$D135),$CV135,0,($CN135+IF(Smile=TRUE(),VLOOKUP(MAX(-5,$H135-J135),Volsmile,2),0)),$CT135,$CU135,($A135-DateToday)+15,ABS(Option-2),0)-S135)),0))</f>
        <v> </v>
      </c>
      <c r="AC135" s="290" t="str">
        <f aca="false">IF($A135="N/A"," ",IF(OR(Dayrun&lt;=2,Dayrun&gt;=9),IF(OffPeakEx=TRUE(),MAX(0,(xSPRDOPT(K135,($E135-'Pricing Inputs'!$X170*$D135),$CV135,0,($CQ135+IF(Smile=TRUE(),VLOOKUP(MAX(-5,$H135-K135),Volsmile,2),0)),$CT135,$CU135,($A135-DateToday)+15,ABS(Option-2),0)-T135)),0),0))</f>
        <v> </v>
      </c>
      <c r="AD135" s="290" t="str">
        <f aca="false">IF($A135="N/A"," ",IF(OR(Dayrun=1,Dayrun=4,Dayrun=5,Dayrun=7,Dayrun=8,Dayrun=10,Dayrun=11),MAX(0,(xSPRDOPT(L135,($E135-'Pricing Inputs'!$X170*$D135),$CV135,0,($CQ135+IF(Smile=TRUE(),VLOOKUP(MAX(-5,$H135-L135),Volsmile,2),0)),$CT135,$CU135,($A135-DateToday)+15,ABS(Option-2),0)-U135)),0))</f>
        <v> </v>
      </c>
      <c r="AE135" s="290" t="str">
        <f aca="false">IF($A135="N/A"," ",IF(OR(Dayrun=1,Dayrun=7,Dayrun=8,Dayrun=10,Dayrun=11),MAX(0,(xSPRDOPT(M135,($E135-'Pricing Inputs'!$X170*$D135),$CV135,0,($CQ135+IF(Smile=TRUE(),VLOOKUP(MAX(-5,$H135-M135),Volsmile,2),0)),$CT135,$CU135,($A135-DateToday)+15,ABS(Option-2),0)-V135)),0))</f>
        <v> </v>
      </c>
      <c r="AF135" s="290" t="str">
        <f aca="false">IF($A135="N/A"," ",IF(OR(Dayrun&lt;=2,Dayrun&gt;=10),IF(OffPeakEx=TRUE(),MAX(0,(xSPRDOPT(N135,($E135-'Pricing Inputs'!$X170*$D135),$CV135,0,($CQ135+IF(Smile=TRUE(),VLOOKUP(MAX(-5,$H135-N135),Volsmile,2),0)),$CT135,$CU135,($A135-DateToday)+15,ABS(Option-2),0)-W135)),0),0))</f>
        <v> </v>
      </c>
      <c r="AG135" s="290" t="str">
        <f aca="false">IF($A135="N/A"," ",IF(OR(Dayrun=1,Dayrun=5,Dayrun=8,Dayrun=11),MAX(0,(xSPRDOPT(O135,($E135-'Pricing Inputs'!$X170*$D135),$CV135,0,($CQ135+IF(Smile=TRUE(),VLOOKUP(MAX(-5,$H135-O135),Volsmile,2),0)),$CT135,$CU135,($A135-DateToday)+15,ABS(Option-2),0)-X135)),0))</f>
        <v> </v>
      </c>
      <c r="AH135" s="290" t="str">
        <f aca="false">IF($A135="N/A"," ",IF(OR(Dayrun=1,Dayrun=8,Dayrun=11),MAX(0,(xSPRDOPT(P135,($E135-'Pricing Inputs'!$X170*$D135),$CV135,0,($CQ135+IF(Smile=TRUE(),VLOOKUP(MAX(-5,$H135-P135),Volsmile,2),0)),$CT135,$CU135,($A135-DateToday)+15,ABS(Option-2),0)-Y135)),0))</f>
        <v> </v>
      </c>
      <c r="AI135" s="290" t="str">
        <f aca="false">IF($A135="N/A"," ",IF(OR(Dayrun&lt;=2,Dayrun&gt;=11),IF(OffPeakEx=TRUE(),MAX(0,(xSPRDOPT(Q135,($E135-'Pricing Inputs'!$X170*$D135),$CV135,0,($CQ135+IF(Smile=TRUE(),VLOOKUP(MAX(-5,$H135-Q135),Volsmile,2),0)),$CT135,$CU135,($A135-DateToday)+15,ABS(Option-2),0)-Z135)),0),0))</f>
        <v> </v>
      </c>
      <c r="AJ135" s="294" t="str">
        <f aca="false">IF($A135="N/A"," ",IF(Dayrun&gt;=3,IF(Option=1,$I135-$H135,IF(Option=2,$H135-$I135)),0))</f>
        <v> </v>
      </c>
      <c r="AK135" s="295" t="str">
        <f aca="false">IF($A135="N/A"," ",IF(Dayrun&gt;=6,IF(Option=1,$J135-H135,IF(Option=2,H135-$J135)),0))</f>
        <v> </v>
      </c>
      <c r="AL135" s="295" t="str">
        <f aca="false">IF($A135="N/A"," ",IF(OR(Dayrun&lt;=2,Dayrun&gt;=9),IF(Option=1,$K135-$H135,IF(Option=2,$H135-$K135)),0))</f>
        <v> </v>
      </c>
      <c r="AM135" s="295" t="str">
        <f aca="false">IF($A135="N/A"," ",IF(OR(Dayrun=1,Dayrun=4,Dayrun=5,Dayrun=7,Dayrun=8,Dayrun=10,Dayrun=11),IF(Option=1,$L135-H135,IF(Option=2,H135-$L135)),0))</f>
        <v> </v>
      </c>
      <c r="AN135" s="295" t="str">
        <f aca="false">IF($A135="N/A"," ",IF(OR(Dayrun=1,Dayrun=7,Dayrun=8,Dayrun=10,Dayrun=11),IF(Option=1,$M135-H135,IF(Option=2,H135-$M135)),0))</f>
        <v> </v>
      </c>
      <c r="AO135" s="295" t="str">
        <f aca="false">IF($A135="N/A"," ",IF(OR(Dayrun&lt;=2,Dayrun&gt;=9),IF(Option=1,$N135-$H135,IF(Option=2,$H135-$N135)),0))</f>
        <v> </v>
      </c>
      <c r="AP135" s="295" t="str">
        <f aca="false">IF($A135="N/A"," ",IF(OR(Dayrun=1,Dayrun=5,Dayrun=8,Dayrun=11),IF(Option=1,$O135-H135,IF(Option=2,H135-$O135)),0))</f>
        <v> </v>
      </c>
      <c r="AQ135" s="295" t="str">
        <f aca="false">IF($A135="N/A"," ",IF(OR(Dayrun=1,Dayrun=8,Dayrun=11),IF(Option=1,$P135-H135,IF(Option=2,H135-$P135)),0))</f>
        <v> </v>
      </c>
      <c r="AR135" s="296" t="str">
        <f aca="false">IF($A135="N/A"," ",IF(OR(Dayrun&lt;=2,Dayrun&gt;=9),IF(Option=1,$Q135-H135,IF(Option=2,H135-$Q135)),0))</f>
        <v> </v>
      </c>
      <c r="AS135" s="297" t="str">
        <f aca="false">IF($A135="N/A"," ",IF(VLOOKUP(MONTH($A135),ManualTable,2)=1,IF(Dayrun&gt;=3,$DE135*8*$CY135,0),0))</f>
        <v> </v>
      </c>
      <c r="AT135" s="297" t="str">
        <f aca="false">IF($A135="N/A"," ",IF(VLOOKUP(MONTH($A135),ManualTable,3)=1,IF(Dayrun&gt;=6,$DE135*8*$CY135,0),0))</f>
        <v> </v>
      </c>
      <c r="AU135" s="297" t="str">
        <f aca="false">IF($A135="N/A"," ",IF(VLOOKUP(MONTH($A135),ManualTable,4)=1,IF(OR(Dayrun&lt;=2,Dayrun&gt;=9),$DE135*8*$CY135,0),0))</f>
        <v> </v>
      </c>
      <c r="AV135" s="297" t="str">
        <f aca="false">IF($A135="N/A"," ",IF(VLOOKUP(MONTH($A135),ManualTable,5)=1,IF(OR(Dayrun=1,Dayrun=4,Dayrun=5,Dayrun=7,Dayrun=8,Dayrun=10,Dayrun=11),$DF135*8*$CY135,0),0))</f>
        <v> </v>
      </c>
      <c r="AW135" s="297" t="str">
        <f aca="false">IF($A135="N/A"," ",IF(VLOOKUP(MONTH($A135),ManualTable,6)=1,IF(OR(Dayrun=1,Dayrun=7,Dayrun=8,Dayrun=10,Dayrun=11),$DF135*8*$CY135,0),0))</f>
        <v> </v>
      </c>
      <c r="AX135" s="297" t="str">
        <f aca="false">IF($A135="N/A"," ",IF(VLOOKUP(MONTH($A135),ManualTable,7)=1,IF(OR(Dayrun&lt;=2,Dayrun&gt;=9),$DF135*8*$CY135,0),0))</f>
        <v> </v>
      </c>
      <c r="AY135" s="297" t="str">
        <f aca="false">IF($A135="N/A"," ",IF(VLOOKUP(MONTH($A135),ManualTable,8)=1,IF(OR(Dayrun=1,Dayrun=5,Dayrun=8,Dayrun=11),$DG135*8*$CY135,0),0))</f>
        <v> </v>
      </c>
      <c r="AZ135" s="297" t="str">
        <f aca="false">IF($A135="N/A"," ",IF(VLOOKUP(MONTH($A135),ManualTable,9)=1,IF(OR(Dayrun=1,Dayrun=8,Dayrun=11),$DG135*8*$CY135,0),0))</f>
        <v> </v>
      </c>
      <c r="BA135" s="298" t="str">
        <f aca="false">IF($A135="N/A"," ",IF(VLOOKUP(MONTH($A135),ManualTable,10)=1,IF(OR(Dayrun&lt;=2,Dayrun&gt;=9),$DG135*8*$CY135,0),0))</f>
        <v> </v>
      </c>
      <c r="BB135" s="299" t="str">
        <f aca="false">IF($A135="N/A"," ",IF(Dayrun&gt;=3,(MAX(0,(xSPRDOPT(I135,($E135-'Pricing Inputs'!$X170*$D135),$CV135,0,($CN135+IF(Smile=TRUE(),VLOOKUP(MAX(-5,$H135-I135),Volsmile,2),0)),$CT135,$CU135,($A135-DateToday)+15,ABS(Option-2),1)*DE135*8))),0))</f>
        <v> </v>
      </c>
      <c r="BC135" s="300" t="str">
        <f aca="false">IF($A135="N/A"," ",IF(Dayrun&gt;=6,MAX(0,(xSPRDOPT(J135,($E135-'Pricing Inputs'!$X170*$D135),$CV135,0,($CN135+IF(Smile=TRUE(),VLOOKUP(MAX(-5,$H135-J135),Volsmile,2),0)),$CT135,$CU135,($A135-DateToday)+15,ABS(Option-2),1)*DE135*8)),0))</f>
        <v> </v>
      </c>
      <c r="BD135" s="300" t="str">
        <f aca="false">IF($A135="N/A"," ",IF(OR(Dayrun&lt;=2,Dayrun&gt;=9),IF(OffPeakEx=TRUE(),MAX(0,(xSPRDOPT(K135,($E135-'Pricing Inputs'!$X170*$D135),$CV135,0,($CQ135+IF(Smile=TRUE(),VLOOKUP(MAX(-5,$H135-K135),Volsmile,2),0)),$CT135,$CU135,($A135-DateToday)+15,ABS(Option-2),1)*DE135*8)),0),0))</f>
        <v> </v>
      </c>
      <c r="BE135" s="300" t="str">
        <f aca="false">IF($A135="N/A"," ",IF(OR(Dayrun=1,Dayrun=4,Dayrun=5,Dayrun=7,Dayrun=8,Dayrun=10,Dayrun=11),MAX(0,(xSPRDOPT(L135,($E135-'Pricing Inputs'!$X170*$D135),$CV135,0,($CQ135+IF(Smile=TRUE(),VLOOKUP(MAX(-5,$H135-L135),Volsmile,2),0)),$CT135,$CU135,($A135-DateToday)+15,ABS(Option-2),1)*DF135*8)),0))</f>
        <v> </v>
      </c>
      <c r="BF135" s="300" t="str">
        <f aca="false">IF($A135="N/A"," ",IF(OR(Dayrun=1,Dayrun=7,Dayrun=8,Dayrun=10,Dayrun=11),MAX(0,(xSPRDOPT(M135,($E135-'Pricing Inputs'!$X170*$D135),$CV135,0,($CQ135+IF(Smile=TRUE(),VLOOKUP(MAX(-5,$H135-M135),Volsmile,2),0)),$CT135,$CU135,($A135-DateToday)+15,ABS(Option-2),1)*DF135*8)),0))</f>
        <v> </v>
      </c>
      <c r="BG135" s="300" t="str">
        <f aca="false">IF($A135="N/A"," ",IF(OR(Dayrun&lt;=2,Dayrun&gt;=10),IF(OffPeakEx=TRUE(),MAX(0,(xSPRDOPT(N135,($E135-'Pricing Inputs'!$X170*$D135),$CV135,0,($CQ135+IF(Smile=TRUE(),VLOOKUP(MAX(-5,$H135-N135),Volsmile,2),0)),$CT135,$CU135,($A135-DateToday)+15,ABS(Option-2),1)*DF135*8)),0),0))</f>
        <v> </v>
      </c>
      <c r="BH135" s="300" t="str">
        <f aca="false">IF($A135="N/A"," ",IF(OR(Dayrun=1,Dayrun=5,Dayrun=8,Dayrun=11),MAX(0,(xSPRDOPT(O135,($E135-'Pricing Inputs'!$X170*$D135),$CV135,0,($CQ135+IF(Smile=TRUE(),VLOOKUP(MAX(-5,$H135-O135),Volsmile,2),0)),$CT135,$CU135,($A135-DateToday)+15,ABS(Option-2),1)*DG135*8)),0))</f>
        <v> </v>
      </c>
      <c r="BI135" s="300" t="str">
        <f aca="false">IF($A135="N/A"," ",IF(OR(Dayrun=1,Dayrun=8,Dayrun=11),MAX(0,(xSPRDOPT(P135,($E135-'Pricing Inputs'!$X170*$D135),$CV135,0,($CQ135+IF(Smile=TRUE(),VLOOKUP(MAX(-5,$H135-P135),Volsmile,2),0)),$CT135,$CU135,($A135-DateToday)+15,ABS(Option-2),1)*DG135*8)),0))</f>
        <v> </v>
      </c>
      <c r="BJ135" s="301" t="str">
        <f aca="false">IF($A135="N/A"," ",IF(OR(Dayrun&lt;=2,Dayrun&gt;=11),IF(OffPeakEx=TRUE(),MAX(0,(xSPRDOPT(Q135,($E135-'Pricing Inputs'!$X170*$D135),$CV135,0,($CQ135+IF(Smile=TRUE(),VLOOKUP(MAX(-5,$H135-Q135),Volsmile,2),0)),$CT135,$CU135,($A135-DateToday)+15,ABS(Option-2),1)*DG135*8)),0),0))</f>
        <v> </v>
      </c>
      <c r="BK135" s="302" t="str">
        <f aca="false">IF($A135="N/A"," ",R135*$AS135)</f>
        <v> </v>
      </c>
      <c r="BL135" s="303" t="str">
        <f aca="false">IF($A135="N/A"," ",S135*$AT135)</f>
        <v> </v>
      </c>
      <c r="BM135" s="303" t="str">
        <f aca="false">IF($A135="N/A"," ",T135*$AU135)</f>
        <v> </v>
      </c>
      <c r="BN135" s="303" t="str">
        <f aca="false">IF($A135="N/A"," ",U135*$AV135)</f>
        <v> </v>
      </c>
      <c r="BO135" s="303" t="str">
        <f aca="false">IF($A135="N/A"," ",V135*$AW135)</f>
        <v> </v>
      </c>
      <c r="BP135" s="303" t="str">
        <f aca="false">IF($A135="N/A"," ",W135*$AX135)</f>
        <v> </v>
      </c>
      <c r="BQ135" s="303" t="str">
        <f aca="false">IF($A135="N/A"," ",X135*$AY135)</f>
        <v> </v>
      </c>
      <c r="BR135" s="303" t="str">
        <f aca="false">IF($A135="N/A"," ",Y135*$AZ135)</f>
        <v> </v>
      </c>
      <c r="BS135" s="304" t="str">
        <f aca="false">IF($A135="N/A"," ",Z135*$BA135)</f>
        <v> </v>
      </c>
      <c r="BT135" s="305" t="str">
        <f aca="false">IF($A135="N/A"," ",AA135*$AS135)</f>
        <v> </v>
      </c>
      <c r="BU135" s="306" t="str">
        <f aca="false">IF($A135="N/A"," ",AB135*$AT135)</f>
        <v> </v>
      </c>
      <c r="BV135" s="306" t="str">
        <f aca="false">IF($A135="N/A"," ",AC135*$AU135)</f>
        <v> </v>
      </c>
      <c r="BW135" s="306" t="str">
        <f aca="false">IF($A135="N/A"," ",AD135*$AV135)</f>
        <v> </v>
      </c>
      <c r="BX135" s="306" t="str">
        <f aca="false">IF($A135="N/A"," ",AE135*$AW135)</f>
        <v> </v>
      </c>
      <c r="BY135" s="306" t="str">
        <f aca="false">IF($A135="N/A"," ",AF135*$AX135)</f>
        <v> </v>
      </c>
      <c r="BZ135" s="306" t="str">
        <f aca="false">IF($A135="N/A"," ",AG135*$AY135)</f>
        <v> </v>
      </c>
      <c r="CA135" s="306" t="str">
        <f aca="false">IF($A135="N/A"," ",AH135*$AZ135)</f>
        <v> </v>
      </c>
      <c r="CB135" s="307" t="str">
        <f aca="false">IF($A135="N/A"," ",AI135*$BA135)</f>
        <v> </v>
      </c>
      <c r="CC135" s="308" t="str">
        <f aca="false">IF($A135="N/A"," ",AJ135*$AS135)</f>
        <v> </v>
      </c>
      <c r="CD135" s="309" t="str">
        <f aca="false">IF($A135="N/A"," ",AK135*$AT135)</f>
        <v> </v>
      </c>
      <c r="CE135" s="309" t="str">
        <f aca="false">IF($A135="N/A"," ",AL135*$AU135)</f>
        <v> </v>
      </c>
      <c r="CF135" s="309" t="str">
        <f aca="false">IF($A135="N/A"," ",AM135*$AV135)</f>
        <v> </v>
      </c>
      <c r="CG135" s="309" t="str">
        <f aca="false">IF($A135="N/A"," ",AN135*$AW135)</f>
        <v> </v>
      </c>
      <c r="CH135" s="309" t="str">
        <f aca="false">IF($A135="N/A"," ",AO135*$AX135)</f>
        <v> </v>
      </c>
      <c r="CI135" s="309" t="str">
        <f aca="false">IF($A135="N/A"," ",AP135*$AY135)</f>
        <v> </v>
      </c>
      <c r="CJ135" s="309" t="str">
        <f aca="false">IF($A135="N/A"," ",AQ135*$AZ135)</f>
        <v> </v>
      </c>
      <c r="CK135" s="310" t="str">
        <f aca="false">IF($A135="N/A"," ",AR135*$BA135)</f>
        <v> </v>
      </c>
      <c r="CL135" s="311" t="str">
        <f aca="false">IF(A135="N/A"," ",(VLOOKUP(A135,PowerVolTable,(IF(VolBMO=2,7,IF(VolBMO=1,6,8))),FALSE())))</f>
        <v> </v>
      </c>
      <c r="CM135" s="312" t="str">
        <f aca="false">IF(A135="N/A"," ",(VLOOKUP(A135,IntraPowerVol,(IF(VolBMO=2,3,IF(VolBMO=1,2,4))),FALSE())*VLOOKUP(MONTH($A135),Volscale,2)))</f>
        <v> </v>
      </c>
      <c r="CN135" s="312" t="str">
        <f aca="false">IF($A135="N/A"," ",IF(VolType=1,CM135,CL135))</f>
        <v> </v>
      </c>
      <c r="CO135" s="312" t="str">
        <f aca="false">IF($A135="N/A"," ",(VLOOKUP($A135,OffPeakVol,(IF(VolBMO=2,7,IF(VolBMO=1,6,8))),FALSE())))</f>
        <v> </v>
      </c>
      <c r="CP135" s="312" t="str">
        <f aca="false">IF($A135="N/A"," ",(VLOOKUP($A135,OffPeakVol,(IF(VolBMO=2,3,IF(VolBMO=1,2,4))),FALSE())*VLOOKUP(MONTH($A135),Volscale,2)))</f>
        <v> </v>
      </c>
      <c r="CQ135" s="312" t="str">
        <f aca="false">IF($A135="N/A"," ",IF(VolType=1,CP135,CO135))</f>
        <v> </v>
      </c>
      <c r="CR135" s="312" t="str">
        <f aca="false">IF($A135="N/A"," ",(VLOOKUP($A135,GasVolTable,(IF(VolBMO=2,6,IF(VolBMO=1,7,5))),FALSE())))</f>
        <v> </v>
      </c>
      <c r="CS135" s="312" t="str">
        <f aca="false">IF($A135="N/A"," ",(VLOOKUP($A135,OmicronVol,(IF(VolBMO=2,3,IF(VolBMO=1,4,2))),FALSE())))</f>
        <v> </v>
      </c>
      <c r="CT135" s="312" t="str">
        <f aca="false">IF($A135="N/A"," ",(IF(DateToday&gt;$A135,$CS135,IF(VolType=1,((($CR135^2)*((($A135-1)-DateToday)/((EOMONTH($A135,0)+1)-DateToday-15)))+((($CS135)^2)*((15)/((EOMONTH($A135,0)+1)-DateToday-15))))^0.5,CR135))))</f>
        <v> </v>
      </c>
      <c r="CU135" s="312" t="str">
        <f aca="false">IF($A135="N/A"," ",IF('Pricing Inputs'!$AR$23=TRUE(),Inputs!$S$22,VLOOKUP($A135,CorrelationTable,2,FALSE())))</f>
        <v> </v>
      </c>
      <c r="CV135" s="313" t="str">
        <f aca="false">IF($A135="N/A"," ",F135+G135+(D135*('Pricing Inputs'!X170)))</f>
        <v> </v>
      </c>
      <c r="CW135" s="314" t="str">
        <f aca="false">IF($A135="N/A"," ",IF(PV=1,0,'Pricing Inputs'!Y170))</f>
        <v> </v>
      </c>
      <c r="CX135" s="315" t="str">
        <f aca="false">IF($A135="N/A"," ",(1+CW135/2)^(-2*((EOMONTH(A135,0)+20)-DateToday)/365.25))</f>
        <v> </v>
      </c>
      <c r="CY135" s="316" t="str">
        <f aca="false">IF($A135="N/A"," ",(IF(MONTH(A135)&gt;=4,IF(MONTH(A135)&lt;=10,Inputs!$S$26,Inputs!$S$27),Inputs!$S$27))*$CX135)</f>
        <v> </v>
      </c>
      <c r="CZ135" s="317" t="str">
        <f aca="false">IF($A135="N/A"," ",BK135+BL135+BN135+BO135+BQ135+BR135)</f>
        <v> </v>
      </c>
      <c r="DA135" s="318" t="str">
        <f aca="false">IF($A135="N/A"," ",BM135+BP135+BS135)</f>
        <v> </v>
      </c>
      <c r="DB135" s="319" t="str">
        <f aca="false">IF($A135="N/A"," ",BT135+BU135+BW135+BX135+BZ135+CA135)</f>
        <v> </v>
      </c>
      <c r="DC135" s="319" t="str">
        <f aca="false">IF($A135="N/A"," ",BV135+BY135+CB135)</f>
        <v> </v>
      </c>
      <c r="DD135" s="320" t="str">
        <f aca="false">IF($A135="N/A"," ",SUM(CC135:CK135))</f>
        <v> </v>
      </c>
      <c r="DE135" s="321" t="str">
        <f aca="false">IF($A135="N/A"," ",VLOOKUP($A135,NumberofDaysTable,2)*Availability)</f>
        <v> </v>
      </c>
      <c r="DF135" s="94" t="str">
        <f aca="false">IF($A135="N/A"," ",VLOOKUP($A135,NumberofDaysTable,3)*Availability)</f>
        <v> </v>
      </c>
      <c r="DG135" s="322" t="str">
        <f aca="false">IF($A135="N/A"," ",VLOOKUP($A135,NumberofDaysTable,4)*Availability)</f>
        <v> </v>
      </c>
      <c r="DH135" s="323" t="str">
        <f aca="false">IF($A135="N/A"," ",IF(Option=1,$D135*Inputs!$S$15*SUM(AS135:BA135),0))</f>
        <v> </v>
      </c>
      <c r="DI135" s="324" t="str">
        <f aca="false">IF($A135="N/A"," ",IF(Option=1,$D135*Inputs!$S$16*SUM(AS135:BA135),0))</f>
        <v> </v>
      </c>
      <c r="DJ135" s="325" t="str">
        <f aca="false">IF($A135="N/A"," ",SUM(AS135:AT135))</f>
        <v> </v>
      </c>
      <c r="DK135" s="325" t="str">
        <f aca="false">IF($A135="N/A"," ",SUM(AU135:BA135))</f>
        <v> </v>
      </c>
      <c r="DL135" s="325" t="str">
        <f aca="false">IF($A135="N/A"," ",SUM(BB135:BC135))</f>
        <v> </v>
      </c>
      <c r="DM135" s="325" t="str">
        <f aca="false">IF($A135="N/A"," ",SUM(BD135:BJ135))</f>
        <v> </v>
      </c>
    </row>
    <row r="136" customFormat="false" ht="12.75" hidden="false" customHeight="false" outlineLevel="0" collapsed="false">
      <c r="A136" s="282" t="str">
        <f aca="false">IF(A135="N/A","N/A",IF(EDATE(A135,1)&gt;Inputs!$S$5,"N/A",EDATE(A135,1)))</f>
        <v>N/A</v>
      </c>
      <c r="B136" s="283" t="str">
        <f aca="false">IF(A136="N/A"," ",YEAR(A136))</f>
        <v> </v>
      </c>
      <c r="C136" s="284" t="str">
        <f aca="false">IF(A136="N/A"," ",VLOOKUP(A136,ScaledPrice,14))</f>
        <v> </v>
      </c>
      <c r="D136" s="285" t="str">
        <f aca="false">IF(A136="N/A"," ",(VLOOKUP(MONTH($A136),Hrtable,2))/1000)</f>
        <v> </v>
      </c>
      <c r="E136" s="286" t="str">
        <f aca="false">IF($A136="N/A"," ",(C136)*D136)</f>
        <v> </v>
      </c>
      <c r="F136" s="287" t="str">
        <f aca="false">IF(A136="N/A"," ",VOM*(1+VOMesc)^(YEAR(A136)-YEAR(Today)))</f>
        <v> </v>
      </c>
      <c r="G136" s="287" t="str">
        <f aca="false">IF(A136="N/A"," ",Perstart/VLOOKUP(Dayrun,'Pricing Inputs'!$AQ$4:$AS$14,3)/(CY136/CX136))</f>
        <v> </v>
      </c>
      <c r="H136" s="288" t="str">
        <f aca="false">IF(A136="N/A"," ",SUM(E136:G136))</f>
        <v> </v>
      </c>
      <c r="I136" s="289" t="str">
        <f aca="false">VLOOKUP($A136,ScaledPrice,6)</f>
        <v> </v>
      </c>
      <c r="J136" s="290" t="str">
        <f aca="false">VLOOKUP($A136,ScaledPrice,10)</f>
        <v> </v>
      </c>
      <c r="K136" s="290" t="str">
        <f aca="false">VLOOKUP($A136,ScaledPrice,13)</f>
        <v> </v>
      </c>
      <c r="L136" s="290" t="str">
        <f aca="false">VLOOKUP($A136,ScaledPrice,7)</f>
        <v> </v>
      </c>
      <c r="M136" s="290" t="str">
        <f aca="false">VLOOKUP($A136,ScaledPrice,11)</f>
        <v> </v>
      </c>
      <c r="N136" s="290" t="str">
        <f aca="false">VLOOKUP($A136,ScaledPrice,13)</f>
        <v> </v>
      </c>
      <c r="O136" s="290" t="str">
        <f aca="false">VLOOKUP($A136,ScaledPrice,8)</f>
        <v> </v>
      </c>
      <c r="P136" s="290" t="str">
        <f aca="false">VLOOKUP($A136,ScaledPrice,12)</f>
        <v> </v>
      </c>
      <c r="Q136" s="291" t="str">
        <f aca="false">VLOOKUP($A136,ScaledPrice,13)</f>
        <v> </v>
      </c>
      <c r="R136" s="292" t="str">
        <f aca="false">IF($A136="N/A"," ",IF(Dayrun&gt;=3,IF(Option=1,MAX($I136-$H136,0),IF(Option=2,MAX($H136-$I136,0),0)),0))</f>
        <v> </v>
      </c>
      <c r="S136" s="286" t="str">
        <f aca="false">IF($A136="N/A"," ",IF(Dayrun&gt;=6,IF(Option=1,MAX($J136-H136,0),IF(Option=2,MAX(H136-$J136,0),0)),0))</f>
        <v> </v>
      </c>
      <c r="T136" s="286" t="str">
        <f aca="false">IF($A136="N/A"," ",IF(OR(Dayrun&lt;=2,Dayrun&gt;=9),IF(Option=1,MAX($K136-$H136,0),IF(Option=2,MAX($H136-$K136,0),0)),0))</f>
        <v> </v>
      </c>
      <c r="U136" s="286" t="str">
        <f aca="false">IF($A136="N/A"," ",IF(OR(Dayrun=1,Dayrun=4,Dayrun=5,Dayrun=7,Dayrun=8,Dayrun=10,Dayrun=11),IF(Option=1,MAX($L136-H136,0),IF(Option=2,MAX(H136-$L136,0),0)),0))</f>
        <v> </v>
      </c>
      <c r="V136" s="286" t="str">
        <f aca="false">IF($A136="N/A"," ",IF(OR(Dayrun=1,Dayrun=7,Dayrun=8,Dayrun=10,Dayrun=11),IF(Option=1,MAX($M136-H136,0),IF(Option=2,MAX(H136-$M136,0),0)),0))</f>
        <v> </v>
      </c>
      <c r="W136" s="286" t="str">
        <f aca="false">IF($A136="N/A"," ",IF(OR(Dayrun&lt;=2,Dayrun&gt;=10),IF(Option=1,MAX($N136-$H136,0),IF(Option=2,MAX($H136-$N136,0),0)),0))</f>
        <v> </v>
      </c>
      <c r="X136" s="286" t="str">
        <f aca="false">IF($A136="N/A"," ",IF(OR(Dayrun=1,Dayrun=5,Dayrun=8,Dayrun=11),IF(Option=1,MAX($O136-H136,0),IF(Option=2,MAX(H136-$O136,0),0)),0))</f>
        <v> </v>
      </c>
      <c r="Y136" s="286" t="str">
        <f aca="false">IF($A136="N/A"," ",IF(OR(Dayrun=1,Dayrun=8,Dayrun=11),IF(Option=1,MAX($P136-H136,0),IF(Option=2,MAX(H136-$P136,0),0)),0))</f>
        <v> </v>
      </c>
      <c r="Z136" s="293" t="str">
        <f aca="false">IF($A136="N/A"," ",IF(OR(Dayrun&lt;=2,Dayrun&gt;=11),IF(Option=1,MAX($Q136-$H136,0),IF(Option=2,MAX($H136-$Q136,0),0)),0))</f>
        <v> </v>
      </c>
      <c r="AA136" s="289" t="str">
        <f aca="false">IF($A136="N/A"," ",IF(Dayrun&gt;=3,(MAX(0,(xSPRDOPT(I136,($E136-'Pricing Inputs'!$X171*$D136),$CV136,0,($CN136+IF(Smile=TRUE(),VLOOKUP(MAX(-5,$H136-I136),Volsmile,2),0)),$CT136,$CU136,($A136-DateToday)+15,ABS(Option-2),0)-R136))),0))</f>
        <v> </v>
      </c>
      <c r="AB136" s="290" t="str">
        <f aca="false">IF($A136="N/A"," ",IF(Dayrun&gt;=6,MAX(0,(xSPRDOPT(J136,($E136-'Pricing Inputs'!$X171*$D136),$CV136,0,($CN136+IF(Smile=TRUE(),VLOOKUP(MAX(-5,$H136-J136),Volsmile,2),0)),$CT136,$CU136,($A136-DateToday)+15,ABS(Option-2),0)-S136)),0))</f>
        <v> </v>
      </c>
      <c r="AC136" s="290" t="str">
        <f aca="false">IF($A136="N/A"," ",IF(OR(Dayrun&lt;=2,Dayrun&gt;=9),IF(OffPeakEx=TRUE(),MAX(0,(xSPRDOPT(K136,($E136-'Pricing Inputs'!$X171*$D136),$CV136,0,($CQ136+IF(Smile=TRUE(),VLOOKUP(MAX(-5,$H136-K136),Volsmile,2),0)),$CT136,$CU136,($A136-DateToday)+15,ABS(Option-2),0)-T136)),0),0))</f>
        <v> </v>
      </c>
      <c r="AD136" s="290" t="str">
        <f aca="false">IF($A136="N/A"," ",IF(OR(Dayrun=1,Dayrun=4,Dayrun=5,Dayrun=7,Dayrun=8,Dayrun=10,Dayrun=11),MAX(0,(xSPRDOPT(L136,($E136-'Pricing Inputs'!$X171*$D136),$CV136,0,($CQ136+IF(Smile=TRUE(),VLOOKUP(MAX(-5,$H136-L136),Volsmile,2),0)),$CT136,$CU136,($A136-DateToday)+15,ABS(Option-2),0)-U136)),0))</f>
        <v> </v>
      </c>
      <c r="AE136" s="290" t="str">
        <f aca="false">IF($A136="N/A"," ",IF(OR(Dayrun=1,Dayrun=7,Dayrun=8,Dayrun=10,Dayrun=11),MAX(0,(xSPRDOPT(M136,($E136-'Pricing Inputs'!$X171*$D136),$CV136,0,($CQ136+IF(Smile=TRUE(),VLOOKUP(MAX(-5,$H136-M136),Volsmile,2),0)),$CT136,$CU136,($A136-DateToday)+15,ABS(Option-2),0)-V136)),0))</f>
        <v> </v>
      </c>
      <c r="AF136" s="290" t="str">
        <f aca="false">IF($A136="N/A"," ",IF(OR(Dayrun&lt;=2,Dayrun&gt;=10),IF(OffPeakEx=TRUE(),MAX(0,(xSPRDOPT(N136,($E136-'Pricing Inputs'!$X171*$D136),$CV136,0,($CQ136+IF(Smile=TRUE(),VLOOKUP(MAX(-5,$H136-N136),Volsmile,2),0)),$CT136,$CU136,($A136-DateToday)+15,ABS(Option-2),0)-W136)),0),0))</f>
        <v> </v>
      </c>
      <c r="AG136" s="290" t="str">
        <f aca="false">IF($A136="N/A"," ",IF(OR(Dayrun=1,Dayrun=5,Dayrun=8,Dayrun=11),MAX(0,(xSPRDOPT(O136,($E136-'Pricing Inputs'!$X171*$D136),$CV136,0,($CQ136+IF(Smile=TRUE(),VLOOKUP(MAX(-5,$H136-O136),Volsmile,2),0)),$CT136,$CU136,($A136-DateToday)+15,ABS(Option-2),0)-X136)),0))</f>
        <v> </v>
      </c>
      <c r="AH136" s="290" t="str">
        <f aca="false">IF($A136="N/A"," ",IF(OR(Dayrun=1,Dayrun=8,Dayrun=11),MAX(0,(xSPRDOPT(P136,($E136-'Pricing Inputs'!$X171*$D136),$CV136,0,($CQ136+IF(Smile=TRUE(),VLOOKUP(MAX(-5,$H136-P136),Volsmile,2),0)),$CT136,$CU136,($A136-DateToday)+15,ABS(Option-2),0)-Y136)),0))</f>
        <v> </v>
      </c>
      <c r="AI136" s="290" t="str">
        <f aca="false">IF($A136="N/A"," ",IF(OR(Dayrun&lt;=2,Dayrun&gt;=11),IF(OffPeakEx=TRUE(),MAX(0,(xSPRDOPT(Q136,($E136-'Pricing Inputs'!$X171*$D136),$CV136,0,($CQ136+IF(Smile=TRUE(),VLOOKUP(MAX(-5,$H136-Q136),Volsmile,2),0)),$CT136,$CU136,($A136-DateToday)+15,ABS(Option-2),0)-Z136)),0),0))</f>
        <v> </v>
      </c>
      <c r="AJ136" s="294" t="str">
        <f aca="false">IF($A136="N/A"," ",IF(Dayrun&gt;=3,IF(Option=1,$I136-$H136,IF(Option=2,$H136-$I136)),0))</f>
        <v> </v>
      </c>
      <c r="AK136" s="295" t="str">
        <f aca="false">IF($A136="N/A"," ",IF(Dayrun&gt;=6,IF(Option=1,$J136-H136,IF(Option=2,H136-$J136)),0))</f>
        <v> </v>
      </c>
      <c r="AL136" s="295" t="str">
        <f aca="false">IF($A136="N/A"," ",IF(OR(Dayrun&lt;=2,Dayrun&gt;=9),IF(Option=1,$K136-$H136,IF(Option=2,$H136-$K136)),0))</f>
        <v> </v>
      </c>
      <c r="AM136" s="295" t="str">
        <f aca="false">IF($A136="N/A"," ",IF(OR(Dayrun=1,Dayrun=4,Dayrun=5,Dayrun=7,Dayrun=8,Dayrun=10,Dayrun=11),IF(Option=1,$L136-H136,IF(Option=2,H136-$L136)),0))</f>
        <v> </v>
      </c>
      <c r="AN136" s="295" t="str">
        <f aca="false">IF($A136="N/A"," ",IF(OR(Dayrun=1,Dayrun=7,Dayrun=8,Dayrun=10,Dayrun=11),IF(Option=1,$M136-H136,IF(Option=2,H136-$M136)),0))</f>
        <v> </v>
      </c>
      <c r="AO136" s="295" t="str">
        <f aca="false">IF($A136="N/A"," ",IF(OR(Dayrun&lt;=2,Dayrun&gt;=9),IF(Option=1,$N136-$H136,IF(Option=2,$H136-$N136)),0))</f>
        <v> </v>
      </c>
      <c r="AP136" s="295" t="str">
        <f aca="false">IF($A136="N/A"," ",IF(OR(Dayrun=1,Dayrun=5,Dayrun=8,Dayrun=11),IF(Option=1,$O136-H136,IF(Option=2,H136-$O136)),0))</f>
        <v> </v>
      </c>
      <c r="AQ136" s="295" t="str">
        <f aca="false">IF($A136="N/A"," ",IF(OR(Dayrun=1,Dayrun=8,Dayrun=11),IF(Option=1,$P136-H136,IF(Option=2,H136-$P136)),0))</f>
        <v> </v>
      </c>
      <c r="AR136" s="296" t="str">
        <f aca="false">IF($A136="N/A"," ",IF(OR(Dayrun&lt;=2,Dayrun&gt;=9),IF(Option=1,$Q136-H136,IF(Option=2,H136-$Q136)),0))</f>
        <v> </v>
      </c>
      <c r="AS136" s="297" t="str">
        <f aca="false">IF($A136="N/A"," ",IF(VLOOKUP(MONTH($A136),ManualTable,2)=1,IF(Dayrun&gt;=3,$DE136*8*$CY136,0),0))</f>
        <v> </v>
      </c>
      <c r="AT136" s="297" t="str">
        <f aca="false">IF($A136="N/A"," ",IF(VLOOKUP(MONTH($A136),ManualTable,3)=1,IF(Dayrun&gt;=6,$DE136*8*$CY136,0),0))</f>
        <v> </v>
      </c>
      <c r="AU136" s="297" t="str">
        <f aca="false">IF($A136="N/A"," ",IF(VLOOKUP(MONTH($A136),ManualTable,4)=1,IF(OR(Dayrun&lt;=2,Dayrun&gt;=9),$DE136*8*$CY136,0),0))</f>
        <v> </v>
      </c>
      <c r="AV136" s="297" t="str">
        <f aca="false">IF($A136="N/A"," ",IF(VLOOKUP(MONTH($A136),ManualTable,5)=1,IF(OR(Dayrun=1,Dayrun=4,Dayrun=5,Dayrun=7,Dayrun=8,Dayrun=10,Dayrun=11),$DF136*8*$CY136,0),0))</f>
        <v> </v>
      </c>
      <c r="AW136" s="297" t="str">
        <f aca="false">IF($A136="N/A"," ",IF(VLOOKUP(MONTH($A136),ManualTable,6)=1,IF(OR(Dayrun=1,Dayrun=7,Dayrun=8,Dayrun=10,Dayrun=11),$DF136*8*$CY136,0),0))</f>
        <v> </v>
      </c>
      <c r="AX136" s="297" t="str">
        <f aca="false">IF($A136="N/A"," ",IF(VLOOKUP(MONTH($A136),ManualTable,7)=1,IF(OR(Dayrun&lt;=2,Dayrun&gt;=9),$DF136*8*$CY136,0),0))</f>
        <v> </v>
      </c>
      <c r="AY136" s="297" t="str">
        <f aca="false">IF($A136="N/A"," ",IF(VLOOKUP(MONTH($A136),ManualTable,8)=1,IF(OR(Dayrun=1,Dayrun=5,Dayrun=8,Dayrun=11),$DG136*8*$CY136,0),0))</f>
        <v> </v>
      </c>
      <c r="AZ136" s="297" t="str">
        <f aca="false">IF($A136="N/A"," ",IF(VLOOKUP(MONTH($A136),ManualTable,9)=1,IF(OR(Dayrun=1,Dayrun=8,Dayrun=11),$DG136*8*$CY136,0),0))</f>
        <v> </v>
      </c>
      <c r="BA136" s="298" t="str">
        <f aca="false">IF($A136="N/A"," ",IF(VLOOKUP(MONTH($A136),ManualTable,10)=1,IF(OR(Dayrun&lt;=2,Dayrun&gt;=9),$DG136*8*$CY136,0),0))</f>
        <v> </v>
      </c>
      <c r="BB136" s="299" t="str">
        <f aca="false">IF($A136="N/A"," ",IF(Dayrun&gt;=3,(MAX(0,(xSPRDOPT(I136,($E136-'Pricing Inputs'!$X171*$D136),$CV136,0,($CN136+IF(Smile=TRUE(),VLOOKUP(MAX(-5,$H136-I136),Volsmile,2),0)),$CT136,$CU136,($A136-DateToday)+15,ABS(Option-2),1)*DE136*8))),0))</f>
        <v> </v>
      </c>
      <c r="BC136" s="300" t="str">
        <f aca="false">IF($A136="N/A"," ",IF(Dayrun&gt;=6,MAX(0,(xSPRDOPT(J136,($E136-'Pricing Inputs'!$X171*$D136),$CV136,0,($CN136+IF(Smile=TRUE(),VLOOKUP(MAX(-5,$H136-J136),Volsmile,2),0)),$CT136,$CU136,($A136-DateToday)+15,ABS(Option-2),1)*DE136*8)),0))</f>
        <v> </v>
      </c>
      <c r="BD136" s="300" t="str">
        <f aca="false">IF($A136="N/A"," ",IF(OR(Dayrun&lt;=2,Dayrun&gt;=9),IF(OffPeakEx=TRUE(),MAX(0,(xSPRDOPT(K136,($E136-'Pricing Inputs'!$X171*$D136),$CV136,0,($CQ136+IF(Smile=TRUE(),VLOOKUP(MAX(-5,$H136-K136),Volsmile,2),0)),$CT136,$CU136,($A136-DateToday)+15,ABS(Option-2),1)*DE136*8)),0),0))</f>
        <v> </v>
      </c>
      <c r="BE136" s="300" t="str">
        <f aca="false">IF($A136="N/A"," ",IF(OR(Dayrun=1,Dayrun=4,Dayrun=5,Dayrun=7,Dayrun=8,Dayrun=10,Dayrun=11),MAX(0,(xSPRDOPT(L136,($E136-'Pricing Inputs'!$X171*$D136),$CV136,0,($CQ136+IF(Smile=TRUE(),VLOOKUP(MAX(-5,$H136-L136),Volsmile,2),0)),$CT136,$CU136,($A136-DateToday)+15,ABS(Option-2),1)*DF136*8)),0))</f>
        <v> </v>
      </c>
      <c r="BF136" s="300" t="str">
        <f aca="false">IF($A136="N/A"," ",IF(OR(Dayrun=1,Dayrun=7,Dayrun=8,Dayrun=10,Dayrun=11),MAX(0,(xSPRDOPT(M136,($E136-'Pricing Inputs'!$X171*$D136),$CV136,0,($CQ136+IF(Smile=TRUE(),VLOOKUP(MAX(-5,$H136-M136),Volsmile,2),0)),$CT136,$CU136,($A136-DateToday)+15,ABS(Option-2),1)*DF136*8)),0))</f>
        <v> </v>
      </c>
      <c r="BG136" s="300" t="str">
        <f aca="false">IF($A136="N/A"," ",IF(OR(Dayrun&lt;=2,Dayrun&gt;=10),IF(OffPeakEx=TRUE(),MAX(0,(xSPRDOPT(N136,($E136-'Pricing Inputs'!$X171*$D136),$CV136,0,($CQ136+IF(Smile=TRUE(),VLOOKUP(MAX(-5,$H136-N136),Volsmile,2),0)),$CT136,$CU136,($A136-DateToday)+15,ABS(Option-2),1)*DF136*8)),0),0))</f>
        <v> </v>
      </c>
      <c r="BH136" s="300" t="str">
        <f aca="false">IF($A136="N/A"," ",IF(OR(Dayrun=1,Dayrun=5,Dayrun=8,Dayrun=11),MAX(0,(xSPRDOPT(O136,($E136-'Pricing Inputs'!$X171*$D136),$CV136,0,($CQ136+IF(Smile=TRUE(),VLOOKUP(MAX(-5,$H136-O136),Volsmile,2),0)),$CT136,$CU136,($A136-DateToday)+15,ABS(Option-2),1)*DG136*8)),0))</f>
        <v> </v>
      </c>
      <c r="BI136" s="300" t="str">
        <f aca="false">IF($A136="N/A"," ",IF(OR(Dayrun=1,Dayrun=8,Dayrun=11),MAX(0,(xSPRDOPT(P136,($E136-'Pricing Inputs'!$X171*$D136),$CV136,0,($CQ136+IF(Smile=TRUE(),VLOOKUP(MAX(-5,$H136-P136),Volsmile,2),0)),$CT136,$CU136,($A136-DateToday)+15,ABS(Option-2),1)*DG136*8)),0))</f>
        <v> </v>
      </c>
      <c r="BJ136" s="301" t="str">
        <f aca="false">IF($A136="N/A"," ",IF(OR(Dayrun&lt;=2,Dayrun&gt;=11),IF(OffPeakEx=TRUE(),MAX(0,(xSPRDOPT(Q136,($E136-'Pricing Inputs'!$X171*$D136),$CV136,0,($CQ136+IF(Smile=TRUE(),VLOOKUP(MAX(-5,$H136-Q136),Volsmile,2),0)),$CT136,$CU136,($A136-DateToday)+15,ABS(Option-2),1)*DG136*8)),0),0))</f>
        <v> </v>
      </c>
      <c r="BK136" s="302" t="str">
        <f aca="false">IF($A136="N/A"," ",R136*$AS136)</f>
        <v> </v>
      </c>
      <c r="BL136" s="303" t="str">
        <f aca="false">IF($A136="N/A"," ",S136*$AT136)</f>
        <v> </v>
      </c>
      <c r="BM136" s="303" t="str">
        <f aca="false">IF($A136="N/A"," ",T136*$AU136)</f>
        <v> </v>
      </c>
      <c r="BN136" s="303" t="str">
        <f aca="false">IF($A136="N/A"," ",U136*$AV136)</f>
        <v> </v>
      </c>
      <c r="BO136" s="303" t="str">
        <f aca="false">IF($A136="N/A"," ",V136*$AW136)</f>
        <v> </v>
      </c>
      <c r="BP136" s="303" t="str">
        <f aca="false">IF($A136="N/A"," ",W136*$AX136)</f>
        <v> </v>
      </c>
      <c r="BQ136" s="303" t="str">
        <f aca="false">IF($A136="N/A"," ",X136*$AY136)</f>
        <v> </v>
      </c>
      <c r="BR136" s="303" t="str">
        <f aca="false">IF($A136="N/A"," ",Y136*$AZ136)</f>
        <v> </v>
      </c>
      <c r="BS136" s="304" t="str">
        <f aca="false">IF($A136="N/A"," ",Z136*$BA136)</f>
        <v> </v>
      </c>
      <c r="BT136" s="305" t="str">
        <f aca="false">IF($A136="N/A"," ",AA136*$AS136)</f>
        <v> </v>
      </c>
      <c r="BU136" s="306" t="str">
        <f aca="false">IF($A136="N/A"," ",AB136*$AT136)</f>
        <v> </v>
      </c>
      <c r="BV136" s="306" t="str">
        <f aca="false">IF($A136="N/A"," ",AC136*$AU136)</f>
        <v> </v>
      </c>
      <c r="BW136" s="306" t="str">
        <f aca="false">IF($A136="N/A"," ",AD136*$AV136)</f>
        <v> </v>
      </c>
      <c r="BX136" s="306" t="str">
        <f aca="false">IF($A136="N/A"," ",AE136*$AW136)</f>
        <v> </v>
      </c>
      <c r="BY136" s="306" t="str">
        <f aca="false">IF($A136="N/A"," ",AF136*$AX136)</f>
        <v> </v>
      </c>
      <c r="BZ136" s="306" t="str">
        <f aca="false">IF($A136="N/A"," ",AG136*$AY136)</f>
        <v> </v>
      </c>
      <c r="CA136" s="306" t="str">
        <f aca="false">IF($A136="N/A"," ",AH136*$AZ136)</f>
        <v> </v>
      </c>
      <c r="CB136" s="307" t="str">
        <f aca="false">IF($A136="N/A"," ",AI136*$BA136)</f>
        <v> </v>
      </c>
      <c r="CC136" s="308" t="str">
        <f aca="false">IF($A136="N/A"," ",AJ136*$AS136)</f>
        <v> </v>
      </c>
      <c r="CD136" s="309" t="str">
        <f aca="false">IF($A136="N/A"," ",AK136*$AT136)</f>
        <v> </v>
      </c>
      <c r="CE136" s="309" t="str">
        <f aca="false">IF($A136="N/A"," ",AL136*$AU136)</f>
        <v> </v>
      </c>
      <c r="CF136" s="309" t="str">
        <f aca="false">IF($A136="N/A"," ",AM136*$AV136)</f>
        <v> </v>
      </c>
      <c r="CG136" s="309" t="str">
        <f aca="false">IF($A136="N/A"," ",AN136*$AW136)</f>
        <v> </v>
      </c>
      <c r="CH136" s="309" t="str">
        <f aca="false">IF($A136="N/A"," ",AO136*$AX136)</f>
        <v> </v>
      </c>
      <c r="CI136" s="309" t="str">
        <f aca="false">IF($A136="N/A"," ",AP136*$AY136)</f>
        <v> </v>
      </c>
      <c r="CJ136" s="309" t="str">
        <f aca="false">IF($A136="N/A"," ",AQ136*$AZ136)</f>
        <v> </v>
      </c>
      <c r="CK136" s="310" t="str">
        <f aca="false">IF($A136="N/A"," ",AR136*$BA136)</f>
        <v> </v>
      </c>
      <c r="CL136" s="311" t="str">
        <f aca="false">IF(A136="N/A"," ",(VLOOKUP(A136,PowerVolTable,(IF(VolBMO=2,7,IF(VolBMO=1,6,8))),FALSE())))</f>
        <v> </v>
      </c>
      <c r="CM136" s="312" t="str">
        <f aca="false">IF(A136="N/A"," ",(VLOOKUP(A136,IntraPowerVol,(IF(VolBMO=2,3,IF(VolBMO=1,2,4))),FALSE())*VLOOKUP(MONTH($A136),Volscale,2)))</f>
        <v> </v>
      </c>
      <c r="CN136" s="312" t="str">
        <f aca="false">IF($A136="N/A"," ",IF(VolType=1,CM136,CL136))</f>
        <v> </v>
      </c>
      <c r="CO136" s="312" t="str">
        <f aca="false">IF($A136="N/A"," ",(VLOOKUP($A136,OffPeakVol,(IF(VolBMO=2,7,IF(VolBMO=1,6,8))),FALSE())))</f>
        <v> </v>
      </c>
      <c r="CP136" s="312" t="str">
        <f aca="false">IF($A136="N/A"," ",(VLOOKUP($A136,OffPeakVol,(IF(VolBMO=2,3,IF(VolBMO=1,2,4))),FALSE())*VLOOKUP(MONTH($A136),Volscale,2)))</f>
        <v> </v>
      </c>
      <c r="CQ136" s="312" t="str">
        <f aca="false">IF($A136="N/A"," ",IF(VolType=1,CP136,CO136))</f>
        <v> </v>
      </c>
      <c r="CR136" s="312" t="str">
        <f aca="false">IF($A136="N/A"," ",(VLOOKUP($A136,GasVolTable,(IF(VolBMO=2,6,IF(VolBMO=1,7,5))),FALSE())))</f>
        <v> </v>
      </c>
      <c r="CS136" s="312" t="str">
        <f aca="false">IF($A136="N/A"," ",(VLOOKUP($A136,OmicronVol,(IF(VolBMO=2,3,IF(VolBMO=1,4,2))),FALSE())))</f>
        <v> </v>
      </c>
      <c r="CT136" s="312" t="str">
        <f aca="false">IF($A136="N/A"," ",(IF(DateToday&gt;$A136,$CS136,IF(VolType=1,((($CR136^2)*((($A136-1)-DateToday)/((EOMONTH($A136,0)+1)-DateToday-15)))+((($CS136)^2)*((15)/((EOMONTH($A136,0)+1)-DateToday-15))))^0.5,CR136))))</f>
        <v> </v>
      </c>
      <c r="CU136" s="312" t="str">
        <f aca="false">IF($A136="N/A"," ",IF('Pricing Inputs'!$AR$23=TRUE(),Inputs!$S$22,VLOOKUP($A136,CorrelationTable,2,FALSE())))</f>
        <v> </v>
      </c>
      <c r="CV136" s="313" t="str">
        <f aca="false">IF($A136="N/A"," ",F136+G136+(D136*('Pricing Inputs'!X171)))</f>
        <v> </v>
      </c>
      <c r="CW136" s="314" t="str">
        <f aca="false">IF($A136="N/A"," ",IF(PV=1,0,'Pricing Inputs'!Y171))</f>
        <v> </v>
      </c>
      <c r="CX136" s="315" t="str">
        <f aca="false">IF($A136="N/A"," ",(1+CW136/2)^(-2*((EOMONTH(A136,0)+20)-DateToday)/365.25))</f>
        <v> </v>
      </c>
      <c r="CY136" s="316" t="str">
        <f aca="false">IF($A136="N/A"," ",(IF(MONTH(A136)&gt;=4,IF(MONTH(A136)&lt;=10,Inputs!$S$26,Inputs!$S$27),Inputs!$S$27))*$CX136)</f>
        <v> </v>
      </c>
      <c r="CZ136" s="317" t="str">
        <f aca="false">IF($A136="N/A"," ",BK136+BL136+BN136+BO136+BQ136+BR136)</f>
        <v> </v>
      </c>
      <c r="DA136" s="318" t="str">
        <f aca="false">IF($A136="N/A"," ",BM136+BP136+BS136)</f>
        <v> </v>
      </c>
      <c r="DB136" s="319" t="str">
        <f aca="false">IF($A136="N/A"," ",BT136+BU136+BW136+BX136+BZ136+CA136)</f>
        <v> </v>
      </c>
      <c r="DC136" s="319" t="str">
        <f aca="false">IF($A136="N/A"," ",BV136+BY136+CB136)</f>
        <v> </v>
      </c>
      <c r="DD136" s="320" t="str">
        <f aca="false">IF($A136="N/A"," ",SUM(CC136:CK136))</f>
        <v> </v>
      </c>
      <c r="DE136" s="321" t="str">
        <f aca="false">IF($A136="N/A"," ",VLOOKUP($A136,NumberofDaysTable,2)*Availability)</f>
        <v> </v>
      </c>
      <c r="DF136" s="94" t="str">
        <f aca="false">IF($A136="N/A"," ",VLOOKUP($A136,NumberofDaysTable,3)*Availability)</f>
        <v> </v>
      </c>
      <c r="DG136" s="322" t="str">
        <f aca="false">IF($A136="N/A"," ",VLOOKUP($A136,NumberofDaysTable,4)*Availability)</f>
        <v> </v>
      </c>
      <c r="DH136" s="323" t="str">
        <f aca="false">IF($A136="N/A"," ",IF(Option=1,$D136*Inputs!$S$15*SUM(AS136:BA136),0))</f>
        <v> </v>
      </c>
      <c r="DI136" s="324" t="str">
        <f aca="false">IF($A136="N/A"," ",IF(Option=1,$D136*Inputs!$S$16*SUM(AS136:BA136),0))</f>
        <v> </v>
      </c>
      <c r="DJ136" s="325" t="str">
        <f aca="false">IF($A136="N/A"," ",SUM(AS136:AT136))</f>
        <v> </v>
      </c>
      <c r="DK136" s="325" t="str">
        <f aca="false">IF($A136="N/A"," ",SUM(AU136:BA136))</f>
        <v> </v>
      </c>
      <c r="DL136" s="325" t="str">
        <f aca="false">IF($A136="N/A"," ",SUM(BB136:BC136))</f>
        <v> </v>
      </c>
      <c r="DM136" s="325" t="str">
        <f aca="false">IF($A136="N/A"," ",SUM(BD136:BJ136))</f>
        <v> </v>
      </c>
    </row>
    <row r="137" customFormat="false" ht="12.75" hidden="false" customHeight="false" outlineLevel="0" collapsed="false">
      <c r="A137" s="282" t="str">
        <f aca="false">IF(A136="N/A","N/A",IF(EDATE(A136,1)&gt;Inputs!$S$5,"N/A",EDATE(A136,1)))</f>
        <v>N/A</v>
      </c>
      <c r="B137" s="283" t="str">
        <f aca="false">IF(A137="N/A"," ",YEAR(A137))</f>
        <v> </v>
      </c>
      <c r="C137" s="284" t="str">
        <f aca="false">IF(A137="N/A"," ",VLOOKUP(A137,ScaledPrice,14))</f>
        <v> </v>
      </c>
      <c r="D137" s="285" t="str">
        <f aca="false">IF(A137="N/A"," ",(VLOOKUP(MONTH($A137),Hrtable,2))/1000)</f>
        <v> </v>
      </c>
      <c r="E137" s="286" t="str">
        <f aca="false">IF($A137="N/A"," ",(C137)*D137)</f>
        <v> </v>
      </c>
      <c r="F137" s="287" t="str">
        <f aca="false">IF(A137="N/A"," ",VOM*(1+VOMesc)^(YEAR(A137)-YEAR(Today)))</f>
        <v> </v>
      </c>
      <c r="G137" s="287" t="str">
        <f aca="false">IF(A137="N/A"," ",Perstart/VLOOKUP(Dayrun,'Pricing Inputs'!$AQ$4:$AS$14,3)/(CY137/CX137))</f>
        <v> </v>
      </c>
      <c r="H137" s="288" t="str">
        <f aca="false">IF(A137="N/A"," ",SUM(E137:G137))</f>
        <v> </v>
      </c>
      <c r="I137" s="289" t="str">
        <f aca="false">VLOOKUP($A137,ScaledPrice,6)</f>
        <v> </v>
      </c>
      <c r="J137" s="290" t="str">
        <f aca="false">VLOOKUP($A137,ScaledPrice,10)</f>
        <v> </v>
      </c>
      <c r="K137" s="290" t="str">
        <f aca="false">VLOOKUP($A137,ScaledPrice,13)</f>
        <v> </v>
      </c>
      <c r="L137" s="290" t="str">
        <f aca="false">VLOOKUP($A137,ScaledPrice,7)</f>
        <v> </v>
      </c>
      <c r="M137" s="290" t="str">
        <f aca="false">VLOOKUP($A137,ScaledPrice,11)</f>
        <v> </v>
      </c>
      <c r="N137" s="290" t="str">
        <f aca="false">VLOOKUP($A137,ScaledPrice,13)</f>
        <v> </v>
      </c>
      <c r="O137" s="290" t="str">
        <f aca="false">VLOOKUP($A137,ScaledPrice,8)</f>
        <v> </v>
      </c>
      <c r="P137" s="290" t="str">
        <f aca="false">VLOOKUP($A137,ScaledPrice,12)</f>
        <v> </v>
      </c>
      <c r="Q137" s="291" t="str">
        <f aca="false">VLOOKUP($A137,ScaledPrice,13)</f>
        <v> </v>
      </c>
      <c r="R137" s="292" t="str">
        <f aca="false">IF($A137="N/A"," ",IF(Dayrun&gt;=3,IF(Option=1,MAX($I137-$H137,0),IF(Option=2,MAX($H137-$I137,0),0)),0))</f>
        <v> </v>
      </c>
      <c r="S137" s="286" t="str">
        <f aca="false">IF($A137="N/A"," ",IF(Dayrun&gt;=6,IF(Option=1,MAX($J137-H137,0),IF(Option=2,MAX(H137-$J137,0),0)),0))</f>
        <v> </v>
      </c>
      <c r="T137" s="286" t="str">
        <f aca="false">IF($A137="N/A"," ",IF(OR(Dayrun&lt;=2,Dayrun&gt;=9),IF(Option=1,MAX($K137-$H137,0),IF(Option=2,MAX($H137-$K137,0),0)),0))</f>
        <v> </v>
      </c>
      <c r="U137" s="286" t="str">
        <f aca="false">IF($A137="N/A"," ",IF(OR(Dayrun=1,Dayrun=4,Dayrun=5,Dayrun=7,Dayrun=8,Dayrun=10,Dayrun=11),IF(Option=1,MAX($L137-H137,0),IF(Option=2,MAX(H137-$L137,0),0)),0))</f>
        <v> </v>
      </c>
      <c r="V137" s="286" t="str">
        <f aca="false">IF($A137="N/A"," ",IF(OR(Dayrun=1,Dayrun=7,Dayrun=8,Dayrun=10,Dayrun=11),IF(Option=1,MAX($M137-H137,0),IF(Option=2,MAX(H137-$M137,0),0)),0))</f>
        <v> </v>
      </c>
      <c r="W137" s="286" t="str">
        <f aca="false">IF($A137="N/A"," ",IF(OR(Dayrun&lt;=2,Dayrun&gt;=10),IF(Option=1,MAX($N137-$H137,0),IF(Option=2,MAX($H137-$N137,0),0)),0))</f>
        <v> </v>
      </c>
      <c r="X137" s="286" t="str">
        <f aca="false">IF($A137="N/A"," ",IF(OR(Dayrun=1,Dayrun=5,Dayrun=8,Dayrun=11),IF(Option=1,MAX($O137-H137,0),IF(Option=2,MAX(H137-$O137,0),0)),0))</f>
        <v> </v>
      </c>
      <c r="Y137" s="286" t="str">
        <f aca="false">IF($A137="N/A"," ",IF(OR(Dayrun=1,Dayrun=8,Dayrun=11),IF(Option=1,MAX($P137-H137,0),IF(Option=2,MAX(H137-$P137,0),0)),0))</f>
        <v> </v>
      </c>
      <c r="Z137" s="293" t="str">
        <f aca="false">IF($A137="N/A"," ",IF(OR(Dayrun&lt;=2,Dayrun&gt;=11),IF(Option=1,MAX($Q137-$H137,0),IF(Option=2,MAX($H137-$Q137,0),0)),0))</f>
        <v> </v>
      </c>
      <c r="AA137" s="289" t="str">
        <f aca="false">IF($A137="N/A"," ",IF(Dayrun&gt;=3,(MAX(0,(xSPRDOPT(I137,($E137-'Pricing Inputs'!$X172*$D137),$CV137,0,($CN137+IF(Smile=TRUE(),VLOOKUP(MAX(-5,$H137-I137),Volsmile,2),0)),$CT137,$CU137,($A137-DateToday)+15,ABS(Option-2),0)-R137))),0))</f>
        <v> </v>
      </c>
      <c r="AB137" s="290" t="str">
        <f aca="false">IF($A137="N/A"," ",IF(Dayrun&gt;=6,MAX(0,(xSPRDOPT(J137,($E137-'Pricing Inputs'!$X172*$D137),$CV137,0,($CN137+IF(Smile=TRUE(),VLOOKUP(MAX(-5,$H137-J137),Volsmile,2),0)),$CT137,$CU137,($A137-DateToday)+15,ABS(Option-2),0)-S137)),0))</f>
        <v> </v>
      </c>
      <c r="AC137" s="290" t="str">
        <f aca="false">IF($A137="N/A"," ",IF(OR(Dayrun&lt;=2,Dayrun&gt;=9),IF(OffPeakEx=TRUE(),MAX(0,(xSPRDOPT(K137,($E137-'Pricing Inputs'!$X172*$D137),$CV137,0,($CQ137+IF(Smile=TRUE(),VLOOKUP(MAX(-5,$H137-K137),Volsmile,2),0)),$CT137,$CU137,($A137-DateToday)+15,ABS(Option-2),0)-T137)),0),0))</f>
        <v> </v>
      </c>
      <c r="AD137" s="290" t="str">
        <f aca="false">IF($A137="N/A"," ",IF(OR(Dayrun=1,Dayrun=4,Dayrun=5,Dayrun=7,Dayrun=8,Dayrun=10,Dayrun=11),MAX(0,(xSPRDOPT(L137,($E137-'Pricing Inputs'!$X172*$D137),$CV137,0,($CQ137+IF(Smile=TRUE(),VLOOKUP(MAX(-5,$H137-L137),Volsmile,2),0)),$CT137,$CU137,($A137-DateToday)+15,ABS(Option-2),0)-U137)),0))</f>
        <v> </v>
      </c>
      <c r="AE137" s="290" t="str">
        <f aca="false">IF($A137="N/A"," ",IF(OR(Dayrun=1,Dayrun=7,Dayrun=8,Dayrun=10,Dayrun=11),MAX(0,(xSPRDOPT(M137,($E137-'Pricing Inputs'!$X172*$D137),$CV137,0,($CQ137+IF(Smile=TRUE(),VLOOKUP(MAX(-5,$H137-M137),Volsmile,2),0)),$CT137,$CU137,($A137-DateToday)+15,ABS(Option-2),0)-V137)),0))</f>
        <v> </v>
      </c>
      <c r="AF137" s="290" t="str">
        <f aca="false">IF($A137="N/A"," ",IF(OR(Dayrun&lt;=2,Dayrun&gt;=10),IF(OffPeakEx=TRUE(),MAX(0,(xSPRDOPT(N137,($E137-'Pricing Inputs'!$X172*$D137),$CV137,0,($CQ137+IF(Smile=TRUE(),VLOOKUP(MAX(-5,$H137-N137),Volsmile,2),0)),$CT137,$CU137,($A137-DateToday)+15,ABS(Option-2),0)-W137)),0),0))</f>
        <v> </v>
      </c>
      <c r="AG137" s="290" t="str">
        <f aca="false">IF($A137="N/A"," ",IF(OR(Dayrun=1,Dayrun=5,Dayrun=8,Dayrun=11),MAX(0,(xSPRDOPT(O137,($E137-'Pricing Inputs'!$X172*$D137),$CV137,0,($CQ137+IF(Smile=TRUE(),VLOOKUP(MAX(-5,$H137-O137),Volsmile,2),0)),$CT137,$CU137,($A137-DateToday)+15,ABS(Option-2),0)-X137)),0))</f>
        <v> </v>
      </c>
      <c r="AH137" s="290" t="str">
        <f aca="false">IF($A137="N/A"," ",IF(OR(Dayrun=1,Dayrun=8,Dayrun=11),MAX(0,(xSPRDOPT(P137,($E137-'Pricing Inputs'!$X172*$D137),$CV137,0,($CQ137+IF(Smile=TRUE(),VLOOKUP(MAX(-5,$H137-P137),Volsmile,2),0)),$CT137,$CU137,($A137-DateToday)+15,ABS(Option-2),0)-Y137)),0))</f>
        <v> </v>
      </c>
      <c r="AI137" s="290" t="str">
        <f aca="false">IF($A137="N/A"," ",IF(OR(Dayrun&lt;=2,Dayrun&gt;=11),IF(OffPeakEx=TRUE(),MAX(0,(xSPRDOPT(Q137,($E137-'Pricing Inputs'!$X172*$D137),$CV137,0,($CQ137+IF(Smile=TRUE(),VLOOKUP(MAX(-5,$H137-Q137),Volsmile,2),0)),$CT137,$CU137,($A137-DateToday)+15,ABS(Option-2),0)-Z137)),0),0))</f>
        <v> </v>
      </c>
      <c r="AJ137" s="294" t="str">
        <f aca="false">IF($A137="N/A"," ",IF(Dayrun&gt;=3,IF(Option=1,$I137-$H137,IF(Option=2,$H137-$I137)),0))</f>
        <v> </v>
      </c>
      <c r="AK137" s="295" t="str">
        <f aca="false">IF($A137="N/A"," ",IF(Dayrun&gt;=6,IF(Option=1,$J137-H137,IF(Option=2,H137-$J137)),0))</f>
        <v> </v>
      </c>
      <c r="AL137" s="295" t="str">
        <f aca="false">IF($A137="N/A"," ",IF(OR(Dayrun&lt;=2,Dayrun&gt;=9),IF(Option=1,$K137-$H137,IF(Option=2,$H137-$K137)),0))</f>
        <v> </v>
      </c>
      <c r="AM137" s="295" t="str">
        <f aca="false">IF($A137="N/A"," ",IF(OR(Dayrun=1,Dayrun=4,Dayrun=5,Dayrun=7,Dayrun=8,Dayrun=10,Dayrun=11),IF(Option=1,$L137-H137,IF(Option=2,H137-$L137)),0))</f>
        <v> </v>
      </c>
      <c r="AN137" s="295" t="str">
        <f aca="false">IF($A137="N/A"," ",IF(OR(Dayrun=1,Dayrun=7,Dayrun=8,Dayrun=10,Dayrun=11),IF(Option=1,$M137-H137,IF(Option=2,H137-$M137)),0))</f>
        <v> </v>
      </c>
      <c r="AO137" s="295" t="str">
        <f aca="false">IF($A137="N/A"," ",IF(OR(Dayrun&lt;=2,Dayrun&gt;=9),IF(Option=1,$N137-$H137,IF(Option=2,$H137-$N137)),0))</f>
        <v> </v>
      </c>
      <c r="AP137" s="295" t="str">
        <f aca="false">IF($A137="N/A"," ",IF(OR(Dayrun=1,Dayrun=5,Dayrun=8,Dayrun=11),IF(Option=1,$O137-H137,IF(Option=2,H137-$O137)),0))</f>
        <v> </v>
      </c>
      <c r="AQ137" s="295" t="str">
        <f aca="false">IF($A137="N/A"," ",IF(OR(Dayrun=1,Dayrun=8,Dayrun=11),IF(Option=1,$P137-H137,IF(Option=2,H137-$P137)),0))</f>
        <v> </v>
      </c>
      <c r="AR137" s="296" t="str">
        <f aca="false">IF($A137="N/A"," ",IF(OR(Dayrun&lt;=2,Dayrun&gt;=9),IF(Option=1,$Q137-H137,IF(Option=2,H137-$Q137)),0))</f>
        <v> </v>
      </c>
      <c r="AS137" s="297" t="str">
        <f aca="false">IF($A137="N/A"," ",IF(VLOOKUP(MONTH($A137),ManualTable,2)=1,IF(Dayrun&gt;=3,$DE137*8*$CY137,0),0))</f>
        <v> </v>
      </c>
      <c r="AT137" s="297" t="str">
        <f aca="false">IF($A137="N/A"," ",IF(VLOOKUP(MONTH($A137),ManualTable,3)=1,IF(Dayrun&gt;=6,$DE137*8*$CY137,0),0))</f>
        <v> </v>
      </c>
      <c r="AU137" s="297" t="str">
        <f aca="false">IF($A137="N/A"," ",IF(VLOOKUP(MONTH($A137),ManualTable,4)=1,IF(OR(Dayrun&lt;=2,Dayrun&gt;=9),$DE137*8*$CY137,0),0))</f>
        <v> </v>
      </c>
      <c r="AV137" s="297" t="str">
        <f aca="false">IF($A137="N/A"," ",IF(VLOOKUP(MONTH($A137),ManualTable,5)=1,IF(OR(Dayrun=1,Dayrun=4,Dayrun=5,Dayrun=7,Dayrun=8,Dayrun=10,Dayrun=11),$DF137*8*$CY137,0),0))</f>
        <v> </v>
      </c>
      <c r="AW137" s="297" t="str">
        <f aca="false">IF($A137="N/A"," ",IF(VLOOKUP(MONTH($A137),ManualTable,6)=1,IF(OR(Dayrun=1,Dayrun=7,Dayrun=8,Dayrun=10,Dayrun=11),$DF137*8*$CY137,0),0))</f>
        <v> </v>
      </c>
      <c r="AX137" s="297" t="str">
        <f aca="false">IF($A137="N/A"," ",IF(VLOOKUP(MONTH($A137),ManualTable,7)=1,IF(OR(Dayrun&lt;=2,Dayrun&gt;=9),$DF137*8*$CY137,0),0))</f>
        <v> </v>
      </c>
      <c r="AY137" s="297" t="str">
        <f aca="false">IF($A137="N/A"," ",IF(VLOOKUP(MONTH($A137),ManualTable,8)=1,IF(OR(Dayrun=1,Dayrun=5,Dayrun=8,Dayrun=11),$DG137*8*$CY137,0),0))</f>
        <v> </v>
      </c>
      <c r="AZ137" s="297" t="str">
        <f aca="false">IF($A137="N/A"," ",IF(VLOOKUP(MONTH($A137),ManualTable,9)=1,IF(OR(Dayrun=1,Dayrun=8,Dayrun=11),$DG137*8*$CY137,0),0))</f>
        <v> </v>
      </c>
      <c r="BA137" s="298" t="str">
        <f aca="false">IF($A137="N/A"," ",IF(VLOOKUP(MONTH($A137),ManualTable,10)=1,IF(OR(Dayrun&lt;=2,Dayrun&gt;=9),$DG137*8*$CY137,0),0))</f>
        <v> </v>
      </c>
      <c r="BB137" s="299" t="str">
        <f aca="false">IF($A137="N/A"," ",IF(Dayrun&gt;=3,(MAX(0,(xSPRDOPT(I137,($E137-'Pricing Inputs'!$X172*$D137),$CV137,0,($CN137+IF(Smile=TRUE(),VLOOKUP(MAX(-5,$H137-I137),Volsmile,2),0)),$CT137,$CU137,($A137-DateToday)+15,ABS(Option-2),1)*DE137*8))),0))</f>
        <v> </v>
      </c>
      <c r="BC137" s="300" t="str">
        <f aca="false">IF($A137="N/A"," ",IF(Dayrun&gt;=6,MAX(0,(xSPRDOPT(J137,($E137-'Pricing Inputs'!$X172*$D137),$CV137,0,($CN137+IF(Smile=TRUE(),VLOOKUP(MAX(-5,$H137-J137),Volsmile,2),0)),$CT137,$CU137,($A137-DateToday)+15,ABS(Option-2),1)*DE137*8)),0))</f>
        <v> </v>
      </c>
      <c r="BD137" s="300" t="str">
        <f aca="false">IF($A137="N/A"," ",IF(OR(Dayrun&lt;=2,Dayrun&gt;=9),IF(OffPeakEx=TRUE(),MAX(0,(xSPRDOPT(K137,($E137-'Pricing Inputs'!$X172*$D137),$CV137,0,($CQ137+IF(Smile=TRUE(),VLOOKUP(MAX(-5,$H137-K137),Volsmile,2),0)),$CT137,$CU137,($A137-DateToday)+15,ABS(Option-2),1)*DE137*8)),0),0))</f>
        <v> </v>
      </c>
      <c r="BE137" s="300" t="str">
        <f aca="false">IF($A137="N/A"," ",IF(OR(Dayrun=1,Dayrun=4,Dayrun=5,Dayrun=7,Dayrun=8,Dayrun=10,Dayrun=11),MAX(0,(xSPRDOPT(L137,($E137-'Pricing Inputs'!$X172*$D137),$CV137,0,($CQ137+IF(Smile=TRUE(),VLOOKUP(MAX(-5,$H137-L137),Volsmile,2),0)),$CT137,$CU137,($A137-DateToday)+15,ABS(Option-2),1)*DF137*8)),0))</f>
        <v> </v>
      </c>
      <c r="BF137" s="300" t="str">
        <f aca="false">IF($A137="N/A"," ",IF(OR(Dayrun=1,Dayrun=7,Dayrun=8,Dayrun=10,Dayrun=11),MAX(0,(xSPRDOPT(M137,($E137-'Pricing Inputs'!$X172*$D137),$CV137,0,($CQ137+IF(Smile=TRUE(),VLOOKUP(MAX(-5,$H137-M137),Volsmile,2),0)),$CT137,$CU137,($A137-DateToday)+15,ABS(Option-2),1)*DF137*8)),0))</f>
        <v> </v>
      </c>
      <c r="BG137" s="300" t="str">
        <f aca="false">IF($A137="N/A"," ",IF(OR(Dayrun&lt;=2,Dayrun&gt;=10),IF(OffPeakEx=TRUE(),MAX(0,(xSPRDOPT(N137,($E137-'Pricing Inputs'!$X172*$D137),$CV137,0,($CQ137+IF(Smile=TRUE(),VLOOKUP(MAX(-5,$H137-N137),Volsmile,2),0)),$CT137,$CU137,($A137-DateToday)+15,ABS(Option-2),1)*DF137*8)),0),0))</f>
        <v> </v>
      </c>
      <c r="BH137" s="300" t="str">
        <f aca="false">IF($A137="N/A"," ",IF(OR(Dayrun=1,Dayrun=5,Dayrun=8,Dayrun=11),MAX(0,(xSPRDOPT(O137,($E137-'Pricing Inputs'!$X172*$D137),$CV137,0,($CQ137+IF(Smile=TRUE(),VLOOKUP(MAX(-5,$H137-O137),Volsmile,2),0)),$CT137,$CU137,($A137-DateToday)+15,ABS(Option-2),1)*DG137*8)),0))</f>
        <v> </v>
      </c>
      <c r="BI137" s="300" t="str">
        <f aca="false">IF($A137="N/A"," ",IF(OR(Dayrun=1,Dayrun=8,Dayrun=11),MAX(0,(xSPRDOPT(P137,($E137-'Pricing Inputs'!$X172*$D137),$CV137,0,($CQ137+IF(Smile=TRUE(),VLOOKUP(MAX(-5,$H137-P137),Volsmile,2),0)),$CT137,$CU137,($A137-DateToday)+15,ABS(Option-2),1)*DG137*8)),0))</f>
        <v> </v>
      </c>
      <c r="BJ137" s="301" t="str">
        <f aca="false">IF($A137="N/A"," ",IF(OR(Dayrun&lt;=2,Dayrun&gt;=11),IF(OffPeakEx=TRUE(),MAX(0,(xSPRDOPT(Q137,($E137-'Pricing Inputs'!$X172*$D137),$CV137,0,($CQ137+IF(Smile=TRUE(),VLOOKUP(MAX(-5,$H137-Q137),Volsmile,2),0)),$CT137,$CU137,($A137-DateToday)+15,ABS(Option-2),1)*DG137*8)),0),0))</f>
        <v> </v>
      </c>
      <c r="BK137" s="302" t="str">
        <f aca="false">IF($A137="N/A"," ",R137*$AS137)</f>
        <v> </v>
      </c>
      <c r="BL137" s="303" t="str">
        <f aca="false">IF($A137="N/A"," ",S137*$AT137)</f>
        <v> </v>
      </c>
      <c r="BM137" s="303" t="str">
        <f aca="false">IF($A137="N/A"," ",T137*$AU137)</f>
        <v> </v>
      </c>
      <c r="BN137" s="303" t="str">
        <f aca="false">IF($A137="N/A"," ",U137*$AV137)</f>
        <v> </v>
      </c>
      <c r="BO137" s="303" t="str">
        <f aca="false">IF($A137="N/A"," ",V137*$AW137)</f>
        <v> </v>
      </c>
      <c r="BP137" s="303" t="str">
        <f aca="false">IF($A137="N/A"," ",W137*$AX137)</f>
        <v> </v>
      </c>
      <c r="BQ137" s="303" t="str">
        <f aca="false">IF($A137="N/A"," ",X137*$AY137)</f>
        <v> </v>
      </c>
      <c r="BR137" s="303" t="str">
        <f aca="false">IF($A137="N/A"," ",Y137*$AZ137)</f>
        <v> </v>
      </c>
      <c r="BS137" s="304" t="str">
        <f aca="false">IF($A137="N/A"," ",Z137*$BA137)</f>
        <v> </v>
      </c>
      <c r="BT137" s="305" t="str">
        <f aca="false">IF($A137="N/A"," ",AA137*$AS137)</f>
        <v> </v>
      </c>
      <c r="BU137" s="306" t="str">
        <f aca="false">IF($A137="N/A"," ",AB137*$AT137)</f>
        <v> </v>
      </c>
      <c r="BV137" s="306" t="str">
        <f aca="false">IF($A137="N/A"," ",AC137*$AU137)</f>
        <v> </v>
      </c>
      <c r="BW137" s="306" t="str">
        <f aca="false">IF($A137="N/A"," ",AD137*$AV137)</f>
        <v> </v>
      </c>
      <c r="BX137" s="306" t="str">
        <f aca="false">IF($A137="N/A"," ",AE137*$AW137)</f>
        <v> </v>
      </c>
      <c r="BY137" s="306" t="str">
        <f aca="false">IF($A137="N/A"," ",AF137*$AX137)</f>
        <v> </v>
      </c>
      <c r="BZ137" s="306" t="str">
        <f aca="false">IF($A137="N/A"," ",AG137*$AY137)</f>
        <v> </v>
      </c>
      <c r="CA137" s="306" t="str">
        <f aca="false">IF($A137="N/A"," ",AH137*$AZ137)</f>
        <v> </v>
      </c>
      <c r="CB137" s="307" t="str">
        <f aca="false">IF($A137="N/A"," ",AI137*$BA137)</f>
        <v> </v>
      </c>
      <c r="CC137" s="308" t="str">
        <f aca="false">IF($A137="N/A"," ",AJ137*$AS137)</f>
        <v> </v>
      </c>
      <c r="CD137" s="309" t="str">
        <f aca="false">IF($A137="N/A"," ",AK137*$AT137)</f>
        <v> </v>
      </c>
      <c r="CE137" s="309" t="str">
        <f aca="false">IF($A137="N/A"," ",AL137*$AU137)</f>
        <v> </v>
      </c>
      <c r="CF137" s="309" t="str">
        <f aca="false">IF($A137="N/A"," ",AM137*$AV137)</f>
        <v> </v>
      </c>
      <c r="CG137" s="309" t="str">
        <f aca="false">IF($A137="N/A"," ",AN137*$AW137)</f>
        <v> </v>
      </c>
      <c r="CH137" s="309" t="str">
        <f aca="false">IF($A137="N/A"," ",AO137*$AX137)</f>
        <v> </v>
      </c>
      <c r="CI137" s="309" t="str">
        <f aca="false">IF($A137="N/A"," ",AP137*$AY137)</f>
        <v> </v>
      </c>
      <c r="CJ137" s="309" t="str">
        <f aca="false">IF($A137="N/A"," ",AQ137*$AZ137)</f>
        <v> </v>
      </c>
      <c r="CK137" s="310" t="str">
        <f aca="false">IF($A137="N/A"," ",AR137*$BA137)</f>
        <v> </v>
      </c>
      <c r="CL137" s="311" t="str">
        <f aca="false">IF(A137="N/A"," ",(VLOOKUP(A137,PowerVolTable,(IF(VolBMO=2,7,IF(VolBMO=1,6,8))),FALSE())))</f>
        <v> </v>
      </c>
      <c r="CM137" s="312" t="str">
        <f aca="false">IF(A137="N/A"," ",(VLOOKUP(A137,IntraPowerVol,(IF(VolBMO=2,3,IF(VolBMO=1,2,4))),FALSE())*VLOOKUP(MONTH($A137),Volscale,2)))</f>
        <v> </v>
      </c>
      <c r="CN137" s="312" t="str">
        <f aca="false">IF($A137="N/A"," ",IF(VolType=1,CM137,CL137))</f>
        <v> </v>
      </c>
      <c r="CO137" s="312" t="str">
        <f aca="false">IF($A137="N/A"," ",(VLOOKUP($A137,OffPeakVol,(IF(VolBMO=2,7,IF(VolBMO=1,6,8))),FALSE())))</f>
        <v> </v>
      </c>
      <c r="CP137" s="312" t="str">
        <f aca="false">IF($A137="N/A"," ",(VLOOKUP($A137,OffPeakVol,(IF(VolBMO=2,3,IF(VolBMO=1,2,4))),FALSE())*VLOOKUP(MONTH($A137),Volscale,2)))</f>
        <v> </v>
      </c>
      <c r="CQ137" s="312" t="str">
        <f aca="false">IF($A137="N/A"," ",IF(VolType=1,CP137,CO137))</f>
        <v> </v>
      </c>
      <c r="CR137" s="312" t="str">
        <f aca="false">IF($A137="N/A"," ",(VLOOKUP($A137,GasVolTable,(IF(VolBMO=2,6,IF(VolBMO=1,7,5))),FALSE())))</f>
        <v> </v>
      </c>
      <c r="CS137" s="312" t="str">
        <f aca="false">IF($A137="N/A"," ",(VLOOKUP($A137,OmicronVol,(IF(VolBMO=2,3,IF(VolBMO=1,4,2))),FALSE())))</f>
        <v> </v>
      </c>
      <c r="CT137" s="312" t="str">
        <f aca="false">IF($A137="N/A"," ",(IF(DateToday&gt;$A137,$CS137,IF(VolType=1,((($CR137^2)*((($A137-1)-DateToday)/((EOMONTH($A137,0)+1)-DateToday-15)))+((($CS137)^2)*((15)/((EOMONTH($A137,0)+1)-DateToday-15))))^0.5,CR137))))</f>
        <v> </v>
      </c>
      <c r="CU137" s="312" t="str">
        <f aca="false">IF($A137="N/A"," ",IF('Pricing Inputs'!$AR$23=TRUE(),Inputs!$S$22,VLOOKUP($A137,CorrelationTable,2,FALSE())))</f>
        <v> </v>
      </c>
      <c r="CV137" s="313" t="str">
        <f aca="false">IF($A137="N/A"," ",F137+G137+(D137*('Pricing Inputs'!X172)))</f>
        <v> </v>
      </c>
      <c r="CW137" s="314" t="str">
        <f aca="false">IF($A137="N/A"," ",IF(PV=1,0,'Pricing Inputs'!Y172))</f>
        <v> </v>
      </c>
      <c r="CX137" s="315" t="str">
        <f aca="false">IF($A137="N/A"," ",(1+CW137/2)^(-2*((EOMONTH(A137,0)+20)-DateToday)/365.25))</f>
        <v> </v>
      </c>
      <c r="CY137" s="316" t="str">
        <f aca="false">IF($A137="N/A"," ",(IF(MONTH(A137)&gt;=4,IF(MONTH(A137)&lt;=10,Inputs!$S$26,Inputs!$S$27),Inputs!$S$27))*$CX137)</f>
        <v> </v>
      </c>
      <c r="CZ137" s="317" t="str">
        <f aca="false">IF($A137="N/A"," ",BK137+BL137+BN137+BO137+BQ137+BR137)</f>
        <v> </v>
      </c>
      <c r="DA137" s="318" t="str">
        <f aca="false">IF($A137="N/A"," ",BM137+BP137+BS137)</f>
        <v> </v>
      </c>
      <c r="DB137" s="319" t="str">
        <f aca="false">IF($A137="N/A"," ",BT137+BU137+BW137+BX137+BZ137+CA137)</f>
        <v> </v>
      </c>
      <c r="DC137" s="319" t="str">
        <f aca="false">IF($A137="N/A"," ",BV137+BY137+CB137)</f>
        <v> </v>
      </c>
      <c r="DD137" s="320" t="str">
        <f aca="false">IF($A137="N/A"," ",SUM(CC137:CK137))</f>
        <v> </v>
      </c>
      <c r="DE137" s="321" t="str">
        <f aca="false">IF($A137="N/A"," ",VLOOKUP($A137,NumberofDaysTable,2)*Availability)</f>
        <v> </v>
      </c>
      <c r="DF137" s="94" t="str">
        <f aca="false">IF($A137="N/A"," ",VLOOKUP($A137,NumberofDaysTable,3)*Availability)</f>
        <v> </v>
      </c>
      <c r="DG137" s="322" t="str">
        <f aca="false">IF($A137="N/A"," ",VLOOKUP($A137,NumberofDaysTable,4)*Availability)</f>
        <v> </v>
      </c>
      <c r="DH137" s="323" t="str">
        <f aca="false">IF($A137="N/A"," ",IF(Option=1,$D137*Inputs!$S$15*SUM(AS137:BA137),0))</f>
        <v> </v>
      </c>
      <c r="DI137" s="324" t="str">
        <f aca="false">IF($A137="N/A"," ",IF(Option=1,$D137*Inputs!$S$16*SUM(AS137:BA137),0))</f>
        <v> </v>
      </c>
      <c r="DJ137" s="325" t="str">
        <f aca="false">IF($A137="N/A"," ",SUM(AS137:AT137))</f>
        <v> </v>
      </c>
      <c r="DK137" s="325" t="str">
        <f aca="false">IF($A137="N/A"," ",SUM(AU137:BA137))</f>
        <v> </v>
      </c>
      <c r="DL137" s="325" t="str">
        <f aca="false">IF($A137="N/A"," ",SUM(BB137:BC137))</f>
        <v> </v>
      </c>
      <c r="DM137" s="325" t="str">
        <f aca="false">IF($A137="N/A"," ",SUM(BD137:BJ137))</f>
        <v> </v>
      </c>
    </row>
    <row r="138" customFormat="false" ht="12.75" hidden="false" customHeight="false" outlineLevel="0" collapsed="false">
      <c r="A138" s="282" t="str">
        <f aca="false">IF(A137="N/A","N/A",IF(EDATE(A137,1)&gt;Inputs!$S$5,"N/A",EDATE(A137,1)))</f>
        <v>N/A</v>
      </c>
      <c r="B138" s="283" t="str">
        <f aca="false">IF(A138="N/A"," ",YEAR(A138))</f>
        <v> </v>
      </c>
      <c r="C138" s="284" t="str">
        <f aca="false">IF(A138="N/A"," ",VLOOKUP(A138,ScaledPrice,14))</f>
        <v> </v>
      </c>
      <c r="D138" s="285" t="str">
        <f aca="false">IF(A138="N/A"," ",(VLOOKUP(MONTH($A138),Hrtable,2))/1000)</f>
        <v> </v>
      </c>
      <c r="E138" s="286" t="str">
        <f aca="false">IF($A138="N/A"," ",(C138)*D138)</f>
        <v> </v>
      </c>
      <c r="F138" s="287" t="str">
        <f aca="false">IF(A138="N/A"," ",VOM*(1+VOMesc)^(YEAR(A138)-YEAR(Today)))</f>
        <v> </v>
      </c>
      <c r="G138" s="287" t="str">
        <f aca="false">IF(A138="N/A"," ",Perstart/VLOOKUP(Dayrun,'Pricing Inputs'!$AQ$4:$AS$14,3)/(CY138/CX138))</f>
        <v> </v>
      </c>
      <c r="H138" s="288" t="str">
        <f aca="false">IF(A138="N/A"," ",SUM(E138:G138))</f>
        <v> </v>
      </c>
      <c r="I138" s="289" t="str">
        <f aca="false">VLOOKUP($A138,ScaledPrice,6)</f>
        <v> </v>
      </c>
      <c r="J138" s="290" t="str">
        <f aca="false">VLOOKUP($A138,ScaledPrice,10)</f>
        <v> </v>
      </c>
      <c r="K138" s="290" t="str">
        <f aca="false">VLOOKUP($A138,ScaledPrice,13)</f>
        <v> </v>
      </c>
      <c r="L138" s="290" t="str">
        <f aca="false">VLOOKUP($A138,ScaledPrice,7)</f>
        <v> </v>
      </c>
      <c r="M138" s="290" t="str">
        <f aca="false">VLOOKUP($A138,ScaledPrice,11)</f>
        <v> </v>
      </c>
      <c r="N138" s="290" t="str">
        <f aca="false">VLOOKUP($A138,ScaledPrice,13)</f>
        <v> </v>
      </c>
      <c r="O138" s="290" t="str">
        <f aca="false">VLOOKUP($A138,ScaledPrice,8)</f>
        <v> </v>
      </c>
      <c r="P138" s="290" t="str">
        <f aca="false">VLOOKUP($A138,ScaledPrice,12)</f>
        <v> </v>
      </c>
      <c r="Q138" s="291" t="str">
        <f aca="false">VLOOKUP($A138,ScaledPrice,13)</f>
        <v> </v>
      </c>
      <c r="R138" s="292" t="str">
        <f aca="false">IF($A138="N/A"," ",IF(Dayrun&gt;=3,IF(Option=1,MAX($I138-$H138,0),IF(Option=2,MAX($H138-$I138,0),0)),0))</f>
        <v> </v>
      </c>
      <c r="S138" s="286" t="str">
        <f aca="false">IF($A138="N/A"," ",IF(Dayrun&gt;=6,IF(Option=1,MAX($J138-H138,0),IF(Option=2,MAX(H138-$J138,0),0)),0))</f>
        <v> </v>
      </c>
      <c r="T138" s="286" t="str">
        <f aca="false">IF($A138="N/A"," ",IF(OR(Dayrun&lt;=2,Dayrun&gt;=9),IF(Option=1,MAX($K138-$H138,0),IF(Option=2,MAX($H138-$K138,0),0)),0))</f>
        <v> </v>
      </c>
      <c r="U138" s="286" t="str">
        <f aca="false">IF($A138="N/A"," ",IF(OR(Dayrun=1,Dayrun=4,Dayrun=5,Dayrun=7,Dayrun=8,Dayrun=10,Dayrun=11),IF(Option=1,MAX($L138-H138,0),IF(Option=2,MAX(H138-$L138,0),0)),0))</f>
        <v> </v>
      </c>
      <c r="V138" s="286" t="str">
        <f aca="false">IF($A138="N/A"," ",IF(OR(Dayrun=1,Dayrun=7,Dayrun=8,Dayrun=10,Dayrun=11),IF(Option=1,MAX($M138-H138,0),IF(Option=2,MAX(H138-$M138,0),0)),0))</f>
        <v> </v>
      </c>
      <c r="W138" s="286" t="str">
        <f aca="false">IF($A138="N/A"," ",IF(OR(Dayrun&lt;=2,Dayrun&gt;=10),IF(Option=1,MAX($N138-$H138,0),IF(Option=2,MAX($H138-$N138,0),0)),0))</f>
        <v> </v>
      </c>
      <c r="X138" s="286" t="str">
        <f aca="false">IF($A138="N/A"," ",IF(OR(Dayrun=1,Dayrun=5,Dayrun=8,Dayrun=11),IF(Option=1,MAX($O138-H138,0),IF(Option=2,MAX(H138-$O138,0),0)),0))</f>
        <v> </v>
      </c>
      <c r="Y138" s="286" t="str">
        <f aca="false">IF($A138="N/A"," ",IF(OR(Dayrun=1,Dayrun=8,Dayrun=11),IF(Option=1,MAX($P138-H138,0),IF(Option=2,MAX(H138-$P138,0),0)),0))</f>
        <v> </v>
      </c>
      <c r="Z138" s="293" t="str">
        <f aca="false">IF($A138="N/A"," ",IF(OR(Dayrun&lt;=2,Dayrun&gt;=11),IF(Option=1,MAX($Q138-$H138,0),IF(Option=2,MAX($H138-$Q138,0),0)),0))</f>
        <v> </v>
      </c>
      <c r="AA138" s="289" t="str">
        <f aca="false">IF($A138="N/A"," ",IF(Dayrun&gt;=3,(MAX(0,(xSPRDOPT(I138,($E138-'Pricing Inputs'!$X173*$D138),$CV138,0,($CN138+IF(Smile=TRUE(),VLOOKUP(MAX(-5,$H138-I138),Volsmile,2),0)),$CT138,$CU138,($A138-DateToday)+15,ABS(Option-2),0)-R138))),0))</f>
        <v> </v>
      </c>
      <c r="AB138" s="290" t="str">
        <f aca="false">IF($A138="N/A"," ",IF(Dayrun&gt;=6,MAX(0,(xSPRDOPT(J138,($E138-'Pricing Inputs'!$X173*$D138),$CV138,0,($CN138+IF(Smile=TRUE(),VLOOKUP(MAX(-5,$H138-J138),Volsmile,2),0)),$CT138,$CU138,($A138-DateToday)+15,ABS(Option-2),0)-S138)),0))</f>
        <v> </v>
      </c>
      <c r="AC138" s="290" t="str">
        <f aca="false">IF($A138="N/A"," ",IF(OR(Dayrun&lt;=2,Dayrun&gt;=9),IF(OffPeakEx=TRUE(),MAX(0,(xSPRDOPT(K138,($E138-'Pricing Inputs'!$X173*$D138),$CV138,0,($CQ138+IF(Smile=TRUE(),VLOOKUP(MAX(-5,$H138-K138),Volsmile,2),0)),$CT138,$CU138,($A138-DateToday)+15,ABS(Option-2),0)-T138)),0),0))</f>
        <v> </v>
      </c>
      <c r="AD138" s="290" t="str">
        <f aca="false">IF($A138="N/A"," ",IF(OR(Dayrun=1,Dayrun=4,Dayrun=5,Dayrun=7,Dayrun=8,Dayrun=10,Dayrun=11),MAX(0,(xSPRDOPT(L138,($E138-'Pricing Inputs'!$X173*$D138),$CV138,0,($CQ138+IF(Smile=TRUE(),VLOOKUP(MAX(-5,$H138-L138),Volsmile,2),0)),$CT138,$CU138,($A138-DateToday)+15,ABS(Option-2),0)-U138)),0))</f>
        <v> </v>
      </c>
      <c r="AE138" s="290" t="str">
        <f aca="false">IF($A138="N/A"," ",IF(OR(Dayrun=1,Dayrun=7,Dayrun=8,Dayrun=10,Dayrun=11),MAX(0,(xSPRDOPT(M138,($E138-'Pricing Inputs'!$X173*$D138),$CV138,0,($CQ138+IF(Smile=TRUE(),VLOOKUP(MAX(-5,$H138-M138),Volsmile,2),0)),$CT138,$CU138,($A138-DateToday)+15,ABS(Option-2),0)-V138)),0))</f>
        <v> </v>
      </c>
      <c r="AF138" s="290" t="str">
        <f aca="false">IF($A138="N/A"," ",IF(OR(Dayrun&lt;=2,Dayrun&gt;=10),IF(OffPeakEx=TRUE(),MAX(0,(xSPRDOPT(N138,($E138-'Pricing Inputs'!$X173*$D138),$CV138,0,($CQ138+IF(Smile=TRUE(),VLOOKUP(MAX(-5,$H138-N138),Volsmile,2),0)),$CT138,$CU138,($A138-DateToday)+15,ABS(Option-2),0)-W138)),0),0))</f>
        <v> </v>
      </c>
      <c r="AG138" s="290" t="str">
        <f aca="false">IF($A138="N/A"," ",IF(OR(Dayrun=1,Dayrun=5,Dayrun=8,Dayrun=11),MAX(0,(xSPRDOPT(O138,($E138-'Pricing Inputs'!$X173*$D138),$CV138,0,($CQ138+IF(Smile=TRUE(),VLOOKUP(MAX(-5,$H138-O138),Volsmile,2),0)),$CT138,$CU138,($A138-DateToday)+15,ABS(Option-2),0)-X138)),0))</f>
        <v> </v>
      </c>
      <c r="AH138" s="290" t="str">
        <f aca="false">IF($A138="N/A"," ",IF(OR(Dayrun=1,Dayrun=8,Dayrun=11),MAX(0,(xSPRDOPT(P138,($E138-'Pricing Inputs'!$X173*$D138),$CV138,0,($CQ138+IF(Smile=TRUE(),VLOOKUP(MAX(-5,$H138-P138),Volsmile,2),0)),$CT138,$CU138,($A138-DateToday)+15,ABS(Option-2),0)-Y138)),0))</f>
        <v> </v>
      </c>
      <c r="AI138" s="290" t="str">
        <f aca="false">IF($A138="N/A"," ",IF(OR(Dayrun&lt;=2,Dayrun&gt;=11),IF(OffPeakEx=TRUE(),MAX(0,(xSPRDOPT(Q138,($E138-'Pricing Inputs'!$X173*$D138),$CV138,0,($CQ138+IF(Smile=TRUE(),VLOOKUP(MAX(-5,$H138-Q138),Volsmile,2),0)),$CT138,$CU138,($A138-DateToday)+15,ABS(Option-2),0)-Z138)),0),0))</f>
        <v> </v>
      </c>
      <c r="AJ138" s="294" t="str">
        <f aca="false">IF($A138="N/A"," ",IF(Dayrun&gt;=3,IF(Option=1,$I138-$H138,IF(Option=2,$H138-$I138)),0))</f>
        <v> </v>
      </c>
      <c r="AK138" s="295" t="str">
        <f aca="false">IF($A138="N/A"," ",IF(Dayrun&gt;=6,IF(Option=1,$J138-H138,IF(Option=2,H138-$J138)),0))</f>
        <v> </v>
      </c>
      <c r="AL138" s="295" t="str">
        <f aca="false">IF($A138="N/A"," ",IF(OR(Dayrun&lt;=2,Dayrun&gt;=9),IF(Option=1,$K138-$H138,IF(Option=2,$H138-$K138)),0))</f>
        <v> </v>
      </c>
      <c r="AM138" s="295" t="str">
        <f aca="false">IF($A138="N/A"," ",IF(OR(Dayrun=1,Dayrun=4,Dayrun=5,Dayrun=7,Dayrun=8,Dayrun=10,Dayrun=11),IF(Option=1,$L138-H138,IF(Option=2,H138-$L138)),0))</f>
        <v> </v>
      </c>
      <c r="AN138" s="295" t="str">
        <f aca="false">IF($A138="N/A"," ",IF(OR(Dayrun=1,Dayrun=7,Dayrun=8,Dayrun=10,Dayrun=11),IF(Option=1,$M138-H138,IF(Option=2,H138-$M138)),0))</f>
        <v> </v>
      </c>
      <c r="AO138" s="295" t="str">
        <f aca="false">IF($A138="N/A"," ",IF(OR(Dayrun&lt;=2,Dayrun&gt;=9),IF(Option=1,$N138-$H138,IF(Option=2,$H138-$N138)),0))</f>
        <v> </v>
      </c>
      <c r="AP138" s="295" t="str">
        <f aca="false">IF($A138="N/A"," ",IF(OR(Dayrun=1,Dayrun=5,Dayrun=8,Dayrun=11),IF(Option=1,$O138-H138,IF(Option=2,H138-$O138)),0))</f>
        <v> </v>
      </c>
      <c r="AQ138" s="295" t="str">
        <f aca="false">IF($A138="N/A"," ",IF(OR(Dayrun=1,Dayrun=8,Dayrun=11),IF(Option=1,$P138-H138,IF(Option=2,H138-$P138)),0))</f>
        <v> </v>
      </c>
      <c r="AR138" s="296" t="str">
        <f aca="false">IF($A138="N/A"," ",IF(OR(Dayrun&lt;=2,Dayrun&gt;=9),IF(Option=1,$Q138-H138,IF(Option=2,H138-$Q138)),0))</f>
        <v> </v>
      </c>
      <c r="AS138" s="297" t="str">
        <f aca="false">IF($A138="N/A"," ",IF(VLOOKUP(MONTH($A138),ManualTable,2)=1,IF(Dayrun&gt;=3,$DE138*8*$CY138,0),0))</f>
        <v> </v>
      </c>
      <c r="AT138" s="297" t="str">
        <f aca="false">IF($A138="N/A"," ",IF(VLOOKUP(MONTH($A138),ManualTable,3)=1,IF(Dayrun&gt;=6,$DE138*8*$CY138,0),0))</f>
        <v> </v>
      </c>
      <c r="AU138" s="297" t="str">
        <f aca="false">IF($A138="N/A"," ",IF(VLOOKUP(MONTH($A138),ManualTable,4)=1,IF(OR(Dayrun&lt;=2,Dayrun&gt;=9),$DE138*8*$CY138,0),0))</f>
        <v> </v>
      </c>
      <c r="AV138" s="297" t="str">
        <f aca="false">IF($A138="N/A"," ",IF(VLOOKUP(MONTH($A138),ManualTable,5)=1,IF(OR(Dayrun=1,Dayrun=4,Dayrun=5,Dayrun=7,Dayrun=8,Dayrun=10,Dayrun=11),$DF138*8*$CY138,0),0))</f>
        <v> </v>
      </c>
      <c r="AW138" s="297" t="str">
        <f aca="false">IF($A138="N/A"," ",IF(VLOOKUP(MONTH($A138),ManualTable,6)=1,IF(OR(Dayrun=1,Dayrun=7,Dayrun=8,Dayrun=10,Dayrun=11),$DF138*8*$CY138,0),0))</f>
        <v> </v>
      </c>
      <c r="AX138" s="297" t="str">
        <f aca="false">IF($A138="N/A"," ",IF(VLOOKUP(MONTH($A138),ManualTable,7)=1,IF(OR(Dayrun&lt;=2,Dayrun&gt;=9),$DF138*8*$CY138,0),0))</f>
        <v> </v>
      </c>
      <c r="AY138" s="297" t="str">
        <f aca="false">IF($A138="N/A"," ",IF(VLOOKUP(MONTH($A138),ManualTable,8)=1,IF(OR(Dayrun=1,Dayrun=5,Dayrun=8,Dayrun=11),$DG138*8*$CY138,0),0))</f>
        <v> </v>
      </c>
      <c r="AZ138" s="297" t="str">
        <f aca="false">IF($A138="N/A"," ",IF(VLOOKUP(MONTH($A138),ManualTable,9)=1,IF(OR(Dayrun=1,Dayrun=8,Dayrun=11),$DG138*8*$CY138,0),0))</f>
        <v> </v>
      </c>
      <c r="BA138" s="298" t="str">
        <f aca="false">IF($A138="N/A"," ",IF(VLOOKUP(MONTH($A138),ManualTable,10)=1,IF(OR(Dayrun&lt;=2,Dayrun&gt;=9),$DG138*8*$CY138,0),0))</f>
        <v> </v>
      </c>
      <c r="BB138" s="299" t="str">
        <f aca="false">IF($A138="N/A"," ",IF(Dayrun&gt;=3,(MAX(0,(xSPRDOPT(I138,($E138-'Pricing Inputs'!$X173*$D138),$CV138,0,($CN138+IF(Smile=TRUE(),VLOOKUP(MAX(-5,$H138-I138),Volsmile,2),0)),$CT138,$CU138,($A138-DateToday)+15,ABS(Option-2),1)*DE138*8))),0))</f>
        <v> </v>
      </c>
      <c r="BC138" s="300" t="str">
        <f aca="false">IF($A138="N/A"," ",IF(Dayrun&gt;=6,MAX(0,(xSPRDOPT(J138,($E138-'Pricing Inputs'!$X173*$D138),$CV138,0,($CN138+IF(Smile=TRUE(),VLOOKUP(MAX(-5,$H138-J138),Volsmile,2),0)),$CT138,$CU138,($A138-DateToday)+15,ABS(Option-2),1)*DE138*8)),0))</f>
        <v> </v>
      </c>
      <c r="BD138" s="300" t="str">
        <f aca="false">IF($A138="N/A"," ",IF(OR(Dayrun&lt;=2,Dayrun&gt;=9),IF(OffPeakEx=TRUE(),MAX(0,(xSPRDOPT(K138,($E138-'Pricing Inputs'!$X173*$D138),$CV138,0,($CQ138+IF(Smile=TRUE(),VLOOKUP(MAX(-5,$H138-K138),Volsmile,2),0)),$CT138,$CU138,($A138-DateToday)+15,ABS(Option-2),1)*DE138*8)),0),0))</f>
        <v> </v>
      </c>
      <c r="BE138" s="300" t="str">
        <f aca="false">IF($A138="N/A"," ",IF(OR(Dayrun=1,Dayrun=4,Dayrun=5,Dayrun=7,Dayrun=8,Dayrun=10,Dayrun=11),MAX(0,(xSPRDOPT(L138,($E138-'Pricing Inputs'!$X173*$D138),$CV138,0,($CQ138+IF(Smile=TRUE(),VLOOKUP(MAX(-5,$H138-L138),Volsmile,2),0)),$CT138,$CU138,($A138-DateToday)+15,ABS(Option-2),1)*DF138*8)),0))</f>
        <v> </v>
      </c>
      <c r="BF138" s="300" t="str">
        <f aca="false">IF($A138="N/A"," ",IF(OR(Dayrun=1,Dayrun=7,Dayrun=8,Dayrun=10,Dayrun=11),MAX(0,(xSPRDOPT(M138,($E138-'Pricing Inputs'!$X173*$D138),$CV138,0,($CQ138+IF(Smile=TRUE(),VLOOKUP(MAX(-5,$H138-M138),Volsmile,2),0)),$CT138,$CU138,($A138-DateToday)+15,ABS(Option-2),1)*DF138*8)),0))</f>
        <v> </v>
      </c>
      <c r="BG138" s="300" t="str">
        <f aca="false">IF($A138="N/A"," ",IF(OR(Dayrun&lt;=2,Dayrun&gt;=10),IF(OffPeakEx=TRUE(),MAX(0,(xSPRDOPT(N138,($E138-'Pricing Inputs'!$X173*$D138),$CV138,0,($CQ138+IF(Smile=TRUE(),VLOOKUP(MAX(-5,$H138-N138),Volsmile,2),0)),$CT138,$CU138,($A138-DateToday)+15,ABS(Option-2),1)*DF138*8)),0),0))</f>
        <v> </v>
      </c>
      <c r="BH138" s="300" t="str">
        <f aca="false">IF($A138="N/A"," ",IF(OR(Dayrun=1,Dayrun=5,Dayrun=8,Dayrun=11),MAX(0,(xSPRDOPT(O138,($E138-'Pricing Inputs'!$X173*$D138),$CV138,0,($CQ138+IF(Smile=TRUE(),VLOOKUP(MAX(-5,$H138-O138),Volsmile,2),0)),$CT138,$CU138,($A138-DateToday)+15,ABS(Option-2),1)*DG138*8)),0))</f>
        <v> </v>
      </c>
      <c r="BI138" s="300" t="str">
        <f aca="false">IF($A138="N/A"," ",IF(OR(Dayrun=1,Dayrun=8,Dayrun=11),MAX(0,(xSPRDOPT(P138,($E138-'Pricing Inputs'!$X173*$D138),$CV138,0,($CQ138+IF(Smile=TRUE(),VLOOKUP(MAX(-5,$H138-P138),Volsmile,2),0)),$CT138,$CU138,($A138-DateToday)+15,ABS(Option-2),1)*DG138*8)),0))</f>
        <v> </v>
      </c>
      <c r="BJ138" s="301" t="str">
        <f aca="false">IF($A138="N/A"," ",IF(OR(Dayrun&lt;=2,Dayrun&gt;=11),IF(OffPeakEx=TRUE(),MAX(0,(xSPRDOPT(Q138,($E138-'Pricing Inputs'!$X173*$D138),$CV138,0,($CQ138+IF(Smile=TRUE(),VLOOKUP(MAX(-5,$H138-Q138),Volsmile,2),0)),$CT138,$CU138,($A138-DateToday)+15,ABS(Option-2),1)*DG138*8)),0),0))</f>
        <v> </v>
      </c>
      <c r="BK138" s="302" t="str">
        <f aca="false">IF($A138="N/A"," ",R138*$AS138)</f>
        <v> </v>
      </c>
      <c r="BL138" s="303" t="str">
        <f aca="false">IF($A138="N/A"," ",S138*$AT138)</f>
        <v> </v>
      </c>
      <c r="BM138" s="303" t="str">
        <f aca="false">IF($A138="N/A"," ",T138*$AU138)</f>
        <v> </v>
      </c>
      <c r="BN138" s="303" t="str">
        <f aca="false">IF($A138="N/A"," ",U138*$AV138)</f>
        <v> </v>
      </c>
      <c r="BO138" s="303" t="str">
        <f aca="false">IF($A138="N/A"," ",V138*$AW138)</f>
        <v> </v>
      </c>
      <c r="BP138" s="303" t="str">
        <f aca="false">IF($A138="N/A"," ",W138*$AX138)</f>
        <v> </v>
      </c>
      <c r="BQ138" s="303" t="str">
        <f aca="false">IF($A138="N/A"," ",X138*$AY138)</f>
        <v> </v>
      </c>
      <c r="BR138" s="303" t="str">
        <f aca="false">IF($A138="N/A"," ",Y138*$AZ138)</f>
        <v> </v>
      </c>
      <c r="BS138" s="304" t="str">
        <f aca="false">IF($A138="N/A"," ",Z138*$BA138)</f>
        <v> </v>
      </c>
      <c r="BT138" s="305" t="str">
        <f aca="false">IF($A138="N/A"," ",AA138*$AS138)</f>
        <v> </v>
      </c>
      <c r="BU138" s="306" t="str">
        <f aca="false">IF($A138="N/A"," ",AB138*$AT138)</f>
        <v> </v>
      </c>
      <c r="BV138" s="306" t="str">
        <f aca="false">IF($A138="N/A"," ",AC138*$AU138)</f>
        <v> </v>
      </c>
      <c r="BW138" s="306" t="str">
        <f aca="false">IF($A138="N/A"," ",AD138*$AV138)</f>
        <v> </v>
      </c>
      <c r="BX138" s="306" t="str">
        <f aca="false">IF($A138="N/A"," ",AE138*$AW138)</f>
        <v> </v>
      </c>
      <c r="BY138" s="306" t="str">
        <f aca="false">IF($A138="N/A"," ",AF138*$AX138)</f>
        <v> </v>
      </c>
      <c r="BZ138" s="306" t="str">
        <f aca="false">IF($A138="N/A"," ",AG138*$AY138)</f>
        <v> </v>
      </c>
      <c r="CA138" s="306" t="str">
        <f aca="false">IF($A138="N/A"," ",AH138*$AZ138)</f>
        <v> </v>
      </c>
      <c r="CB138" s="307" t="str">
        <f aca="false">IF($A138="N/A"," ",AI138*$BA138)</f>
        <v> </v>
      </c>
      <c r="CC138" s="308" t="str">
        <f aca="false">IF($A138="N/A"," ",AJ138*$AS138)</f>
        <v> </v>
      </c>
      <c r="CD138" s="309" t="str">
        <f aca="false">IF($A138="N/A"," ",AK138*$AT138)</f>
        <v> </v>
      </c>
      <c r="CE138" s="309" t="str">
        <f aca="false">IF($A138="N/A"," ",AL138*$AU138)</f>
        <v> </v>
      </c>
      <c r="CF138" s="309" t="str">
        <f aca="false">IF($A138="N/A"," ",AM138*$AV138)</f>
        <v> </v>
      </c>
      <c r="CG138" s="309" t="str">
        <f aca="false">IF($A138="N/A"," ",AN138*$AW138)</f>
        <v> </v>
      </c>
      <c r="CH138" s="309" t="str">
        <f aca="false">IF($A138="N/A"," ",AO138*$AX138)</f>
        <v> </v>
      </c>
      <c r="CI138" s="309" t="str">
        <f aca="false">IF($A138="N/A"," ",AP138*$AY138)</f>
        <v> </v>
      </c>
      <c r="CJ138" s="309" t="str">
        <f aca="false">IF($A138="N/A"," ",AQ138*$AZ138)</f>
        <v> </v>
      </c>
      <c r="CK138" s="310" t="str">
        <f aca="false">IF($A138="N/A"," ",AR138*$BA138)</f>
        <v> </v>
      </c>
      <c r="CL138" s="311" t="str">
        <f aca="false">IF(A138="N/A"," ",(VLOOKUP(A138,PowerVolTable,(IF(VolBMO=2,7,IF(VolBMO=1,6,8))),FALSE())))</f>
        <v> </v>
      </c>
      <c r="CM138" s="312" t="str">
        <f aca="false">IF(A138="N/A"," ",(VLOOKUP(A138,IntraPowerVol,(IF(VolBMO=2,3,IF(VolBMO=1,2,4))),FALSE())*VLOOKUP(MONTH($A138),Volscale,2)))</f>
        <v> </v>
      </c>
      <c r="CN138" s="312" t="str">
        <f aca="false">IF($A138="N/A"," ",IF(VolType=1,CM138,CL138))</f>
        <v> </v>
      </c>
      <c r="CO138" s="312" t="str">
        <f aca="false">IF($A138="N/A"," ",(VLOOKUP($A138,OffPeakVol,(IF(VolBMO=2,7,IF(VolBMO=1,6,8))),FALSE())))</f>
        <v> </v>
      </c>
      <c r="CP138" s="312" t="str">
        <f aca="false">IF($A138="N/A"," ",(VLOOKUP($A138,OffPeakVol,(IF(VolBMO=2,3,IF(VolBMO=1,2,4))),FALSE())*VLOOKUP(MONTH($A138),Volscale,2)))</f>
        <v> </v>
      </c>
      <c r="CQ138" s="312" t="str">
        <f aca="false">IF($A138="N/A"," ",IF(VolType=1,CP138,CO138))</f>
        <v> </v>
      </c>
      <c r="CR138" s="312" t="str">
        <f aca="false">IF($A138="N/A"," ",(VLOOKUP($A138,GasVolTable,(IF(VolBMO=2,6,IF(VolBMO=1,7,5))),FALSE())))</f>
        <v> </v>
      </c>
      <c r="CS138" s="312" t="str">
        <f aca="false">IF($A138="N/A"," ",(VLOOKUP($A138,OmicronVol,(IF(VolBMO=2,3,IF(VolBMO=1,4,2))),FALSE())))</f>
        <v> </v>
      </c>
      <c r="CT138" s="312" t="str">
        <f aca="false">IF($A138="N/A"," ",(IF(DateToday&gt;$A138,$CS138,IF(VolType=1,((($CR138^2)*((($A138-1)-DateToday)/((EOMONTH($A138,0)+1)-DateToday-15)))+((($CS138)^2)*((15)/((EOMONTH($A138,0)+1)-DateToday-15))))^0.5,CR138))))</f>
        <v> </v>
      </c>
      <c r="CU138" s="312" t="str">
        <f aca="false">IF($A138="N/A"," ",IF('Pricing Inputs'!$AR$23=TRUE(),Inputs!$S$22,VLOOKUP($A138,CorrelationTable,2,FALSE())))</f>
        <v> </v>
      </c>
      <c r="CV138" s="313" t="str">
        <f aca="false">IF($A138="N/A"," ",F138+G138+(D138*('Pricing Inputs'!X173)))</f>
        <v> </v>
      </c>
      <c r="CW138" s="314" t="str">
        <f aca="false">IF($A138="N/A"," ",IF(PV=1,0,'Pricing Inputs'!Y173))</f>
        <v> </v>
      </c>
      <c r="CX138" s="315" t="str">
        <f aca="false">IF($A138="N/A"," ",(1+CW138/2)^(-2*((EOMONTH(A138,0)+20)-DateToday)/365.25))</f>
        <v> </v>
      </c>
      <c r="CY138" s="316" t="str">
        <f aca="false">IF($A138="N/A"," ",(IF(MONTH(A138)&gt;=4,IF(MONTH(A138)&lt;=10,Inputs!$S$26,Inputs!$S$27),Inputs!$S$27))*$CX138)</f>
        <v> </v>
      </c>
      <c r="CZ138" s="317" t="str">
        <f aca="false">IF($A138="N/A"," ",BK138+BL138+BN138+BO138+BQ138+BR138)</f>
        <v> </v>
      </c>
      <c r="DA138" s="318" t="str">
        <f aca="false">IF($A138="N/A"," ",BM138+BP138+BS138)</f>
        <v> </v>
      </c>
      <c r="DB138" s="319" t="str">
        <f aca="false">IF($A138="N/A"," ",BT138+BU138+BW138+BX138+BZ138+CA138)</f>
        <v> </v>
      </c>
      <c r="DC138" s="319" t="str">
        <f aca="false">IF($A138="N/A"," ",BV138+BY138+CB138)</f>
        <v> </v>
      </c>
      <c r="DD138" s="320" t="str">
        <f aca="false">IF($A138="N/A"," ",SUM(CC138:CK138))</f>
        <v> </v>
      </c>
      <c r="DE138" s="321" t="str">
        <f aca="false">IF($A138="N/A"," ",VLOOKUP($A138,NumberofDaysTable,2)*Availability)</f>
        <v> </v>
      </c>
      <c r="DF138" s="94" t="str">
        <f aca="false">IF($A138="N/A"," ",VLOOKUP($A138,NumberofDaysTable,3)*Availability)</f>
        <v> </v>
      </c>
      <c r="DG138" s="322" t="str">
        <f aca="false">IF($A138="N/A"," ",VLOOKUP($A138,NumberofDaysTable,4)*Availability)</f>
        <v> </v>
      </c>
      <c r="DH138" s="323" t="str">
        <f aca="false">IF($A138="N/A"," ",IF(Option=1,$D138*Inputs!$S$15*SUM(AS138:BA138),0))</f>
        <v> </v>
      </c>
      <c r="DI138" s="324" t="str">
        <f aca="false">IF($A138="N/A"," ",IF(Option=1,$D138*Inputs!$S$16*SUM(AS138:BA138),0))</f>
        <v> </v>
      </c>
      <c r="DJ138" s="325" t="str">
        <f aca="false">IF($A138="N/A"," ",SUM(AS138:AT138))</f>
        <v> </v>
      </c>
      <c r="DK138" s="325" t="str">
        <f aca="false">IF($A138="N/A"," ",SUM(AU138:BA138))</f>
        <v> </v>
      </c>
      <c r="DL138" s="325" t="str">
        <f aca="false">IF($A138="N/A"," ",SUM(BB138:BC138))</f>
        <v> </v>
      </c>
      <c r="DM138" s="325" t="str">
        <f aca="false">IF($A138="N/A"," ",SUM(BD138:BJ138))</f>
        <v> </v>
      </c>
    </row>
    <row r="139" customFormat="false" ht="12.75" hidden="false" customHeight="false" outlineLevel="0" collapsed="false">
      <c r="A139" s="282" t="str">
        <f aca="false">IF(A138="N/A","N/A",IF(EDATE(A138,1)&gt;Inputs!$S$5,"N/A",EDATE(A138,1)))</f>
        <v>N/A</v>
      </c>
      <c r="B139" s="283" t="str">
        <f aca="false">IF(A139="N/A"," ",YEAR(A139))</f>
        <v> </v>
      </c>
      <c r="C139" s="284" t="str">
        <f aca="false">IF(A139="N/A"," ",VLOOKUP(A139,ScaledPrice,14))</f>
        <v> </v>
      </c>
      <c r="D139" s="285" t="str">
        <f aca="false">IF(A139="N/A"," ",(VLOOKUP(MONTH($A139),Hrtable,2))/1000)</f>
        <v> </v>
      </c>
      <c r="E139" s="286" t="str">
        <f aca="false">IF($A139="N/A"," ",(C139)*D139)</f>
        <v> </v>
      </c>
      <c r="F139" s="287" t="str">
        <f aca="false">IF(A139="N/A"," ",VOM*(1+VOMesc)^(YEAR(A139)-YEAR(Today)))</f>
        <v> </v>
      </c>
      <c r="G139" s="287" t="str">
        <f aca="false">IF(A139="N/A"," ",Perstart/VLOOKUP(Dayrun,'Pricing Inputs'!$AQ$4:$AS$14,3)/(CY139/CX139))</f>
        <v> </v>
      </c>
      <c r="H139" s="288" t="str">
        <f aca="false">IF(A139="N/A"," ",SUM(E139:G139))</f>
        <v> </v>
      </c>
      <c r="I139" s="289" t="str">
        <f aca="false">VLOOKUP($A139,ScaledPrice,6)</f>
        <v> </v>
      </c>
      <c r="J139" s="290" t="str">
        <f aca="false">VLOOKUP($A139,ScaledPrice,10)</f>
        <v> </v>
      </c>
      <c r="K139" s="290" t="str">
        <f aca="false">VLOOKUP($A139,ScaledPrice,13)</f>
        <v> </v>
      </c>
      <c r="L139" s="290" t="str">
        <f aca="false">VLOOKUP($A139,ScaledPrice,7)</f>
        <v> </v>
      </c>
      <c r="M139" s="290" t="str">
        <f aca="false">VLOOKUP($A139,ScaledPrice,11)</f>
        <v> </v>
      </c>
      <c r="N139" s="290" t="str">
        <f aca="false">VLOOKUP($A139,ScaledPrice,13)</f>
        <v> </v>
      </c>
      <c r="O139" s="290" t="str">
        <f aca="false">VLOOKUP($A139,ScaledPrice,8)</f>
        <v> </v>
      </c>
      <c r="P139" s="290" t="str">
        <f aca="false">VLOOKUP($A139,ScaledPrice,12)</f>
        <v> </v>
      </c>
      <c r="Q139" s="291" t="str">
        <f aca="false">VLOOKUP($A139,ScaledPrice,13)</f>
        <v> </v>
      </c>
      <c r="R139" s="292" t="str">
        <f aca="false">IF($A139="N/A"," ",IF(Dayrun&gt;=3,IF(Option=1,MAX($I139-$H139,0),IF(Option=2,MAX($H139-$I139,0),0)),0))</f>
        <v> </v>
      </c>
      <c r="S139" s="286" t="str">
        <f aca="false">IF($A139="N/A"," ",IF(Dayrun&gt;=6,IF(Option=1,MAX($J139-H139,0),IF(Option=2,MAX(H139-$J139,0),0)),0))</f>
        <v> </v>
      </c>
      <c r="T139" s="286" t="str">
        <f aca="false">IF($A139="N/A"," ",IF(OR(Dayrun&lt;=2,Dayrun&gt;=9),IF(Option=1,MAX($K139-$H139,0),IF(Option=2,MAX($H139-$K139,0),0)),0))</f>
        <v> </v>
      </c>
      <c r="U139" s="286" t="str">
        <f aca="false">IF($A139="N/A"," ",IF(OR(Dayrun=1,Dayrun=4,Dayrun=5,Dayrun=7,Dayrun=8,Dayrun=10,Dayrun=11),IF(Option=1,MAX($L139-H139,0),IF(Option=2,MAX(H139-$L139,0),0)),0))</f>
        <v> </v>
      </c>
      <c r="V139" s="286" t="str">
        <f aca="false">IF($A139="N/A"," ",IF(OR(Dayrun=1,Dayrun=7,Dayrun=8,Dayrun=10,Dayrun=11),IF(Option=1,MAX($M139-H139,0),IF(Option=2,MAX(H139-$M139,0),0)),0))</f>
        <v> </v>
      </c>
      <c r="W139" s="286" t="str">
        <f aca="false">IF($A139="N/A"," ",IF(OR(Dayrun&lt;=2,Dayrun&gt;=10),IF(Option=1,MAX($N139-$H139,0),IF(Option=2,MAX($H139-$N139,0),0)),0))</f>
        <v> </v>
      </c>
      <c r="X139" s="286" t="str">
        <f aca="false">IF($A139="N/A"," ",IF(OR(Dayrun=1,Dayrun=5,Dayrun=8,Dayrun=11),IF(Option=1,MAX($O139-H139,0),IF(Option=2,MAX(H139-$O139,0),0)),0))</f>
        <v> </v>
      </c>
      <c r="Y139" s="286" t="str">
        <f aca="false">IF($A139="N/A"," ",IF(OR(Dayrun=1,Dayrun=8,Dayrun=11),IF(Option=1,MAX($P139-H139,0),IF(Option=2,MAX(H139-$P139,0),0)),0))</f>
        <v> </v>
      </c>
      <c r="Z139" s="293" t="str">
        <f aca="false">IF($A139="N/A"," ",IF(OR(Dayrun&lt;=2,Dayrun&gt;=11),IF(Option=1,MAX($Q139-$H139,0),IF(Option=2,MAX($H139-$Q139,0),0)),0))</f>
        <v> </v>
      </c>
      <c r="AA139" s="289" t="str">
        <f aca="false">IF($A139="N/A"," ",IF(Dayrun&gt;=3,(MAX(0,(xSPRDOPT(I139,($E139-'Pricing Inputs'!$X174*$D139),$CV139,0,($CN139+IF(Smile=TRUE(),VLOOKUP(MAX(-5,$H139-I139),Volsmile,2),0)),$CT139,$CU139,($A139-DateToday)+15,ABS(Option-2),0)-R139))),0))</f>
        <v> </v>
      </c>
      <c r="AB139" s="290" t="str">
        <f aca="false">IF($A139="N/A"," ",IF(Dayrun&gt;=6,MAX(0,(xSPRDOPT(J139,($E139-'Pricing Inputs'!$X174*$D139),$CV139,0,($CN139+IF(Smile=TRUE(),VLOOKUP(MAX(-5,$H139-J139),Volsmile,2),0)),$CT139,$CU139,($A139-DateToday)+15,ABS(Option-2),0)-S139)),0))</f>
        <v> </v>
      </c>
      <c r="AC139" s="290" t="str">
        <f aca="false">IF($A139="N/A"," ",IF(OR(Dayrun&lt;=2,Dayrun&gt;=9),IF(OffPeakEx=TRUE(),MAX(0,(xSPRDOPT(K139,($E139-'Pricing Inputs'!$X174*$D139),$CV139,0,($CQ139+IF(Smile=TRUE(),VLOOKUP(MAX(-5,$H139-K139),Volsmile,2),0)),$CT139,$CU139,($A139-DateToday)+15,ABS(Option-2),0)-T139)),0),0))</f>
        <v> </v>
      </c>
      <c r="AD139" s="290" t="str">
        <f aca="false">IF($A139="N/A"," ",IF(OR(Dayrun=1,Dayrun=4,Dayrun=5,Dayrun=7,Dayrun=8,Dayrun=10,Dayrun=11),MAX(0,(xSPRDOPT(L139,($E139-'Pricing Inputs'!$X174*$D139),$CV139,0,($CQ139+IF(Smile=TRUE(),VLOOKUP(MAX(-5,$H139-L139),Volsmile,2),0)),$CT139,$CU139,($A139-DateToday)+15,ABS(Option-2),0)-U139)),0))</f>
        <v> </v>
      </c>
      <c r="AE139" s="290" t="str">
        <f aca="false">IF($A139="N/A"," ",IF(OR(Dayrun=1,Dayrun=7,Dayrun=8,Dayrun=10,Dayrun=11),MAX(0,(xSPRDOPT(M139,($E139-'Pricing Inputs'!$X174*$D139),$CV139,0,($CQ139+IF(Smile=TRUE(),VLOOKUP(MAX(-5,$H139-M139),Volsmile,2),0)),$CT139,$CU139,($A139-DateToday)+15,ABS(Option-2),0)-V139)),0))</f>
        <v> </v>
      </c>
      <c r="AF139" s="290" t="str">
        <f aca="false">IF($A139="N/A"," ",IF(OR(Dayrun&lt;=2,Dayrun&gt;=10),IF(OffPeakEx=TRUE(),MAX(0,(xSPRDOPT(N139,($E139-'Pricing Inputs'!$X174*$D139),$CV139,0,($CQ139+IF(Smile=TRUE(),VLOOKUP(MAX(-5,$H139-N139),Volsmile,2),0)),$CT139,$CU139,($A139-DateToday)+15,ABS(Option-2),0)-W139)),0),0))</f>
        <v> </v>
      </c>
      <c r="AG139" s="290" t="str">
        <f aca="false">IF($A139="N/A"," ",IF(OR(Dayrun=1,Dayrun=5,Dayrun=8,Dayrun=11),MAX(0,(xSPRDOPT(O139,($E139-'Pricing Inputs'!$X174*$D139),$CV139,0,($CQ139+IF(Smile=TRUE(),VLOOKUP(MAX(-5,$H139-O139),Volsmile,2),0)),$CT139,$CU139,($A139-DateToday)+15,ABS(Option-2),0)-X139)),0))</f>
        <v> </v>
      </c>
      <c r="AH139" s="290" t="str">
        <f aca="false">IF($A139="N/A"," ",IF(OR(Dayrun=1,Dayrun=8,Dayrun=11),MAX(0,(xSPRDOPT(P139,($E139-'Pricing Inputs'!$X174*$D139),$CV139,0,($CQ139+IF(Smile=TRUE(),VLOOKUP(MAX(-5,$H139-P139),Volsmile,2),0)),$CT139,$CU139,($A139-DateToday)+15,ABS(Option-2),0)-Y139)),0))</f>
        <v> </v>
      </c>
      <c r="AI139" s="290" t="str">
        <f aca="false">IF($A139="N/A"," ",IF(OR(Dayrun&lt;=2,Dayrun&gt;=11),IF(OffPeakEx=TRUE(),MAX(0,(xSPRDOPT(Q139,($E139-'Pricing Inputs'!$X174*$D139),$CV139,0,($CQ139+IF(Smile=TRUE(),VLOOKUP(MAX(-5,$H139-Q139),Volsmile,2),0)),$CT139,$CU139,($A139-DateToday)+15,ABS(Option-2),0)-Z139)),0),0))</f>
        <v> </v>
      </c>
      <c r="AJ139" s="294" t="str">
        <f aca="false">IF($A139="N/A"," ",IF(Dayrun&gt;=3,IF(Option=1,$I139-$H139,IF(Option=2,$H139-$I139)),0))</f>
        <v> </v>
      </c>
      <c r="AK139" s="295" t="str">
        <f aca="false">IF($A139="N/A"," ",IF(Dayrun&gt;=6,IF(Option=1,$J139-H139,IF(Option=2,H139-$J139)),0))</f>
        <v> </v>
      </c>
      <c r="AL139" s="295" t="str">
        <f aca="false">IF($A139="N/A"," ",IF(OR(Dayrun&lt;=2,Dayrun&gt;=9),IF(Option=1,$K139-$H139,IF(Option=2,$H139-$K139)),0))</f>
        <v> </v>
      </c>
      <c r="AM139" s="295" t="str">
        <f aca="false">IF($A139="N/A"," ",IF(OR(Dayrun=1,Dayrun=4,Dayrun=5,Dayrun=7,Dayrun=8,Dayrun=10,Dayrun=11),IF(Option=1,$L139-H139,IF(Option=2,H139-$L139)),0))</f>
        <v> </v>
      </c>
      <c r="AN139" s="295" t="str">
        <f aca="false">IF($A139="N/A"," ",IF(OR(Dayrun=1,Dayrun=7,Dayrun=8,Dayrun=10,Dayrun=11),IF(Option=1,$M139-H139,IF(Option=2,H139-$M139)),0))</f>
        <v> </v>
      </c>
      <c r="AO139" s="295" t="str">
        <f aca="false">IF($A139="N/A"," ",IF(OR(Dayrun&lt;=2,Dayrun&gt;=9),IF(Option=1,$N139-$H139,IF(Option=2,$H139-$N139)),0))</f>
        <v> </v>
      </c>
      <c r="AP139" s="295" t="str">
        <f aca="false">IF($A139="N/A"," ",IF(OR(Dayrun=1,Dayrun=5,Dayrun=8,Dayrun=11),IF(Option=1,$O139-H139,IF(Option=2,H139-$O139)),0))</f>
        <v> </v>
      </c>
      <c r="AQ139" s="295" t="str">
        <f aca="false">IF($A139="N/A"," ",IF(OR(Dayrun=1,Dayrun=8,Dayrun=11),IF(Option=1,$P139-H139,IF(Option=2,H139-$P139)),0))</f>
        <v> </v>
      </c>
      <c r="AR139" s="296" t="str">
        <f aca="false">IF($A139="N/A"," ",IF(OR(Dayrun&lt;=2,Dayrun&gt;=9),IF(Option=1,$Q139-H139,IF(Option=2,H139-$Q139)),0))</f>
        <v> </v>
      </c>
      <c r="AS139" s="297" t="str">
        <f aca="false">IF($A139="N/A"," ",IF(VLOOKUP(MONTH($A139),ManualTable,2)=1,IF(Dayrun&gt;=3,$DE139*8*$CY139,0),0))</f>
        <v> </v>
      </c>
      <c r="AT139" s="297" t="str">
        <f aca="false">IF($A139="N/A"," ",IF(VLOOKUP(MONTH($A139),ManualTable,3)=1,IF(Dayrun&gt;=6,$DE139*8*$CY139,0),0))</f>
        <v> </v>
      </c>
      <c r="AU139" s="297" t="str">
        <f aca="false">IF($A139="N/A"," ",IF(VLOOKUP(MONTH($A139),ManualTable,4)=1,IF(OR(Dayrun&lt;=2,Dayrun&gt;=9),$DE139*8*$CY139,0),0))</f>
        <v> </v>
      </c>
      <c r="AV139" s="297" t="str">
        <f aca="false">IF($A139="N/A"," ",IF(VLOOKUP(MONTH($A139),ManualTable,5)=1,IF(OR(Dayrun=1,Dayrun=4,Dayrun=5,Dayrun=7,Dayrun=8,Dayrun=10,Dayrun=11),$DF139*8*$CY139,0),0))</f>
        <v> </v>
      </c>
      <c r="AW139" s="297" t="str">
        <f aca="false">IF($A139="N/A"," ",IF(VLOOKUP(MONTH($A139),ManualTable,6)=1,IF(OR(Dayrun=1,Dayrun=7,Dayrun=8,Dayrun=10,Dayrun=11),$DF139*8*$CY139,0),0))</f>
        <v> </v>
      </c>
      <c r="AX139" s="297" t="str">
        <f aca="false">IF($A139="N/A"," ",IF(VLOOKUP(MONTH($A139),ManualTable,7)=1,IF(OR(Dayrun&lt;=2,Dayrun&gt;=9),$DF139*8*$CY139,0),0))</f>
        <v> </v>
      </c>
      <c r="AY139" s="297" t="str">
        <f aca="false">IF($A139="N/A"," ",IF(VLOOKUP(MONTH($A139),ManualTable,8)=1,IF(OR(Dayrun=1,Dayrun=5,Dayrun=8,Dayrun=11),$DG139*8*$CY139,0),0))</f>
        <v> </v>
      </c>
      <c r="AZ139" s="297" t="str">
        <f aca="false">IF($A139="N/A"," ",IF(VLOOKUP(MONTH($A139),ManualTable,9)=1,IF(OR(Dayrun=1,Dayrun=8,Dayrun=11),$DG139*8*$CY139,0),0))</f>
        <v> </v>
      </c>
      <c r="BA139" s="298" t="str">
        <f aca="false">IF($A139="N/A"," ",IF(VLOOKUP(MONTH($A139),ManualTable,10)=1,IF(OR(Dayrun&lt;=2,Dayrun&gt;=9),$DG139*8*$CY139,0),0))</f>
        <v> </v>
      </c>
      <c r="BB139" s="299" t="str">
        <f aca="false">IF($A139="N/A"," ",IF(Dayrun&gt;=3,(MAX(0,(xSPRDOPT(I139,($E139-'Pricing Inputs'!$X174*$D139),$CV139,0,($CN139+IF(Smile=TRUE(),VLOOKUP(MAX(-5,$H139-I139),Volsmile,2),0)),$CT139,$CU139,($A139-DateToday)+15,ABS(Option-2),1)*DE139*8))),0))</f>
        <v> </v>
      </c>
      <c r="BC139" s="300" t="str">
        <f aca="false">IF($A139="N/A"," ",IF(Dayrun&gt;=6,MAX(0,(xSPRDOPT(J139,($E139-'Pricing Inputs'!$X174*$D139),$CV139,0,($CN139+IF(Smile=TRUE(),VLOOKUP(MAX(-5,$H139-J139),Volsmile,2),0)),$CT139,$CU139,($A139-DateToday)+15,ABS(Option-2),1)*DE139*8)),0))</f>
        <v> </v>
      </c>
      <c r="BD139" s="300" t="str">
        <f aca="false">IF($A139="N/A"," ",IF(OR(Dayrun&lt;=2,Dayrun&gt;=9),IF(OffPeakEx=TRUE(),MAX(0,(xSPRDOPT(K139,($E139-'Pricing Inputs'!$X174*$D139),$CV139,0,($CQ139+IF(Smile=TRUE(),VLOOKUP(MAX(-5,$H139-K139),Volsmile,2),0)),$CT139,$CU139,($A139-DateToday)+15,ABS(Option-2),1)*DE139*8)),0),0))</f>
        <v> </v>
      </c>
      <c r="BE139" s="300" t="str">
        <f aca="false">IF($A139="N/A"," ",IF(OR(Dayrun=1,Dayrun=4,Dayrun=5,Dayrun=7,Dayrun=8,Dayrun=10,Dayrun=11),MAX(0,(xSPRDOPT(L139,($E139-'Pricing Inputs'!$X174*$D139),$CV139,0,($CQ139+IF(Smile=TRUE(),VLOOKUP(MAX(-5,$H139-L139),Volsmile,2),0)),$CT139,$CU139,($A139-DateToday)+15,ABS(Option-2),1)*DF139*8)),0))</f>
        <v> </v>
      </c>
      <c r="BF139" s="300" t="str">
        <f aca="false">IF($A139="N/A"," ",IF(OR(Dayrun=1,Dayrun=7,Dayrun=8,Dayrun=10,Dayrun=11),MAX(0,(xSPRDOPT(M139,($E139-'Pricing Inputs'!$X174*$D139),$CV139,0,($CQ139+IF(Smile=TRUE(),VLOOKUP(MAX(-5,$H139-M139),Volsmile,2),0)),$CT139,$CU139,($A139-DateToday)+15,ABS(Option-2),1)*DF139*8)),0))</f>
        <v> </v>
      </c>
      <c r="BG139" s="300" t="str">
        <f aca="false">IF($A139="N/A"," ",IF(OR(Dayrun&lt;=2,Dayrun&gt;=10),IF(OffPeakEx=TRUE(),MAX(0,(xSPRDOPT(N139,($E139-'Pricing Inputs'!$X174*$D139),$CV139,0,($CQ139+IF(Smile=TRUE(),VLOOKUP(MAX(-5,$H139-N139),Volsmile,2),0)),$CT139,$CU139,($A139-DateToday)+15,ABS(Option-2),1)*DF139*8)),0),0))</f>
        <v> </v>
      </c>
      <c r="BH139" s="300" t="str">
        <f aca="false">IF($A139="N/A"," ",IF(OR(Dayrun=1,Dayrun=5,Dayrun=8,Dayrun=11),MAX(0,(xSPRDOPT(O139,($E139-'Pricing Inputs'!$X174*$D139),$CV139,0,($CQ139+IF(Smile=TRUE(),VLOOKUP(MAX(-5,$H139-O139),Volsmile,2),0)),$CT139,$CU139,($A139-DateToday)+15,ABS(Option-2),1)*DG139*8)),0))</f>
        <v> </v>
      </c>
      <c r="BI139" s="300" t="str">
        <f aca="false">IF($A139="N/A"," ",IF(OR(Dayrun=1,Dayrun=8,Dayrun=11),MAX(0,(xSPRDOPT(P139,($E139-'Pricing Inputs'!$X174*$D139),$CV139,0,($CQ139+IF(Smile=TRUE(),VLOOKUP(MAX(-5,$H139-P139),Volsmile,2),0)),$CT139,$CU139,($A139-DateToday)+15,ABS(Option-2),1)*DG139*8)),0))</f>
        <v> </v>
      </c>
      <c r="BJ139" s="301" t="str">
        <f aca="false">IF($A139="N/A"," ",IF(OR(Dayrun&lt;=2,Dayrun&gt;=11),IF(OffPeakEx=TRUE(),MAX(0,(xSPRDOPT(Q139,($E139-'Pricing Inputs'!$X174*$D139),$CV139,0,($CQ139+IF(Smile=TRUE(),VLOOKUP(MAX(-5,$H139-Q139),Volsmile,2),0)),$CT139,$CU139,($A139-DateToday)+15,ABS(Option-2),1)*DG139*8)),0),0))</f>
        <v> </v>
      </c>
      <c r="BK139" s="302" t="str">
        <f aca="false">IF($A139="N/A"," ",R139*$AS139)</f>
        <v> </v>
      </c>
      <c r="BL139" s="303" t="str">
        <f aca="false">IF($A139="N/A"," ",S139*$AT139)</f>
        <v> </v>
      </c>
      <c r="BM139" s="303" t="str">
        <f aca="false">IF($A139="N/A"," ",T139*$AU139)</f>
        <v> </v>
      </c>
      <c r="BN139" s="303" t="str">
        <f aca="false">IF($A139="N/A"," ",U139*$AV139)</f>
        <v> </v>
      </c>
      <c r="BO139" s="303" t="str">
        <f aca="false">IF($A139="N/A"," ",V139*$AW139)</f>
        <v> </v>
      </c>
      <c r="BP139" s="303" t="str">
        <f aca="false">IF($A139="N/A"," ",W139*$AX139)</f>
        <v> </v>
      </c>
      <c r="BQ139" s="303" t="str">
        <f aca="false">IF($A139="N/A"," ",X139*$AY139)</f>
        <v> </v>
      </c>
      <c r="BR139" s="303" t="str">
        <f aca="false">IF($A139="N/A"," ",Y139*$AZ139)</f>
        <v> </v>
      </c>
      <c r="BS139" s="304" t="str">
        <f aca="false">IF($A139="N/A"," ",Z139*$BA139)</f>
        <v> </v>
      </c>
      <c r="BT139" s="305" t="str">
        <f aca="false">IF($A139="N/A"," ",AA139*$AS139)</f>
        <v> </v>
      </c>
      <c r="BU139" s="306" t="str">
        <f aca="false">IF($A139="N/A"," ",AB139*$AT139)</f>
        <v> </v>
      </c>
      <c r="BV139" s="306" t="str">
        <f aca="false">IF($A139="N/A"," ",AC139*$AU139)</f>
        <v> </v>
      </c>
      <c r="BW139" s="306" t="str">
        <f aca="false">IF($A139="N/A"," ",AD139*$AV139)</f>
        <v> </v>
      </c>
      <c r="BX139" s="306" t="str">
        <f aca="false">IF($A139="N/A"," ",AE139*$AW139)</f>
        <v> </v>
      </c>
      <c r="BY139" s="306" t="str">
        <f aca="false">IF($A139="N/A"," ",AF139*$AX139)</f>
        <v> </v>
      </c>
      <c r="BZ139" s="306" t="str">
        <f aca="false">IF($A139="N/A"," ",AG139*$AY139)</f>
        <v> </v>
      </c>
      <c r="CA139" s="306" t="str">
        <f aca="false">IF($A139="N/A"," ",AH139*$AZ139)</f>
        <v> </v>
      </c>
      <c r="CB139" s="307" t="str">
        <f aca="false">IF($A139="N/A"," ",AI139*$BA139)</f>
        <v> </v>
      </c>
      <c r="CC139" s="308" t="str">
        <f aca="false">IF($A139="N/A"," ",AJ139*$AS139)</f>
        <v> </v>
      </c>
      <c r="CD139" s="309" t="str">
        <f aca="false">IF($A139="N/A"," ",AK139*$AT139)</f>
        <v> </v>
      </c>
      <c r="CE139" s="309" t="str">
        <f aca="false">IF($A139="N/A"," ",AL139*$AU139)</f>
        <v> </v>
      </c>
      <c r="CF139" s="309" t="str">
        <f aca="false">IF($A139="N/A"," ",AM139*$AV139)</f>
        <v> </v>
      </c>
      <c r="CG139" s="309" t="str">
        <f aca="false">IF($A139="N/A"," ",AN139*$AW139)</f>
        <v> </v>
      </c>
      <c r="CH139" s="309" t="str">
        <f aca="false">IF($A139="N/A"," ",AO139*$AX139)</f>
        <v> </v>
      </c>
      <c r="CI139" s="309" t="str">
        <f aca="false">IF($A139="N/A"," ",AP139*$AY139)</f>
        <v> </v>
      </c>
      <c r="CJ139" s="309" t="str">
        <f aca="false">IF($A139="N/A"," ",AQ139*$AZ139)</f>
        <v> </v>
      </c>
      <c r="CK139" s="310" t="str">
        <f aca="false">IF($A139="N/A"," ",AR139*$BA139)</f>
        <v> </v>
      </c>
      <c r="CL139" s="311" t="str">
        <f aca="false">IF(A139="N/A"," ",(VLOOKUP(A139,PowerVolTable,(IF(VolBMO=2,7,IF(VolBMO=1,6,8))),FALSE())))</f>
        <v> </v>
      </c>
      <c r="CM139" s="312" t="str">
        <f aca="false">IF(A139="N/A"," ",(VLOOKUP(A139,IntraPowerVol,(IF(VolBMO=2,3,IF(VolBMO=1,2,4))),FALSE())*VLOOKUP(MONTH($A139),Volscale,2)))</f>
        <v> </v>
      </c>
      <c r="CN139" s="312" t="str">
        <f aca="false">IF($A139="N/A"," ",IF(VolType=1,CM139,CL139))</f>
        <v> </v>
      </c>
      <c r="CO139" s="312" t="str">
        <f aca="false">IF($A139="N/A"," ",(VLOOKUP($A139,OffPeakVol,(IF(VolBMO=2,7,IF(VolBMO=1,6,8))),FALSE())))</f>
        <v> </v>
      </c>
      <c r="CP139" s="312" t="str">
        <f aca="false">IF($A139="N/A"," ",(VLOOKUP($A139,OffPeakVol,(IF(VolBMO=2,3,IF(VolBMO=1,2,4))),FALSE())*VLOOKUP(MONTH($A139),Volscale,2)))</f>
        <v> </v>
      </c>
      <c r="CQ139" s="312" t="str">
        <f aca="false">IF($A139="N/A"," ",IF(VolType=1,CP139,CO139))</f>
        <v> </v>
      </c>
      <c r="CR139" s="312" t="str">
        <f aca="false">IF($A139="N/A"," ",(VLOOKUP($A139,GasVolTable,(IF(VolBMO=2,6,IF(VolBMO=1,7,5))),FALSE())))</f>
        <v> </v>
      </c>
      <c r="CS139" s="312" t="str">
        <f aca="false">IF($A139="N/A"," ",(VLOOKUP($A139,OmicronVol,(IF(VolBMO=2,3,IF(VolBMO=1,4,2))),FALSE())))</f>
        <v> </v>
      </c>
      <c r="CT139" s="312" t="str">
        <f aca="false">IF($A139="N/A"," ",(IF(DateToday&gt;$A139,$CS139,IF(VolType=1,((($CR139^2)*((($A139-1)-DateToday)/((EOMONTH($A139,0)+1)-DateToday-15)))+((($CS139)^2)*((15)/((EOMONTH($A139,0)+1)-DateToday-15))))^0.5,CR139))))</f>
        <v> </v>
      </c>
      <c r="CU139" s="312" t="str">
        <f aca="false">IF($A139="N/A"," ",IF('Pricing Inputs'!$AR$23=TRUE(),Inputs!$S$22,VLOOKUP($A139,CorrelationTable,2,FALSE())))</f>
        <v> </v>
      </c>
      <c r="CV139" s="313" t="str">
        <f aca="false">IF($A139="N/A"," ",F139+G139+(D139*('Pricing Inputs'!X174)))</f>
        <v> </v>
      </c>
      <c r="CW139" s="314" t="str">
        <f aca="false">IF($A139="N/A"," ",IF(PV=1,0,'Pricing Inputs'!Y174))</f>
        <v> </v>
      </c>
      <c r="CX139" s="315" t="str">
        <f aca="false">IF($A139="N/A"," ",(1+CW139/2)^(-2*((EOMONTH(A139,0)+20)-DateToday)/365.25))</f>
        <v> </v>
      </c>
      <c r="CY139" s="316" t="str">
        <f aca="false">IF($A139="N/A"," ",(IF(MONTH(A139)&gt;=4,IF(MONTH(A139)&lt;=10,Inputs!$S$26,Inputs!$S$27),Inputs!$S$27))*$CX139)</f>
        <v> </v>
      </c>
      <c r="CZ139" s="317" t="str">
        <f aca="false">IF($A139="N/A"," ",BK139+BL139+BN139+BO139+BQ139+BR139)</f>
        <v> </v>
      </c>
      <c r="DA139" s="318" t="str">
        <f aca="false">IF($A139="N/A"," ",BM139+BP139+BS139)</f>
        <v> </v>
      </c>
      <c r="DB139" s="319" t="str">
        <f aca="false">IF($A139="N/A"," ",BT139+BU139+BW139+BX139+BZ139+CA139)</f>
        <v> </v>
      </c>
      <c r="DC139" s="319" t="str">
        <f aca="false">IF($A139="N/A"," ",BV139+BY139+CB139)</f>
        <v> </v>
      </c>
      <c r="DD139" s="320" t="str">
        <f aca="false">IF($A139="N/A"," ",SUM(CC139:CK139))</f>
        <v> </v>
      </c>
      <c r="DE139" s="321" t="str">
        <f aca="false">IF($A139="N/A"," ",VLOOKUP($A139,NumberofDaysTable,2)*Availability)</f>
        <v> </v>
      </c>
      <c r="DF139" s="94" t="str">
        <f aca="false">IF($A139="N/A"," ",VLOOKUP($A139,NumberofDaysTable,3)*Availability)</f>
        <v> </v>
      </c>
      <c r="DG139" s="322" t="str">
        <f aca="false">IF($A139="N/A"," ",VLOOKUP($A139,NumberofDaysTable,4)*Availability)</f>
        <v> </v>
      </c>
      <c r="DH139" s="323" t="str">
        <f aca="false">IF($A139="N/A"," ",IF(Option=1,$D139*Inputs!$S$15*SUM(AS139:BA139),0))</f>
        <v> </v>
      </c>
      <c r="DI139" s="324" t="str">
        <f aca="false">IF($A139="N/A"," ",IF(Option=1,$D139*Inputs!$S$16*SUM(AS139:BA139),0))</f>
        <v> </v>
      </c>
      <c r="DJ139" s="325" t="str">
        <f aca="false">IF($A139="N/A"," ",SUM(AS139:AT139))</f>
        <v> </v>
      </c>
      <c r="DK139" s="325" t="str">
        <f aca="false">IF($A139="N/A"," ",SUM(AU139:BA139))</f>
        <v> </v>
      </c>
      <c r="DL139" s="325" t="str">
        <f aca="false">IF($A139="N/A"," ",SUM(BB139:BC139))</f>
        <v> </v>
      </c>
      <c r="DM139" s="325" t="str">
        <f aca="false">IF($A139="N/A"," ",SUM(BD139:BJ139))</f>
        <v> </v>
      </c>
    </row>
    <row r="140" customFormat="false" ht="12.75" hidden="false" customHeight="false" outlineLevel="0" collapsed="false">
      <c r="A140" s="282" t="str">
        <f aca="false">IF(A139="N/A","N/A",IF(EDATE(A139,1)&gt;Inputs!$S$5,"N/A",EDATE(A139,1)))</f>
        <v>N/A</v>
      </c>
      <c r="B140" s="283" t="str">
        <f aca="false">IF(A140="N/A"," ",YEAR(A140))</f>
        <v> </v>
      </c>
      <c r="C140" s="284" t="str">
        <f aca="false">IF(A140="N/A"," ",VLOOKUP(A140,ScaledPrice,14))</f>
        <v> </v>
      </c>
      <c r="D140" s="285" t="str">
        <f aca="false">IF(A140="N/A"," ",(VLOOKUP(MONTH($A140),Hrtable,2))/1000)</f>
        <v> </v>
      </c>
      <c r="E140" s="286" t="str">
        <f aca="false">IF($A140="N/A"," ",(C140)*D140)</f>
        <v> </v>
      </c>
      <c r="F140" s="287" t="str">
        <f aca="false">IF(A140="N/A"," ",VOM*(1+VOMesc)^(YEAR(A140)-YEAR(Today)))</f>
        <v> </v>
      </c>
      <c r="G140" s="287" t="str">
        <f aca="false">IF(A140="N/A"," ",Perstart/VLOOKUP(Dayrun,'Pricing Inputs'!$AQ$4:$AS$14,3)/(CY140/CX140))</f>
        <v> </v>
      </c>
      <c r="H140" s="288" t="str">
        <f aca="false">IF(A140="N/A"," ",SUM(E140:G140))</f>
        <v> </v>
      </c>
      <c r="I140" s="289" t="str">
        <f aca="false">VLOOKUP($A140,ScaledPrice,6)</f>
        <v> </v>
      </c>
      <c r="J140" s="290" t="str">
        <f aca="false">VLOOKUP($A140,ScaledPrice,10)</f>
        <v> </v>
      </c>
      <c r="K140" s="290" t="str">
        <f aca="false">VLOOKUP($A140,ScaledPrice,13)</f>
        <v> </v>
      </c>
      <c r="L140" s="290" t="str">
        <f aca="false">VLOOKUP($A140,ScaledPrice,7)</f>
        <v> </v>
      </c>
      <c r="M140" s="290" t="str">
        <f aca="false">VLOOKUP($A140,ScaledPrice,11)</f>
        <v> </v>
      </c>
      <c r="N140" s="290" t="str">
        <f aca="false">VLOOKUP($A140,ScaledPrice,13)</f>
        <v> </v>
      </c>
      <c r="O140" s="290" t="str">
        <f aca="false">VLOOKUP($A140,ScaledPrice,8)</f>
        <v> </v>
      </c>
      <c r="P140" s="290" t="str">
        <f aca="false">VLOOKUP($A140,ScaledPrice,12)</f>
        <v> </v>
      </c>
      <c r="Q140" s="291" t="str">
        <f aca="false">VLOOKUP($A140,ScaledPrice,13)</f>
        <v> </v>
      </c>
      <c r="R140" s="292" t="str">
        <f aca="false">IF($A140="N/A"," ",IF(Dayrun&gt;=3,IF(Option=1,MAX($I140-$H140,0),IF(Option=2,MAX($H140-$I140,0),0)),0))</f>
        <v> </v>
      </c>
      <c r="S140" s="286" t="str">
        <f aca="false">IF($A140="N/A"," ",IF(Dayrun&gt;=6,IF(Option=1,MAX($J140-H140,0),IF(Option=2,MAX(H140-$J140,0),0)),0))</f>
        <v> </v>
      </c>
      <c r="T140" s="286" t="str">
        <f aca="false">IF($A140="N/A"," ",IF(OR(Dayrun&lt;=2,Dayrun&gt;=9),IF(Option=1,MAX($K140-$H140,0),IF(Option=2,MAX($H140-$K140,0),0)),0))</f>
        <v> </v>
      </c>
      <c r="U140" s="286" t="str">
        <f aca="false">IF($A140="N/A"," ",IF(OR(Dayrun=1,Dayrun=4,Dayrun=5,Dayrun=7,Dayrun=8,Dayrun=10,Dayrun=11),IF(Option=1,MAX($L140-H140,0),IF(Option=2,MAX(H140-$L140,0),0)),0))</f>
        <v> </v>
      </c>
      <c r="V140" s="286" t="str">
        <f aca="false">IF($A140="N/A"," ",IF(OR(Dayrun=1,Dayrun=7,Dayrun=8,Dayrun=10,Dayrun=11),IF(Option=1,MAX($M140-H140,0),IF(Option=2,MAX(H140-$M140,0),0)),0))</f>
        <v> </v>
      </c>
      <c r="W140" s="286" t="str">
        <f aca="false">IF($A140="N/A"," ",IF(OR(Dayrun&lt;=2,Dayrun&gt;=10),IF(Option=1,MAX($N140-$H140,0),IF(Option=2,MAX($H140-$N140,0),0)),0))</f>
        <v> </v>
      </c>
      <c r="X140" s="286" t="str">
        <f aca="false">IF($A140="N/A"," ",IF(OR(Dayrun=1,Dayrun=5,Dayrun=8,Dayrun=11),IF(Option=1,MAX($O140-H140,0),IF(Option=2,MAX(H140-$O140,0),0)),0))</f>
        <v> </v>
      </c>
      <c r="Y140" s="286" t="str">
        <f aca="false">IF($A140="N/A"," ",IF(OR(Dayrun=1,Dayrun=8,Dayrun=11),IF(Option=1,MAX($P140-H140,0),IF(Option=2,MAX(H140-$P140,0),0)),0))</f>
        <v> </v>
      </c>
      <c r="Z140" s="293" t="str">
        <f aca="false">IF($A140="N/A"," ",IF(OR(Dayrun&lt;=2,Dayrun&gt;=11),IF(Option=1,MAX($Q140-$H140,0),IF(Option=2,MAX($H140-$Q140,0),0)),0))</f>
        <v> </v>
      </c>
      <c r="AA140" s="289" t="str">
        <f aca="false">IF($A140="N/A"," ",IF(Dayrun&gt;=3,(MAX(0,(xSPRDOPT(I140,($E140-'Pricing Inputs'!$X175*$D140),$CV140,0,($CN140+IF(Smile=TRUE(),VLOOKUP(MAX(-5,$H140-I140),Volsmile,2),0)),$CT140,$CU140,($A140-DateToday)+15,ABS(Option-2),0)-R140))),0))</f>
        <v> </v>
      </c>
      <c r="AB140" s="290" t="str">
        <f aca="false">IF($A140="N/A"," ",IF(Dayrun&gt;=6,MAX(0,(xSPRDOPT(J140,($E140-'Pricing Inputs'!$X175*$D140),$CV140,0,($CN140+IF(Smile=TRUE(),VLOOKUP(MAX(-5,$H140-J140),Volsmile,2),0)),$CT140,$CU140,($A140-DateToday)+15,ABS(Option-2),0)-S140)),0))</f>
        <v> </v>
      </c>
      <c r="AC140" s="290" t="str">
        <f aca="false">IF($A140="N/A"," ",IF(OR(Dayrun&lt;=2,Dayrun&gt;=9),IF(OffPeakEx=TRUE(),MAX(0,(xSPRDOPT(K140,($E140-'Pricing Inputs'!$X175*$D140),$CV140,0,($CQ140+IF(Smile=TRUE(),VLOOKUP(MAX(-5,$H140-K140),Volsmile,2),0)),$CT140,$CU140,($A140-DateToday)+15,ABS(Option-2),0)-T140)),0),0))</f>
        <v> </v>
      </c>
      <c r="AD140" s="290" t="str">
        <f aca="false">IF($A140="N/A"," ",IF(OR(Dayrun=1,Dayrun=4,Dayrun=5,Dayrun=7,Dayrun=8,Dayrun=10,Dayrun=11),MAX(0,(xSPRDOPT(L140,($E140-'Pricing Inputs'!$X175*$D140),$CV140,0,($CQ140+IF(Smile=TRUE(),VLOOKUP(MAX(-5,$H140-L140),Volsmile,2),0)),$CT140,$CU140,($A140-DateToday)+15,ABS(Option-2),0)-U140)),0))</f>
        <v> </v>
      </c>
      <c r="AE140" s="290" t="str">
        <f aca="false">IF($A140="N/A"," ",IF(OR(Dayrun=1,Dayrun=7,Dayrun=8,Dayrun=10,Dayrun=11),MAX(0,(xSPRDOPT(M140,($E140-'Pricing Inputs'!$X175*$D140),$CV140,0,($CQ140+IF(Smile=TRUE(),VLOOKUP(MAX(-5,$H140-M140),Volsmile,2),0)),$CT140,$CU140,($A140-DateToday)+15,ABS(Option-2),0)-V140)),0))</f>
        <v> </v>
      </c>
      <c r="AF140" s="290" t="str">
        <f aca="false">IF($A140="N/A"," ",IF(OR(Dayrun&lt;=2,Dayrun&gt;=10),IF(OffPeakEx=TRUE(),MAX(0,(xSPRDOPT(N140,($E140-'Pricing Inputs'!$X175*$D140),$CV140,0,($CQ140+IF(Smile=TRUE(),VLOOKUP(MAX(-5,$H140-N140),Volsmile,2),0)),$CT140,$CU140,($A140-DateToday)+15,ABS(Option-2),0)-W140)),0),0))</f>
        <v> </v>
      </c>
      <c r="AG140" s="290" t="str">
        <f aca="false">IF($A140="N/A"," ",IF(OR(Dayrun=1,Dayrun=5,Dayrun=8,Dayrun=11),MAX(0,(xSPRDOPT(O140,($E140-'Pricing Inputs'!$X175*$D140),$CV140,0,($CQ140+IF(Smile=TRUE(),VLOOKUP(MAX(-5,$H140-O140),Volsmile,2),0)),$CT140,$CU140,($A140-DateToday)+15,ABS(Option-2),0)-X140)),0))</f>
        <v> </v>
      </c>
      <c r="AH140" s="290" t="str">
        <f aca="false">IF($A140="N/A"," ",IF(OR(Dayrun=1,Dayrun=8,Dayrun=11),MAX(0,(xSPRDOPT(P140,($E140-'Pricing Inputs'!$X175*$D140),$CV140,0,($CQ140+IF(Smile=TRUE(),VLOOKUP(MAX(-5,$H140-P140),Volsmile,2),0)),$CT140,$CU140,($A140-DateToday)+15,ABS(Option-2),0)-Y140)),0))</f>
        <v> </v>
      </c>
      <c r="AI140" s="290" t="str">
        <f aca="false">IF($A140="N/A"," ",IF(OR(Dayrun&lt;=2,Dayrun&gt;=11),IF(OffPeakEx=TRUE(),MAX(0,(xSPRDOPT(Q140,($E140-'Pricing Inputs'!$X175*$D140),$CV140,0,($CQ140+IF(Smile=TRUE(),VLOOKUP(MAX(-5,$H140-Q140),Volsmile,2),0)),$CT140,$CU140,($A140-DateToday)+15,ABS(Option-2),0)-Z140)),0),0))</f>
        <v> </v>
      </c>
      <c r="AJ140" s="294" t="str">
        <f aca="false">IF($A140="N/A"," ",IF(Dayrun&gt;=3,IF(Option=1,$I140-$H140,IF(Option=2,$H140-$I140)),0))</f>
        <v> </v>
      </c>
      <c r="AK140" s="295" t="str">
        <f aca="false">IF($A140="N/A"," ",IF(Dayrun&gt;=6,IF(Option=1,$J140-H140,IF(Option=2,H140-$J140)),0))</f>
        <v> </v>
      </c>
      <c r="AL140" s="295" t="str">
        <f aca="false">IF($A140="N/A"," ",IF(OR(Dayrun&lt;=2,Dayrun&gt;=9),IF(Option=1,$K140-$H140,IF(Option=2,$H140-$K140)),0))</f>
        <v> </v>
      </c>
      <c r="AM140" s="295" t="str">
        <f aca="false">IF($A140="N/A"," ",IF(OR(Dayrun=1,Dayrun=4,Dayrun=5,Dayrun=7,Dayrun=8,Dayrun=10,Dayrun=11),IF(Option=1,$L140-H140,IF(Option=2,H140-$L140)),0))</f>
        <v> </v>
      </c>
      <c r="AN140" s="295" t="str">
        <f aca="false">IF($A140="N/A"," ",IF(OR(Dayrun=1,Dayrun=7,Dayrun=8,Dayrun=10,Dayrun=11),IF(Option=1,$M140-H140,IF(Option=2,H140-$M140)),0))</f>
        <v> </v>
      </c>
      <c r="AO140" s="295" t="str">
        <f aca="false">IF($A140="N/A"," ",IF(OR(Dayrun&lt;=2,Dayrun&gt;=9),IF(Option=1,$N140-$H140,IF(Option=2,$H140-$N140)),0))</f>
        <v> </v>
      </c>
      <c r="AP140" s="295" t="str">
        <f aca="false">IF($A140="N/A"," ",IF(OR(Dayrun=1,Dayrun=5,Dayrun=8,Dayrun=11),IF(Option=1,$O140-H140,IF(Option=2,H140-$O140)),0))</f>
        <v> </v>
      </c>
      <c r="AQ140" s="295" t="str">
        <f aca="false">IF($A140="N/A"," ",IF(OR(Dayrun=1,Dayrun=8,Dayrun=11),IF(Option=1,$P140-H140,IF(Option=2,H140-$P140)),0))</f>
        <v> </v>
      </c>
      <c r="AR140" s="296" t="str">
        <f aca="false">IF($A140="N/A"," ",IF(OR(Dayrun&lt;=2,Dayrun&gt;=9),IF(Option=1,$Q140-H140,IF(Option=2,H140-$Q140)),0))</f>
        <v> </v>
      </c>
      <c r="AS140" s="297" t="str">
        <f aca="false">IF($A140="N/A"," ",IF(VLOOKUP(MONTH($A140),ManualTable,2)=1,IF(Dayrun&gt;=3,$DE140*8*$CY140,0),0))</f>
        <v> </v>
      </c>
      <c r="AT140" s="297" t="str">
        <f aca="false">IF($A140="N/A"," ",IF(VLOOKUP(MONTH($A140),ManualTable,3)=1,IF(Dayrun&gt;=6,$DE140*8*$CY140,0),0))</f>
        <v> </v>
      </c>
      <c r="AU140" s="297" t="str">
        <f aca="false">IF($A140="N/A"," ",IF(VLOOKUP(MONTH($A140),ManualTable,4)=1,IF(OR(Dayrun&lt;=2,Dayrun&gt;=9),$DE140*8*$CY140,0),0))</f>
        <v> </v>
      </c>
      <c r="AV140" s="297" t="str">
        <f aca="false">IF($A140="N/A"," ",IF(VLOOKUP(MONTH($A140),ManualTable,5)=1,IF(OR(Dayrun=1,Dayrun=4,Dayrun=5,Dayrun=7,Dayrun=8,Dayrun=10,Dayrun=11),$DF140*8*$CY140,0),0))</f>
        <v> </v>
      </c>
      <c r="AW140" s="297" t="str">
        <f aca="false">IF($A140="N/A"," ",IF(VLOOKUP(MONTH($A140),ManualTable,6)=1,IF(OR(Dayrun=1,Dayrun=7,Dayrun=8,Dayrun=10,Dayrun=11),$DF140*8*$CY140,0),0))</f>
        <v> </v>
      </c>
      <c r="AX140" s="297" t="str">
        <f aca="false">IF($A140="N/A"," ",IF(VLOOKUP(MONTH($A140),ManualTable,7)=1,IF(OR(Dayrun&lt;=2,Dayrun&gt;=9),$DF140*8*$CY140,0),0))</f>
        <v> </v>
      </c>
      <c r="AY140" s="297" t="str">
        <f aca="false">IF($A140="N/A"," ",IF(VLOOKUP(MONTH($A140),ManualTable,8)=1,IF(OR(Dayrun=1,Dayrun=5,Dayrun=8,Dayrun=11),$DG140*8*$CY140,0),0))</f>
        <v> </v>
      </c>
      <c r="AZ140" s="297" t="str">
        <f aca="false">IF($A140="N/A"," ",IF(VLOOKUP(MONTH($A140),ManualTable,9)=1,IF(OR(Dayrun=1,Dayrun=8,Dayrun=11),$DG140*8*$CY140,0),0))</f>
        <v> </v>
      </c>
      <c r="BA140" s="298" t="str">
        <f aca="false">IF($A140="N/A"," ",IF(VLOOKUP(MONTH($A140),ManualTable,10)=1,IF(OR(Dayrun&lt;=2,Dayrun&gt;=9),$DG140*8*$CY140,0),0))</f>
        <v> </v>
      </c>
      <c r="BB140" s="299" t="str">
        <f aca="false">IF($A140="N/A"," ",IF(Dayrun&gt;=3,(MAX(0,(xSPRDOPT(I140,($E140-'Pricing Inputs'!$X175*$D140),$CV140,0,($CN140+IF(Smile=TRUE(),VLOOKUP(MAX(-5,$H140-I140),Volsmile,2),0)),$CT140,$CU140,($A140-DateToday)+15,ABS(Option-2),1)*DE140*8))),0))</f>
        <v> </v>
      </c>
      <c r="BC140" s="300" t="str">
        <f aca="false">IF($A140="N/A"," ",IF(Dayrun&gt;=6,MAX(0,(xSPRDOPT(J140,($E140-'Pricing Inputs'!$X175*$D140),$CV140,0,($CN140+IF(Smile=TRUE(),VLOOKUP(MAX(-5,$H140-J140),Volsmile,2),0)),$CT140,$CU140,($A140-DateToday)+15,ABS(Option-2),1)*DE140*8)),0))</f>
        <v> </v>
      </c>
      <c r="BD140" s="300" t="str">
        <f aca="false">IF($A140="N/A"," ",IF(OR(Dayrun&lt;=2,Dayrun&gt;=9),IF(OffPeakEx=TRUE(),MAX(0,(xSPRDOPT(K140,($E140-'Pricing Inputs'!$X175*$D140),$CV140,0,($CQ140+IF(Smile=TRUE(),VLOOKUP(MAX(-5,$H140-K140),Volsmile,2),0)),$CT140,$CU140,($A140-DateToday)+15,ABS(Option-2),1)*DE140*8)),0),0))</f>
        <v> </v>
      </c>
      <c r="BE140" s="300" t="str">
        <f aca="false">IF($A140="N/A"," ",IF(OR(Dayrun=1,Dayrun=4,Dayrun=5,Dayrun=7,Dayrun=8,Dayrun=10,Dayrun=11),MAX(0,(xSPRDOPT(L140,($E140-'Pricing Inputs'!$X175*$D140),$CV140,0,($CQ140+IF(Smile=TRUE(),VLOOKUP(MAX(-5,$H140-L140),Volsmile,2),0)),$CT140,$CU140,($A140-DateToday)+15,ABS(Option-2),1)*DF140*8)),0))</f>
        <v> </v>
      </c>
      <c r="BF140" s="300" t="str">
        <f aca="false">IF($A140="N/A"," ",IF(OR(Dayrun=1,Dayrun=7,Dayrun=8,Dayrun=10,Dayrun=11),MAX(0,(xSPRDOPT(M140,($E140-'Pricing Inputs'!$X175*$D140),$CV140,0,($CQ140+IF(Smile=TRUE(),VLOOKUP(MAX(-5,$H140-M140),Volsmile,2),0)),$CT140,$CU140,($A140-DateToday)+15,ABS(Option-2),1)*DF140*8)),0))</f>
        <v> </v>
      </c>
      <c r="BG140" s="300" t="str">
        <f aca="false">IF($A140="N/A"," ",IF(OR(Dayrun&lt;=2,Dayrun&gt;=10),IF(OffPeakEx=TRUE(),MAX(0,(xSPRDOPT(N140,($E140-'Pricing Inputs'!$X175*$D140),$CV140,0,($CQ140+IF(Smile=TRUE(),VLOOKUP(MAX(-5,$H140-N140),Volsmile,2),0)),$CT140,$CU140,($A140-DateToday)+15,ABS(Option-2),1)*DF140*8)),0),0))</f>
        <v> </v>
      </c>
      <c r="BH140" s="300" t="str">
        <f aca="false">IF($A140="N/A"," ",IF(OR(Dayrun=1,Dayrun=5,Dayrun=8,Dayrun=11),MAX(0,(xSPRDOPT(O140,($E140-'Pricing Inputs'!$X175*$D140),$CV140,0,($CQ140+IF(Smile=TRUE(),VLOOKUP(MAX(-5,$H140-O140),Volsmile,2),0)),$CT140,$CU140,($A140-DateToday)+15,ABS(Option-2),1)*DG140*8)),0))</f>
        <v> </v>
      </c>
      <c r="BI140" s="300" t="str">
        <f aca="false">IF($A140="N/A"," ",IF(OR(Dayrun=1,Dayrun=8,Dayrun=11),MAX(0,(xSPRDOPT(P140,($E140-'Pricing Inputs'!$X175*$D140),$CV140,0,($CQ140+IF(Smile=TRUE(),VLOOKUP(MAX(-5,$H140-P140),Volsmile,2),0)),$CT140,$CU140,($A140-DateToday)+15,ABS(Option-2),1)*DG140*8)),0))</f>
        <v> </v>
      </c>
      <c r="BJ140" s="301" t="str">
        <f aca="false">IF($A140="N/A"," ",IF(OR(Dayrun&lt;=2,Dayrun&gt;=11),IF(OffPeakEx=TRUE(),MAX(0,(xSPRDOPT(Q140,($E140-'Pricing Inputs'!$X175*$D140),$CV140,0,($CQ140+IF(Smile=TRUE(),VLOOKUP(MAX(-5,$H140-Q140),Volsmile,2),0)),$CT140,$CU140,($A140-DateToday)+15,ABS(Option-2),1)*DG140*8)),0),0))</f>
        <v> </v>
      </c>
      <c r="BK140" s="302" t="str">
        <f aca="false">IF($A140="N/A"," ",R140*$AS140)</f>
        <v> </v>
      </c>
      <c r="BL140" s="303" t="str">
        <f aca="false">IF($A140="N/A"," ",S140*$AT140)</f>
        <v> </v>
      </c>
      <c r="BM140" s="303" t="str">
        <f aca="false">IF($A140="N/A"," ",T140*$AU140)</f>
        <v> </v>
      </c>
      <c r="BN140" s="303" t="str">
        <f aca="false">IF($A140="N/A"," ",U140*$AV140)</f>
        <v> </v>
      </c>
      <c r="BO140" s="303" t="str">
        <f aca="false">IF($A140="N/A"," ",V140*$AW140)</f>
        <v> </v>
      </c>
      <c r="BP140" s="303" t="str">
        <f aca="false">IF($A140="N/A"," ",W140*$AX140)</f>
        <v> </v>
      </c>
      <c r="BQ140" s="303" t="str">
        <f aca="false">IF($A140="N/A"," ",X140*$AY140)</f>
        <v> </v>
      </c>
      <c r="BR140" s="303" t="str">
        <f aca="false">IF($A140="N/A"," ",Y140*$AZ140)</f>
        <v> </v>
      </c>
      <c r="BS140" s="304" t="str">
        <f aca="false">IF($A140="N/A"," ",Z140*$BA140)</f>
        <v> </v>
      </c>
      <c r="BT140" s="305" t="str">
        <f aca="false">IF($A140="N/A"," ",AA140*$AS140)</f>
        <v> </v>
      </c>
      <c r="BU140" s="306" t="str">
        <f aca="false">IF($A140="N/A"," ",AB140*$AT140)</f>
        <v> </v>
      </c>
      <c r="BV140" s="306" t="str">
        <f aca="false">IF($A140="N/A"," ",AC140*$AU140)</f>
        <v> </v>
      </c>
      <c r="BW140" s="306" t="str">
        <f aca="false">IF($A140="N/A"," ",AD140*$AV140)</f>
        <v> </v>
      </c>
      <c r="BX140" s="306" t="str">
        <f aca="false">IF($A140="N/A"," ",AE140*$AW140)</f>
        <v> </v>
      </c>
      <c r="BY140" s="306" t="str">
        <f aca="false">IF($A140="N/A"," ",AF140*$AX140)</f>
        <v> </v>
      </c>
      <c r="BZ140" s="306" t="str">
        <f aca="false">IF($A140="N/A"," ",AG140*$AY140)</f>
        <v> </v>
      </c>
      <c r="CA140" s="306" t="str">
        <f aca="false">IF($A140="N/A"," ",AH140*$AZ140)</f>
        <v> </v>
      </c>
      <c r="CB140" s="307" t="str">
        <f aca="false">IF($A140="N/A"," ",AI140*$BA140)</f>
        <v> </v>
      </c>
      <c r="CC140" s="308" t="str">
        <f aca="false">IF($A140="N/A"," ",AJ140*$AS140)</f>
        <v> </v>
      </c>
      <c r="CD140" s="309" t="str">
        <f aca="false">IF($A140="N/A"," ",AK140*$AT140)</f>
        <v> </v>
      </c>
      <c r="CE140" s="309" t="str">
        <f aca="false">IF($A140="N/A"," ",AL140*$AU140)</f>
        <v> </v>
      </c>
      <c r="CF140" s="309" t="str">
        <f aca="false">IF($A140="N/A"," ",AM140*$AV140)</f>
        <v> </v>
      </c>
      <c r="CG140" s="309" t="str">
        <f aca="false">IF($A140="N/A"," ",AN140*$AW140)</f>
        <v> </v>
      </c>
      <c r="CH140" s="309" t="str">
        <f aca="false">IF($A140="N/A"," ",AO140*$AX140)</f>
        <v> </v>
      </c>
      <c r="CI140" s="309" t="str">
        <f aca="false">IF($A140="N/A"," ",AP140*$AY140)</f>
        <v> </v>
      </c>
      <c r="CJ140" s="309" t="str">
        <f aca="false">IF($A140="N/A"," ",AQ140*$AZ140)</f>
        <v> </v>
      </c>
      <c r="CK140" s="310" t="str">
        <f aca="false">IF($A140="N/A"," ",AR140*$BA140)</f>
        <v> </v>
      </c>
      <c r="CL140" s="311" t="str">
        <f aca="false">IF(A140="N/A"," ",(VLOOKUP(A140,PowerVolTable,(IF(VolBMO=2,7,IF(VolBMO=1,6,8))),FALSE())))</f>
        <v> </v>
      </c>
      <c r="CM140" s="312" t="str">
        <f aca="false">IF(A140="N/A"," ",(VLOOKUP(A140,IntraPowerVol,(IF(VolBMO=2,3,IF(VolBMO=1,2,4))),FALSE())*VLOOKUP(MONTH($A140),Volscale,2)))</f>
        <v> </v>
      </c>
      <c r="CN140" s="312" t="str">
        <f aca="false">IF($A140="N/A"," ",IF(VolType=1,CM140,CL140))</f>
        <v> </v>
      </c>
      <c r="CO140" s="312" t="str">
        <f aca="false">IF($A140="N/A"," ",(VLOOKUP($A140,OffPeakVol,(IF(VolBMO=2,7,IF(VolBMO=1,6,8))),FALSE())))</f>
        <v> </v>
      </c>
      <c r="CP140" s="312" t="str">
        <f aca="false">IF($A140="N/A"," ",(VLOOKUP($A140,OffPeakVol,(IF(VolBMO=2,3,IF(VolBMO=1,2,4))),FALSE())*VLOOKUP(MONTH($A140),Volscale,2)))</f>
        <v> </v>
      </c>
      <c r="CQ140" s="312" t="str">
        <f aca="false">IF($A140="N/A"," ",IF(VolType=1,CP140,CO140))</f>
        <v> </v>
      </c>
      <c r="CR140" s="312" t="str">
        <f aca="false">IF($A140="N/A"," ",(VLOOKUP($A140,GasVolTable,(IF(VolBMO=2,6,IF(VolBMO=1,7,5))),FALSE())))</f>
        <v> </v>
      </c>
      <c r="CS140" s="312" t="str">
        <f aca="false">IF($A140="N/A"," ",(VLOOKUP($A140,OmicronVol,(IF(VolBMO=2,3,IF(VolBMO=1,4,2))),FALSE())))</f>
        <v> </v>
      </c>
      <c r="CT140" s="312" t="str">
        <f aca="false">IF($A140="N/A"," ",(IF(DateToday&gt;$A140,$CS140,IF(VolType=1,((($CR140^2)*((($A140-1)-DateToday)/((EOMONTH($A140,0)+1)-DateToday-15)))+((($CS140)^2)*((15)/((EOMONTH($A140,0)+1)-DateToday-15))))^0.5,CR140))))</f>
        <v> </v>
      </c>
      <c r="CU140" s="312" t="str">
        <f aca="false">IF($A140="N/A"," ",IF('Pricing Inputs'!$AR$23=TRUE(),Inputs!$S$22,VLOOKUP($A140,CorrelationTable,2,FALSE())))</f>
        <v> </v>
      </c>
      <c r="CV140" s="313" t="str">
        <f aca="false">IF($A140="N/A"," ",F140+G140+(D140*('Pricing Inputs'!X175)))</f>
        <v> </v>
      </c>
      <c r="CW140" s="314" t="str">
        <f aca="false">IF($A140="N/A"," ",IF(PV=1,0,'Pricing Inputs'!Y175))</f>
        <v> </v>
      </c>
      <c r="CX140" s="315" t="str">
        <f aca="false">IF($A140="N/A"," ",(1+CW140/2)^(-2*((EOMONTH(A140,0)+20)-DateToday)/365.25))</f>
        <v> </v>
      </c>
      <c r="CY140" s="316" t="str">
        <f aca="false">IF($A140="N/A"," ",(IF(MONTH(A140)&gt;=4,IF(MONTH(A140)&lt;=10,Inputs!$S$26,Inputs!$S$27),Inputs!$S$27))*$CX140)</f>
        <v> </v>
      </c>
      <c r="CZ140" s="317" t="str">
        <f aca="false">IF($A140="N/A"," ",BK140+BL140+BN140+BO140+BQ140+BR140)</f>
        <v> </v>
      </c>
      <c r="DA140" s="318" t="str">
        <f aca="false">IF($A140="N/A"," ",BM140+BP140+BS140)</f>
        <v> </v>
      </c>
      <c r="DB140" s="319" t="str">
        <f aca="false">IF($A140="N/A"," ",BT140+BU140+BW140+BX140+BZ140+CA140)</f>
        <v> </v>
      </c>
      <c r="DC140" s="319" t="str">
        <f aca="false">IF($A140="N/A"," ",BV140+BY140+CB140)</f>
        <v> </v>
      </c>
      <c r="DD140" s="320" t="str">
        <f aca="false">IF($A140="N/A"," ",SUM(CC140:CK140))</f>
        <v> </v>
      </c>
      <c r="DE140" s="321" t="str">
        <f aca="false">IF($A140="N/A"," ",VLOOKUP($A140,NumberofDaysTable,2)*Availability)</f>
        <v> </v>
      </c>
      <c r="DF140" s="94" t="str">
        <f aca="false">IF($A140="N/A"," ",VLOOKUP($A140,NumberofDaysTable,3)*Availability)</f>
        <v> </v>
      </c>
      <c r="DG140" s="322" t="str">
        <f aca="false">IF($A140="N/A"," ",VLOOKUP($A140,NumberofDaysTable,4)*Availability)</f>
        <v> </v>
      </c>
      <c r="DH140" s="323" t="str">
        <f aca="false">IF($A140="N/A"," ",IF(Option=1,$D140*Inputs!$S$15*SUM(AS140:BA140),0))</f>
        <v> </v>
      </c>
      <c r="DI140" s="324" t="str">
        <f aca="false">IF($A140="N/A"," ",IF(Option=1,$D140*Inputs!$S$16*SUM(AS140:BA140),0))</f>
        <v> </v>
      </c>
      <c r="DJ140" s="325" t="str">
        <f aca="false">IF($A140="N/A"," ",SUM(AS140:AT140))</f>
        <v> </v>
      </c>
      <c r="DK140" s="325" t="str">
        <f aca="false">IF($A140="N/A"," ",SUM(AU140:BA140))</f>
        <v> </v>
      </c>
      <c r="DL140" s="325" t="str">
        <f aca="false">IF($A140="N/A"," ",SUM(BB140:BC140))</f>
        <v> </v>
      </c>
      <c r="DM140" s="325" t="str">
        <f aca="false">IF($A140="N/A"," ",SUM(BD140:BJ140))</f>
        <v> </v>
      </c>
    </row>
    <row r="141" customFormat="false" ht="12.75" hidden="false" customHeight="false" outlineLevel="0" collapsed="false">
      <c r="A141" s="282" t="str">
        <f aca="false">IF(A140="N/A","N/A",IF(EDATE(A140,1)&gt;Inputs!$S$5,"N/A",EDATE(A140,1)))</f>
        <v>N/A</v>
      </c>
      <c r="B141" s="283" t="str">
        <f aca="false">IF(A141="N/A"," ",YEAR(A141))</f>
        <v> </v>
      </c>
      <c r="C141" s="284" t="str">
        <f aca="false">IF(A141="N/A"," ",VLOOKUP(A141,ScaledPrice,14))</f>
        <v> </v>
      </c>
      <c r="D141" s="285" t="str">
        <f aca="false">IF(A141="N/A"," ",(VLOOKUP(MONTH($A141),Hrtable,2))/1000)</f>
        <v> </v>
      </c>
      <c r="E141" s="286" t="str">
        <f aca="false">IF($A141="N/A"," ",(C141)*D141)</f>
        <v> </v>
      </c>
      <c r="F141" s="287" t="str">
        <f aca="false">IF(A141="N/A"," ",VOM*(1+VOMesc)^(YEAR(A141)-YEAR(Today)))</f>
        <v> </v>
      </c>
      <c r="G141" s="287" t="str">
        <f aca="false">IF(A141="N/A"," ",Perstart/VLOOKUP(Dayrun,'Pricing Inputs'!$AQ$4:$AS$14,3)/(CY141/CX141))</f>
        <v> </v>
      </c>
      <c r="H141" s="288" t="str">
        <f aca="false">IF(A141="N/A"," ",SUM(E141:G141))</f>
        <v> </v>
      </c>
      <c r="I141" s="289" t="str">
        <f aca="false">VLOOKUP($A141,ScaledPrice,6)</f>
        <v> </v>
      </c>
      <c r="J141" s="290" t="str">
        <f aca="false">VLOOKUP($A141,ScaledPrice,10)</f>
        <v> </v>
      </c>
      <c r="K141" s="290" t="str">
        <f aca="false">VLOOKUP($A141,ScaledPrice,13)</f>
        <v> </v>
      </c>
      <c r="L141" s="290" t="str">
        <f aca="false">VLOOKUP($A141,ScaledPrice,7)</f>
        <v> </v>
      </c>
      <c r="M141" s="290" t="str">
        <f aca="false">VLOOKUP($A141,ScaledPrice,11)</f>
        <v> </v>
      </c>
      <c r="N141" s="290" t="str">
        <f aca="false">VLOOKUP($A141,ScaledPrice,13)</f>
        <v> </v>
      </c>
      <c r="O141" s="290" t="str">
        <f aca="false">VLOOKUP($A141,ScaledPrice,8)</f>
        <v> </v>
      </c>
      <c r="P141" s="290" t="str">
        <f aca="false">VLOOKUP($A141,ScaledPrice,12)</f>
        <v> </v>
      </c>
      <c r="Q141" s="291" t="str">
        <f aca="false">VLOOKUP($A141,ScaledPrice,13)</f>
        <v> </v>
      </c>
      <c r="R141" s="292" t="str">
        <f aca="false">IF($A141="N/A"," ",IF(Dayrun&gt;=3,IF(Option=1,MAX($I141-$H141,0),IF(Option=2,MAX($H141-$I141,0),0)),0))</f>
        <v> </v>
      </c>
      <c r="S141" s="286" t="str">
        <f aca="false">IF($A141="N/A"," ",IF(Dayrun&gt;=6,IF(Option=1,MAX($J141-H141,0),IF(Option=2,MAX(H141-$J141,0),0)),0))</f>
        <v> </v>
      </c>
      <c r="T141" s="286" t="str">
        <f aca="false">IF($A141="N/A"," ",IF(OR(Dayrun&lt;=2,Dayrun&gt;=9),IF(Option=1,MAX($K141-$H141,0),IF(Option=2,MAX($H141-$K141,0),0)),0))</f>
        <v> </v>
      </c>
      <c r="U141" s="286" t="str">
        <f aca="false">IF($A141="N/A"," ",IF(OR(Dayrun=1,Dayrun=4,Dayrun=5,Dayrun=7,Dayrun=8,Dayrun=10,Dayrun=11),IF(Option=1,MAX($L141-H141,0),IF(Option=2,MAX(H141-$L141,0),0)),0))</f>
        <v> </v>
      </c>
      <c r="V141" s="286" t="str">
        <f aca="false">IF($A141="N/A"," ",IF(OR(Dayrun=1,Dayrun=7,Dayrun=8,Dayrun=10,Dayrun=11),IF(Option=1,MAX($M141-H141,0),IF(Option=2,MAX(H141-$M141,0),0)),0))</f>
        <v> </v>
      </c>
      <c r="W141" s="286" t="str">
        <f aca="false">IF($A141="N/A"," ",IF(OR(Dayrun&lt;=2,Dayrun&gt;=10),IF(Option=1,MAX($N141-$H141,0),IF(Option=2,MAX($H141-$N141,0),0)),0))</f>
        <v> </v>
      </c>
      <c r="X141" s="286" t="str">
        <f aca="false">IF($A141="N/A"," ",IF(OR(Dayrun=1,Dayrun=5,Dayrun=8,Dayrun=11),IF(Option=1,MAX($O141-H141,0),IF(Option=2,MAX(H141-$O141,0),0)),0))</f>
        <v> </v>
      </c>
      <c r="Y141" s="286" t="str">
        <f aca="false">IF($A141="N/A"," ",IF(OR(Dayrun=1,Dayrun=8,Dayrun=11),IF(Option=1,MAX($P141-H141,0),IF(Option=2,MAX(H141-$P141,0),0)),0))</f>
        <v> </v>
      </c>
      <c r="Z141" s="293" t="str">
        <f aca="false">IF($A141="N/A"," ",IF(OR(Dayrun&lt;=2,Dayrun&gt;=11),IF(Option=1,MAX($Q141-$H141,0),IF(Option=2,MAX($H141-$Q141,0),0)),0))</f>
        <v> </v>
      </c>
      <c r="AA141" s="289" t="str">
        <f aca="false">IF($A141="N/A"," ",IF(Dayrun&gt;=3,(MAX(0,(xSPRDOPT(I141,($E141-'Pricing Inputs'!$X176*$D141),$CV141,0,($CN141+IF(Smile=TRUE(),VLOOKUP(MAX(-5,$H141-I141),Volsmile,2),0)),$CT141,$CU141,($A141-DateToday)+15,ABS(Option-2),0)-R141))),0))</f>
        <v> </v>
      </c>
      <c r="AB141" s="290" t="str">
        <f aca="false">IF($A141="N/A"," ",IF(Dayrun&gt;=6,MAX(0,(xSPRDOPT(J141,($E141-'Pricing Inputs'!$X176*$D141),$CV141,0,($CN141+IF(Smile=TRUE(),VLOOKUP(MAX(-5,$H141-J141),Volsmile,2),0)),$CT141,$CU141,($A141-DateToday)+15,ABS(Option-2),0)-S141)),0))</f>
        <v> </v>
      </c>
      <c r="AC141" s="290" t="str">
        <f aca="false">IF($A141="N/A"," ",IF(OR(Dayrun&lt;=2,Dayrun&gt;=9),IF(OffPeakEx=TRUE(),MAX(0,(xSPRDOPT(K141,($E141-'Pricing Inputs'!$X176*$D141),$CV141,0,($CQ141+IF(Smile=TRUE(),VLOOKUP(MAX(-5,$H141-K141),Volsmile,2),0)),$CT141,$CU141,($A141-DateToday)+15,ABS(Option-2),0)-T141)),0),0))</f>
        <v> </v>
      </c>
      <c r="AD141" s="290" t="str">
        <f aca="false">IF($A141="N/A"," ",IF(OR(Dayrun=1,Dayrun=4,Dayrun=5,Dayrun=7,Dayrun=8,Dayrun=10,Dayrun=11),MAX(0,(xSPRDOPT(L141,($E141-'Pricing Inputs'!$X176*$D141),$CV141,0,($CQ141+IF(Smile=TRUE(),VLOOKUP(MAX(-5,$H141-L141),Volsmile,2),0)),$CT141,$CU141,($A141-DateToday)+15,ABS(Option-2),0)-U141)),0))</f>
        <v> </v>
      </c>
      <c r="AE141" s="290" t="str">
        <f aca="false">IF($A141="N/A"," ",IF(OR(Dayrun=1,Dayrun=7,Dayrun=8,Dayrun=10,Dayrun=11),MAX(0,(xSPRDOPT(M141,($E141-'Pricing Inputs'!$X176*$D141),$CV141,0,($CQ141+IF(Smile=TRUE(),VLOOKUP(MAX(-5,$H141-M141),Volsmile,2),0)),$CT141,$CU141,($A141-DateToday)+15,ABS(Option-2),0)-V141)),0))</f>
        <v> </v>
      </c>
      <c r="AF141" s="290" t="str">
        <f aca="false">IF($A141="N/A"," ",IF(OR(Dayrun&lt;=2,Dayrun&gt;=10),IF(OffPeakEx=TRUE(),MAX(0,(xSPRDOPT(N141,($E141-'Pricing Inputs'!$X176*$D141),$CV141,0,($CQ141+IF(Smile=TRUE(),VLOOKUP(MAX(-5,$H141-N141),Volsmile,2),0)),$CT141,$CU141,($A141-DateToday)+15,ABS(Option-2),0)-W141)),0),0))</f>
        <v> </v>
      </c>
      <c r="AG141" s="290" t="str">
        <f aca="false">IF($A141="N/A"," ",IF(OR(Dayrun=1,Dayrun=5,Dayrun=8,Dayrun=11),MAX(0,(xSPRDOPT(O141,($E141-'Pricing Inputs'!$X176*$D141),$CV141,0,($CQ141+IF(Smile=TRUE(),VLOOKUP(MAX(-5,$H141-O141),Volsmile,2),0)),$CT141,$CU141,($A141-DateToday)+15,ABS(Option-2),0)-X141)),0))</f>
        <v> </v>
      </c>
      <c r="AH141" s="290" t="str">
        <f aca="false">IF($A141="N/A"," ",IF(OR(Dayrun=1,Dayrun=8,Dayrun=11),MAX(0,(xSPRDOPT(P141,($E141-'Pricing Inputs'!$X176*$D141),$CV141,0,($CQ141+IF(Smile=TRUE(),VLOOKUP(MAX(-5,$H141-P141),Volsmile,2),0)),$CT141,$CU141,($A141-DateToday)+15,ABS(Option-2),0)-Y141)),0))</f>
        <v> </v>
      </c>
      <c r="AI141" s="290" t="str">
        <f aca="false">IF($A141="N/A"," ",IF(OR(Dayrun&lt;=2,Dayrun&gt;=11),IF(OffPeakEx=TRUE(),MAX(0,(xSPRDOPT(Q141,($E141-'Pricing Inputs'!$X176*$D141),$CV141,0,($CQ141+IF(Smile=TRUE(),VLOOKUP(MAX(-5,$H141-Q141),Volsmile,2),0)),$CT141,$CU141,($A141-DateToday)+15,ABS(Option-2),0)-Z141)),0),0))</f>
        <v> </v>
      </c>
      <c r="AJ141" s="294" t="str">
        <f aca="false">IF($A141="N/A"," ",IF(Dayrun&gt;=3,IF(Option=1,$I141-$H141,IF(Option=2,$H141-$I141)),0))</f>
        <v> </v>
      </c>
      <c r="AK141" s="295" t="str">
        <f aca="false">IF($A141="N/A"," ",IF(Dayrun&gt;=6,IF(Option=1,$J141-H141,IF(Option=2,H141-$J141)),0))</f>
        <v> </v>
      </c>
      <c r="AL141" s="295" t="str">
        <f aca="false">IF($A141="N/A"," ",IF(OR(Dayrun&lt;=2,Dayrun&gt;=9),IF(Option=1,$K141-$H141,IF(Option=2,$H141-$K141)),0))</f>
        <v> </v>
      </c>
      <c r="AM141" s="295" t="str">
        <f aca="false">IF($A141="N/A"," ",IF(OR(Dayrun=1,Dayrun=4,Dayrun=5,Dayrun=7,Dayrun=8,Dayrun=10,Dayrun=11),IF(Option=1,$L141-H141,IF(Option=2,H141-$L141)),0))</f>
        <v> </v>
      </c>
      <c r="AN141" s="295" t="str">
        <f aca="false">IF($A141="N/A"," ",IF(OR(Dayrun=1,Dayrun=7,Dayrun=8,Dayrun=10,Dayrun=11),IF(Option=1,$M141-H141,IF(Option=2,H141-$M141)),0))</f>
        <v> </v>
      </c>
      <c r="AO141" s="295" t="str">
        <f aca="false">IF($A141="N/A"," ",IF(OR(Dayrun&lt;=2,Dayrun&gt;=9),IF(Option=1,$N141-$H141,IF(Option=2,$H141-$N141)),0))</f>
        <v> </v>
      </c>
      <c r="AP141" s="295" t="str">
        <f aca="false">IF($A141="N/A"," ",IF(OR(Dayrun=1,Dayrun=5,Dayrun=8,Dayrun=11),IF(Option=1,$O141-H141,IF(Option=2,H141-$O141)),0))</f>
        <v> </v>
      </c>
      <c r="AQ141" s="295" t="str">
        <f aca="false">IF($A141="N/A"," ",IF(OR(Dayrun=1,Dayrun=8,Dayrun=11),IF(Option=1,$P141-H141,IF(Option=2,H141-$P141)),0))</f>
        <v> </v>
      </c>
      <c r="AR141" s="296" t="str">
        <f aca="false">IF($A141="N/A"," ",IF(OR(Dayrun&lt;=2,Dayrun&gt;=9),IF(Option=1,$Q141-H141,IF(Option=2,H141-$Q141)),0))</f>
        <v> </v>
      </c>
      <c r="AS141" s="297" t="str">
        <f aca="false">IF($A141="N/A"," ",IF(VLOOKUP(MONTH($A141),ManualTable,2)=1,IF(Dayrun&gt;=3,$DE141*8*$CY141,0),0))</f>
        <v> </v>
      </c>
      <c r="AT141" s="297" t="str">
        <f aca="false">IF($A141="N/A"," ",IF(VLOOKUP(MONTH($A141),ManualTable,3)=1,IF(Dayrun&gt;=6,$DE141*8*$CY141,0),0))</f>
        <v> </v>
      </c>
      <c r="AU141" s="297" t="str">
        <f aca="false">IF($A141="N/A"," ",IF(VLOOKUP(MONTH($A141),ManualTable,4)=1,IF(OR(Dayrun&lt;=2,Dayrun&gt;=9),$DE141*8*$CY141,0),0))</f>
        <v> </v>
      </c>
      <c r="AV141" s="297" t="str">
        <f aca="false">IF($A141="N/A"," ",IF(VLOOKUP(MONTH($A141),ManualTable,5)=1,IF(OR(Dayrun=1,Dayrun=4,Dayrun=5,Dayrun=7,Dayrun=8,Dayrun=10,Dayrun=11),$DF141*8*$CY141,0),0))</f>
        <v> </v>
      </c>
      <c r="AW141" s="297" t="str">
        <f aca="false">IF($A141="N/A"," ",IF(VLOOKUP(MONTH($A141),ManualTable,6)=1,IF(OR(Dayrun=1,Dayrun=7,Dayrun=8,Dayrun=10,Dayrun=11),$DF141*8*$CY141,0),0))</f>
        <v> </v>
      </c>
      <c r="AX141" s="297" t="str">
        <f aca="false">IF($A141="N/A"," ",IF(VLOOKUP(MONTH($A141),ManualTable,7)=1,IF(OR(Dayrun&lt;=2,Dayrun&gt;=9),$DF141*8*$CY141,0),0))</f>
        <v> </v>
      </c>
      <c r="AY141" s="297" t="str">
        <f aca="false">IF($A141="N/A"," ",IF(VLOOKUP(MONTH($A141),ManualTable,8)=1,IF(OR(Dayrun=1,Dayrun=5,Dayrun=8,Dayrun=11),$DG141*8*$CY141,0),0))</f>
        <v> </v>
      </c>
      <c r="AZ141" s="297" t="str">
        <f aca="false">IF($A141="N/A"," ",IF(VLOOKUP(MONTH($A141),ManualTable,9)=1,IF(OR(Dayrun=1,Dayrun=8,Dayrun=11),$DG141*8*$CY141,0),0))</f>
        <v> </v>
      </c>
      <c r="BA141" s="298" t="str">
        <f aca="false">IF($A141="N/A"," ",IF(VLOOKUP(MONTH($A141),ManualTable,10)=1,IF(OR(Dayrun&lt;=2,Dayrun&gt;=9),$DG141*8*$CY141,0),0))</f>
        <v> </v>
      </c>
      <c r="BB141" s="299" t="str">
        <f aca="false">IF($A141="N/A"," ",IF(Dayrun&gt;=3,(MAX(0,(xSPRDOPT(I141,($E141-'Pricing Inputs'!$X176*$D141),$CV141,0,($CN141+IF(Smile=TRUE(),VLOOKUP(MAX(-5,$H141-I141),Volsmile,2),0)),$CT141,$CU141,($A141-DateToday)+15,ABS(Option-2),1)*DE141*8))),0))</f>
        <v> </v>
      </c>
      <c r="BC141" s="300" t="str">
        <f aca="false">IF($A141="N/A"," ",IF(Dayrun&gt;=6,MAX(0,(xSPRDOPT(J141,($E141-'Pricing Inputs'!$X176*$D141),$CV141,0,($CN141+IF(Smile=TRUE(),VLOOKUP(MAX(-5,$H141-J141),Volsmile,2),0)),$CT141,$CU141,($A141-DateToday)+15,ABS(Option-2),1)*DE141*8)),0))</f>
        <v> </v>
      </c>
      <c r="BD141" s="300" t="str">
        <f aca="false">IF($A141="N/A"," ",IF(OR(Dayrun&lt;=2,Dayrun&gt;=9),IF(OffPeakEx=TRUE(),MAX(0,(xSPRDOPT(K141,($E141-'Pricing Inputs'!$X176*$D141),$CV141,0,($CQ141+IF(Smile=TRUE(),VLOOKUP(MAX(-5,$H141-K141),Volsmile,2),0)),$CT141,$CU141,($A141-DateToday)+15,ABS(Option-2),1)*DE141*8)),0),0))</f>
        <v> </v>
      </c>
      <c r="BE141" s="300" t="str">
        <f aca="false">IF($A141="N/A"," ",IF(OR(Dayrun=1,Dayrun=4,Dayrun=5,Dayrun=7,Dayrun=8,Dayrun=10,Dayrun=11),MAX(0,(xSPRDOPT(L141,($E141-'Pricing Inputs'!$X176*$D141),$CV141,0,($CQ141+IF(Smile=TRUE(),VLOOKUP(MAX(-5,$H141-L141),Volsmile,2),0)),$CT141,$CU141,($A141-DateToday)+15,ABS(Option-2),1)*DF141*8)),0))</f>
        <v> </v>
      </c>
      <c r="BF141" s="300" t="str">
        <f aca="false">IF($A141="N/A"," ",IF(OR(Dayrun=1,Dayrun=7,Dayrun=8,Dayrun=10,Dayrun=11),MAX(0,(xSPRDOPT(M141,($E141-'Pricing Inputs'!$X176*$D141),$CV141,0,($CQ141+IF(Smile=TRUE(),VLOOKUP(MAX(-5,$H141-M141),Volsmile,2),0)),$CT141,$CU141,($A141-DateToday)+15,ABS(Option-2),1)*DF141*8)),0))</f>
        <v> </v>
      </c>
      <c r="BG141" s="300" t="str">
        <f aca="false">IF($A141="N/A"," ",IF(OR(Dayrun&lt;=2,Dayrun&gt;=10),IF(OffPeakEx=TRUE(),MAX(0,(xSPRDOPT(N141,($E141-'Pricing Inputs'!$X176*$D141),$CV141,0,($CQ141+IF(Smile=TRUE(),VLOOKUP(MAX(-5,$H141-N141),Volsmile,2),0)),$CT141,$CU141,($A141-DateToday)+15,ABS(Option-2),1)*DF141*8)),0),0))</f>
        <v> </v>
      </c>
      <c r="BH141" s="300" t="str">
        <f aca="false">IF($A141="N/A"," ",IF(OR(Dayrun=1,Dayrun=5,Dayrun=8,Dayrun=11),MAX(0,(xSPRDOPT(O141,($E141-'Pricing Inputs'!$X176*$D141),$CV141,0,($CQ141+IF(Smile=TRUE(),VLOOKUP(MAX(-5,$H141-O141),Volsmile,2),0)),$CT141,$CU141,($A141-DateToday)+15,ABS(Option-2),1)*DG141*8)),0))</f>
        <v> </v>
      </c>
      <c r="BI141" s="300" t="str">
        <f aca="false">IF($A141="N/A"," ",IF(OR(Dayrun=1,Dayrun=8,Dayrun=11),MAX(0,(xSPRDOPT(P141,($E141-'Pricing Inputs'!$X176*$D141),$CV141,0,($CQ141+IF(Smile=TRUE(),VLOOKUP(MAX(-5,$H141-P141),Volsmile,2),0)),$CT141,$CU141,($A141-DateToday)+15,ABS(Option-2),1)*DG141*8)),0))</f>
        <v> </v>
      </c>
      <c r="BJ141" s="301" t="str">
        <f aca="false">IF($A141="N/A"," ",IF(OR(Dayrun&lt;=2,Dayrun&gt;=11),IF(OffPeakEx=TRUE(),MAX(0,(xSPRDOPT(Q141,($E141-'Pricing Inputs'!$X176*$D141),$CV141,0,($CQ141+IF(Smile=TRUE(),VLOOKUP(MAX(-5,$H141-Q141),Volsmile,2),0)),$CT141,$CU141,($A141-DateToday)+15,ABS(Option-2),1)*DG141*8)),0),0))</f>
        <v> </v>
      </c>
      <c r="BK141" s="302" t="str">
        <f aca="false">IF($A141="N/A"," ",R141*$AS141)</f>
        <v> </v>
      </c>
      <c r="BL141" s="303" t="str">
        <f aca="false">IF($A141="N/A"," ",S141*$AT141)</f>
        <v> </v>
      </c>
      <c r="BM141" s="303" t="str">
        <f aca="false">IF($A141="N/A"," ",T141*$AU141)</f>
        <v> </v>
      </c>
      <c r="BN141" s="303" t="str">
        <f aca="false">IF($A141="N/A"," ",U141*$AV141)</f>
        <v> </v>
      </c>
      <c r="BO141" s="303" t="str">
        <f aca="false">IF($A141="N/A"," ",V141*$AW141)</f>
        <v> </v>
      </c>
      <c r="BP141" s="303" t="str">
        <f aca="false">IF($A141="N/A"," ",W141*$AX141)</f>
        <v> </v>
      </c>
      <c r="BQ141" s="303" t="str">
        <f aca="false">IF($A141="N/A"," ",X141*$AY141)</f>
        <v> </v>
      </c>
      <c r="BR141" s="303" t="str">
        <f aca="false">IF($A141="N/A"," ",Y141*$AZ141)</f>
        <v> </v>
      </c>
      <c r="BS141" s="304" t="str">
        <f aca="false">IF($A141="N/A"," ",Z141*$BA141)</f>
        <v> </v>
      </c>
      <c r="BT141" s="305" t="str">
        <f aca="false">IF($A141="N/A"," ",AA141*$AS141)</f>
        <v> </v>
      </c>
      <c r="BU141" s="306" t="str">
        <f aca="false">IF($A141="N/A"," ",AB141*$AT141)</f>
        <v> </v>
      </c>
      <c r="BV141" s="306" t="str">
        <f aca="false">IF($A141="N/A"," ",AC141*$AU141)</f>
        <v> </v>
      </c>
      <c r="BW141" s="306" t="str">
        <f aca="false">IF($A141="N/A"," ",AD141*$AV141)</f>
        <v> </v>
      </c>
      <c r="BX141" s="306" t="str">
        <f aca="false">IF($A141="N/A"," ",AE141*$AW141)</f>
        <v> </v>
      </c>
      <c r="BY141" s="306" t="str">
        <f aca="false">IF($A141="N/A"," ",AF141*$AX141)</f>
        <v> </v>
      </c>
      <c r="BZ141" s="306" t="str">
        <f aca="false">IF($A141="N/A"," ",AG141*$AY141)</f>
        <v> </v>
      </c>
      <c r="CA141" s="306" t="str">
        <f aca="false">IF($A141="N/A"," ",AH141*$AZ141)</f>
        <v> </v>
      </c>
      <c r="CB141" s="307" t="str">
        <f aca="false">IF($A141="N/A"," ",AI141*$BA141)</f>
        <v> </v>
      </c>
      <c r="CC141" s="308" t="str">
        <f aca="false">IF($A141="N/A"," ",AJ141*$AS141)</f>
        <v> </v>
      </c>
      <c r="CD141" s="309" t="str">
        <f aca="false">IF($A141="N/A"," ",AK141*$AT141)</f>
        <v> </v>
      </c>
      <c r="CE141" s="309" t="str">
        <f aca="false">IF($A141="N/A"," ",AL141*$AU141)</f>
        <v> </v>
      </c>
      <c r="CF141" s="309" t="str">
        <f aca="false">IF($A141="N/A"," ",AM141*$AV141)</f>
        <v> </v>
      </c>
      <c r="CG141" s="309" t="str">
        <f aca="false">IF($A141="N/A"," ",AN141*$AW141)</f>
        <v> </v>
      </c>
      <c r="CH141" s="309" t="str">
        <f aca="false">IF($A141="N/A"," ",AO141*$AX141)</f>
        <v> </v>
      </c>
      <c r="CI141" s="309" t="str">
        <f aca="false">IF($A141="N/A"," ",AP141*$AY141)</f>
        <v> </v>
      </c>
      <c r="CJ141" s="309" t="str">
        <f aca="false">IF($A141="N/A"," ",AQ141*$AZ141)</f>
        <v> </v>
      </c>
      <c r="CK141" s="310" t="str">
        <f aca="false">IF($A141="N/A"," ",AR141*$BA141)</f>
        <v> </v>
      </c>
      <c r="CL141" s="311" t="str">
        <f aca="false">IF(A141="N/A"," ",(VLOOKUP(A141,PowerVolTable,(IF(VolBMO=2,7,IF(VolBMO=1,6,8))),FALSE())))</f>
        <v> </v>
      </c>
      <c r="CM141" s="312" t="str">
        <f aca="false">IF(A141="N/A"," ",(VLOOKUP(A141,IntraPowerVol,(IF(VolBMO=2,3,IF(VolBMO=1,2,4))),FALSE())*VLOOKUP(MONTH($A141),Volscale,2)))</f>
        <v> </v>
      </c>
      <c r="CN141" s="312" t="str">
        <f aca="false">IF($A141="N/A"," ",IF(VolType=1,CM141,CL141))</f>
        <v> </v>
      </c>
      <c r="CO141" s="312" t="str">
        <f aca="false">IF($A141="N/A"," ",(VLOOKUP($A141,OffPeakVol,(IF(VolBMO=2,7,IF(VolBMO=1,6,8))),FALSE())))</f>
        <v> </v>
      </c>
      <c r="CP141" s="312" t="str">
        <f aca="false">IF($A141="N/A"," ",(VLOOKUP($A141,OffPeakVol,(IF(VolBMO=2,3,IF(VolBMO=1,2,4))),FALSE())*VLOOKUP(MONTH($A141),Volscale,2)))</f>
        <v> </v>
      </c>
      <c r="CQ141" s="312" t="str">
        <f aca="false">IF($A141="N/A"," ",IF(VolType=1,CP141,CO141))</f>
        <v> </v>
      </c>
      <c r="CR141" s="312" t="str">
        <f aca="false">IF($A141="N/A"," ",(VLOOKUP($A141,GasVolTable,(IF(VolBMO=2,6,IF(VolBMO=1,7,5))),FALSE())))</f>
        <v> </v>
      </c>
      <c r="CS141" s="312" t="str">
        <f aca="false">IF($A141="N/A"," ",(VLOOKUP($A141,OmicronVol,(IF(VolBMO=2,3,IF(VolBMO=1,4,2))),FALSE())))</f>
        <v> </v>
      </c>
      <c r="CT141" s="312" t="str">
        <f aca="false">IF($A141="N/A"," ",(IF(DateToday&gt;$A141,$CS141,IF(VolType=1,((($CR141^2)*((($A141-1)-DateToday)/((EOMONTH($A141,0)+1)-DateToday-15)))+((($CS141)^2)*((15)/((EOMONTH($A141,0)+1)-DateToday-15))))^0.5,CR141))))</f>
        <v> </v>
      </c>
      <c r="CU141" s="312" t="str">
        <f aca="false">IF($A141="N/A"," ",IF('Pricing Inputs'!$AR$23=TRUE(),Inputs!$S$22,VLOOKUP($A141,CorrelationTable,2,FALSE())))</f>
        <v> </v>
      </c>
      <c r="CV141" s="313" t="str">
        <f aca="false">IF($A141="N/A"," ",F141+G141+(D141*('Pricing Inputs'!X176)))</f>
        <v> </v>
      </c>
      <c r="CW141" s="314" t="str">
        <f aca="false">IF($A141="N/A"," ",IF(PV=1,0,'Pricing Inputs'!Y176))</f>
        <v> </v>
      </c>
      <c r="CX141" s="315" t="str">
        <f aca="false">IF($A141="N/A"," ",(1+CW141/2)^(-2*((EOMONTH(A141,0)+20)-DateToday)/365.25))</f>
        <v> </v>
      </c>
      <c r="CY141" s="316" t="str">
        <f aca="false">IF($A141="N/A"," ",(IF(MONTH(A141)&gt;=4,IF(MONTH(A141)&lt;=10,Inputs!$S$26,Inputs!$S$27),Inputs!$S$27))*$CX141)</f>
        <v> </v>
      </c>
      <c r="CZ141" s="317" t="str">
        <f aca="false">IF($A141="N/A"," ",BK141+BL141+BN141+BO141+BQ141+BR141)</f>
        <v> </v>
      </c>
      <c r="DA141" s="318" t="str">
        <f aca="false">IF($A141="N/A"," ",BM141+BP141+BS141)</f>
        <v> </v>
      </c>
      <c r="DB141" s="319" t="str">
        <f aca="false">IF($A141="N/A"," ",BT141+BU141+BW141+BX141+BZ141+CA141)</f>
        <v> </v>
      </c>
      <c r="DC141" s="319" t="str">
        <f aca="false">IF($A141="N/A"," ",BV141+BY141+CB141)</f>
        <v> </v>
      </c>
      <c r="DD141" s="320" t="str">
        <f aca="false">IF($A141="N/A"," ",SUM(CC141:CK141))</f>
        <v> </v>
      </c>
      <c r="DE141" s="321" t="str">
        <f aca="false">IF($A141="N/A"," ",VLOOKUP($A141,NumberofDaysTable,2)*Availability)</f>
        <v> </v>
      </c>
      <c r="DF141" s="94" t="str">
        <f aca="false">IF($A141="N/A"," ",VLOOKUP($A141,NumberofDaysTable,3)*Availability)</f>
        <v> </v>
      </c>
      <c r="DG141" s="322" t="str">
        <f aca="false">IF($A141="N/A"," ",VLOOKUP($A141,NumberofDaysTable,4)*Availability)</f>
        <v> </v>
      </c>
      <c r="DH141" s="323" t="str">
        <f aca="false">IF($A141="N/A"," ",IF(Option=1,$D141*Inputs!$S$15*SUM(AS141:BA141),0))</f>
        <v> </v>
      </c>
      <c r="DI141" s="324" t="str">
        <f aca="false">IF($A141="N/A"," ",IF(Option=1,$D141*Inputs!$S$16*SUM(AS141:BA141),0))</f>
        <v> </v>
      </c>
      <c r="DJ141" s="325" t="str">
        <f aca="false">IF($A141="N/A"," ",SUM(AS141:AT141))</f>
        <v> </v>
      </c>
      <c r="DK141" s="325" t="str">
        <f aca="false">IF($A141="N/A"," ",SUM(AU141:BA141))</f>
        <v> </v>
      </c>
      <c r="DL141" s="325" t="str">
        <f aca="false">IF($A141="N/A"," ",SUM(BB141:BC141))</f>
        <v> </v>
      </c>
      <c r="DM141" s="325" t="str">
        <f aca="false">IF($A141="N/A"," ",SUM(BD141:BJ141))</f>
        <v> </v>
      </c>
    </row>
    <row r="142" customFormat="false" ht="12.75" hidden="false" customHeight="false" outlineLevel="0" collapsed="false">
      <c r="A142" s="282" t="str">
        <f aca="false">IF(A141="N/A","N/A",IF(EDATE(A141,1)&gt;Inputs!$S$5,"N/A",EDATE(A141,1)))</f>
        <v>N/A</v>
      </c>
      <c r="B142" s="283" t="str">
        <f aca="false">IF(A142="N/A"," ",YEAR(A142))</f>
        <v> </v>
      </c>
      <c r="C142" s="284" t="str">
        <f aca="false">IF(A142="N/A"," ",VLOOKUP(A142,ScaledPrice,14))</f>
        <v> </v>
      </c>
      <c r="D142" s="285" t="str">
        <f aca="false">IF(A142="N/A"," ",(VLOOKUP(MONTH($A142),Hrtable,2))/1000)</f>
        <v> </v>
      </c>
      <c r="E142" s="286" t="str">
        <f aca="false">IF($A142="N/A"," ",(C142)*D142)</f>
        <v> </v>
      </c>
      <c r="F142" s="287" t="str">
        <f aca="false">IF(A142="N/A"," ",VOM*(1+VOMesc)^(YEAR(A142)-YEAR(Today)))</f>
        <v> </v>
      </c>
      <c r="G142" s="287" t="str">
        <f aca="false">IF(A142="N/A"," ",Perstart/VLOOKUP(Dayrun,'Pricing Inputs'!$AQ$4:$AS$14,3)/(CY142/CX142))</f>
        <v> </v>
      </c>
      <c r="H142" s="288" t="str">
        <f aca="false">IF(A142="N/A"," ",SUM(E142:G142))</f>
        <v> </v>
      </c>
      <c r="I142" s="289" t="str">
        <f aca="false">VLOOKUP($A142,ScaledPrice,6)</f>
        <v> </v>
      </c>
      <c r="J142" s="290" t="str">
        <f aca="false">VLOOKUP($A142,ScaledPrice,10)</f>
        <v> </v>
      </c>
      <c r="K142" s="290" t="str">
        <f aca="false">VLOOKUP($A142,ScaledPrice,13)</f>
        <v> </v>
      </c>
      <c r="L142" s="290" t="str">
        <f aca="false">VLOOKUP($A142,ScaledPrice,7)</f>
        <v> </v>
      </c>
      <c r="M142" s="290" t="str">
        <f aca="false">VLOOKUP($A142,ScaledPrice,11)</f>
        <v> </v>
      </c>
      <c r="N142" s="290" t="str">
        <f aca="false">VLOOKUP($A142,ScaledPrice,13)</f>
        <v> </v>
      </c>
      <c r="O142" s="290" t="str">
        <f aca="false">VLOOKUP($A142,ScaledPrice,8)</f>
        <v> </v>
      </c>
      <c r="P142" s="290" t="str">
        <f aca="false">VLOOKUP($A142,ScaledPrice,12)</f>
        <v> </v>
      </c>
      <c r="Q142" s="291" t="str">
        <f aca="false">VLOOKUP($A142,ScaledPrice,13)</f>
        <v> </v>
      </c>
      <c r="R142" s="292" t="str">
        <f aca="false">IF($A142="N/A"," ",IF(Dayrun&gt;=3,IF(Option=1,MAX($I142-$H142,0),IF(Option=2,MAX($H142-$I142,0),0)),0))</f>
        <v> </v>
      </c>
      <c r="S142" s="286" t="str">
        <f aca="false">IF($A142="N/A"," ",IF(Dayrun&gt;=6,IF(Option=1,MAX($J142-H142,0),IF(Option=2,MAX(H142-$J142,0),0)),0))</f>
        <v> </v>
      </c>
      <c r="T142" s="286" t="str">
        <f aca="false">IF($A142="N/A"," ",IF(OR(Dayrun&lt;=2,Dayrun&gt;=9),IF(Option=1,MAX($K142-$H142,0),IF(Option=2,MAX($H142-$K142,0),0)),0))</f>
        <v> </v>
      </c>
      <c r="U142" s="286" t="str">
        <f aca="false">IF($A142="N/A"," ",IF(OR(Dayrun=1,Dayrun=4,Dayrun=5,Dayrun=7,Dayrun=8,Dayrun=10,Dayrun=11),IF(Option=1,MAX($L142-H142,0),IF(Option=2,MAX(H142-$L142,0),0)),0))</f>
        <v> </v>
      </c>
      <c r="V142" s="286" t="str">
        <f aca="false">IF($A142="N/A"," ",IF(OR(Dayrun=1,Dayrun=7,Dayrun=8,Dayrun=10,Dayrun=11),IF(Option=1,MAX($M142-H142,0),IF(Option=2,MAX(H142-$M142,0),0)),0))</f>
        <v> </v>
      </c>
      <c r="W142" s="286" t="str">
        <f aca="false">IF($A142="N/A"," ",IF(OR(Dayrun&lt;=2,Dayrun&gt;=10),IF(Option=1,MAX($N142-$H142,0),IF(Option=2,MAX($H142-$N142,0),0)),0))</f>
        <v> </v>
      </c>
      <c r="X142" s="286" t="str">
        <f aca="false">IF($A142="N/A"," ",IF(OR(Dayrun=1,Dayrun=5,Dayrun=8,Dayrun=11),IF(Option=1,MAX($O142-H142,0),IF(Option=2,MAX(H142-$O142,0),0)),0))</f>
        <v> </v>
      </c>
      <c r="Y142" s="286" t="str">
        <f aca="false">IF($A142="N/A"," ",IF(OR(Dayrun=1,Dayrun=8,Dayrun=11),IF(Option=1,MAX($P142-H142,0),IF(Option=2,MAX(H142-$P142,0),0)),0))</f>
        <v> </v>
      </c>
      <c r="Z142" s="293" t="str">
        <f aca="false">IF($A142="N/A"," ",IF(OR(Dayrun&lt;=2,Dayrun&gt;=11),IF(Option=1,MAX($Q142-$H142,0),IF(Option=2,MAX($H142-$Q142,0),0)),0))</f>
        <v> </v>
      </c>
      <c r="AA142" s="289" t="str">
        <f aca="false">IF($A142="N/A"," ",IF(Dayrun&gt;=3,(MAX(0,(xSPRDOPT(I142,($E142-'Pricing Inputs'!$X177*$D142),$CV142,0,($CN142+IF(Smile=TRUE(),VLOOKUP(MAX(-5,$H142-I142),Volsmile,2),0)),$CT142,$CU142,($A142-DateToday)+15,ABS(Option-2),0)-R142))),0))</f>
        <v> </v>
      </c>
      <c r="AB142" s="290" t="str">
        <f aca="false">IF($A142="N/A"," ",IF(Dayrun&gt;=6,MAX(0,(xSPRDOPT(J142,($E142-'Pricing Inputs'!$X177*$D142),$CV142,0,($CN142+IF(Smile=TRUE(),VLOOKUP(MAX(-5,$H142-J142),Volsmile,2),0)),$CT142,$CU142,($A142-DateToday)+15,ABS(Option-2),0)-S142)),0))</f>
        <v> </v>
      </c>
      <c r="AC142" s="290" t="str">
        <f aca="false">IF($A142="N/A"," ",IF(OR(Dayrun&lt;=2,Dayrun&gt;=9),IF(OffPeakEx=TRUE(),MAX(0,(xSPRDOPT(K142,($E142-'Pricing Inputs'!$X177*$D142),$CV142,0,($CQ142+IF(Smile=TRUE(),VLOOKUP(MAX(-5,$H142-K142),Volsmile,2),0)),$CT142,$CU142,($A142-DateToday)+15,ABS(Option-2),0)-T142)),0),0))</f>
        <v> </v>
      </c>
      <c r="AD142" s="290" t="str">
        <f aca="false">IF($A142="N/A"," ",IF(OR(Dayrun=1,Dayrun=4,Dayrun=5,Dayrun=7,Dayrun=8,Dayrun=10,Dayrun=11),MAX(0,(xSPRDOPT(L142,($E142-'Pricing Inputs'!$X177*$D142),$CV142,0,($CQ142+IF(Smile=TRUE(),VLOOKUP(MAX(-5,$H142-L142),Volsmile,2),0)),$CT142,$CU142,($A142-DateToday)+15,ABS(Option-2),0)-U142)),0))</f>
        <v> </v>
      </c>
      <c r="AE142" s="290" t="str">
        <f aca="false">IF($A142="N/A"," ",IF(OR(Dayrun=1,Dayrun=7,Dayrun=8,Dayrun=10,Dayrun=11),MAX(0,(xSPRDOPT(M142,($E142-'Pricing Inputs'!$X177*$D142),$CV142,0,($CQ142+IF(Smile=TRUE(),VLOOKUP(MAX(-5,$H142-M142),Volsmile,2),0)),$CT142,$CU142,($A142-DateToday)+15,ABS(Option-2),0)-V142)),0))</f>
        <v> </v>
      </c>
      <c r="AF142" s="290" t="str">
        <f aca="false">IF($A142="N/A"," ",IF(OR(Dayrun&lt;=2,Dayrun&gt;=10),IF(OffPeakEx=TRUE(),MAX(0,(xSPRDOPT(N142,($E142-'Pricing Inputs'!$X177*$D142),$CV142,0,($CQ142+IF(Smile=TRUE(),VLOOKUP(MAX(-5,$H142-N142),Volsmile,2),0)),$CT142,$CU142,($A142-DateToday)+15,ABS(Option-2),0)-W142)),0),0))</f>
        <v> </v>
      </c>
      <c r="AG142" s="290" t="str">
        <f aca="false">IF($A142="N/A"," ",IF(OR(Dayrun=1,Dayrun=5,Dayrun=8,Dayrun=11),MAX(0,(xSPRDOPT(O142,($E142-'Pricing Inputs'!$X177*$D142),$CV142,0,($CQ142+IF(Smile=TRUE(),VLOOKUP(MAX(-5,$H142-O142),Volsmile,2),0)),$CT142,$CU142,($A142-DateToday)+15,ABS(Option-2),0)-X142)),0))</f>
        <v> </v>
      </c>
      <c r="AH142" s="290" t="str">
        <f aca="false">IF($A142="N/A"," ",IF(OR(Dayrun=1,Dayrun=8,Dayrun=11),MAX(0,(xSPRDOPT(P142,($E142-'Pricing Inputs'!$X177*$D142),$CV142,0,($CQ142+IF(Smile=TRUE(),VLOOKUP(MAX(-5,$H142-P142),Volsmile,2),0)),$CT142,$CU142,($A142-DateToday)+15,ABS(Option-2),0)-Y142)),0))</f>
        <v> </v>
      </c>
      <c r="AI142" s="290" t="str">
        <f aca="false">IF($A142="N/A"," ",IF(OR(Dayrun&lt;=2,Dayrun&gt;=11),IF(OffPeakEx=TRUE(),MAX(0,(xSPRDOPT(Q142,($E142-'Pricing Inputs'!$X177*$D142),$CV142,0,($CQ142+IF(Smile=TRUE(),VLOOKUP(MAX(-5,$H142-Q142),Volsmile,2),0)),$CT142,$CU142,($A142-DateToday)+15,ABS(Option-2),0)-Z142)),0),0))</f>
        <v> </v>
      </c>
      <c r="AJ142" s="294" t="str">
        <f aca="false">IF($A142="N/A"," ",IF(Dayrun&gt;=3,IF(Option=1,$I142-$H142,IF(Option=2,$H142-$I142)),0))</f>
        <v> </v>
      </c>
      <c r="AK142" s="295" t="str">
        <f aca="false">IF($A142="N/A"," ",IF(Dayrun&gt;=6,IF(Option=1,$J142-H142,IF(Option=2,H142-$J142)),0))</f>
        <v> </v>
      </c>
      <c r="AL142" s="295" t="str">
        <f aca="false">IF($A142="N/A"," ",IF(OR(Dayrun&lt;=2,Dayrun&gt;=9),IF(Option=1,$K142-$H142,IF(Option=2,$H142-$K142)),0))</f>
        <v> </v>
      </c>
      <c r="AM142" s="295" t="str">
        <f aca="false">IF($A142="N/A"," ",IF(OR(Dayrun=1,Dayrun=4,Dayrun=5,Dayrun=7,Dayrun=8,Dayrun=10,Dayrun=11),IF(Option=1,$L142-H142,IF(Option=2,H142-$L142)),0))</f>
        <v> </v>
      </c>
      <c r="AN142" s="295" t="str">
        <f aca="false">IF($A142="N/A"," ",IF(OR(Dayrun=1,Dayrun=7,Dayrun=8,Dayrun=10,Dayrun=11),IF(Option=1,$M142-H142,IF(Option=2,H142-$M142)),0))</f>
        <v> </v>
      </c>
      <c r="AO142" s="295" t="str">
        <f aca="false">IF($A142="N/A"," ",IF(OR(Dayrun&lt;=2,Dayrun&gt;=9),IF(Option=1,$N142-$H142,IF(Option=2,$H142-$N142)),0))</f>
        <v> </v>
      </c>
      <c r="AP142" s="295" t="str">
        <f aca="false">IF($A142="N/A"," ",IF(OR(Dayrun=1,Dayrun=5,Dayrun=8,Dayrun=11),IF(Option=1,$O142-H142,IF(Option=2,H142-$O142)),0))</f>
        <v> </v>
      </c>
      <c r="AQ142" s="295" t="str">
        <f aca="false">IF($A142="N/A"," ",IF(OR(Dayrun=1,Dayrun=8,Dayrun=11),IF(Option=1,$P142-H142,IF(Option=2,H142-$P142)),0))</f>
        <v> </v>
      </c>
      <c r="AR142" s="296" t="str">
        <f aca="false">IF($A142="N/A"," ",IF(OR(Dayrun&lt;=2,Dayrun&gt;=9),IF(Option=1,$Q142-H142,IF(Option=2,H142-$Q142)),0))</f>
        <v> </v>
      </c>
      <c r="AS142" s="297" t="str">
        <f aca="false">IF($A142="N/A"," ",IF(VLOOKUP(MONTH($A142),ManualTable,2)=1,IF(Dayrun&gt;=3,$DE142*8*$CY142,0),0))</f>
        <v> </v>
      </c>
      <c r="AT142" s="297" t="str">
        <f aca="false">IF($A142="N/A"," ",IF(VLOOKUP(MONTH($A142),ManualTable,3)=1,IF(Dayrun&gt;=6,$DE142*8*$CY142,0),0))</f>
        <v> </v>
      </c>
      <c r="AU142" s="297" t="str">
        <f aca="false">IF($A142="N/A"," ",IF(VLOOKUP(MONTH($A142),ManualTable,4)=1,IF(OR(Dayrun&lt;=2,Dayrun&gt;=9),$DE142*8*$CY142,0),0))</f>
        <v> </v>
      </c>
      <c r="AV142" s="297" t="str">
        <f aca="false">IF($A142="N/A"," ",IF(VLOOKUP(MONTH($A142),ManualTable,5)=1,IF(OR(Dayrun=1,Dayrun=4,Dayrun=5,Dayrun=7,Dayrun=8,Dayrun=10,Dayrun=11),$DF142*8*$CY142,0),0))</f>
        <v> </v>
      </c>
      <c r="AW142" s="297" t="str">
        <f aca="false">IF($A142="N/A"," ",IF(VLOOKUP(MONTH($A142),ManualTable,6)=1,IF(OR(Dayrun=1,Dayrun=7,Dayrun=8,Dayrun=10,Dayrun=11),$DF142*8*$CY142,0),0))</f>
        <v> </v>
      </c>
      <c r="AX142" s="297" t="str">
        <f aca="false">IF($A142="N/A"," ",IF(VLOOKUP(MONTH($A142),ManualTable,7)=1,IF(OR(Dayrun&lt;=2,Dayrun&gt;=9),$DF142*8*$CY142,0),0))</f>
        <v> </v>
      </c>
      <c r="AY142" s="297" t="str">
        <f aca="false">IF($A142="N/A"," ",IF(VLOOKUP(MONTH($A142),ManualTable,8)=1,IF(OR(Dayrun=1,Dayrun=5,Dayrun=8,Dayrun=11),$DG142*8*$CY142,0),0))</f>
        <v> </v>
      </c>
      <c r="AZ142" s="297" t="str">
        <f aca="false">IF($A142="N/A"," ",IF(VLOOKUP(MONTH($A142),ManualTable,9)=1,IF(OR(Dayrun=1,Dayrun=8,Dayrun=11),$DG142*8*$CY142,0),0))</f>
        <v> </v>
      </c>
      <c r="BA142" s="298" t="str">
        <f aca="false">IF($A142="N/A"," ",IF(VLOOKUP(MONTH($A142),ManualTable,10)=1,IF(OR(Dayrun&lt;=2,Dayrun&gt;=9),$DG142*8*$CY142,0),0))</f>
        <v> </v>
      </c>
      <c r="BB142" s="299" t="str">
        <f aca="false">IF($A142="N/A"," ",IF(Dayrun&gt;=3,(MAX(0,(xSPRDOPT(I142,($E142-'Pricing Inputs'!$X177*$D142),$CV142,0,($CN142+IF(Smile=TRUE(),VLOOKUP(MAX(-5,$H142-I142),Volsmile,2),0)),$CT142,$CU142,($A142-DateToday)+15,ABS(Option-2),1)*DE142*8))),0))</f>
        <v> </v>
      </c>
      <c r="BC142" s="300" t="str">
        <f aca="false">IF($A142="N/A"," ",IF(Dayrun&gt;=6,MAX(0,(xSPRDOPT(J142,($E142-'Pricing Inputs'!$X177*$D142),$CV142,0,($CN142+IF(Smile=TRUE(),VLOOKUP(MAX(-5,$H142-J142),Volsmile,2),0)),$CT142,$CU142,($A142-DateToday)+15,ABS(Option-2),1)*DE142*8)),0))</f>
        <v> </v>
      </c>
      <c r="BD142" s="300" t="str">
        <f aca="false">IF($A142="N/A"," ",IF(OR(Dayrun&lt;=2,Dayrun&gt;=9),IF(OffPeakEx=TRUE(),MAX(0,(xSPRDOPT(K142,($E142-'Pricing Inputs'!$X177*$D142),$CV142,0,($CQ142+IF(Smile=TRUE(),VLOOKUP(MAX(-5,$H142-K142),Volsmile,2),0)),$CT142,$CU142,($A142-DateToday)+15,ABS(Option-2),1)*DE142*8)),0),0))</f>
        <v> </v>
      </c>
      <c r="BE142" s="300" t="str">
        <f aca="false">IF($A142="N/A"," ",IF(OR(Dayrun=1,Dayrun=4,Dayrun=5,Dayrun=7,Dayrun=8,Dayrun=10,Dayrun=11),MAX(0,(xSPRDOPT(L142,($E142-'Pricing Inputs'!$X177*$D142),$CV142,0,($CQ142+IF(Smile=TRUE(),VLOOKUP(MAX(-5,$H142-L142),Volsmile,2),0)),$CT142,$CU142,($A142-DateToday)+15,ABS(Option-2),1)*DF142*8)),0))</f>
        <v> </v>
      </c>
      <c r="BF142" s="300" t="str">
        <f aca="false">IF($A142="N/A"," ",IF(OR(Dayrun=1,Dayrun=7,Dayrun=8,Dayrun=10,Dayrun=11),MAX(0,(xSPRDOPT(M142,($E142-'Pricing Inputs'!$X177*$D142),$CV142,0,($CQ142+IF(Smile=TRUE(),VLOOKUP(MAX(-5,$H142-M142),Volsmile,2),0)),$CT142,$CU142,($A142-DateToday)+15,ABS(Option-2),1)*DF142*8)),0))</f>
        <v> </v>
      </c>
      <c r="BG142" s="300" t="str">
        <f aca="false">IF($A142="N/A"," ",IF(OR(Dayrun&lt;=2,Dayrun&gt;=10),IF(OffPeakEx=TRUE(),MAX(0,(xSPRDOPT(N142,($E142-'Pricing Inputs'!$X177*$D142),$CV142,0,($CQ142+IF(Smile=TRUE(),VLOOKUP(MAX(-5,$H142-N142),Volsmile,2),0)),$CT142,$CU142,($A142-DateToday)+15,ABS(Option-2),1)*DF142*8)),0),0))</f>
        <v> </v>
      </c>
      <c r="BH142" s="300" t="str">
        <f aca="false">IF($A142="N/A"," ",IF(OR(Dayrun=1,Dayrun=5,Dayrun=8,Dayrun=11),MAX(0,(xSPRDOPT(O142,($E142-'Pricing Inputs'!$X177*$D142),$CV142,0,($CQ142+IF(Smile=TRUE(),VLOOKUP(MAX(-5,$H142-O142),Volsmile,2),0)),$CT142,$CU142,($A142-DateToday)+15,ABS(Option-2),1)*DG142*8)),0))</f>
        <v> </v>
      </c>
      <c r="BI142" s="300" t="str">
        <f aca="false">IF($A142="N/A"," ",IF(OR(Dayrun=1,Dayrun=8,Dayrun=11),MAX(0,(xSPRDOPT(P142,($E142-'Pricing Inputs'!$X177*$D142),$CV142,0,($CQ142+IF(Smile=TRUE(),VLOOKUP(MAX(-5,$H142-P142),Volsmile,2),0)),$CT142,$CU142,($A142-DateToday)+15,ABS(Option-2),1)*DG142*8)),0))</f>
        <v> </v>
      </c>
      <c r="BJ142" s="301" t="str">
        <f aca="false">IF($A142="N/A"," ",IF(OR(Dayrun&lt;=2,Dayrun&gt;=11),IF(OffPeakEx=TRUE(),MAX(0,(xSPRDOPT(Q142,($E142-'Pricing Inputs'!$X177*$D142),$CV142,0,($CQ142+IF(Smile=TRUE(),VLOOKUP(MAX(-5,$H142-Q142),Volsmile,2),0)),$CT142,$CU142,($A142-DateToday)+15,ABS(Option-2),1)*DG142*8)),0),0))</f>
        <v> </v>
      </c>
      <c r="BK142" s="302" t="str">
        <f aca="false">IF($A142="N/A"," ",R142*$AS142)</f>
        <v> </v>
      </c>
      <c r="BL142" s="303" t="str">
        <f aca="false">IF($A142="N/A"," ",S142*$AT142)</f>
        <v> </v>
      </c>
      <c r="BM142" s="303" t="str">
        <f aca="false">IF($A142="N/A"," ",T142*$AU142)</f>
        <v> </v>
      </c>
      <c r="BN142" s="303" t="str">
        <f aca="false">IF($A142="N/A"," ",U142*$AV142)</f>
        <v> </v>
      </c>
      <c r="BO142" s="303" t="str">
        <f aca="false">IF($A142="N/A"," ",V142*$AW142)</f>
        <v> </v>
      </c>
      <c r="BP142" s="303" t="str">
        <f aca="false">IF($A142="N/A"," ",W142*$AX142)</f>
        <v> </v>
      </c>
      <c r="BQ142" s="303" t="str">
        <f aca="false">IF($A142="N/A"," ",X142*$AY142)</f>
        <v> </v>
      </c>
      <c r="BR142" s="303" t="str">
        <f aca="false">IF($A142="N/A"," ",Y142*$AZ142)</f>
        <v> </v>
      </c>
      <c r="BS142" s="304" t="str">
        <f aca="false">IF($A142="N/A"," ",Z142*$BA142)</f>
        <v> </v>
      </c>
      <c r="BT142" s="305" t="str">
        <f aca="false">IF($A142="N/A"," ",AA142*$AS142)</f>
        <v> </v>
      </c>
      <c r="BU142" s="306" t="str">
        <f aca="false">IF($A142="N/A"," ",AB142*$AT142)</f>
        <v> </v>
      </c>
      <c r="BV142" s="306" t="str">
        <f aca="false">IF($A142="N/A"," ",AC142*$AU142)</f>
        <v> </v>
      </c>
      <c r="BW142" s="306" t="str">
        <f aca="false">IF($A142="N/A"," ",AD142*$AV142)</f>
        <v> </v>
      </c>
      <c r="BX142" s="306" t="str">
        <f aca="false">IF($A142="N/A"," ",AE142*$AW142)</f>
        <v> </v>
      </c>
      <c r="BY142" s="306" t="str">
        <f aca="false">IF($A142="N/A"," ",AF142*$AX142)</f>
        <v> </v>
      </c>
      <c r="BZ142" s="306" t="str">
        <f aca="false">IF($A142="N/A"," ",AG142*$AY142)</f>
        <v> </v>
      </c>
      <c r="CA142" s="306" t="str">
        <f aca="false">IF($A142="N/A"," ",AH142*$AZ142)</f>
        <v> </v>
      </c>
      <c r="CB142" s="307" t="str">
        <f aca="false">IF($A142="N/A"," ",AI142*$BA142)</f>
        <v> </v>
      </c>
      <c r="CC142" s="308" t="str">
        <f aca="false">IF($A142="N/A"," ",AJ142*$AS142)</f>
        <v> </v>
      </c>
      <c r="CD142" s="309" t="str">
        <f aca="false">IF($A142="N/A"," ",AK142*$AT142)</f>
        <v> </v>
      </c>
      <c r="CE142" s="309" t="str">
        <f aca="false">IF($A142="N/A"," ",AL142*$AU142)</f>
        <v> </v>
      </c>
      <c r="CF142" s="309" t="str">
        <f aca="false">IF($A142="N/A"," ",AM142*$AV142)</f>
        <v> </v>
      </c>
      <c r="CG142" s="309" t="str">
        <f aca="false">IF($A142="N/A"," ",AN142*$AW142)</f>
        <v> </v>
      </c>
      <c r="CH142" s="309" t="str">
        <f aca="false">IF($A142="N/A"," ",AO142*$AX142)</f>
        <v> </v>
      </c>
      <c r="CI142" s="309" t="str">
        <f aca="false">IF($A142="N/A"," ",AP142*$AY142)</f>
        <v> </v>
      </c>
      <c r="CJ142" s="309" t="str">
        <f aca="false">IF($A142="N/A"," ",AQ142*$AZ142)</f>
        <v> </v>
      </c>
      <c r="CK142" s="310" t="str">
        <f aca="false">IF($A142="N/A"," ",AR142*$BA142)</f>
        <v> </v>
      </c>
      <c r="CL142" s="311" t="str">
        <f aca="false">IF(A142="N/A"," ",(VLOOKUP(A142,PowerVolTable,(IF(VolBMO=2,7,IF(VolBMO=1,6,8))),FALSE())))</f>
        <v> </v>
      </c>
      <c r="CM142" s="312" t="str">
        <f aca="false">IF(A142="N/A"," ",(VLOOKUP(A142,IntraPowerVol,(IF(VolBMO=2,3,IF(VolBMO=1,2,4))),FALSE())*VLOOKUP(MONTH($A142),Volscale,2)))</f>
        <v> </v>
      </c>
      <c r="CN142" s="312" t="str">
        <f aca="false">IF($A142="N/A"," ",IF(VolType=1,CM142,CL142))</f>
        <v> </v>
      </c>
      <c r="CO142" s="312" t="str">
        <f aca="false">IF($A142="N/A"," ",(VLOOKUP($A142,OffPeakVol,(IF(VolBMO=2,7,IF(VolBMO=1,6,8))),FALSE())))</f>
        <v> </v>
      </c>
      <c r="CP142" s="312" t="str">
        <f aca="false">IF($A142="N/A"," ",(VLOOKUP($A142,OffPeakVol,(IF(VolBMO=2,3,IF(VolBMO=1,2,4))),FALSE())*VLOOKUP(MONTH($A142),Volscale,2)))</f>
        <v> </v>
      </c>
      <c r="CQ142" s="312" t="str">
        <f aca="false">IF($A142="N/A"," ",IF(VolType=1,CP142,CO142))</f>
        <v> </v>
      </c>
      <c r="CR142" s="312" t="str">
        <f aca="false">IF($A142="N/A"," ",(VLOOKUP($A142,GasVolTable,(IF(VolBMO=2,6,IF(VolBMO=1,7,5))),FALSE())))</f>
        <v> </v>
      </c>
      <c r="CS142" s="312" t="str">
        <f aca="false">IF($A142="N/A"," ",(VLOOKUP($A142,OmicronVol,(IF(VolBMO=2,3,IF(VolBMO=1,4,2))),FALSE())))</f>
        <v> </v>
      </c>
      <c r="CT142" s="312" t="str">
        <f aca="false">IF($A142="N/A"," ",(IF(DateToday&gt;$A142,$CS142,IF(VolType=1,((($CR142^2)*((($A142-1)-DateToday)/((EOMONTH($A142,0)+1)-DateToday-15)))+((($CS142)^2)*((15)/((EOMONTH($A142,0)+1)-DateToday-15))))^0.5,CR142))))</f>
        <v> </v>
      </c>
      <c r="CU142" s="312" t="str">
        <f aca="false">IF($A142="N/A"," ",IF('Pricing Inputs'!$AR$23=TRUE(),Inputs!$S$22,VLOOKUP($A142,CorrelationTable,2,FALSE())))</f>
        <v> </v>
      </c>
      <c r="CV142" s="313" t="str">
        <f aca="false">IF($A142="N/A"," ",F142+G142+(D142*('Pricing Inputs'!X177)))</f>
        <v> </v>
      </c>
      <c r="CW142" s="314" t="str">
        <f aca="false">IF($A142="N/A"," ",IF(PV=1,0,'Pricing Inputs'!Y177))</f>
        <v> </v>
      </c>
      <c r="CX142" s="315" t="str">
        <f aca="false">IF($A142="N/A"," ",(1+CW142/2)^(-2*((EOMONTH(A142,0)+20)-DateToday)/365.25))</f>
        <v> </v>
      </c>
      <c r="CY142" s="316" t="str">
        <f aca="false">IF($A142="N/A"," ",(IF(MONTH(A142)&gt;=4,IF(MONTH(A142)&lt;=10,Inputs!$S$26,Inputs!$S$27),Inputs!$S$27))*$CX142)</f>
        <v> </v>
      </c>
      <c r="CZ142" s="317" t="str">
        <f aca="false">IF($A142="N/A"," ",BK142+BL142+BN142+BO142+BQ142+BR142)</f>
        <v> </v>
      </c>
      <c r="DA142" s="318" t="str">
        <f aca="false">IF($A142="N/A"," ",BM142+BP142+BS142)</f>
        <v> </v>
      </c>
      <c r="DB142" s="319" t="str">
        <f aca="false">IF($A142="N/A"," ",BT142+BU142+BW142+BX142+BZ142+CA142)</f>
        <v> </v>
      </c>
      <c r="DC142" s="319" t="str">
        <f aca="false">IF($A142="N/A"," ",BV142+BY142+CB142)</f>
        <v> </v>
      </c>
      <c r="DD142" s="320" t="str">
        <f aca="false">IF($A142="N/A"," ",SUM(CC142:CK142))</f>
        <v> </v>
      </c>
      <c r="DE142" s="321" t="str">
        <f aca="false">IF($A142="N/A"," ",VLOOKUP($A142,NumberofDaysTable,2)*Availability)</f>
        <v> </v>
      </c>
      <c r="DF142" s="94" t="str">
        <f aca="false">IF($A142="N/A"," ",VLOOKUP($A142,NumberofDaysTable,3)*Availability)</f>
        <v> </v>
      </c>
      <c r="DG142" s="322" t="str">
        <f aca="false">IF($A142="N/A"," ",VLOOKUP($A142,NumberofDaysTable,4)*Availability)</f>
        <v> </v>
      </c>
      <c r="DH142" s="323" t="str">
        <f aca="false">IF($A142="N/A"," ",IF(Option=1,$D142*Inputs!$S$15*SUM(AS142:BA142),0))</f>
        <v> </v>
      </c>
      <c r="DI142" s="324" t="str">
        <f aca="false">IF($A142="N/A"," ",IF(Option=1,$D142*Inputs!$S$16*SUM(AS142:BA142),0))</f>
        <v> </v>
      </c>
      <c r="DJ142" s="325" t="str">
        <f aca="false">IF($A142="N/A"," ",SUM(AS142:AT142))</f>
        <v> </v>
      </c>
      <c r="DK142" s="325" t="str">
        <f aca="false">IF($A142="N/A"," ",SUM(AU142:BA142))</f>
        <v> </v>
      </c>
      <c r="DL142" s="325" t="str">
        <f aca="false">IF($A142="N/A"," ",SUM(BB142:BC142))</f>
        <v> </v>
      </c>
      <c r="DM142" s="325" t="str">
        <f aca="false">IF($A142="N/A"," ",SUM(BD142:BJ142))</f>
        <v> </v>
      </c>
    </row>
    <row r="143" customFormat="false" ht="12.75" hidden="false" customHeight="false" outlineLevel="0" collapsed="false">
      <c r="A143" s="282" t="str">
        <f aca="false">IF(A142="N/A","N/A",IF(EDATE(A142,1)&gt;Inputs!$S$5,"N/A",EDATE(A142,1)))</f>
        <v>N/A</v>
      </c>
      <c r="B143" s="283" t="str">
        <f aca="false">IF(A143="N/A"," ",YEAR(A143))</f>
        <v> </v>
      </c>
      <c r="C143" s="284" t="str">
        <f aca="false">IF(A143="N/A"," ",VLOOKUP(A143,ScaledPrice,14))</f>
        <v> </v>
      </c>
      <c r="D143" s="285" t="str">
        <f aca="false">IF(A143="N/A"," ",(VLOOKUP(MONTH($A143),Hrtable,2))/1000)</f>
        <v> </v>
      </c>
      <c r="E143" s="286" t="str">
        <f aca="false">IF($A143="N/A"," ",(C143)*D143)</f>
        <v> </v>
      </c>
      <c r="F143" s="287" t="str">
        <f aca="false">IF(A143="N/A"," ",VOM*(1+VOMesc)^(YEAR(A143)-YEAR(Today)))</f>
        <v> </v>
      </c>
      <c r="G143" s="287" t="str">
        <f aca="false">IF(A143="N/A"," ",Perstart/VLOOKUP(Dayrun,'Pricing Inputs'!$AQ$4:$AS$14,3)/(CY143/CX143))</f>
        <v> </v>
      </c>
      <c r="H143" s="288" t="str">
        <f aca="false">IF(A143="N/A"," ",SUM(E143:G143))</f>
        <v> </v>
      </c>
      <c r="I143" s="289" t="str">
        <f aca="false">VLOOKUP($A143,ScaledPrice,6)</f>
        <v> </v>
      </c>
      <c r="J143" s="290" t="str">
        <f aca="false">VLOOKUP($A143,ScaledPrice,10)</f>
        <v> </v>
      </c>
      <c r="K143" s="290" t="str">
        <f aca="false">VLOOKUP($A143,ScaledPrice,13)</f>
        <v> </v>
      </c>
      <c r="L143" s="290" t="str">
        <f aca="false">VLOOKUP($A143,ScaledPrice,7)</f>
        <v> </v>
      </c>
      <c r="M143" s="290" t="str">
        <f aca="false">VLOOKUP($A143,ScaledPrice,11)</f>
        <v> </v>
      </c>
      <c r="N143" s="290" t="str">
        <f aca="false">VLOOKUP($A143,ScaledPrice,13)</f>
        <v> </v>
      </c>
      <c r="O143" s="290" t="str">
        <f aca="false">VLOOKUP($A143,ScaledPrice,8)</f>
        <v> </v>
      </c>
      <c r="P143" s="290" t="str">
        <f aca="false">VLOOKUP($A143,ScaledPrice,12)</f>
        <v> </v>
      </c>
      <c r="Q143" s="291" t="str">
        <f aca="false">VLOOKUP($A143,ScaledPrice,13)</f>
        <v> </v>
      </c>
      <c r="R143" s="292" t="str">
        <f aca="false">IF($A143="N/A"," ",IF(Dayrun&gt;=3,IF(Option=1,MAX($I143-$H143,0),IF(Option=2,MAX($H143-$I143,0),0)),0))</f>
        <v> </v>
      </c>
      <c r="S143" s="286" t="str">
        <f aca="false">IF($A143="N/A"," ",IF(Dayrun&gt;=6,IF(Option=1,MAX($J143-H143,0),IF(Option=2,MAX(H143-$J143,0),0)),0))</f>
        <v> </v>
      </c>
      <c r="T143" s="286" t="str">
        <f aca="false">IF($A143="N/A"," ",IF(OR(Dayrun&lt;=2,Dayrun&gt;=9),IF(Option=1,MAX($K143-$H143,0),IF(Option=2,MAX($H143-$K143,0),0)),0))</f>
        <v> </v>
      </c>
      <c r="U143" s="286" t="str">
        <f aca="false">IF($A143="N/A"," ",IF(OR(Dayrun=1,Dayrun=4,Dayrun=5,Dayrun=7,Dayrun=8,Dayrun=10,Dayrun=11),IF(Option=1,MAX($L143-H143,0),IF(Option=2,MAX(H143-$L143,0),0)),0))</f>
        <v> </v>
      </c>
      <c r="V143" s="286" t="str">
        <f aca="false">IF($A143="N/A"," ",IF(OR(Dayrun=1,Dayrun=7,Dayrun=8,Dayrun=10,Dayrun=11),IF(Option=1,MAX($M143-H143,0),IF(Option=2,MAX(H143-$M143,0),0)),0))</f>
        <v> </v>
      </c>
      <c r="W143" s="286" t="str">
        <f aca="false">IF($A143="N/A"," ",IF(OR(Dayrun&lt;=2,Dayrun&gt;=10),IF(Option=1,MAX($N143-$H143,0),IF(Option=2,MAX($H143-$N143,0),0)),0))</f>
        <v> </v>
      </c>
      <c r="X143" s="286" t="str">
        <f aca="false">IF($A143="N/A"," ",IF(OR(Dayrun=1,Dayrun=5,Dayrun=8,Dayrun=11),IF(Option=1,MAX($O143-H143,0),IF(Option=2,MAX(H143-$O143,0),0)),0))</f>
        <v> </v>
      </c>
      <c r="Y143" s="286" t="str">
        <f aca="false">IF($A143="N/A"," ",IF(OR(Dayrun=1,Dayrun=8,Dayrun=11),IF(Option=1,MAX($P143-H143,0),IF(Option=2,MAX(H143-$P143,0),0)),0))</f>
        <v> </v>
      </c>
      <c r="Z143" s="293" t="str">
        <f aca="false">IF($A143="N/A"," ",IF(OR(Dayrun&lt;=2,Dayrun&gt;=11),IF(Option=1,MAX($Q143-$H143,0),IF(Option=2,MAX($H143-$Q143,0),0)),0))</f>
        <v> </v>
      </c>
      <c r="AA143" s="289" t="str">
        <f aca="false">IF($A143="N/A"," ",IF(Dayrun&gt;=3,(MAX(0,(xSPRDOPT(I143,($E143-'Pricing Inputs'!$X178*$D143),$CV143,0,($CN143+IF(Smile=TRUE(),VLOOKUP(MAX(-5,$H143-I143),Volsmile,2),0)),$CT143,$CU143,($A143-DateToday)+15,ABS(Option-2),0)-R143))),0))</f>
        <v> </v>
      </c>
      <c r="AB143" s="290" t="str">
        <f aca="false">IF($A143="N/A"," ",IF(Dayrun&gt;=6,MAX(0,(xSPRDOPT(J143,($E143-'Pricing Inputs'!$X178*$D143),$CV143,0,($CN143+IF(Smile=TRUE(),VLOOKUP(MAX(-5,$H143-J143),Volsmile,2),0)),$CT143,$CU143,($A143-DateToday)+15,ABS(Option-2),0)-S143)),0))</f>
        <v> </v>
      </c>
      <c r="AC143" s="290" t="str">
        <f aca="false">IF($A143="N/A"," ",IF(OR(Dayrun&lt;=2,Dayrun&gt;=9),IF(OffPeakEx=TRUE(),MAX(0,(xSPRDOPT(K143,($E143-'Pricing Inputs'!$X178*$D143),$CV143,0,($CQ143+IF(Smile=TRUE(),VLOOKUP(MAX(-5,$H143-K143),Volsmile,2),0)),$CT143,$CU143,($A143-DateToday)+15,ABS(Option-2),0)-T143)),0),0))</f>
        <v> </v>
      </c>
      <c r="AD143" s="290" t="str">
        <f aca="false">IF($A143="N/A"," ",IF(OR(Dayrun=1,Dayrun=4,Dayrun=5,Dayrun=7,Dayrun=8,Dayrun=10,Dayrun=11),MAX(0,(xSPRDOPT(L143,($E143-'Pricing Inputs'!$X178*$D143),$CV143,0,($CQ143+IF(Smile=TRUE(),VLOOKUP(MAX(-5,$H143-L143),Volsmile,2),0)),$CT143,$CU143,($A143-DateToday)+15,ABS(Option-2),0)-U143)),0))</f>
        <v> </v>
      </c>
      <c r="AE143" s="290" t="str">
        <f aca="false">IF($A143="N/A"," ",IF(OR(Dayrun=1,Dayrun=7,Dayrun=8,Dayrun=10,Dayrun=11),MAX(0,(xSPRDOPT(M143,($E143-'Pricing Inputs'!$X178*$D143),$CV143,0,($CQ143+IF(Smile=TRUE(),VLOOKUP(MAX(-5,$H143-M143),Volsmile,2),0)),$CT143,$CU143,($A143-DateToday)+15,ABS(Option-2),0)-V143)),0))</f>
        <v> </v>
      </c>
      <c r="AF143" s="290" t="str">
        <f aca="false">IF($A143="N/A"," ",IF(OR(Dayrun&lt;=2,Dayrun&gt;=10),IF(OffPeakEx=TRUE(),MAX(0,(xSPRDOPT(N143,($E143-'Pricing Inputs'!$X178*$D143),$CV143,0,($CQ143+IF(Smile=TRUE(),VLOOKUP(MAX(-5,$H143-N143),Volsmile,2),0)),$CT143,$CU143,($A143-DateToday)+15,ABS(Option-2),0)-W143)),0),0))</f>
        <v> </v>
      </c>
      <c r="AG143" s="290" t="str">
        <f aca="false">IF($A143="N/A"," ",IF(OR(Dayrun=1,Dayrun=5,Dayrun=8,Dayrun=11),MAX(0,(xSPRDOPT(O143,($E143-'Pricing Inputs'!$X178*$D143),$CV143,0,($CQ143+IF(Smile=TRUE(),VLOOKUP(MAX(-5,$H143-O143),Volsmile,2),0)),$CT143,$CU143,($A143-DateToday)+15,ABS(Option-2),0)-X143)),0))</f>
        <v> </v>
      </c>
      <c r="AH143" s="290" t="str">
        <f aca="false">IF($A143="N/A"," ",IF(OR(Dayrun=1,Dayrun=8,Dayrun=11),MAX(0,(xSPRDOPT(P143,($E143-'Pricing Inputs'!$X178*$D143),$CV143,0,($CQ143+IF(Smile=TRUE(),VLOOKUP(MAX(-5,$H143-P143),Volsmile,2),0)),$CT143,$CU143,($A143-DateToday)+15,ABS(Option-2),0)-Y143)),0))</f>
        <v> </v>
      </c>
      <c r="AI143" s="290" t="str">
        <f aca="false">IF($A143="N/A"," ",IF(OR(Dayrun&lt;=2,Dayrun&gt;=11),IF(OffPeakEx=TRUE(),MAX(0,(xSPRDOPT(Q143,($E143-'Pricing Inputs'!$X178*$D143),$CV143,0,($CQ143+IF(Smile=TRUE(),VLOOKUP(MAX(-5,$H143-Q143),Volsmile,2),0)),$CT143,$CU143,($A143-DateToday)+15,ABS(Option-2),0)-Z143)),0),0))</f>
        <v> </v>
      </c>
      <c r="AJ143" s="294" t="str">
        <f aca="false">IF($A143="N/A"," ",IF(Dayrun&gt;=3,IF(Option=1,$I143-$H143,IF(Option=2,$H143-$I143)),0))</f>
        <v> </v>
      </c>
      <c r="AK143" s="295" t="str">
        <f aca="false">IF($A143="N/A"," ",IF(Dayrun&gt;=6,IF(Option=1,$J143-H143,IF(Option=2,H143-$J143)),0))</f>
        <v> </v>
      </c>
      <c r="AL143" s="295" t="str">
        <f aca="false">IF($A143="N/A"," ",IF(OR(Dayrun&lt;=2,Dayrun&gt;=9),IF(Option=1,$K143-$H143,IF(Option=2,$H143-$K143)),0))</f>
        <v> </v>
      </c>
      <c r="AM143" s="295" t="str">
        <f aca="false">IF($A143="N/A"," ",IF(OR(Dayrun=1,Dayrun=4,Dayrun=5,Dayrun=7,Dayrun=8,Dayrun=10,Dayrun=11),IF(Option=1,$L143-H143,IF(Option=2,H143-$L143)),0))</f>
        <v> </v>
      </c>
      <c r="AN143" s="295" t="str">
        <f aca="false">IF($A143="N/A"," ",IF(OR(Dayrun=1,Dayrun=7,Dayrun=8,Dayrun=10,Dayrun=11),IF(Option=1,$M143-H143,IF(Option=2,H143-$M143)),0))</f>
        <v> </v>
      </c>
      <c r="AO143" s="295" t="str">
        <f aca="false">IF($A143="N/A"," ",IF(OR(Dayrun&lt;=2,Dayrun&gt;=9),IF(Option=1,$N143-$H143,IF(Option=2,$H143-$N143)),0))</f>
        <v> </v>
      </c>
      <c r="AP143" s="295" t="str">
        <f aca="false">IF($A143="N/A"," ",IF(OR(Dayrun=1,Dayrun=5,Dayrun=8,Dayrun=11),IF(Option=1,$O143-H143,IF(Option=2,H143-$O143)),0))</f>
        <v> </v>
      </c>
      <c r="AQ143" s="295" t="str">
        <f aca="false">IF($A143="N/A"," ",IF(OR(Dayrun=1,Dayrun=8,Dayrun=11),IF(Option=1,$P143-H143,IF(Option=2,H143-$P143)),0))</f>
        <v> </v>
      </c>
      <c r="AR143" s="296" t="str">
        <f aca="false">IF($A143="N/A"," ",IF(OR(Dayrun&lt;=2,Dayrun&gt;=9),IF(Option=1,$Q143-H143,IF(Option=2,H143-$Q143)),0))</f>
        <v> </v>
      </c>
      <c r="AS143" s="297" t="str">
        <f aca="false">IF($A143="N/A"," ",IF(VLOOKUP(MONTH($A143),ManualTable,2)=1,IF(Dayrun&gt;=3,$DE143*8*$CY143,0),0))</f>
        <v> </v>
      </c>
      <c r="AT143" s="297" t="str">
        <f aca="false">IF($A143="N/A"," ",IF(VLOOKUP(MONTH($A143),ManualTable,3)=1,IF(Dayrun&gt;=6,$DE143*8*$CY143,0),0))</f>
        <v> </v>
      </c>
      <c r="AU143" s="297" t="str">
        <f aca="false">IF($A143="N/A"," ",IF(VLOOKUP(MONTH($A143),ManualTable,4)=1,IF(OR(Dayrun&lt;=2,Dayrun&gt;=9),$DE143*8*$CY143,0),0))</f>
        <v> </v>
      </c>
      <c r="AV143" s="297" t="str">
        <f aca="false">IF($A143="N/A"," ",IF(VLOOKUP(MONTH($A143),ManualTable,5)=1,IF(OR(Dayrun=1,Dayrun=4,Dayrun=5,Dayrun=7,Dayrun=8,Dayrun=10,Dayrun=11),$DF143*8*$CY143,0),0))</f>
        <v> </v>
      </c>
      <c r="AW143" s="297" t="str">
        <f aca="false">IF($A143="N/A"," ",IF(VLOOKUP(MONTH($A143),ManualTable,6)=1,IF(OR(Dayrun=1,Dayrun=7,Dayrun=8,Dayrun=10,Dayrun=11),$DF143*8*$CY143,0),0))</f>
        <v> </v>
      </c>
      <c r="AX143" s="297" t="str">
        <f aca="false">IF($A143="N/A"," ",IF(VLOOKUP(MONTH($A143),ManualTable,7)=1,IF(OR(Dayrun&lt;=2,Dayrun&gt;=9),$DF143*8*$CY143,0),0))</f>
        <v> </v>
      </c>
      <c r="AY143" s="297" t="str">
        <f aca="false">IF($A143="N/A"," ",IF(VLOOKUP(MONTH($A143),ManualTable,8)=1,IF(OR(Dayrun=1,Dayrun=5,Dayrun=8,Dayrun=11),$DG143*8*$CY143,0),0))</f>
        <v> </v>
      </c>
      <c r="AZ143" s="297" t="str">
        <f aca="false">IF($A143="N/A"," ",IF(VLOOKUP(MONTH($A143),ManualTable,9)=1,IF(OR(Dayrun=1,Dayrun=8,Dayrun=11),$DG143*8*$CY143,0),0))</f>
        <v> </v>
      </c>
      <c r="BA143" s="298" t="str">
        <f aca="false">IF($A143="N/A"," ",IF(VLOOKUP(MONTH($A143),ManualTable,10)=1,IF(OR(Dayrun&lt;=2,Dayrun&gt;=9),$DG143*8*$CY143,0),0))</f>
        <v> </v>
      </c>
      <c r="BB143" s="299" t="str">
        <f aca="false">IF($A143="N/A"," ",IF(Dayrun&gt;=3,(MAX(0,(xSPRDOPT(I143,($E143-'Pricing Inputs'!$X178*$D143),$CV143,0,($CN143+IF(Smile=TRUE(),VLOOKUP(MAX(-5,$H143-I143),Volsmile,2),0)),$CT143,$CU143,($A143-DateToday)+15,ABS(Option-2),1)*DE143*8))),0))</f>
        <v> </v>
      </c>
      <c r="BC143" s="300" t="str">
        <f aca="false">IF($A143="N/A"," ",IF(Dayrun&gt;=6,MAX(0,(xSPRDOPT(J143,($E143-'Pricing Inputs'!$X178*$D143),$CV143,0,($CN143+IF(Smile=TRUE(),VLOOKUP(MAX(-5,$H143-J143),Volsmile,2),0)),$CT143,$CU143,($A143-DateToday)+15,ABS(Option-2),1)*DE143*8)),0))</f>
        <v> </v>
      </c>
      <c r="BD143" s="300" t="str">
        <f aca="false">IF($A143="N/A"," ",IF(OR(Dayrun&lt;=2,Dayrun&gt;=9),IF(OffPeakEx=TRUE(),MAX(0,(xSPRDOPT(K143,($E143-'Pricing Inputs'!$X178*$D143),$CV143,0,($CQ143+IF(Smile=TRUE(),VLOOKUP(MAX(-5,$H143-K143),Volsmile,2),0)),$CT143,$CU143,($A143-DateToday)+15,ABS(Option-2),1)*DE143*8)),0),0))</f>
        <v> </v>
      </c>
      <c r="BE143" s="300" t="str">
        <f aca="false">IF($A143="N/A"," ",IF(OR(Dayrun=1,Dayrun=4,Dayrun=5,Dayrun=7,Dayrun=8,Dayrun=10,Dayrun=11),MAX(0,(xSPRDOPT(L143,($E143-'Pricing Inputs'!$X178*$D143),$CV143,0,($CQ143+IF(Smile=TRUE(),VLOOKUP(MAX(-5,$H143-L143),Volsmile,2),0)),$CT143,$CU143,($A143-DateToday)+15,ABS(Option-2),1)*DF143*8)),0))</f>
        <v> </v>
      </c>
      <c r="BF143" s="300" t="str">
        <f aca="false">IF($A143="N/A"," ",IF(OR(Dayrun=1,Dayrun=7,Dayrun=8,Dayrun=10,Dayrun=11),MAX(0,(xSPRDOPT(M143,($E143-'Pricing Inputs'!$X178*$D143),$CV143,0,($CQ143+IF(Smile=TRUE(),VLOOKUP(MAX(-5,$H143-M143),Volsmile,2),0)),$CT143,$CU143,($A143-DateToday)+15,ABS(Option-2),1)*DF143*8)),0))</f>
        <v> </v>
      </c>
      <c r="BG143" s="300" t="str">
        <f aca="false">IF($A143="N/A"," ",IF(OR(Dayrun&lt;=2,Dayrun&gt;=10),IF(OffPeakEx=TRUE(),MAX(0,(xSPRDOPT(N143,($E143-'Pricing Inputs'!$X178*$D143),$CV143,0,($CQ143+IF(Smile=TRUE(),VLOOKUP(MAX(-5,$H143-N143),Volsmile,2),0)),$CT143,$CU143,($A143-DateToday)+15,ABS(Option-2),1)*DF143*8)),0),0))</f>
        <v> </v>
      </c>
      <c r="BH143" s="300" t="str">
        <f aca="false">IF($A143="N/A"," ",IF(OR(Dayrun=1,Dayrun=5,Dayrun=8,Dayrun=11),MAX(0,(xSPRDOPT(O143,($E143-'Pricing Inputs'!$X178*$D143),$CV143,0,($CQ143+IF(Smile=TRUE(),VLOOKUP(MAX(-5,$H143-O143),Volsmile,2),0)),$CT143,$CU143,($A143-DateToday)+15,ABS(Option-2),1)*DG143*8)),0))</f>
        <v> </v>
      </c>
      <c r="BI143" s="300" t="str">
        <f aca="false">IF($A143="N/A"," ",IF(OR(Dayrun=1,Dayrun=8,Dayrun=11),MAX(0,(xSPRDOPT(P143,($E143-'Pricing Inputs'!$X178*$D143),$CV143,0,($CQ143+IF(Smile=TRUE(),VLOOKUP(MAX(-5,$H143-P143),Volsmile,2),0)),$CT143,$CU143,($A143-DateToday)+15,ABS(Option-2),1)*DG143*8)),0))</f>
        <v> </v>
      </c>
      <c r="BJ143" s="301" t="str">
        <f aca="false">IF($A143="N/A"," ",IF(OR(Dayrun&lt;=2,Dayrun&gt;=11),IF(OffPeakEx=TRUE(),MAX(0,(xSPRDOPT(Q143,($E143-'Pricing Inputs'!$X178*$D143),$CV143,0,($CQ143+IF(Smile=TRUE(),VLOOKUP(MAX(-5,$H143-Q143),Volsmile,2),0)),$CT143,$CU143,($A143-DateToday)+15,ABS(Option-2),1)*DG143*8)),0),0))</f>
        <v> </v>
      </c>
      <c r="BK143" s="302" t="str">
        <f aca="false">IF($A143="N/A"," ",R143*$AS143)</f>
        <v> </v>
      </c>
      <c r="BL143" s="303" t="str">
        <f aca="false">IF($A143="N/A"," ",S143*$AT143)</f>
        <v> </v>
      </c>
      <c r="BM143" s="303" t="str">
        <f aca="false">IF($A143="N/A"," ",T143*$AU143)</f>
        <v> </v>
      </c>
      <c r="BN143" s="303" t="str">
        <f aca="false">IF($A143="N/A"," ",U143*$AV143)</f>
        <v> </v>
      </c>
      <c r="BO143" s="303" t="str">
        <f aca="false">IF($A143="N/A"," ",V143*$AW143)</f>
        <v> </v>
      </c>
      <c r="BP143" s="303" t="str">
        <f aca="false">IF($A143="N/A"," ",W143*$AX143)</f>
        <v> </v>
      </c>
      <c r="BQ143" s="303" t="str">
        <f aca="false">IF($A143="N/A"," ",X143*$AY143)</f>
        <v> </v>
      </c>
      <c r="BR143" s="303" t="str">
        <f aca="false">IF($A143="N/A"," ",Y143*$AZ143)</f>
        <v> </v>
      </c>
      <c r="BS143" s="304" t="str">
        <f aca="false">IF($A143="N/A"," ",Z143*$BA143)</f>
        <v> </v>
      </c>
      <c r="BT143" s="305" t="str">
        <f aca="false">IF($A143="N/A"," ",AA143*$AS143)</f>
        <v> </v>
      </c>
      <c r="BU143" s="306" t="str">
        <f aca="false">IF($A143="N/A"," ",AB143*$AT143)</f>
        <v> </v>
      </c>
      <c r="BV143" s="306" t="str">
        <f aca="false">IF($A143="N/A"," ",AC143*$AU143)</f>
        <v> </v>
      </c>
      <c r="BW143" s="306" t="str">
        <f aca="false">IF($A143="N/A"," ",AD143*$AV143)</f>
        <v> </v>
      </c>
      <c r="BX143" s="306" t="str">
        <f aca="false">IF($A143="N/A"," ",AE143*$AW143)</f>
        <v> </v>
      </c>
      <c r="BY143" s="306" t="str">
        <f aca="false">IF($A143="N/A"," ",AF143*$AX143)</f>
        <v> </v>
      </c>
      <c r="BZ143" s="306" t="str">
        <f aca="false">IF($A143="N/A"," ",AG143*$AY143)</f>
        <v> </v>
      </c>
      <c r="CA143" s="306" t="str">
        <f aca="false">IF($A143="N/A"," ",AH143*$AZ143)</f>
        <v> </v>
      </c>
      <c r="CB143" s="307" t="str">
        <f aca="false">IF($A143="N/A"," ",AI143*$BA143)</f>
        <v> </v>
      </c>
      <c r="CC143" s="308" t="str">
        <f aca="false">IF($A143="N/A"," ",AJ143*$AS143)</f>
        <v> </v>
      </c>
      <c r="CD143" s="309" t="str">
        <f aca="false">IF($A143="N/A"," ",AK143*$AT143)</f>
        <v> </v>
      </c>
      <c r="CE143" s="309" t="str">
        <f aca="false">IF($A143="N/A"," ",AL143*$AU143)</f>
        <v> </v>
      </c>
      <c r="CF143" s="309" t="str">
        <f aca="false">IF($A143="N/A"," ",AM143*$AV143)</f>
        <v> </v>
      </c>
      <c r="CG143" s="309" t="str">
        <f aca="false">IF($A143="N/A"," ",AN143*$AW143)</f>
        <v> </v>
      </c>
      <c r="CH143" s="309" t="str">
        <f aca="false">IF($A143="N/A"," ",AO143*$AX143)</f>
        <v> </v>
      </c>
      <c r="CI143" s="309" t="str">
        <f aca="false">IF($A143="N/A"," ",AP143*$AY143)</f>
        <v> </v>
      </c>
      <c r="CJ143" s="309" t="str">
        <f aca="false">IF($A143="N/A"," ",AQ143*$AZ143)</f>
        <v> </v>
      </c>
      <c r="CK143" s="310" t="str">
        <f aca="false">IF($A143="N/A"," ",AR143*$BA143)</f>
        <v> </v>
      </c>
      <c r="CL143" s="311" t="str">
        <f aca="false">IF(A143="N/A"," ",(VLOOKUP(A143,PowerVolTable,(IF(VolBMO=2,7,IF(VolBMO=1,6,8))),FALSE())))</f>
        <v> </v>
      </c>
      <c r="CM143" s="312" t="str">
        <f aca="false">IF(A143="N/A"," ",(VLOOKUP(A143,IntraPowerVol,(IF(VolBMO=2,3,IF(VolBMO=1,2,4))),FALSE())*VLOOKUP(MONTH($A143),Volscale,2)))</f>
        <v> </v>
      </c>
      <c r="CN143" s="312" t="str">
        <f aca="false">IF($A143="N/A"," ",IF(VolType=1,CM143,CL143))</f>
        <v> </v>
      </c>
      <c r="CO143" s="312" t="str">
        <f aca="false">IF($A143="N/A"," ",(VLOOKUP($A143,OffPeakVol,(IF(VolBMO=2,7,IF(VolBMO=1,6,8))),FALSE())))</f>
        <v> </v>
      </c>
      <c r="CP143" s="312" t="str">
        <f aca="false">IF($A143="N/A"," ",(VLOOKUP($A143,OffPeakVol,(IF(VolBMO=2,3,IF(VolBMO=1,2,4))),FALSE())*VLOOKUP(MONTH($A143),Volscale,2)))</f>
        <v> </v>
      </c>
      <c r="CQ143" s="312" t="str">
        <f aca="false">IF($A143="N/A"," ",IF(VolType=1,CP143,CO143))</f>
        <v> </v>
      </c>
      <c r="CR143" s="312" t="str">
        <f aca="false">IF($A143="N/A"," ",(VLOOKUP($A143,GasVolTable,(IF(VolBMO=2,6,IF(VolBMO=1,7,5))),FALSE())))</f>
        <v> </v>
      </c>
      <c r="CS143" s="312" t="str">
        <f aca="false">IF($A143="N/A"," ",(VLOOKUP($A143,OmicronVol,(IF(VolBMO=2,3,IF(VolBMO=1,4,2))),FALSE())))</f>
        <v> </v>
      </c>
      <c r="CT143" s="312" t="str">
        <f aca="false">IF($A143="N/A"," ",(IF(DateToday&gt;$A143,$CS143,IF(VolType=1,((($CR143^2)*((($A143-1)-DateToday)/((EOMONTH($A143,0)+1)-DateToday-15)))+((($CS143)^2)*((15)/((EOMONTH($A143,0)+1)-DateToday-15))))^0.5,CR143))))</f>
        <v> </v>
      </c>
      <c r="CU143" s="312" t="str">
        <f aca="false">IF($A143="N/A"," ",IF('Pricing Inputs'!$AR$23=TRUE(),Inputs!$S$22,VLOOKUP($A143,CorrelationTable,2,FALSE())))</f>
        <v> </v>
      </c>
      <c r="CV143" s="313" t="str">
        <f aca="false">IF($A143="N/A"," ",F143+G143+(D143*('Pricing Inputs'!X178)))</f>
        <v> </v>
      </c>
      <c r="CW143" s="314" t="str">
        <f aca="false">IF($A143="N/A"," ",IF(PV=1,0,'Pricing Inputs'!Y178))</f>
        <v> </v>
      </c>
      <c r="CX143" s="315" t="str">
        <f aca="false">IF($A143="N/A"," ",(1+CW143/2)^(-2*((EOMONTH(A143,0)+20)-DateToday)/365.25))</f>
        <v> </v>
      </c>
      <c r="CY143" s="316" t="str">
        <f aca="false">IF($A143="N/A"," ",(IF(MONTH(A143)&gt;=4,IF(MONTH(A143)&lt;=10,Inputs!$S$26,Inputs!$S$27),Inputs!$S$27))*$CX143)</f>
        <v> </v>
      </c>
      <c r="CZ143" s="317" t="str">
        <f aca="false">IF($A143="N/A"," ",BK143+BL143+BN143+BO143+BQ143+BR143)</f>
        <v> </v>
      </c>
      <c r="DA143" s="318" t="str">
        <f aca="false">IF($A143="N/A"," ",BM143+BP143+BS143)</f>
        <v> </v>
      </c>
      <c r="DB143" s="319" t="str">
        <f aca="false">IF($A143="N/A"," ",BT143+BU143+BW143+BX143+BZ143+CA143)</f>
        <v> </v>
      </c>
      <c r="DC143" s="319" t="str">
        <f aca="false">IF($A143="N/A"," ",BV143+BY143+CB143)</f>
        <v> </v>
      </c>
      <c r="DD143" s="320" t="str">
        <f aca="false">IF($A143="N/A"," ",SUM(CC143:CK143))</f>
        <v> </v>
      </c>
      <c r="DE143" s="321" t="str">
        <f aca="false">IF($A143="N/A"," ",VLOOKUP($A143,NumberofDaysTable,2)*Availability)</f>
        <v> </v>
      </c>
      <c r="DF143" s="94" t="str">
        <f aca="false">IF($A143="N/A"," ",VLOOKUP($A143,NumberofDaysTable,3)*Availability)</f>
        <v> </v>
      </c>
      <c r="DG143" s="322" t="str">
        <f aca="false">IF($A143="N/A"," ",VLOOKUP($A143,NumberofDaysTable,4)*Availability)</f>
        <v> </v>
      </c>
      <c r="DH143" s="323" t="str">
        <f aca="false">IF($A143="N/A"," ",IF(Option=1,$D143*Inputs!$S$15*SUM(AS143:BA143),0))</f>
        <v> </v>
      </c>
      <c r="DI143" s="324" t="str">
        <f aca="false">IF($A143="N/A"," ",IF(Option=1,$D143*Inputs!$S$16*SUM(AS143:BA143),0))</f>
        <v> </v>
      </c>
      <c r="DJ143" s="325" t="str">
        <f aca="false">IF($A143="N/A"," ",SUM(AS143:AT143))</f>
        <v> </v>
      </c>
      <c r="DK143" s="325" t="str">
        <f aca="false">IF($A143="N/A"," ",SUM(AU143:BA143))</f>
        <v> </v>
      </c>
      <c r="DL143" s="325" t="str">
        <f aca="false">IF($A143="N/A"," ",SUM(BB143:BC143))</f>
        <v> </v>
      </c>
      <c r="DM143" s="325" t="str">
        <f aca="false">IF($A143="N/A"," ",SUM(BD143:BJ143))</f>
        <v> </v>
      </c>
    </row>
    <row r="144" customFormat="false" ht="12.75" hidden="false" customHeight="false" outlineLevel="0" collapsed="false">
      <c r="A144" s="282" t="str">
        <f aca="false">IF(A143="N/A","N/A",IF(EDATE(A143,1)&gt;Inputs!$S$5,"N/A",EDATE(A143,1)))</f>
        <v>N/A</v>
      </c>
      <c r="B144" s="283" t="str">
        <f aca="false">IF(A144="N/A"," ",YEAR(A144))</f>
        <v> </v>
      </c>
      <c r="C144" s="284" t="str">
        <f aca="false">IF(A144="N/A"," ",VLOOKUP(A144,ScaledPrice,14))</f>
        <v> </v>
      </c>
      <c r="D144" s="285" t="str">
        <f aca="false">IF(A144="N/A"," ",(VLOOKUP(MONTH($A144),Hrtable,2))/1000)</f>
        <v> </v>
      </c>
      <c r="E144" s="286" t="str">
        <f aca="false">IF($A144="N/A"," ",(C144)*D144)</f>
        <v> </v>
      </c>
      <c r="F144" s="287" t="str">
        <f aca="false">IF(A144="N/A"," ",VOM*(1+VOMesc)^(YEAR(A144)-YEAR(Today)))</f>
        <v> </v>
      </c>
      <c r="G144" s="287" t="str">
        <f aca="false">IF(A144="N/A"," ",Perstart/VLOOKUP(Dayrun,'Pricing Inputs'!$AQ$4:$AS$14,3)/(CY144/CX144))</f>
        <v> </v>
      </c>
      <c r="H144" s="288" t="str">
        <f aca="false">IF(A144="N/A"," ",SUM(E144:G144))</f>
        <v> </v>
      </c>
      <c r="I144" s="289" t="str">
        <f aca="false">VLOOKUP($A144,ScaledPrice,6)</f>
        <v> </v>
      </c>
      <c r="J144" s="290" t="str">
        <f aca="false">VLOOKUP($A144,ScaledPrice,10)</f>
        <v> </v>
      </c>
      <c r="K144" s="290" t="str">
        <f aca="false">VLOOKUP($A144,ScaledPrice,13)</f>
        <v> </v>
      </c>
      <c r="L144" s="290" t="str">
        <f aca="false">VLOOKUP($A144,ScaledPrice,7)</f>
        <v> </v>
      </c>
      <c r="M144" s="290" t="str">
        <f aca="false">VLOOKUP($A144,ScaledPrice,11)</f>
        <v> </v>
      </c>
      <c r="N144" s="290" t="str">
        <f aca="false">VLOOKUP($A144,ScaledPrice,13)</f>
        <v> </v>
      </c>
      <c r="O144" s="290" t="str">
        <f aca="false">VLOOKUP($A144,ScaledPrice,8)</f>
        <v> </v>
      </c>
      <c r="P144" s="290" t="str">
        <f aca="false">VLOOKUP($A144,ScaledPrice,12)</f>
        <v> </v>
      </c>
      <c r="Q144" s="291" t="str">
        <f aca="false">VLOOKUP($A144,ScaledPrice,13)</f>
        <v> </v>
      </c>
      <c r="R144" s="292" t="str">
        <f aca="false">IF($A144="N/A"," ",IF(Dayrun&gt;=3,IF(Option=1,MAX($I144-$H144,0),IF(Option=2,MAX($H144-$I144,0),0)),0))</f>
        <v> </v>
      </c>
      <c r="S144" s="286" t="str">
        <f aca="false">IF($A144="N/A"," ",IF(Dayrun&gt;=6,IF(Option=1,MAX($J144-H144,0),IF(Option=2,MAX(H144-$J144,0),0)),0))</f>
        <v> </v>
      </c>
      <c r="T144" s="286" t="str">
        <f aca="false">IF($A144="N/A"," ",IF(OR(Dayrun&lt;=2,Dayrun&gt;=9),IF(Option=1,MAX($K144-$H144,0),IF(Option=2,MAX($H144-$K144,0),0)),0))</f>
        <v> </v>
      </c>
      <c r="U144" s="286" t="str">
        <f aca="false">IF($A144="N/A"," ",IF(OR(Dayrun=1,Dayrun=4,Dayrun=5,Dayrun=7,Dayrun=8,Dayrun=10,Dayrun=11),IF(Option=1,MAX($L144-H144,0),IF(Option=2,MAX(H144-$L144,0),0)),0))</f>
        <v> </v>
      </c>
      <c r="V144" s="286" t="str">
        <f aca="false">IF($A144="N/A"," ",IF(OR(Dayrun=1,Dayrun=7,Dayrun=8,Dayrun=10,Dayrun=11),IF(Option=1,MAX($M144-H144,0),IF(Option=2,MAX(H144-$M144,0),0)),0))</f>
        <v> </v>
      </c>
      <c r="W144" s="286" t="str">
        <f aca="false">IF($A144="N/A"," ",IF(OR(Dayrun&lt;=2,Dayrun&gt;=10),IF(Option=1,MAX($N144-$H144,0),IF(Option=2,MAX($H144-$N144,0),0)),0))</f>
        <v> </v>
      </c>
      <c r="X144" s="286" t="str">
        <f aca="false">IF($A144="N/A"," ",IF(OR(Dayrun=1,Dayrun=5,Dayrun=8,Dayrun=11),IF(Option=1,MAX($O144-H144,0),IF(Option=2,MAX(H144-$O144,0),0)),0))</f>
        <v> </v>
      </c>
      <c r="Y144" s="286" t="str">
        <f aca="false">IF($A144="N/A"," ",IF(OR(Dayrun=1,Dayrun=8,Dayrun=11),IF(Option=1,MAX($P144-H144,0),IF(Option=2,MAX(H144-$P144,0),0)),0))</f>
        <v> </v>
      </c>
      <c r="Z144" s="293" t="str">
        <f aca="false">IF($A144="N/A"," ",IF(OR(Dayrun&lt;=2,Dayrun&gt;=11),IF(Option=1,MAX($Q144-$H144,0),IF(Option=2,MAX($H144-$Q144,0),0)),0))</f>
        <v> </v>
      </c>
      <c r="AA144" s="289" t="str">
        <f aca="false">IF($A144="N/A"," ",IF(Dayrun&gt;=3,(MAX(0,(xSPRDOPT(I144,($E144-'Pricing Inputs'!$X179*$D144),$CV144,0,($CN144+IF(Smile=TRUE(),VLOOKUP(MAX(-5,$H144-I144),Volsmile,2),0)),$CT144,$CU144,($A144-DateToday)+15,ABS(Option-2),0)-R144))),0))</f>
        <v> </v>
      </c>
      <c r="AB144" s="290" t="str">
        <f aca="false">IF($A144="N/A"," ",IF(Dayrun&gt;=6,MAX(0,(xSPRDOPT(J144,($E144-'Pricing Inputs'!$X179*$D144),$CV144,0,($CN144+IF(Smile=TRUE(),VLOOKUP(MAX(-5,$H144-J144),Volsmile,2),0)),$CT144,$CU144,($A144-DateToday)+15,ABS(Option-2),0)-S144)),0))</f>
        <v> </v>
      </c>
      <c r="AC144" s="290" t="str">
        <f aca="false">IF($A144="N/A"," ",IF(OR(Dayrun&lt;=2,Dayrun&gt;=9),IF(OffPeakEx=TRUE(),MAX(0,(xSPRDOPT(K144,($E144-'Pricing Inputs'!$X179*$D144),$CV144,0,($CQ144+IF(Smile=TRUE(),VLOOKUP(MAX(-5,$H144-K144),Volsmile,2),0)),$CT144,$CU144,($A144-DateToday)+15,ABS(Option-2),0)-T144)),0),0))</f>
        <v> </v>
      </c>
      <c r="AD144" s="290" t="str">
        <f aca="false">IF($A144="N/A"," ",IF(OR(Dayrun=1,Dayrun=4,Dayrun=5,Dayrun=7,Dayrun=8,Dayrun=10,Dayrun=11),MAX(0,(xSPRDOPT(L144,($E144-'Pricing Inputs'!$X179*$D144),$CV144,0,($CQ144+IF(Smile=TRUE(),VLOOKUP(MAX(-5,$H144-L144),Volsmile,2),0)),$CT144,$CU144,($A144-DateToday)+15,ABS(Option-2),0)-U144)),0))</f>
        <v> </v>
      </c>
      <c r="AE144" s="290" t="str">
        <f aca="false">IF($A144="N/A"," ",IF(OR(Dayrun=1,Dayrun=7,Dayrun=8,Dayrun=10,Dayrun=11),MAX(0,(xSPRDOPT(M144,($E144-'Pricing Inputs'!$X179*$D144),$CV144,0,($CQ144+IF(Smile=TRUE(),VLOOKUP(MAX(-5,$H144-M144),Volsmile,2),0)),$CT144,$CU144,($A144-DateToday)+15,ABS(Option-2),0)-V144)),0))</f>
        <v> </v>
      </c>
      <c r="AF144" s="290" t="str">
        <f aca="false">IF($A144="N/A"," ",IF(OR(Dayrun&lt;=2,Dayrun&gt;=10),IF(OffPeakEx=TRUE(),MAX(0,(xSPRDOPT(N144,($E144-'Pricing Inputs'!$X179*$D144),$CV144,0,($CQ144+IF(Smile=TRUE(),VLOOKUP(MAX(-5,$H144-N144),Volsmile,2),0)),$CT144,$CU144,($A144-DateToday)+15,ABS(Option-2),0)-W144)),0),0))</f>
        <v> </v>
      </c>
      <c r="AG144" s="290" t="str">
        <f aca="false">IF($A144="N/A"," ",IF(OR(Dayrun=1,Dayrun=5,Dayrun=8,Dayrun=11),MAX(0,(xSPRDOPT(O144,($E144-'Pricing Inputs'!$X179*$D144),$CV144,0,($CQ144+IF(Smile=TRUE(),VLOOKUP(MAX(-5,$H144-O144),Volsmile,2),0)),$CT144,$CU144,($A144-DateToday)+15,ABS(Option-2),0)-X144)),0))</f>
        <v> </v>
      </c>
      <c r="AH144" s="290" t="str">
        <f aca="false">IF($A144="N/A"," ",IF(OR(Dayrun=1,Dayrun=8,Dayrun=11),MAX(0,(xSPRDOPT(P144,($E144-'Pricing Inputs'!$X179*$D144),$CV144,0,($CQ144+IF(Smile=TRUE(),VLOOKUP(MAX(-5,$H144-P144),Volsmile,2),0)),$CT144,$CU144,($A144-DateToday)+15,ABS(Option-2),0)-Y144)),0))</f>
        <v> </v>
      </c>
      <c r="AI144" s="290" t="str">
        <f aca="false">IF($A144="N/A"," ",IF(OR(Dayrun&lt;=2,Dayrun&gt;=11),IF(OffPeakEx=TRUE(),MAX(0,(xSPRDOPT(Q144,($E144-'Pricing Inputs'!$X179*$D144),$CV144,0,($CQ144+IF(Smile=TRUE(),VLOOKUP(MAX(-5,$H144-Q144),Volsmile,2),0)),$CT144,$CU144,($A144-DateToday)+15,ABS(Option-2),0)-Z144)),0),0))</f>
        <v> </v>
      </c>
      <c r="AJ144" s="294" t="str">
        <f aca="false">IF($A144="N/A"," ",IF(Dayrun&gt;=3,IF(Option=1,$I144-$H144,IF(Option=2,$H144-$I144)),0))</f>
        <v> </v>
      </c>
      <c r="AK144" s="295" t="str">
        <f aca="false">IF($A144="N/A"," ",IF(Dayrun&gt;=6,IF(Option=1,$J144-H144,IF(Option=2,H144-$J144)),0))</f>
        <v> </v>
      </c>
      <c r="AL144" s="295" t="str">
        <f aca="false">IF($A144="N/A"," ",IF(OR(Dayrun&lt;=2,Dayrun&gt;=9),IF(Option=1,$K144-$H144,IF(Option=2,$H144-$K144)),0))</f>
        <v> </v>
      </c>
      <c r="AM144" s="295" t="str">
        <f aca="false">IF($A144="N/A"," ",IF(OR(Dayrun=1,Dayrun=4,Dayrun=5,Dayrun=7,Dayrun=8,Dayrun=10,Dayrun=11),IF(Option=1,$L144-H144,IF(Option=2,H144-$L144)),0))</f>
        <v> </v>
      </c>
      <c r="AN144" s="295" t="str">
        <f aca="false">IF($A144="N/A"," ",IF(OR(Dayrun=1,Dayrun=7,Dayrun=8,Dayrun=10,Dayrun=11),IF(Option=1,$M144-H144,IF(Option=2,H144-$M144)),0))</f>
        <v> </v>
      </c>
      <c r="AO144" s="295" t="str">
        <f aca="false">IF($A144="N/A"," ",IF(OR(Dayrun&lt;=2,Dayrun&gt;=9),IF(Option=1,$N144-$H144,IF(Option=2,$H144-$N144)),0))</f>
        <v> </v>
      </c>
      <c r="AP144" s="295" t="str">
        <f aca="false">IF($A144="N/A"," ",IF(OR(Dayrun=1,Dayrun=5,Dayrun=8,Dayrun=11),IF(Option=1,$O144-H144,IF(Option=2,H144-$O144)),0))</f>
        <v> </v>
      </c>
      <c r="AQ144" s="295" t="str">
        <f aca="false">IF($A144="N/A"," ",IF(OR(Dayrun=1,Dayrun=8,Dayrun=11),IF(Option=1,$P144-H144,IF(Option=2,H144-$P144)),0))</f>
        <v> </v>
      </c>
      <c r="AR144" s="296" t="str">
        <f aca="false">IF($A144="N/A"," ",IF(OR(Dayrun&lt;=2,Dayrun&gt;=9),IF(Option=1,$Q144-H144,IF(Option=2,H144-$Q144)),0))</f>
        <v> </v>
      </c>
      <c r="AS144" s="297" t="str">
        <f aca="false">IF($A144="N/A"," ",IF(VLOOKUP(MONTH($A144),ManualTable,2)=1,IF(Dayrun&gt;=3,$DE144*8*$CY144,0),0))</f>
        <v> </v>
      </c>
      <c r="AT144" s="297" t="str">
        <f aca="false">IF($A144="N/A"," ",IF(VLOOKUP(MONTH($A144),ManualTable,3)=1,IF(Dayrun&gt;=6,$DE144*8*$CY144,0),0))</f>
        <v> </v>
      </c>
      <c r="AU144" s="297" t="str">
        <f aca="false">IF($A144="N/A"," ",IF(VLOOKUP(MONTH($A144),ManualTable,4)=1,IF(OR(Dayrun&lt;=2,Dayrun&gt;=9),$DE144*8*$CY144,0),0))</f>
        <v> </v>
      </c>
      <c r="AV144" s="297" t="str">
        <f aca="false">IF($A144="N/A"," ",IF(VLOOKUP(MONTH($A144),ManualTable,5)=1,IF(OR(Dayrun=1,Dayrun=4,Dayrun=5,Dayrun=7,Dayrun=8,Dayrun=10,Dayrun=11),$DF144*8*$CY144,0),0))</f>
        <v> </v>
      </c>
      <c r="AW144" s="297" t="str">
        <f aca="false">IF($A144="N/A"," ",IF(VLOOKUP(MONTH($A144),ManualTable,6)=1,IF(OR(Dayrun=1,Dayrun=7,Dayrun=8,Dayrun=10,Dayrun=11),$DF144*8*$CY144,0),0))</f>
        <v> </v>
      </c>
      <c r="AX144" s="297" t="str">
        <f aca="false">IF($A144="N/A"," ",IF(VLOOKUP(MONTH($A144),ManualTable,7)=1,IF(OR(Dayrun&lt;=2,Dayrun&gt;=9),$DF144*8*$CY144,0),0))</f>
        <v> </v>
      </c>
      <c r="AY144" s="297" t="str">
        <f aca="false">IF($A144="N/A"," ",IF(VLOOKUP(MONTH($A144),ManualTable,8)=1,IF(OR(Dayrun=1,Dayrun=5,Dayrun=8,Dayrun=11),$DG144*8*$CY144,0),0))</f>
        <v> </v>
      </c>
      <c r="AZ144" s="297" t="str">
        <f aca="false">IF($A144="N/A"," ",IF(VLOOKUP(MONTH($A144),ManualTable,9)=1,IF(OR(Dayrun=1,Dayrun=8,Dayrun=11),$DG144*8*$CY144,0),0))</f>
        <v> </v>
      </c>
      <c r="BA144" s="298" t="str">
        <f aca="false">IF($A144="N/A"," ",IF(VLOOKUP(MONTH($A144),ManualTable,10)=1,IF(OR(Dayrun&lt;=2,Dayrun&gt;=9),$DG144*8*$CY144,0),0))</f>
        <v> </v>
      </c>
      <c r="BB144" s="299" t="str">
        <f aca="false">IF($A144="N/A"," ",IF(Dayrun&gt;=3,(MAX(0,(xSPRDOPT(I144,($E144-'Pricing Inputs'!$X179*$D144),$CV144,0,($CN144+IF(Smile=TRUE(),VLOOKUP(MAX(-5,$H144-I144),Volsmile,2),0)),$CT144,$CU144,($A144-DateToday)+15,ABS(Option-2),1)*DE144*8))),0))</f>
        <v> </v>
      </c>
      <c r="BC144" s="300" t="str">
        <f aca="false">IF($A144="N/A"," ",IF(Dayrun&gt;=6,MAX(0,(xSPRDOPT(J144,($E144-'Pricing Inputs'!$X179*$D144),$CV144,0,($CN144+IF(Smile=TRUE(),VLOOKUP(MAX(-5,$H144-J144),Volsmile,2),0)),$CT144,$CU144,($A144-DateToday)+15,ABS(Option-2),1)*DE144*8)),0))</f>
        <v> </v>
      </c>
      <c r="BD144" s="300" t="str">
        <f aca="false">IF($A144="N/A"," ",IF(OR(Dayrun&lt;=2,Dayrun&gt;=9),IF(OffPeakEx=TRUE(),MAX(0,(xSPRDOPT(K144,($E144-'Pricing Inputs'!$X179*$D144),$CV144,0,($CQ144+IF(Smile=TRUE(),VLOOKUP(MAX(-5,$H144-K144),Volsmile,2),0)),$CT144,$CU144,($A144-DateToday)+15,ABS(Option-2),1)*DE144*8)),0),0))</f>
        <v> </v>
      </c>
      <c r="BE144" s="300" t="str">
        <f aca="false">IF($A144="N/A"," ",IF(OR(Dayrun=1,Dayrun=4,Dayrun=5,Dayrun=7,Dayrun=8,Dayrun=10,Dayrun=11),MAX(0,(xSPRDOPT(L144,($E144-'Pricing Inputs'!$X179*$D144),$CV144,0,($CQ144+IF(Smile=TRUE(),VLOOKUP(MAX(-5,$H144-L144),Volsmile,2),0)),$CT144,$CU144,($A144-DateToday)+15,ABS(Option-2),1)*DF144*8)),0))</f>
        <v> </v>
      </c>
      <c r="BF144" s="300" t="str">
        <f aca="false">IF($A144="N/A"," ",IF(OR(Dayrun=1,Dayrun=7,Dayrun=8,Dayrun=10,Dayrun=11),MAX(0,(xSPRDOPT(M144,($E144-'Pricing Inputs'!$X179*$D144),$CV144,0,($CQ144+IF(Smile=TRUE(),VLOOKUP(MAX(-5,$H144-M144),Volsmile,2),0)),$CT144,$CU144,($A144-DateToday)+15,ABS(Option-2),1)*DF144*8)),0))</f>
        <v> </v>
      </c>
      <c r="BG144" s="300" t="str">
        <f aca="false">IF($A144="N/A"," ",IF(OR(Dayrun&lt;=2,Dayrun&gt;=10),IF(OffPeakEx=TRUE(),MAX(0,(xSPRDOPT(N144,($E144-'Pricing Inputs'!$X179*$D144),$CV144,0,($CQ144+IF(Smile=TRUE(),VLOOKUP(MAX(-5,$H144-N144),Volsmile,2),0)),$CT144,$CU144,($A144-DateToday)+15,ABS(Option-2),1)*DF144*8)),0),0))</f>
        <v> </v>
      </c>
      <c r="BH144" s="300" t="str">
        <f aca="false">IF($A144="N/A"," ",IF(OR(Dayrun=1,Dayrun=5,Dayrun=8,Dayrun=11),MAX(0,(xSPRDOPT(O144,($E144-'Pricing Inputs'!$X179*$D144),$CV144,0,($CQ144+IF(Smile=TRUE(),VLOOKUP(MAX(-5,$H144-O144),Volsmile,2),0)),$CT144,$CU144,($A144-DateToday)+15,ABS(Option-2),1)*DG144*8)),0))</f>
        <v> </v>
      </c>
      <c r="BI144" s="300" t="str">
        <f aca="false">IF($A144="N/A"," ",IF(OR(Dayrun=1,Dayrun=8,Dayrun=11),MAX(0,(xSPRDOPT(P144,($E144-'Pricing Inputs'!$X179*$D144),$CV144,0,($CQ144+IF(Smile=TRUE(),VLOOKUP(MAX(-5,$H144-P144),Volsmile,2),0)),$CT144,$CU144,($A144-DateToday)+15,ABS(Option-2),1)*DG144*8)),0))</f>
        <v> </v>
      </c>
      <c r="BJ144" s="301" t="str">
        <f aca="false">IF($A144="N/A"," ",IF(OR(Dayrun&lt;=2,Dayrun&gt;=11),IF(OffPeakEx=TRUE(),MAX(0,(xSPRDOPT(Q144,($E144-'Pricing Inputs'!$X179*$D144),$CV144,0,($CQ144+IF(Smile=TRUE(),VLOOKUP(MAX(-5,$H144-Q144),Volsmile,2),0)),$CT144,$CU144,($A144-DateToday)+15,ABS(Option-2),1)*DG144*8)),0),0))</f>
        <v> </v>
      </c>
      <c r="BK144" s="302" t="str">
        <f aca="false">IF($A144="N/A"," ",R144*$AS144)</f>
        <v> </v>
      </c>
      <c r="BL144" s="303" t="str">
        <f aca="false">IF($A144="N/A"," ",S144*$AT144)</f>
        <v> </v>
      </c>
      <c r="BM144" s="303" t="str">
        <f aca="false">IF($A144="N/A"," ",T144*$AU144)</f>
        <v> </v>
      </c>
      <c r="BN144" s="303" t="str">
        <f aca="false">IF($A144="N/A"," ",U144*$AV144)</f>
        <v> </v>
      </c>
      <c r="BO144" s="303" t="str">
        <f aca="false">IF($A144="N/A"," ",V144*$AW144)</f>
        <v> </v>
      </c>
      <c r="BP144" s="303" t="str">
        <f aca="false">IF($A144="N/A"," ",W144*$AX144)</f>
        <v> </v>
      </c>
      <c r="BQ144" s="303" t="str">
        <f aca="false">IF($A144="N/A"," ",X144*$AY144)</f>
        <v> </v>
      </c>
      <c r="BR144" s="303" t="str">
        <f aca="false">IF($A144="N/A"," ",Y144*$AZ144)</f>
        <v> </v>
      </c>
      <c r="BS144" s="304" t="str">
        <f aca="false">IF($A144="N/A"," ",Z144*$BA144)</f>
        <v> </v>
      </c>
      <c r="BT144" s="305" t="str">
        <f aca="false">IF($A144="N/A"," ",AA144*$AS144)</f>
        <v> </v>
      </c>
      <c r="BU144" s="306" t="str">
        <f aca="false">IF($A144="N/A"," ",AB144*$AT144)</f>
        <v> </v>
      </c>
      <c r="BV144" s="306" t="str">
        <f aca="false">IF($A144="N/A"," ",AC144*$AU144)</f>
        <v> </v>
      </c>
      <c r="BW144" s="306" t="str">
        <f aca="false">IF($A144="N/A"," ",AD144*$AV144)</f>
        <v> </v>
      </c>
      <c r="BX144" s="306" t="str">
        <f aca="false">IF($A144="N/A"," ",AE144*$AW144)</f>
        <v> </v>
      </c>
      <c r="BY144" s="306" t="str">
        <f aca="false">IF($A144="N/A"," ",AF144*$AX144)</f>
        <v> </v>
      </c>
      <c r="BZ144" s="306" t="str">
        <f aca="false">IF($A144="N/A"," ",AG144*$AY144)</f>
        <v> </v>
      </c>
      <c r="CA144" s="306" t="str">
        <f aca="false">IF($A144="N/A"," ",AH144*$AZ144)</f>
        <v> </v>
      </c>
      <c r="CB144" s="307" t="str">
        <f aca="false">IF($A144="N/A"," ",AI144*$BA144)</f>
        <v> </v>
      </c>
      <c r="CC144" s="308" t="str">
        <f aca="false">IF($A144="N/A"," ",AJ144*$AS144)</f>
        <v> </v>
      </c>
      <c r="CD144" s="309" t="str">
        <f aca="false">IF($A144="N/A"," ",AK144*$AT144)</f>
        <v> </v>
      </c>
      <c r="CE144" s="309" t="str">
        <f aca="false">IF($A144="N/A"," ",AL144*$AU144)</f>
        <v> </v>
      </c>
      <c r="CF144" s="309" t="str">
        <f aca="false">IF($A144="N/A"," ",AM144*$AV144)</f>
        <v> </v>
      </c>
      <c r="CG144" s="309" t="str">
        <f aca="false">IF($A144="N/A"," ",AN144*$AW144)</f>
        <v> </v>
      </c>
      <c r="CH144" s="309" t="str">
        <f aca="false">IF($A144="N/A"," ",AO144*$AX144)</f>
        <v> </v>
      </c>
      <c r="CI144" s="309" t="str">
        <f aca="false">IF($A144="N/A"," ",AP144*$AY144)</f>
        <v> </v>
      </c>
      <c r="CJ144" s="309" t="str">
        <f aca="false">IF($A144="N/A"," ",AQ144*$AZ144)</f>
        <v> </v>
      </c>
      <c r="CK144" s="310" t="str">
        <f aca="false">IF($A144="N/A"," ",AR144*$BA144)</f>
        <v> </v>
      </c>
      <c r="CL144" s="311" t="str">
        <f aca="false">IF(A144="N/A"," ",(VLOOKUP(A144,PowerVolTable,(IF(VolBMO=2,7,IF(VolBMO=1,6,8))),FALSE())))</f>
        <v> </v>
      </c>
      <c r="CM144" s="312" t="str">
        <f aca="false">IF(A144="N/A"," ",(VLOOKUP(A144,IntraPowerVol,(IF(VolBMO=2,3,IF(VolBMO=1,2,4))),FALSE())*VLOOKUP(MONTH($A144),Volscale,2)))</f>
        <v> </v>
      </c>
      <c r="CN144" s="312" t="str">
        <f aca="false">IF($A144="N/A"," ",IF(VolType=1,CM144,CL144))</f>
        <v> </v>
      </c>
      <c r="CO144" s="312" t="str">
        <f aca="false">IF($A144="N/A"," ",(VLOOKUP($A144,OffPeakVol,(IF(VolBMO=2,7,IF(VolBMO=1,6,8))),FALSE())))</f>
        <v> </v>
      </c>
      <c r="CP144" s="312" t="str">
        <f aca="false">IF($A144="N/A"," ",(VLOOKUP($A144,OffPeakVol,(IF(VolBMO=2,3,IF(VolBMO=1,2,4))),FALSE())*VLOOKUP(MONTH($A144),Volscale,2)))</f>
        <v> </v>
      </c>
      <c r="CQ144" s="312" t="str">
        <f aca="false">IF($A144="N/A"," ",IF(VolType=1,CP144,CO144))</f>
        <v> </v>
      </c>
      <c r="CR144" s="312" t="str">
        <f aca="false">IF($A144="N/A"," ",(VLOOKUP($A144,GasVolTable,(IF(VolBMO=2,6,IF(VolBMO=1,7,5))),FALSE())))</f>
        <v> </v>
      </c>
      <c r="CS144" s="312" t="str">
        <f aca="false">IF($A144="N/A"," ",(VLOOKUP($A144,OmicronVol,(IF(VolBMO=2,3,IF(VolBMO=1,4,2))),FALSE())))</f>
        <v> </v>
      </c>
      <c r="CT144" s="312" t="str">
        <f aca="false">IF($A144="N/A"," ",(IF(DateToday&gt;$A144,$CS144,IF(VolType=1,((($CR144^2)*((($A144-1)-DateToday)/((EOMONTH($A144,0)+1)-DateToday-15)))+((($CS144)^2)*((15)/((EOMONTH($A144,0)+1)-DateToday-15))))^0.5,CR144))))</f>
        <v> </v>
      </c>
      <c r="CU144" s="312" t="str">
        <f aca="false">IF($A144="N/A"," ",IF('Pricing Inputs'!$AR$23=TRUE(),Inputs!$S$22,VLOOKUP($A144,CorrelationTable,2,FALSE())))</f>
        <v> </v>
      </c>
      <c r="CV144" s="313" t="str">
        <f aca="false">IF($A144="N/A"," ",F144+G144+(D144*('Pricing Inputs'!X179)))</f>
        <v> </v>
      </c>
      <c r="CW144" s="314" t="str">
        <f aca="false">IF($A144="N/A"," ",IF(PV=1,0,'Pricing Inputs'!Y179))</f>
        <v> </v>
      </c>
      <c r="CX144" s="315" t="str">
        <f aca="false">IF($A144="N/A"," ",(1+CW144/2)^(-2*((EOMONTH(A144,0)+20)-DateToday)/365.25))</f>
        <v> </v>
      </c>
      <c r="CY144" s="316" t="str">
        <f aca="false">IF($A144="N/A"," ",(IF(MONTH(A144)&gt;=4,IF(MONTH(A144)&lt;=10,Inputs!$S$26,Inputs!$S$27),Inputs!$S$27))*$CX144)</f>
        <v> </v>
      </c>
      <c r="CZ144" s="317" t="str">
        <f aca="false">IF($A144="N/A"," ",BK144+BL144+BN144+BO144+BQ144+BR144)</f>
        <v> </v>
      </c>
      <c r="DA144" s="318" t="str">
        <f aca="false">IF($A144="N/A"," ",BM144+BP144+BS144)</f>
        <v> </v>
      </c>
      <c r="DB144" s="319" t="str">
        <f aca="false">IF($A144="N/A"," ",BT144+BU144+BW144+BX144+BZ144+CA144)</f>
        <v> </v>
      </c>
      <c r="DC144" s="319" t="str">
        <f aca="false">IF($A144="N/A"," ",BV144+BY144+CB144)</f>
        <v> </v>
      </c>
      <c r="DD144" s="320" t="str">
        <f aca="false">IF($A144="N/A"," ",SUM(CC144:CK144))</f>
        <v> </v>
      </c>
      <c r="DE144" s="321" t="str">
        <f aca="false">IF($A144="N/A"," ",VLOOKUP($A144,NumberofDaysTable,2)*Availability)</f>
        <v> </v>
      </c>
      <c r="DF144" s="94" t="str">
        <f aca="false">IF($A144="N/A"," ",VLOOKUP($A144,NumberofDaysTable,3)*Availability)</f>
        <v> </v>
      </c>
      <c r="DG144" s="322" t="str">
        <f aca="false">IF($A144="N/A"," ",VLOOKUP($A144,NumberofDaysTable,4)*Availability)</f>
        <v> </v>
      </c>
      <c r="DH144" s="323" t="str">
        <f aca="false">IF($A144="N/A"," ",IF(Option=1,$D144*Inputs!$S$15*SUM(AS144:BA144),0))</f>
        <v> </v>
      </c>
      <c r="DI144" s="324" t="str">
        <f aca="false">IF($A144="N/A"," ",IF(Option=1,$D144*Inputs!$S$16*SUM(AS144:BA144),0))</f>
        <v> </v>
      </c>
      <c r="DJ144" s="325" t="str">
        <f aca="false">IF($A144="N/A"," ",SUM(AS144:AT144))</f>
        <v> </v>
      </c>
      <c r="DK144" s="325" t="str">
        <f aca="false">IF($A144="N/A"," ",SUM(AU144:BA144))</f>
        <v> </v>
      </c>
      <c r="DL144" s="325" t="str">
        <f aca="false">IF($A144="N/A"," ",SUM(BB144:BC144))</f>
        <v> </v>
      </c>
      <c r="DM144" s="325" t="str">
        <f aca="false">IF($A144="N/A"," ",SUM(BD144:BJ144))</f>
        <v> </v>
      </c>
    </row>
    <row r="145" customFormat="false" ht="12.75" hidden="false" customHeight="false" outlineLevel="0" collapsed="false">
      <c r="A145" s="282" t="str">
        <f aca="false">IF(A144="N/A","N/A",IF(EDATE(A144,1)&gt;Inputs!$S$5,"N/A",EDATE(A144,1)))</f>
        <v>N/A</v>
      </c>
      <c r="B145" s="283" t="str">
        <f aca="false">IF(A145="N/A"," ",YEAR(A145))</f>
        <v> </v>
      </c>
      <c r="C145" s="284" t="str">
        <f aca="false">IF(A145="N/A"," ",VLOOKUP(A145,ScaledPrice,14))</f>
        <v> </v>
      </c>
      <c r="D145" s="285" t="str">
        <f aca="false">IF(A145="N/A"," ",(VLOOKUP(MONTH($A145),Hrtable,2))/1000)</f>
        <v> </v>
      </c>
      <c r="E145" s="286" t="str">
        <f aca="false">IF($A145="N/A"," ",(C145)*D145)</f>
        <v> </v>
      </c>
      <c r="F145" s="287" t="str">
        <f aca="false">IF(A145="N/A"," ",VOM*(1+VOMesc)^(YEAR(A145)-YEAR(Today)))</f>
        <v> </v>
      </c>
      <c r="G145" s="287" t="str">
        <f aca="false">IF(A145="N/A"," ",Perstart/VLOOKUP(Dayrun,'Pricing Inputs'!$AQ$4:$AS$14,3)/(CY145/CX145))</f>
        <v> </v>
      </c>
      <c r="H145" s="288" t="str">
        <f aca="false">IF(A145="N/A"," ",SUM(E145:G145))</f>
        <v> </v>
      </c>
      <c r="I145" s="289" t="str">
        <f aca="false">VLOOKUP($A145,ScaledPrice,6)</f>
        <v> </v>
      </c>
      <c r="J145" s="290" t="str">
        <f aca="false">VLOOKUP($A145,ScaledPrice,10)</f>
        <v> </v>
      </c>
      <c r="K145" s="290" t="str">
        <f aca="false">VLOOKUP($A145,ScaledPrice,13)</f>
        <v> </v>
      </c>
      <c r="L145" s="290" t="str">
        <f aca="false">VLOOKUP($A145,ScaledPrice,7)</f>
        <v> </v>
      </c>
      <c r="M145" s="290" t="str">
        <f aca="false">VLOOKUP($A145,ScaledPrice,11)</f>
        <v> </v>
      </c>
      <c r="N145" s="290" t="str">
        <f aca="false">VLOOKUP($A145,ScaledPrice,13)</f>
        <v> </v>
      </c>
      <c r="O145" s="290" t="str">
        <f aca="false">VLOOKUP($A145,ScaledPrice,8)</f>
        <v> </v>
      </c>
      <c r="P145" s="290" t="str">
        <f aca="false">VLOOKUP($A145,ScaledPrice,12)</f>
        <v> </v>
      </c>
      <c r="Q145" s="291" t="str">
        <f aca="false">VLOOKUP($A145,ScaledPrice,13)</f>
        <v> </v>
      </c>
      <c r="R145" s="292" t="str">
        <f aca="false">IF($A145="N/A"," ",IF(Dayrun&gt;=3,IF(Option=1,MAX($I145-$H145,0),IF(Option=2,MAX($H145-$I145,0),0)),0))</f>
        <v> </v>
      </c>
      <c r="S145" s="286" t="str">
        <f aca="false">IF($A145="N/A"," ",IF(Dayrun&gt;=6,IF(Option=1,MAX($J145-H145,0),IF(Option=2,MAX(H145-$J145,0),0)),0))</f>
        <v> </v>
      </c>
      <c r="T145" s="286" t="str">
        <f aca="false">IF($A145="N/A"," ",IF(OR(Dayrun&lt;=2,Dayrun&gt;=9),IF(Option=1,MAX($K145-$H145,0),IF(Option=2,MAX($H145-$K145,0),0)),0))</f>
        <v> </v>
      </c>
      <c r="U145" s="286" t="str">
        <f aca="false">IF($A145="N/A"," ",IF(OR(Dayrun=1,Dayrun=4,Dayrun=5,Dayrun=7,Dayrun=8,Dayrun=10,Dayrun=11),IF(Option=1,MAX($L145-H145,0),IF(Option=2,MAX(H145-$L145,0),0)),0))</f>
        <v> </v>
      </c>
      <c r="V145" s="286" t="str">
        <f aca="false">IF($A145="N/A"," ",IF(OR(Dayrun=1,Dayrun=7,Dayrun=8,Dayrun=10,Dayrun=11),IF(Option=1,MAX($M145-H145,0),IF(Option=2,MAX(H145-$M145,0),0)),0))</f>
        <v> </v>
      </c>
      <c r="W145" s="286" t="str">
        <f aca="false">IF($A145="N/A"," ",IF(OR(Dayrun&lt;=2,Dayrun&gt;=10),IF(Option=1,MAX($N145-$H145,0),IF(Option=2,MAX($H145-$N145,0),0)),0))</f>
        <v> </v>
      </c>
      <c r="X145" s="286" t="str">
        <f aca="false">IF($A145="N/A"," ",IF(OR(Dayrun=1,Dayrun=5,Dayrun=8,Dayrun=11),IF(Option=1,MAX($O145-H145,0),IF(Option=2,MAX(H145-$O145,0),0)),0))</f>
        <v> </v>
      </c>
      <c r="Y145" s="286" t="str">
        <f aca="false">IF($A145="N/A"," ",IF(OR(Dayrun=1,Dayrun=8,Dayrun=11),IF(Option=1,MAX($P145-H145,0),IF(Option=2,MAX(H145-$P145,0),0)),0))</f>
        <v> </v>
      </c>
      <c r="Z145" s="293" t="str">
        <f aca="false">IF($A145="N/A"," ",IF(OR(Dayrun&lt;=2,Dayrun&gt;=11),IF(Option=1,MAX($Q145-$H145,0),IF(Option=2,MAX($H145-$Q145,0),0)),0))</f>
        <v> </v>
      </c>
      <c r="AA145" s="289" t="str">
        <f aca="false">IF($A145="N/A"," ",IF(Dayrun&gt;=3,(MAX(0,(xSPRDOPT(I145,($E145-'Pricing Inputs'!$X180*$D145),$CV145,0,($CN145+IF(Smile=TRUE(),VLOOKUP(MAX(-5,$H145-I145),Volsmile,2),0)),$CT145,$CU145,($A145-DateToday)+15,ABS(Option-2),0)-R145))),0))</f>
        <v> </v>
      </c>
      <c r="AB145" s="290" t="str">
        <f aca="false">IF($A145="N/A"," ",IF(Dayrun&gt;=6,MAX(0,(xSPRDOPT(J145,($E145-'Pricing Inputs'!$X180*$D145),$CV145,0,($CN145+IF(Smile=TRUE(),VLOOKUP(MAX(-5,$H145-J145),Volsmile,2),0)),$CT145,$CU145,($A145-DateToday)+15,ABS(Option-2),0)-S145)),0))</f>
        <v> </v>
      </c>
      <c r="AC145" s="290" t="str">
        <f aca="false">IF($A145="N/A"," ",IF(OR(Dayrun&lt;=2,Dayrun&gt;=9),IF(OffPeakEx=TRUE(),MAX(0,(xSPRDOPT(K145,($E145-'Pricing Inputs'!$X180*$D145),$CV145,0,($CQ145+IF(Smile=TRUE(),VLOOKUP(MAX(-5,$H145-K145),Volsmile,2),0)),$CT145,$CU145,($A145-DateToday)+15,ABS(Option-2),0)-T145)),0),0))</f>
        <v> </v>
      </c>
      <c r="AD145" s="290" t="str">
        <f aca="false">IF($A145="N/A"," ",IF(OR(Dayrun=1,Dayrun=4,Dayrun=5,Dayrun=7,Dayrun=8,Dayrun=10,Dayrun=11),MAX(0,(xSPRDOPT(L145,($E145-'Pricing Inputs'!$X180*$D145),$CV145,0,($CQ145+IF(Smile=TRUE(),VLOOKUP(MAX(-5,$H145-L145),Volsmile,2),0)),$CT145,$CU145,($A145-DateToday)+15,ABS(Option-2),0)-U145)),0))</f>
        <v> </v>
      </c>
      <c r="AE145" s="290" t="str">
        <f aca="false">IF($A145="N/A"," ",IF(OR(Dayrun=1,Dayrun=7,Dayrun=8,Dayrun=10,Dayrun=11),MAX(0,(xSPRDOPT(M145,($E145-'Pricing Inputs'!$X180*$D145),$CV145,0,($CQ145+IF(Smile=TRUE(),VLOOKUP(MAX(-5,$H145-M145),Volsmile,2),0)),$CT145,$CU145,($A145-DateToday)+15,ABS(Option-2),0)-V145)),0))</f>
        <v> </v>
      </c>
      <c r="AF145" s="290" t="str">
        <f aca="false">IF($A145="N/A"," ",IF(OR(Dayrun&lt;=2,Dayrun&gt;=10),IF(OffPeakEx=TRUE(),MAX(0,(xSPRDOPT(N145,($E145-'Pricing Inputs'!$X180*$D145),$CV145,0,($CQ145+IF(Smile=TRUE(),VLOOKUP(MAX(-5,$H145-N145),Volsmile,2),0)),$CT145,$CU145,($A145-DateToday)+15,ABS(Option-2),0)-W145)),0),0))</f>
        <v> </v>
      </c>
      <c r="AG145" s="290" t="str">
        <f aca="false">IF($A145="N/A"," ",IF(OR(Dayrun=1,Dayrun=5,Dayrun=8,Dayrun=11),MAX(0,(xSPRDOPT(O145,($E145-'Pricing Inputs'!$X180*$D145),$CV145,0,($CQ145+IF(Smile=TRUE(),VLOOKUP(MAX(-5,$H145-O145),Volsmile,2),0)),$CT145,$CU145,($A145-DateToday)+15,ABS(Option-2),0)-X145)),0))</f>
        <v> </v>
      </c>
      <c r="AH145" s="290" t="str">
        <f aca="false">IF($A145="N/A"," ",IF(OR(Dayrun=1,Dayrun=8,Dayrun=11),MAX(0,(xSPRDOPT(P145,($E145-'Pricing Inputs'!$X180*$D145),$CV145,0,($CQ145+IF(Smile=TRUE(),VLOOKUP(MAX(-5,$H145-P145),Volsmile,2),0)),$CT145,$CU145,($A145-DateToday)+15,ABS(Option-2),0)-Y145)),0))</f>
        <v> </v>
      </c>
      <c r="AI145" s="290" t="str">
        <f aca="false">IF($A145="N/A"," ",IF(OR(Dayrun&lt;=2,Dayrun&gt;=11),IF(OffPeakEx=TRUE(),MAX(0,(xSPRDOPT(Q145,($E145-'Pricing Inputs'!$X180*$D145),$CV145,0,($CQ145+IF(Smile=TRUE(),VLOOKUP(MAX(-5,$H145-Q145),Volsmile,2),0)),$CT145,$CU145,($A145-DateToday)+15,ABS(Option-2),0)-Z145)),0),0))</f>
        <v> </v>
      </c>
      <c r="AJ145" s="294" t="str">
        <f aca="false">IF($A145="N/A"," ",IF(Dayrun&gt;=3,IF(Option=1,$I145-$H145,IF(Option=2,$H145-$I145)),0))</f>
        <v> </v>
      </c>
      <c r="AK145" s="295" t="str">
        <f aca="false">IF($A145="N/A"," ",IF(Dayrun&gt;=6,IF(Option=1,$J145-H145,IF(Option=2,H145-$J145)),0))</f>
        <v> </v>
      </c>
      <c r="AL145" s="295" t="str">
        <f aca="false">IF($A145="N/A"," ",IF(OR(Dayrun&lt;=2,Dayrun&gt;=9),IF(Option=1,$K145-$H145,IF(Option=2,$H145-$K145)),0))</f>
        <v> </v>
      </c>
      <c r="AM145" s="295" t="str">
        <f aca="false">IF($A145="N/A"," ",IF(OR(Dayrun=1,Dayrun=4,Dayrun=5,Dayrun=7,Dayrun=8,Dayrun=10,Dayrun=11),IF(Option=1,$L145-H145,IF(Option=2,H145-$L145)),0))</f>
        <v> </v>
      </c>
      <c r="AN145" s="295" t="str">
        <f aca="false">IF($A145="N/A"," ",IF(OR(Dayrun=1,Dayrun=7,Dayrun=8,Dayrun=10,Dayrun=11),IF(Option=1,$M145-H145,IF(Option=2,H145-$M145)),0))</f>
        <v> </v>
      </c>
      <c r="AO145" s="295" t="str">
        <f aca="false">IF($A145="N/A"," ",IF(OR(Dayrun&lt;=2,Dayrun&gt;=9),IF(Option=1,$N145-$H145,IF(Option=2,$H145-$N145)),0))</f>
        <v> </v>
      </c>
      <c r="AP145" s="295" t="str">
        <f aca="false">IF($A145="N/A"," ",IF(OR(Dayrun=1,Dayrun=5,Dayrun=8,Dayrun=11),IF(Option=1,$O145-H145,IF(Option=2,H145-$O145)),0))</f>
        <v> </v>
      </c>
      <c r="AQ145" s="295" t="str">
        <f aca="false">IF($A145="N/A"," ",IF(OR(Dayrun=1,Dayrun=8,Dayrun=11),IF(Option=1,$P145-H145,IF(Option=2,H145-$P145)),0))</f>
        <v> </v>
      </c>
      <c r="AR145" s="296" t="str">
        <f aca="false">IF($A145="N/A"," ",IF(OR(Dayrun&lt;=2,Dayrun&gt;=9),IF(Option=1,$Q145-H145,IF(Option=2,H145-$Q145)),0))</f>
        <v> </v>
      </c>
      <c r="AS145" s="297" t="str">
        <f aca="false">IF($A145="N/A"," ",IF(VLOOKUP(MONTH($A145),ManualTable,2)=1,IF(Dayrun&gt;=3,$DE145*8*$CY145,0),0))</f>
        <v> </v>
      </c>
      <c r="AT145" s="297" t="str">
        <f aca="false">IF($A145="N/A"," ",IF(VLOOKUP(MONTH($A145),ManualTable,3)=1,IF(Dayrun&gt;=6,$DE145*8*$CY145,0),0))</f>
        <v> </v>
      </c>
      <c r="AU145" s="297" t="str">
        <f aca="false">IF($A145="N/A"," ",IF(VLOOKUP(MONTH($A145),ManualTable,4)=1,IF(OR(Dayrun&lt;=2,Dayrun&gt;=9),$DE145*8*$CY145,0),0))</f>
        <v> </v>
      </c>
      <c r="AV145" s="297" t="str">
        <f aca="false">IF($A145="N/A"," ",IF(VLOOKUP(MONTH($A145),ManualTable,5)=1,IF(OR(Dayrun=1,Dayrun=4,Dayrun=5,Dayrun=7,Dayrun=8,Dayrun=10,Dayrun=11),$DF145*8*$CY145,0),0))</f>
        <v> </v>
      </c>
      <c r="AW145" s="297" t="str">
        <f aca="false">IF($A145="N/A"," ",IF(VLOOKUP(MONTH($A145),ManualTable,6)=1,IF(OR(Dayrun=1,Dayrun=7,Dayrun=8,Dayrun=10,Dayrun=11),$DF145*8*$CY145,0),0))</f>
        <v> </v>
      </c>
      <c r="AX145" s="297" t="str">
        <f aca="false">IF($A145="N/A"," ",IF(VLOOKUP(MONTH($A145),ManualTable,7)=1,IF(OR(Dayrun&lt;=2,Dayrun&gt;=9),$DF145*8*$CY145,0),0))</f>
        <v> </v>
      </c>
      <c r="AY145" s="297" t="str">
        <f aca="false">IF($A145="N/A"," ",IF(VLOOKUP(MONTH($A145),ManualTable,8)=1,IF(OR(Dayrun=1,Dayrun=5,Dayrun=8,Dayrun=11),$DG145*8*$CY145,0),0))</f>
        <v> </v>
      </c>
      <c r="AZ145" s="297" t="str">
        <f aca="false">IF($A145="N/A"," ",IF(VLOOKUP(MONTH($A145),ManualTable,9)=1,IF(OR(Dayrun=1,Dayrun=8,Dayrun=11),$DG145*8*$CY145,0),0))</f>
        <v> </v>
      </c>
      <c r="BA145" s="298" t="str">
        <f aca="false">IF($A145="N/A"," ",IF(VLOOKUP(MONTH($A145),ManualTable,10)=1,IF(OR(Dayrun&lt;=2,Dayrun&gt;=9),$DG145*8*$CY145,0),0))</f>
        <v> </v>
      </c>
      <c r="BB145" s="299" t="str">
        <f aca="false">IF($A145="N/A"," ",IF(Dayrun&gt;=3,(MAX(0,(xSPRDOPT(I145,($E145-'Pricing Inputs'!$X180*$D145),$CV145,0,($CN145+IF(Smile=TRUE(),VLOOKUP(MAX(-5,$H145-I145),Volsmile,2),0)),$CT145,$CU145,($A145-DateToday)+15,ABS(Option-2),1)*DE145*8))),0))</f>
        <v> </v>
      </c>
      <c r="BC145" s="300" t="str">
        <f aca="false">IF($A145="N/A"," ",IF(Dayrun&gt;=6,MAX(0,(xSPRDOPT(J145,($E145-'Pricing Inputs'!$X180*$D145),$CV145,0,($CN145+IF(Smile=TRUE(),VLOOKUP(MAX(-5,$H145-J145),Volsmile,2),0)),$CT145,$CU145,($A145-DateToday)+15,ABS(Option-2),1)*DE145*8)),0))</f>
        <v> </v>
      </c>
      <c r="BD145" s="300" t="str">
        <f aca="false">IF($A145="N/A"," ",IF(OR(Dayrun&lt;=2,Dayrun&gt;=9),IF(OffPeakEx=TRUE(),MAX(0,(xSPRDOPT(K145,($E145-'Pricing Inputs'!$X180*$D145),$CV145,0,($CQ145+IF(Smile=TRUE(),VLOOKUP(MAX(-5,$H145-K145),Volsmile,2),0)),$CT145,$CU145,($A145-DateToday)+15,ABS(Option-2),1)*DE145*8)),0),0))</f>
        <v> </v>
      </c>
      <c r="BE145" s="300" t="str">
        <f aca="false">IF($A145="N/A"," ",IF(OR(Dayrun=1,Dayrun=4,Dayrun=5,Dayrun=7,Dayrun=8,Dayrun=10,Dayrun=11),MAX(0,(xSPRDOPT(L145,($E145-'Pricing Inputs'!$X180*$D145),$CV145,0,($CQ145+IF(Smile=TRUE(),VLOOKUP(MAX(-5,$H145-L145),Volsmile,2),0)),$CT145,$CU145,($A145-DateToday)+15,ABS(Option-2),1)*DF145*8)),0))</f>
        <v> </v>
      </c>
      <c r="BF145" s="300" t="str">
        <f aca="false">IF($A145="N/A"," ",IF(OR(Dayrun=1,Dayrun=7,Dayrun=8,Dayrun=10,Dayrun=11),MAX(0,(xSPRDOPT(M145,($E145-'Pricing Inputs'!$X180*$D145),$CV145,0,($CQ145+IF(Smile=TRUE(),VLOOKUP(MAX(-5,$H145-M145),Volsmile,2),0)),$CT145,$CU145,($A145-DateToday)+15,ABS(Option-2),1)*DF145*8)),0))</f>
        <v> </v>
      </c>
      <c r="BG145" s="300" t="str">
        <f aca="false">IF($A145="N/A"," ",IF(OR(Dayrun&lt;=2,Dayrun&gt;=10),IF(OffPeakEx=TRUE(),MAX(0,(xSPRDOPT(N145,($E145-'Pricing Inputs'!$X180*$D145),$CV145,0,($CQ145+IF(Smile=TRUE(),VLOOKUP(MAX(-5,$H145-N145),Volsmile,2),0)),$CT145,$CU145,($A145-DateToday)+15,ABS(Option-2),1)*DF145*8)),0),0))</f>
        <v> </v>
      </c>
      <c r="BH145" s="300" t="str">
        <f aca="false">IF($A145="N/A"," ",IF(OR(Dayrun=1,Dayrun=5,Dayrun=8,Dayrun=11),MAX(0,(xSPRDOPT(O145,($E145-'Pricing Inputs'!$X180*$D145),$CV145,0,($CQ145+IF(Smile=TRUE(),VLOOKUP(MAX(-5,$H145-O145),Volsmile,2),0)),$CT145,$CU145,($A145-DateToday)+15,ABS(Option-2),1)*DG145*8)),0))</f>
        <v> </v>
      </c>
      <c r="BI145" s="300" t="str">
        <f aca="false">IF($A145="N/A"," ",IF(OR(Dayrun=1,Dayrun=8,Dayrun=11),MAX(0,(xSPRDOPT(P145,($E145-'Pricing Inputs'!$X180*$D145),$CV145,0,($CQ145+IF(Smile=TRUE(),VLOOKUP(MAX(-5,$H145-P145),Volsmile,2),0)),$CT145,$CU145,($A145-DateToday)+15,ABS(Option-2),1)*DG145*8)),0))</f>
        <v> </v>
      </c>
      <c r="BJ145" s="301" t="str">
        <f aca="false">IF($A145="N/A"," ",IF(OR(Dayrun&lt;=2,Dayrun&gt;=11),IF(OffPeakEx=TRUE(),MAX(0,(xSPRDOPT(Q145,($E145-'Pricing Inputs'!$X180*$D145),$CV145,0,($CQ145+IF(Smile=TRUE(),VLOOKUP(MAX(-5,$H145-Q145),Volsmile,2),0)),$CT145,$CU145,($A145-DateToday)+15,ABS(Option-2),1)*DG145*8)),0),0))</f>
        <v> </v>
      </c>
      <c r="BK145" s="302" t="str">
        <f aca="false">IF($A145="N/A"," ",R145*$AS145)</f>
        <v> </v>
      </c>
      <c r="BL145" s="303" t="str">
        <f aca="false">IF($A145="N/A"," ",S145*$AT145)</f>
        <v> </v>
      </c>
      <c r="BM145" s="303" t="str">
        <f aca="false">IF($A145="N/A"," ",T145*$AU145)</f>
        <v> </v>
      </c>
      <c r="BN145" s="303" t="str">
        <f aca="false">IF($A145="N/A"," ",U145*$AV145)</f>
        <v> </v>
      </c>
      <c r="BO145" s="303" t="str">
        <f aca="false">IF($A145="N/A"," ",V145*$AW145)</f>
        <v> </v>
      </c>
      <c r="BP145" s="303" t="str">
        <f aca="false">IF($A145="N/A"," ",W145*$AX145)</f>
        <v> </v>
      </c>
      <c r="BQ145" s="303" t="str">
        <f aca="false">IF($A145="N/A"," ",X145*$AY145)</f>
        <v> </v>
      </c>
      <c r="BR145" s="303" t="str">
        <f aca="false">IF($A145="N/A"," ",Y145*$AZ145)</f>
        <v> </v>
      </c>
      <c r="BS145" s="304" t="str">
        <f aca="false">IF($A145="N/A"," ",Z145*$BA145)</f>
        <v> </v>
      </c>
      <c r="BT145" s="305" t="str">
        <f aca="false">IF($A145="N/A"," ",AA145*$AS145)</f>
        <v> </v>
      </c>
      <c r="BU145" s="306" t="str">
        <f aca="false">IF($A145="N/A"," ",AB145*$AT145)</f>
        <v> </v>
      </c>
      <c r="BV145" s="306" t="str">
        <f aca="false">IF($A145="N/A"," ",AC145*$AU145)</f>
        <v> </v>
      </c>
      <c r="BW145" s="306" t="str">
        <f aca="false">IF($A145="N/A"," ",AD145*$AV145)</f>
        <v> </v>
      </c>
      <c r="BX145" s="306" t="str">
        <f aca="false">IF($A145="N/A"," ",AE145*$AW145)</f>
        <v> </v>
      </c>
      <c r="BY145" s="306" t="str">
        <f aca="false">IF($A145="N/A"," ",AF145*$AX145)</f>
        <v> </v>
      </c>
      <c r="BZ145" s="306" t="str">
        <f aca="false">IF($A145="N/A"," ",AG145*$AY145)</f>
        <v> </v>
      </c>
      <c r="CA145" s="306" t="str">
        <f aca="false">IF($A145="N/A"," ",AH145*$AZ145)</f>
        <v> </v>
      </c>
      <c r="CB145" s="307" t="str">
        <f aca="false">IF($A145="N/A"," ",AI145*$BA145)</f>
        <v> </v>
      </c>
      <c r="CC145" s="308" t="str">
        <f aca="false">IF($A145="N/A"," ",AJ145*$AS145)</f>
        <v> </v>
      </c>
      <c r="CD145" s="309" t="str">
        <f aca="false">IF($A145="N/A"," ",AK145*$AT145)</f>
        <v> </v>
      </c>
      <c r="CE145" s="309" t="str">
        <f aca="false">IF($A145="N/A"," ",AL145*$AU145)</f>
        <v> </v>
      </c>
      <c r="CF145" s="309" t="str">
        <f aca="false">IF($A145="N/A"," ",AM145*$AV145)</f>
        <v> </v>
      </c>
      <c r="CG145" s="309" t="str">
        <f aca="false">IF($A145="N/A"," ",AN145*$AW145)</f>
        <v> </v>
      </c>
      <c r="CH145" s="309" t="str">
        <f aca="false">IF($A145="N/A"," ",AO145*$AX145)</f>
        <v> </v>
      </c>
      <c r="CI145" s="309" t="str">
        <f aca="false">IF($A145="N/A"," ",AP145*$AY145)</f>
        <v> </v>
      </c>
      <c r="CJ145" s="309" t="str">
        <f aca="false">IF($A145="N/A"," ",AQ145*$AZ145)</f>
        <v> </v>
      </c>
      <c r="CK145" s="310" t="str">
        <f aca="false">IF($A145="N/A"," ",AR145*$BA145)</f>
        <v> </v>
      </c>
      <c r="CL145" s="311" t="str">
        <f aca="false">IF(A145="N/A"," ",(VLOOKUP(A145,PowerVolTable,(IF(VolBMO=2,7,IF(VolBMO=1,6,8))),FALSE())))</f>
        <v> </v>
      </c>
      <c r="CM145" s="312" t="str">
        <f aca="false">IF(A145="N/A"," ",(VLOOKUP(A145,IntraPowerVol,(IF(VolBMO=2,3,IF(VolBMO=1,2,4))),FALSE())*VLOOKUP(MONTH($A145),Volscale,2)))</f>
        <v> </v>
      </c>
      <c r="CN145" s="312" t="str">
        <f aca="false">IF($A145="N/A"," ",IF(VolType=1,CM145,CL145))</f>
        <v> </v>
      </c>
      <c r="CO145" s="312" t="str">
        <f aca="false">IF($A145="N/A"," ",(VLOOKUP($A145,OffPeakVol,(IF(VolBMO=2,7,IF(VolBMO=1,6,8))),FALSE())))</f>
        <v> </v>
      </c>
      <c r="CP145" s="312" t="str">
        <f aca="false">IF($A145="N/A"," ",(VLOOKUP($A145,OffPeakVol,(IF(VolBMO=2,3,IF(VolBMO=1,2,4))),FALSE())*VLOOKUP(MONTH($A145),Volscale,2)))</f>
        <v> </v>
      </c>
      <c r="CQ145" s="312" t="str">
        <f aca="false">IF($A145="N/A"," ",IF(VolType=1,CP145,CO145))</f>
        <v> </v>
      </c>
      <c r="CR145" s="312" t="str">
        <f aca="false">IF($A145="N/A"," ",(VLOOKUP($A145,GasVolTable,(IF(VolBMO=2,6,IF(VolBMO=1,7,5))),FALSE())))</f>
        <v> </v>
      </c>
      <c r="CS145" s="312" t="str">
        <f aca="false">IF($A145="N/A"," ",(VLOOKUP($A145,OmicronVol,(IF(VolBMO=2,3,IF(VolBMO=1,4,2))),FALSE())))</f>
        <v> </v>
      </c>
      <c r="CT145" s="312" t="str">
        <f aca="false">IF($A145="N/A"," ",(IF(DateToday&gt;$A145,$CS145,IF(VolType=1,((($CR145^2)*((($A145-1)-DateToday)/((EOMONTH($A145,0)+1)-DateToday-15)))+((($CS145)^2)*((15)/((EOMONTH($A145,0)+1)-DateToday-15))))^0.5,CR145))))</f>
        <v> </v>
      </c>
      <c r="CU145" s="312" t="str">
        <f aca="false">IF($A145="N/A"," ",IF('Pricing Inputs'!$AR$23=TRUE(),Inputs!$S$22,VLOOKUP($A145,CorrelationTable,2,FALSE())))</f>
        <v> </v>
      </c>
      <c r="CV145" s="313" t="str">
        <f aca="false">IF($A145="N/A"," ",F145+G145+(D145*('Pricing Inputs'!X180)))</f>
        <v> </v>
      </c>
      <c r="CW145" s="314" t="str">
        <f aca="false">IF($A145="N/A"," ",IF(PV=1,0,'Pricing Inputs'!Y180))</f>
        <v> </v>
      </c>
      <c r="CX145" s="315" t="str">
        <f aca="false">IF($A145="N/A"," ",(1+CW145/2)^(-2*((EOMONTH(A145,0)+20)-DateToday)/365.25))</f>
        <v> </v>
      </c>
      <c r="CY145" s="316" t="str">
        <f aca="false">IF($A145="N/A"," ",(IF(MONTH(A145)&gt;=4,IF(MONTH(A145)&lt;=10,Inputs!$S$26,Inputs!$S$27),Inputs!$S$27))*$CX145)</f>
        <v> </v>
      </c>
      <c r="CZ145" s="317" t="str">
        <f aca="false">IF($A145="N/A"," ",BK145+BL145+BN145+BO145+BQ145+BR145)</f>
        <v> </v>
      </c>
      <c r="DA145" s="318" t="str">
        <f aca="false">IF($A145="N/A"," ",BM145+BP145+BS145)</f>
        <v> </v>
      </c>
      <c r="DB145" s="319" t="str">
        <f aca="false">IF($A145="N/A"," ",BT145+BU145+BW145+BX145+BZ145+CA145)</f>
        <v> </v>
      </c>
      <c r="DC145" s="319" t="str">
        <f aca="false">IF($A145="N/A"," ",BV145+BY145+CB145)</f>
        <v> </v>
      </c>
      <c r="DD145" s="320" t="str">
        <f aca="false">IF($A145="N/A"," ",SUM(CC145:CK145))</f>
        <v> </v>
      </c>
      <c r="DE145" s="321" t="str">
        <f aca="false">IF($A145="N/A"," ",VLOOKUP($A145,NumberofDaysTable,2)*Availability)</f>
        <v> </v>
      </c>
      <c r="DF145" s="94" t="str">
        <f aca="false">IF($A145="N/A"," ",VLOOKUP($A145,NumberofDaysTable,3)*Availability)</f>
        <v> </v>
      </c>
      <c r="DG145" s="322" t="str">
        <f aca="false">IF($A145="N/A"," ",VLOOKUP($A145,NumberofDaysTable,4)*Availability)</f>
        <v> </v>
      </c>
      <c r="DH145" s="323" t="str">
        <f aca="false">IF($A145="N/A"," ",IF(Option=1,$D145*Inputs!$S$15*SUM(AS145:BA145),0))</f>
        <v> </v>
      </c>
      <c r="DI145" s="324" t="str">
        <f aca="false">IF($A145="N/A"," ",IF(Option=1,$D145*Inputs!$S$16*SUM(AS145:BA145),0))</f>
        <v> </v>
      </c>
      <c r="DJ145" s="325" t="str">
        <f aca="false">IF($A145="N/A"," ",SUM(AS145:AT145))</f>
        <v> </v>
      </c>
      <c r="DK145" s="325" t="str">
        <f aca="false">IF($A145="N/A"," ",SUM(AU145:BA145))</f>
        <v> </v>
      </c>
      <c r="DL145" s="325" t="str">
        <f aca="false">IF($A145="N/A"," ",SUM(BB145:BC145))</f>
        <v> </v>
      </c>
      <c r="DM145" s="325" t="str">
        <f aca="false">IF($A145="N/A"," ",SUM(BD145:BJ145))</f>
        <v> </v>
      </c>
    </row>
    <row r="146" customFormat="false" ht="12.75" hidden="false" customHeight="false" outlineLevel="0" collapsed="false">
      <c r="A146" s="282" t="str">
        <f aca="false">IF(A145="N/A","N/A",IF(EDATE(A145,1)&gt;Inputs!$S$5,"N/A",EDATE(A145,1)))</f>
        <v>N/A</v>
      </c>
      <c r="B146" s="283" t="str">
        <f aca="false">IF(A146="N/A"," ",YEAR(A146))</f>
        <v> </v>
      </c>
      <c r="C146" s="284" t="str">
        <f aca="false">IF(A146="N/A"," ",VLOOKUP(A146,ScaledPrice,14))</f>
        <v> </v>
      </c>
      <c r="D146" s="285" t="str">
        <f aca="false">IF(A146="N/A"," ",(VLOOKUP(MONTH($A146),Hrtable,2))/1000)</f>
        <v> </v>
      </c>
      <c r="E146" s="286" t="str">
        <f aca="false">IF($A146="N/A"," ",(C146)*D146)</f>
        <v> </v>
      </c>
      <c r="F146" s="287" t="str">
        <f aca="false">IF(A146="N/A"," ",VOM*(1+VOMesc)^(YEAR(A146)-YEAR(Today)))</f>
        <v> </v>
      </c>
      <c r="G146" s="287" t="str">
        <f aca="false">IF(A146="N/A"," ",Perstart/VLOOKUP(Dayrun,'Pricing Inputs'!$AQ$4:$AS$14,3)/(CY146/CX146))</f>
        <v> </v>
      </c>
      <c r="H146" s="288" t="str">
        <f aca="false">IF(A146="N/A"," ",SUM(E146:G146))</f>
        <v> </v>
      </c>
      <c r="I146" s="289" t="str">
        <f aca="false">VLOOKUP($A146,ScaledPrice,6)</f>
        <v> </v>
      </c>
      <c r="J146" s="290" t="str">
        <f aca="false">VLOOKUP($A146,ScaledPrice,10)</f>
        <v> </v>
      </c>
      <c r="K146" s="290" t="str">
        <f aca="false">VLOOKUP($A146,ScaledPrice,13)</f>
        <v> </v>
      </c>
      <c r="L146" s="290" t="str">
        <f aca="false">VLOOKUP($A146,ScaledPrice,7)</f>
        <v> </v>
      </c>
      <c r="M146" s="290" t="str">
        <f aca="false">VLOOKUP($A146,ScaledPrice,11)</f>
        <v> </v>
      </c>
      <c r="N146" s="290" t="str">
        <f aca="false">VLOOKUP($A146,ScaledPrice,13)</f>
        <v> </v>
      </c>
      <c r="O146" s="290" t="str">
        <f aca="false">VLOOKUP($A146,ScaledPrice,8)</f>
        <v> </v>
      </c>
      <c r="P146" s="290" t="str">
        <f aca="false">VLOOKUP($A146,ScaledPrice,12)</f>
        <v> </v>
      </c>
      <c r="Q146" s="291" t="str">
        <f aca="false">VLOOKUP($A146,ScaledPrice,13)</f>
        <v> </v>
      </c>
      <c r="R146" s="292" t="str">
        <f aca="false">IF($A146="N/A"," ",IF(Dayrun&gt;=3,IF(Option=1,MAX($I146-$H146,0),IF(Option=2,MAX($H146-$I146,0),0)),0))</f>
        <v> </v>
      </c>
      <c r="S146" s="286" t="str">
        <f aca="false">IF($A146="N/A"," ",IF(Dayrun&gt;=6,IF(Option=1,MAX($J146-H146,0),IF(Option=2,MAX(H146-$J146,0),0)),0))</f>
        <v> </v>
      </c>
      <c r="T146" s="286" t="str">
        <f aca="false">IF($A146="N/A"," ",IF(OR(Dayrun&lt;=2,Dayrun&gt;=9),IF(Option=1,MAX($K146-$H146,0),IF(Option=2,MAX($H146-$K146,0),0)),0))</f>
        <v> </v>
      </c>
      <c r="U146" s="286" t="str">
        <f aca="false">IF($A146="N/A"," ",IF(OR(Dayrun=1,Dayrun=4,Dayrun=5,Dayrun=7,Dayrun=8,Dayrun=10,Dayrun=11),IF(Option=1,MAX($L146-H146,0),IF(Option=2,MAX(H146-$L146,0),0)),0))</f>
        <v> </v>
      </c>
      <c r="V146" s="286" t="str">
        <f aca="false">IF($A146="N/A"," ",IF(OR(Dayrun=1,Dayrun=7,Dayrun=8,Dayrun=10,Dayrun=11),IF(Option=1,MAX($M146-H146,0),IF(Option=2,MAX(H146-$M146,0),0)),0))</f>
        <v> </v>
      </c>
      <c r="W146" s="286" t="str">
        <f aca="false">IF($A146="N/A"," ",IF(OR(Dayrun&lt;=2,Dayrun&gt;=10),IF(Option=1,MAX($N146-$H146,0),IF(Option=2,MAX($H146-$N146,0),0)),0))</f>
        <v> </v>
      </c>
      <c r="X146" s="286" t="str">
        <f aca="false">IF($A146="N/A"," ",IF(OR(Dayrun=1,Dayrun=5,Dayrun=8,Dayrun=11),IF(Option=1,MAX($O146-H146,0),IF(Option=2,MAX(H146-$O146,0),0)),0))</f>
        <v> </v>
      </c>
      <c r="Y146" s="286" t="str">
        <f aca="false">IF($A146="N/A"," ",IF(OR(Dayrun=1,Dayrun=8,Dayrun=11),IF(Option=1,MAX($P146-H146,0),IF(Option=2,MAX(H146-$P146,0),0)),0))</f>
        <v> </v>
      </c>
      <c r="Z146" s="293" t="str">
        <f aca="false">IF($A146="N/A"," ",IF(OR(Dayrun&lt;=2,Dayrun&gt;=11),IF(Option=1,MAX($Q146-$H146,0),IF(Option=2,MAX($H146-$Q146,0),0)),0))</f>
        <v> </v>
      </c>
      <c r="AA146" s="289" t="str">
        <f aca="false">IF($A146="N/A"," ",IF(Dayrun&gt;=3,(MAX(0,(xSPRDOPT(I146,($E146-'Pricing Inputs'!$X181*$D146),$CV146,0,($CN146+IF(Smile=TRUE(),VLOOKUP(MAX(-5,$H146-I146),Volsmile,2),0)),$CT146,$CU146,($A146-DateToday)+15,ABS(Option-2),0)-R146))),0))</f>
        <v> </v>
      </c>
      <c r="AB146" s="290" t="str">
        <f aca="false">IF($A146="N/A"," ",IF(Dayrun&gt;=6,MAX(0,(xSPRDOPT(J146,($E146-'Pricing Inputs'!$X181*$D146),$CV146,0,($CN146+IF(Smile=TRUE(),VLOOKUP(MAX(-5,$H146-J146),Volsmile,2),0)),$CT146,$CU146,($A146-DateToday)+15,ABS(Option-2),0)-S146)),0))</f>
        <v> </v>
      </c>
      <c r="AC146" s="290" t="str">
        <f aca="false">IF($A146="N/A"," ",IF(OR(Dayrun&lt;=2,Dayrun&gt;=9),IF(OffPeakEx=TRUE(),MAX(0,(xSPRDOPT(K146,($E146-'Pricing Inputs'!$X181*$D146),$CV146,0,($CQ146+IF(Smile=TRUE(),VLOOKUP(MAX(-5,$H146-K146),Volsmile,2),0)),$CT146,$CU146,($A146-DateToday)+15,ABS(Option-2),0)-T146)),0),0))</f>
        <v> </v>
      </c>
      <c r="AD146" s="290" t="str">
        <f aca="false">IF($A146="N/A"," ",IF(OR(Dayrun=1,Dayrun=4,Dayrun=5,Dayrun=7,Dayrun=8,Dayrun=10,Dayrun=11),MAX(0,(xSPRDOPT(L146,($E146-'Pricing Inputs'!$X181*$D146),$CV146,0,($CQ146+IF(Smile=TRUE(),VLOOKUP(MAX(-5,$H146-L146),Volsmile,2),0)),$CT146,$CU146,($A146-DateToday)+15,ABS(Option-2),0)-U146)),0))</f>
        <v> </v>
      </c>
      <c r="AE146" s="290" t="str">
        <f aca="false">IF($A146="N/A"," ",IF(OR(Dayrun=1,Dayrun=7,Dayrun=8,Dayrun=10,Dayrun=11),MAX(0,(xSPRDOPT(M146,($E146-'Pricing Inputs'!$X181*$D146),$CV146,0,($CQ146+IF(Smile=TRUE(),VLOOKUP(MAX(-5,$H146-M146),Volsmile,2),0)),$CT146,$CU146,($A146-DateToday)+15,ABS(Option-2),0)-V146)),0))</f>
        <v> </v>
      </c>
      <c r="AF146" s="290" t="str">
        <f aca="false">IF($A146="N/A"," ",IF(OR(Dayrun&lt;=2,Dayrun&gt;=10),IF(OffPeakEx=TRUE(),MAX(0,(xSPRDOPT(N146,($E146-'Pricing Inputs'!$X181*$D146),$CV146,0,($CQ146+IF(Smile=TRUE(),VLOOKUP(MAX(-5,$H146-N146),Volsmile,2),0)),$CT146,$CU146,($A146-DateToday)+15,ABS(Option-2),0)-W146)),0),0))</f>
        <v> </v>
      </c>
      <c r="AG146" s="290" t="str">
        <f aca="false">IF($A146="N/A"," ",IF(OR(Dayrun=1,Dayrun=5,Dayrun=8,Dayrun=11),MAX(0,(xSPRDOPT(O146,($E146-'Pricing Inputs'!$X181*$D146),$CV146,0,($CQ146+IF(Smile=TRUE(),VLOOKUP(MAX(-5,$H146-O146),Volsmile,2),0)),$CT146,$CU146,($A146-DateToday)+15,ABS(Option-2),0)-X146)),0))</f>
        <v> </v>
      </c>
      <c r="AH146" s="290" t="str">
        <f aca="false">IF($A146="N/A"," ",IF(OR(Dayrun=1,Dayrun=8,Dayrun=11),MAX(0,(xSPRDOPT(P146,($E146-'Pricing Inputs'!$X181*$D146),$CV146,0,($CQ146+IF(Smile=TRUE(),VLOOKUP(MAX(-5,$H146-P146),Volsmile,2),0)),$CT146,$CU146,($A146-DateToday)+15,ABS(Option-2),0)-Y146)),0))</f>
        <v> </v>
      </c>
      <c r="AI146" s="290" t="str">
        <f aca="false">IF($A146="N/A"," ",IF(OR(Dayrun&lt;=2,Dayrun&gt;=11),IF(OffPeakEx=TRUE(),MAX(0,(xSPRDOPT(Q146,($E146-'Pricing Inputs'!$X181*$D146),$CV146,0,($CQ146+IF(Smile=TRUE(),VLOOKUP(MAX(-5,$H146-Q146),Volsmile,2),0)),$CT146,$CU146,($A146-DateToday)+15,ABS(Option-2),0)-Z146)),0),0))</f>
        <v> </v>
      </c>
      <c r="AJ146" s="294" t="str">
        <f aca="false">IF($A146="N/A"," ",IF(Dayrun&gt;=3,IF(Option=1,$I146-$H146,IF(Option=2,$H146-$I146)),0))</f>
        <v> </v>
      </c>
      <c r="AK146" s="295" t="str">
        <f aca="false">IF($A146="N/A"," ",IF(Dayrun&gt;=6,IF(Option=1,$J146-H146,IF(Option=2,H146-$J146)),0))</f>
        <v> </v>
      </c>
      <c r="AL146" s="295" t="str">
        <f aca="false">IF($A146="N/A"," ",IF(OR(Dayrun&lt;=2,Dayrun&gt;=9),IF(Option=1,$K146-$H146,IF(Option=2,$H146-$K146)),0))</f>
        <v> </v>
      </c>
      <c r="AM146" s="295" t="str">
        <f aca="false">IF($A146="N/A"," ",IF(OR(Dayrun=1,Dayrun=4,Dayrun=5,Dayrun=7,Dayrun=8,Dayrun=10,Dayrun=11),IF(Option=1,$L146-H146,IF(Option=2,H146-$L146)),0))</f>
        <v> </v>
      </c>
      <c r="AN146" s="295" t="str">
        <f aca="false">IF($A146="N/A"," ",IF(OR(Dayrun=1,Dayrun=7,Dayrun=8,Dayrun=10,Dayrun=11),IF(Option=1,$M146-H146,IF(Option=2,H146-$M146)),0))</f>
        <v> </v>
      </c>
      <c r="AO146" s="295" t="str">
        <f aca="false">IF($A146="N/A"," ",IF(OR(Dayrun&lt;=2,Dayrun&gt;=9),IF(Option=1,$N146-$H146,IF(Option=2,$H146-$N146)),0))</f>
        <v> </v>
      </c>
      <c r="AP146" s="295" t="str">
        <f aca="false">IF($A146="N/A"," ",IF(OR(Dayrun=1,Dayrun=5,Dayrun=8,Dayrun=11),IF(Option=1,$O146-H146,IF(Option=2,H146-$O146)),0))</f>
        <v> </v>
      </c>
      <c r="AQ146" s="295" t="str">
        <f aca="false">IF($A146="N/A"," ",IF(OR(Dayrun=1,Dayrun=8,Dayrun=11),IF(Option=1,$P146-H146,IF(Option=2,H146-$P146)),0))</f>
        <v> </v>
      </c>
      <c r="AR146" s="296" t="str">
        <f aca="false">IF($A146="N/A"," ",IF(OR(Dayrun&lt;=2,Dayrun&gt;=9),IF(Option=1,$Q146-H146,IF(Option=2,H146-$Q146)),0))</f>
        <v> </v>
      </c>
      <c r="AS146" s="297" t="str">
        <f aca="false">IF($A146="N/A"," ",IF(VLOOKUP(MONTH($A146),ManualTable,2)=1,IF(Dayrun&gt;=3,$DE146*8*$CY146,0),0))</f>
        <v> </v>
      </c>
      <c r="AT146" s="297" t="str">
        <f aca="false">IF($A146="N/A"," ",IF(VLOOKUP(MONTH($A146),ManualTable,3)=1,IF(Dayrun&gt;=6,$DE146*8*$CY146,0),0))</f>
        <v> </v>
      </c>
      <c r="AU146" s="297" t="str">
        <f aca="false">IF($A146="N/A"," ",IF(VLOOKUP(MONTH($A146),ManualTable,4)=1,IF(OR(Dayrun&lt;=2,Dayrun&gt;=9),$DE146*8*$CY146,0),0))</f>
        <v> </v>
      </c>
      <c r="AV146" s="297" t="str">
        <f aca="false">IF($A146="N/A"," ",IF(VLOOKUP(MONTH($A146),ManualTable,5)=1,IF(OR(Dayrun=1,Dayrun=4,Dayrun=5,Dayrun=7,Dayrun=8,Dayrun=10,Dayrun=11),$DF146*8*$CY146,0),0))</f>
        <v> </v>
      </c>
      <c r="AW146" s="297" t="str">
        <f aca="false">IF($A146="N/A"," ",IF(VLOOKUP(MONTH($A146),ManualTable,6)=1,IF(OR(Dayrun=1,Dayrun=7,Dayrun=8,Dayrun=10,Dayrun=11),$DF146*8*$CY146,0),0))</f>
        <v> </v>
      </c>
      <c r="AX146" s="297" t="str">
        <f aca="false">IF($A146="N/A"," ",IF(VLOOKUP(MONTH($A146),ManualTable,7)=1,IF(OR(Dayrun&lt;=2,Dayrun&gt;=9),$DF146*8*$CY146,0),0))</f>
        <v> </v>
      </c>
      <c r="AY146" s="297" t="str">
        <f aca="false">IF($A146="N/A"," ",IF(VLOOKUP(MONTH($A146),ManualTable,8)=1,IF(OR(Dayrun=1,Dayrun=5,Dayrun=8,Dayrun=11),$DG146*8*$CY146,0),0))</f>
        <v> </v>
      </c>
      <c r="AZ146" s="297" t="str">
        <f aca="false">IF($A146="N/A"," ",IF(VLOOKUP(MONTH($A146),ManualTable,9)=1,IF(OR(Dayrun=1,Dayrun=8,Dayrun=11),$DG146*8*$CY146,0),0))</f>
        <v> </v>
      </c>
      <c r="BA146" s="298" t="str">
        <f aca="false">IF($A146="N/A"," ",IF(VLOOKUP(MONTH($A146),ManualTable,10)=1,IF(OR(Dayrun&lt;=2,Dayrun&gt;=9),$DG146*8*$CY146,0),0))</f>
        <v> </v>
      </c>
      <c r="BB146" s="299" t="str">
        <f aca="false">IF($A146="N/A"," ",IF(Dayrun&gt;=3,(MAX(0,(xSPRDOPT(I146,($E146-'Pricing Inputs'!$X181*$D146),$CV146,0,($CN146+IF(Smile=TRUE(),VLOOKUP(MAX(-5,$H146-I146),Volsmile,2),0)),$CT146,$CU146,($A146-DateToday)+15,ABS(Option-2),1)*DE146*8))),0))</f>
        <v> </v>
      </c>
      <c r="BC146" s="300" t="str">
        <f aca="false">IF($A146="N/A"," ",IF(Dayrun&gt;=6,MAX(0,(xSPRDOPT(J146,($E146-'Pricing Inputs'!$X181*$D146),$CV146,0,($CN146+IF(Smile=TRUE(),VLOOKUP(MAX(-5,$H146-J146),Volsmile,2),0)),$CT146,$CU146,($A146-DateToday)+15,ABS(Option-2),1)*DE146*8)),0))</f>
        <v> </v>
      </c>
      <c r="BD146" s="300" t="str">
        <f aca="false">IF($A146="N/A"," ",IF(OR(Dayrun&lt;=2,Dayrun&gt;=9),IF(OffPeakEx=TRUE(),MAX(0,(xSPRDOPT(K146,($E146-'Pricing Inputs'!$X181*$D146),$CV146,0,($CQ146+IF(Smile=TRUE(),VLOOKUP(MAX(-5,$H146-K146),Volsmile,2),0)),$CT146,$CU146,($A146-DateToday)+15,ABS(Option-2),1)*DE146*8)),0),0))</f>
        <v> </v>
      </c>
      <c r="BE146" s="300" t="str">
        <f aca="false">IF($A146="N/A"," ",IF(OR(Dayrun=1,Dayrun=4,Dayrun=5,Dayrun=7,Dayrun=8,Dayrun=10,Dayrun=11),MAX(0,(xSPRDOPT(L146,($E146-'Pricing Inputs'!$X181*$D146),$CV146,0,($CQ146+IF(Smile=TRUE(),VLOOKUP(MAX(-5,$H146-L146),Volsmile,2),0)),$CT146,$CU146,($A146-DateToday)+15,ABS(Option-2),1)*DF146*8)),0))</f>
        <v> </v>
      </c>
      <c r="BF146" s="300" t="str">
        <f aca="false">IF($A146="N/A"," ",IF(OR(Dayrun=1,Dayrun=7,Dayrun=8,Dayrun=10,Dayrun=11),MAX(0,(xSPRDOPT(M146,($E146-'Pricing Inputs'!$X181*$D146),$CV146,0,($CQ146+IF(Smile=TRUE(),VLOOKUP(MAX(-5,$H146-M146),Volsmile,2),0)),$CT146,$CU146,($A146-DateToday)+15,ABS(Option-2),1)*DF146*8)),0))</f>
        <v> </v>
      </c>
      <c r="BG146" s="300" t="str">
        <f aca="false">IF($A146="N/A"," ",IF(OR(Dayrun&lt;=2,Dayrun&gt;=10),IF(OffPeakEx=TRUE(),MAX(0,(xSPRDOPT(N146,($E146-'Pricing Inputs'!$X181*$D146),$CV146,0,($CQ146+IF(Smile=TRUE(),VLOOKUP(MAX(-5,$H146-N146),Volsmile,2),0)),$CT146,$CU146,($A146-DateToday)+15,ABS(Option-2),1)*DF146*8)),0),0))</f>
        <v> </v>
      </c>
      <c r="BH146" s="300" t="str">
        <f aca="false">IF($A146="N/A"," ",IF(OR(Dayrun=1,Dayrun=5,Dayrun=8,Dayrun=11),MAX(0,(xSPRDOPT(O146,($E146-'Pricing Inputs'!$X181*$D146),$CV146,0,($CQ146+IF(Smile=TRUE(),VLOOKUP(MAX(-5,$H146-O146),Volsmile,2),0)),$CT146,$CU146,($A146-DateToday)+15,ABS(Option-2),1)*DG146*8)),0))</f>
        <v> </v>
      </c>
      <c r="BI146" s="300" t="str">
        <f aca="false">IF($A146="N/A"," ",IF(OR(Dayrun=1,Dayrun=8,Dayrun=11),MAX(0,(xSPRDOPT(P146,($E146-'Pricing Inputs'!$X181*$D146),$CV146,0,($CQ146+IF(Smile=TRUE(),VLOOKUP(MAX(-5,$H146-P146),Volsmile,2),0)),$CT146,$CU146,($A146-DateToday)+15,ABS(Option-2),1)*DG146*8)),0))</f>
        <v> </v>
      </c>
      <c r="BJ146" s="301" t="str">
        <f aca="false">IF($A146="N/A"," ",IF(OR(Dayrun&lt;=2,Dayrun&gt;=11),IF(OffPeakEx=TRUE(),MAX(0,(xSPRDOPT(Q146,($E146-'Pricing Inputs'!$X181*$D146),$CV146,0,($CQ146+IF(Smile=TRUE(),VLOOKUP(MAX(-5,$H146-Q146),Volsmile,2),0)),$CT146,$CU146,($A146-DateToday)+15,ABS(Option-2),1)*DG146*8)),0),0))</f>
        <v> </v>
      </c>
      <c r="BK146" s="302" t="str">
        <f aca="false">IF($A146="N/A"," ",R146*$AS146)</f>
        <v> </v>
      </c>
      <c r="BL146" s="303" t="str">
        <f aca="false">IF($A146="N/A"," ",S146*$AT146)</f>
        <v> </v>
      </c>
      <c r="BM146" s="303" t="str">
        <f aca="false">IF($A146="N/A"," ",T146*$AU146)</f>
        <v> </v>
      </c>
      <c r="BN146" s="303" t="str">
        <f aca="false">IF($A146="N/A"," ",U146*$AV146)</f>
        <v> </v>
      </c>
      <c r="BO146" s="303" t="str">
        <f aca="false">IF($A146="N/A"," ",V146*$AW146)</f>
        <v> </v>
      </c>
      <c r="BP146" s="303" t="str">
        <f aca="false">IF($A146="N/A"," ",W146*$AX146)</f>
        <v> </v>
      </c>
      <c r="BQ146" s="303" t="str">
        <f aca="false">IF($A146="N/A"," ",X146*$AY146)</f>
        <v> </v>
      </c>
      <c r="BR146" s="303" t="str">
        <f aca="false">IF($A146="N/A"," ",Y146*$AZ146)</f>
        <v> </v>
      </c>
      <c r="BS146" s="304" t="str">
        <f aca="false">IF($A146="N/A"," ",Z146*$BA146)</f>
        <v> </v>
      </c>
      <c r="BT146" s="305" t="str">
        <f aca="false">IF($A146="N/A"," ",AA146*$AS146)</f>
        <v> </v>
      </c>
      <c r="BU146" s="306" t="str">
        <f aca="false">IF($A146="N/A"," ",AB146*$AT146)</f>
        <v> </v>
      </c>
      <c r="BV146" s="306" t="str">
        <f aca="false">IF($A146="N/A"," ",AC146*$AU146)</f>
        <v> </v>
      </c>
      <c r="BW146" s="306" t="str">
        <f aca="false">IF($A146="N/A"," ",AD146*$AV146)</f>
        <v> </v>
      </c>
      <c r="BX146" s="306" t="str">
        <f aca="false">IF($A146="N/A"," ",AE146*$AW146)</f>
        <v> </v>
      </c>
      <c r="BY146" s="306" t="str">
        <f aca="false">IF($A146="N/A"," ",AF146*$AX146)</f>
        <v> </v>
      </c>
      <c r="BZ146" s="306" t="str">
        <f aca="false">IF($A146="N/A"," ",AG146*$AY146)</f>
        <v> </v>
      </c>
      <c r="CA146" s="306" t="str">
        <f aca="false">IF($A146="N/A"," ",AH146*$AZ146)</f>
        <v> </v>
      </c>
      <c r="CB146" s="307" t="str">
        <f aca="false">IF($A146="N/A"," ",AI146*$BA146)</f>
        <v> </v>
      </c>
      <c r="CC146" s="308" t="str">
        <f aca="false">IF($A146="N/A"," ",AJ146*$AS146)</f>
        <v> </v>
      </c>
      <c r="CD146" s="309" t="str">
        <f aca="false">IF($A146="N/A"," ",AK146*$AT146)</f>
        <v> </v>
      </c>
      <c r="CE146" s="309" t="str">
        <f aca="false">IF($A146="N/A"," ",AL146*$AU146)</f>
        <v> </v>
      </c>
      <c r="CF146" s="309" t="str">
        <f aca="false">IF($A146="N/A"," ",AM146*$AV146)</f>
        <v> </v>
      </c>
      <c r="CG146" s="309" t="str">
        <f aca="false">IF($A146="N/A"," ",AN146*$AW146)</f>
        <v> </v>
      </c>
      <c r="CH146" s="309" t="str">
        <f aca="false">IF($A146="N/A"," ",AO146*$AX146)</f>
        <v> </v>
      </c>
      <c r="CI146" s="309" t="str">
        <f aca="false">IF($A146="N/A"," ",AP146*$AY146)</f>
        <v> </v>
      </c>
      <c r="CJ146" s="309" t="str">
        <f aca="false">IF($A146="N/A"," ",AQ146*$AZ146)</f>
        <v> </v>
      </c>
      <c r="CK146" s="310" t="str">
        <f aca="false">IF($A146="N/A"," ",AR146*$BA146)</f>
        <v> </v>
      </c>
      <c r="CL146" s="311" t="str">
        <f aca="false">IF(A146="N/A"," ",(VLOOKUP(A146,PowerVolTable,(IF(VolBMO=2,7,IF(VolBMO=1,6,8))),FALSE())))</f>
        <v> </v>
      </c>
      <c r="CM146" s="312" t="str">
        <f aca="false">IF(A146="N/A"," ",(VLOOKUP(A146,IntraPowerVol,(IF(VolBMO=2,3,IF(VolBMO=1,2,4))),FALSE())*VLOOKUP(MONTH($A146),Volscale,2)))</f>
        <v> </v>
      </c>
      <c r="CN146" s="312" t="str">
        <f aca="false">IF($A146="N/A"," ",IF(VolType=1,CM146,CL146))</f>
        <v> </v>
      </c>
      <c r="CO146" s="312" t="str">
        <f aca="false">IF($A146="N/A"," ",(VLOOKUP($A146,OffPeakVol,(IF(VolBMO=2,7,IF(VolBMO=1,6,8))),FALSE())))</f>
        <v> </v>
      </c>
      <c r="CP146" s="312" t="str">
        <f aca="false">IF($A146="N/A"," ",(VLOOKUP($A146,OffPeakVol,(IF(VolBMO=2,3,IF(VolBMO=1,2,4))),FALSE())*VLOOKUP(MONTH($A146),Volscale,2)))</f>
        <v> </v>
      </c>
      <c r="CQ146" s="312" t="str">
        <f aca="false">IF($A146="N/A"," ",IF(VolType=1,CP146,CO146))</f>
        <v> </v>
      </c>
      <c r="CR146" s="312" t="str">
        <f aca="false">IF($A146="N/A"," ",(VLOOKUP($A146,GasVolTable,(IF(VolBMO=2,6,IF(VolBMO=1,7,5))),FALSE())))</f>
        <v> </v>
      </c>
      <c r="CS146" s="312" t="str">
        <f aca="false">IF($A146="N/A"," ",(VLOOKUP($A146,OmicronVol,(IF(VolBMO=2,3,IF(VolBMO=1,4,2))),FALSE())))</f>
        <v> </v>
      </c>
      <c r="CT146" s="312" t="str">
        <f aca="false">IF($A146="N/A"," ",(IF(DateToday&gt;$A146,$CS146,IF(VolType=1,((($CR146^2)*((($A146-1)-DateToday)/((EOMONTH($A146,0)+1)-DateToday-15)))+((($CS146)^2)*((15)/((EOMONTH($A146,0)+1)-DateToday-15))))^0.5,CR146))))</f>
        <v> </v>
      </c>
      <c r="CU146" s="312" t="str">
        <f aca="false">IF($A146="N/A"," ",IF('Pricing Inputs'!$AR$23=TRUE(),Inputs!$S$22,VLOOKUP($A146,CorrelationTable,2,FALSE())))</f>
        <v> </v>
      </c>
      <c r="CV146" s="313" t="str">
        <f aca="false">IF($A146="N/A"," ",F146+G146+(D146*('Pricing Inputs'!X181)))</f>
        <v> </v>
      </c>
      <c r="CW146" s="314" t="str">
        <f aca="false">IF($A146="N/A"," ",IF(PV=1,0,'Pricing Inputs'!Y181))</f>
        <v> </v>
      </c>
      <c r="CX146" s="315" t="str">
        <f aca="false">IF($A146="N/A"," ",(1+CW146/2)^(-2*((EOMONTH(A146,0)+20)-DateToday)/365.25))</f>
        <v> </v>
      </c>
      <c r="CY146" s="316" t="str">
        <f aca="false">IF($A146="N/A"," ",(IF(MONTH(A146)&gt;=4,IF(MONTH(A146)&lt;=10,Inputs!$S$26,Inputs!$S$27),Inputs!$S$27))*$CX146)</f>
        <v> </v>
      </c>
      <c r="CZ146" s="317" t="str">
        <f aca="false">IF($A146="N/A"," ",BK146+BL146+BN146+BO146+BQ146+BR146)</f>
        <v> </v>
      </c>
      <c r="DA146" s="318" t="str">
        <f aca="false">IF($A146="N/A"," ",BM146+BP146+BS146)</f>
        <v> </v>
      </c>
      <c r="DB146" s="319" t="str">
        <f aca="false">IF($A146="N/A"," ",BT146+BU146+BW146+BX146+BZ146+CA146)</f>
        <v> </v>
      </c>
      <c r="DC146" s="319" t="str">
        <f aca="false">IF($A146="N/A"," ",BV146+BY146+CB146)</f>
        <v> </v>
      </c>
      <c r="DD146" s="320" t="str">
        <f aca="false">IF($A146="N/A"," ",SUM(CC146:CK146))</f>
        <v> </v>
      </c>
      <c r="DE146" s="321" t="str">
        <f aca="false">IF($A146="N/A"," ",VLOOKUP($A146,NumberofDaysTable,2)*Availability)</f>
        <v> </v>
      </c>
      <c r="DF146" s="94" t="str">
        <f aca="false">IF($A146="N/A"," ",VLOOKUP($A146,NumberofDaysTable,3)*Availability)</f>
        <v> </v>
      </c>
      <c r="DG146" s="322" t="str">
        <f aca="false">IF($A146="N/A"," ",VLOOKUP($A146,NumberofDaysTable,4)*Availability)</f>
        <v> </v>
      </c>
      <c r="DH146" s="323" t="str">
        <f aca="false">IF($A146="N/A"," ",IF(Option=1,$D146*Inputs!$S$15*SUM(AS146:BA146),0))</f>
        <v> </v>
      </c>
      <c r="DI146" s="324" t="str">
        <f aca="false">IF($A146="N/A"," ",IF(Option=1,$D146*Inputs!$S$16*SUM(AS146:BA146),0))</f>
        <v> </v>
      </c>
      <c r="DJ146" s="325" t="str">
        <f aca="false">IF($A146="N/A"," ",SUM(AS146:AT146))</f>
        <v> </v>
      </c>
      <c r="DK146" s="325" t="str">
        <f aca="false">IF($A146="N/A"," ",SUM(AU146:BA146))</f>
        <v> </v>
      </c>
      <c r="DL146" s="325" t="str">
        <f aca="false">IF($A146="N/A"," ",SUM(BB146:BC146))</f>
        <v> </v>
      </c>
      <c r="DM146" s="325" t="str">
        <f aca="false">IF($A146="N/A"," ",SUM(BD146:BJ146))</f>
        <v> </v>
      </c>
    </row>
    <row r="147" customFormat="false" ht="12.75" hidden="false" customHeight="false" outlineLevel="0" collapsed="false">
      <c r="A147" s="282" t="str">
        <f aca="false">IF(A146="N/A","N/A",IF(EDATE(A146,1)&gt;Inputs!$S$5,"N/A",EDATE(A146,1)))</f>
        <v>N/A</v>
      </c>
      <c r="B147" s="283" t="str">
        <f aca="false">IF(A147="N/A"," ",YEAR(A147))</f>
        <v> </v>
      </c>
      <c r="C147" s="284" t="str">
        <f aca="false">IF(A147="N/A"," ",VLOOKUP(A147,ScaledPrice,14))</f>
        <v> </v>
      </c>
      <c r="D147" s="285" t="str">
        <f aca="false">IF(A147="N/A"," ",(VLOOKUP(MONTH($A147),Hrtable,2))/1000)</f>
        <v> </v>
      </c>
      <c r="E147" s="286" t="str">
        <f aca="false">IF($A147="N/A"," ",(C147)*D147)</f>
        <v> </v>
      </c>
      <c r="F147" s="287" t="str">
        <f aca="false">IF(A147="N/A"," ",VOM*(1+VOMesc)^(YEAR(A147)-YEAR(Today)))</f>
        <v> </v>
      </c>
      <c r="G147" s="287" t="str">
        <f aca="false">IF(A147="N/A"," ",Perstart/VLOOKUP(Dayrun,'Pricing Inputs'!$AQ$4:$AS$14,3)/(CY147/CX147))</f>
        <v> </v>
      </c>
      <c r="H147" s="288" t="str">
        <f aca="false">IF(A147="N/A"," ",SUM(E147:G147))</f>
        <v> </v>
      </c>
      <c r="I147" s="289" t="str">
        <f aca="false">VLOOKUP($A147,ScaledPrice,6)</f>
        <v> </v>
      </c>
      <c r="J147" s="290" t="str">
        <f aca="false">VLOOKUP($A147,ScaledPrice,10)</f>
        <v> </v>
      </c>
      <c r="K147" s="290" t="str">
        <f aca="false">VLOOKUP($A147,ScaledPrice,13)</f>
        <v> </v>
      </c>
      <c r="L147" s="290" t="str">
        <f aca="false">VLOOKUP($A147,ScaledPrice,7)</f>
        <v> </v>
      </c>
      <c r="M147" s="290" t="str">
        <f aca="false">VLOOKUP($A147,ScaledPrice,11)</f>
        <v> </v>
      </c>
      <c r="N147" s="290" t="str">
        <f aca="false">VLOOKUP($A147,ScaledPrice,13)</f>
        <v> </v>
      </c>
      <c r="O147" s="290" t="str">
        <f aca="false">VLOOKUP($A147,ScaledPrice,8)</f>
        <v> </v>
      </c>
      <c r="P147" s="290" t="str">
        <f aca="false">VLOOKUP($A147,ScaledPrice,12)</f>
        <v> </v>
      </c>
      <c r="Q147" s="291" t="str">
        <f aca="false">VLOOKUP($A147,ScaledPrice,13)</f>
        <v> </v>
      </c>
      <c r="R147" s="292" t="str">
        <f aca="false">IF($A147="N/A"," ",IF(Dayrun&gt;=3,IF(Option=1,MAX($I147-$H147,0),IF(Option=2,MAX($H147-$I147,0),0)),0))</f>
        <v> </v>
      </c>
      <c r="S147" s="286" t="str">
        <f aca="false">IF($A147="N/A"," ",IF(Dayrun&gt;=6,IF(Option=1,MAX($J147-H147,0),IF(Option=2,MAX(H147-$J147,0),0)),0))</f>
        <v> </v>
      </c>
      <c r="T147" s="286" t="str">
        <f aca="false">IF($A147="N/A"," ",IF(OR(Dayrun&lt;=2,Dayrun&gt;=9),IF(Option=1,MAX($K147-$H147,0),IF(Option=2,MAX($H147-$K147,0),0)),0))</f>
        <v> </v>
      </c>
      <c r="U147" s="286" t="str">
        <f aca="false">IF($A147="N/A"," ",IF(OR(Dayrun=1,Dayrun=4,Dayrun=5,Dayrun=7,Dayrun=8,Dayrun=10,Dayrun=11),IF(Option=1,MAX($L147-H147,0),IF(Option=2,MAX(H147-$L147,0),0)),0))</f>
        <v> </v>
      </c>
      <c r="V147" s="286" t="str">
        <f aca="false">IF($A147="N/A"," ",IF(OR(Dayrun=1,Dayrun=7,Dayrun=8,Dayrun=10,Dayrun=11),IF(Option=1,MAX($M147-H147,0),IF(Option=2,MAX(H147-$M147,0),0)),0))</f>
        <v> </v>
      </c>
      <c r="W147" s="286" t="str">
        <f aca="false">IF($A147="N/A"," ",IF(OR(Dayrun&lt;=2,Dayrun&gt;=10),IF(Option=1,MAX($N147-$H147,0),IF(Option=2,MAX($H147-$N147,0),0)),0))</f>
        <v> </v>
      </c>
      <c r="X147" s="286" t="str">
        <f aca="false">IF($A147="N/A"," ",IF(OR(Dayrun=1,Dayrun=5,Dayrun=8,Dayrun=11),IF(Option=1,MAX($O147-H147,0),IF(Option=2,MAX(H147-$O147,0),0)),0))</f>
        <v> </v>
      </c>
      <c r="Y147" s="286" t="str">
        <f aca="false">IF($A147="N/A"," ",IF(OR(Dayrun=1,Dayrun=8,Dayrun=11),IF(Option=1,MAX($P147-H147,0),IF(Option=2,MAX(H147-$P147,0),0)),0))</f>
        <v> </v>
      </c>
      <c r="Z147" s="293" t="str">
        <f aca="false">IF($A147="N/A"," ",IF(OR(Dayrun&lt;=2,Dayrun&gt;=11),IF(Option=1,MAX($Q147-$H147,0),IF(Option=2,MAX($H147-$Q147,0),0)),0))</f>
        <v> </v>
      </c>
      <c r="AA147" s="289" t="str">
        <f aca="false">IF($A147="N/A"," ",IF(Dayrun&gt;=3,(MAX(0,(xSPRDOPT(I147,($E147-'Pricing Inputs'!$X182*$D147),$CV147,0,($CN147+IF(Smile=TRUE(),VLOOKUP(MAX(-5,$H147-I147),Volsmile,2),0)),$CT147,$CU147,($A147-DateToday)+15,ABS(Option-2),0)-R147))),0))</f>
        <v> </v>
      </c>
      <c r="AB147" s="290" t="str">
        <f aca="false">IF($A147="N/A"," ",IF(Dayrun&gt;=6,MAX(0,(xSPRDOPT(J147,($E147-'Pricing Inputs'!$X182*$D147),$CV147,0,($CN147+IF(Smile=TRUE(),VLOOKUP(MAX(-5,$H147-J147),Volsmile,2),0)),$CT147,$CU147,($A147-DateToday)+15,ABS(Option-2),0)-S147)),0))</f>
        <v> </v>
      </c>
      <c r="AC147" s="290" t="str">
        <f aca="false">IF($A147="N/A"," ",IF(OR(Dayrun&lt;=2,Dayrun&gt;=9),IF(OffPeakEx=TRUE(),MAX(0,(xSPRDOPT(K147,($E147-'Pricing Inputs'!$X182*$D147),$CV147,0,($CQ147+IF(Smile=TRUE(),VLOOKUP(MAX(-5,$H147-K147),Volsmile,2),0)),$CT147,$CU147,($A147-DateToday)+15,ABS(Option-2),0)-T147)),0),0))</f>
        <v> </v>
      </c>
      <c r="AD147" s="290" t="str">
        <f aca="false">IF($A147="N/A"," ",IF(OR(Dayrun=1,Dayrun=4,Dayrun=5,Dayrun=7,Dayrun=8,Dayrun=10,Dayrun=11),MAX(0,(xSPRDOPT(L147,($E147-'Pricing Inputs'!$X182*$D147),$CV147,0,($CQ147+IF(Smile=TRUE(),VLOOKUP(MAX(-5,$H147-L147),Volsmile,2),0)),$CT147,$CU147,($A147-DateToday)+15,ABS(Option-2),0)-U147)),0))</f>
        <v> </v>
      </c>
      <c r="AE147" s="290" t="str">
        <f aca="false">IF($A147="N/A"," ",IF(OR(Dayrun=1,Dayrun=7,Dayrun=8,Dayrun=10,Dayrun=11),MAX(0,(xSPRDOPT(M147,($E147-'Pricing Inputs'!$X182*$D147),$CV147,0,($CQ147+IF(Smile=TRUE(),VLOOKUP(MAX(-5,$H147-M147),Volsmile,2),0)),$CT147,$CU147,($A147-DateToday)+15,ABS(Option-2),0)-V147)),0))</f>
        <v> </v>
      </c>
      <c r="AF147" s="290" t="str">
        <f aca="false">IF($A147="N/A"," ",IF(OR(Dayrun&lt;=2,Dayrun&gt;=10),IF(OffPeakEx=TRUE(),MAX(0,(xSPRDOPT(N147,($E147-'Pricing Inputs'!$X182*$D147),$CV147,0,($CQ147+IF(Smile=TRUE(),VLOOKUP(MAX(-5,$H147-N147),Volsmile,2),0)),$CT147,$CU147,($A147-DateToday)+15,ABS(Option-2),0)-W147)),0),0))</f>
        <v> </v>
      </c>
      <c r="AG147" s="290" t="str">
        <f aca="false">IF($A147="N/A"," ",IF(OR(Dayrun=1,Dayrun=5,Dayrun=8,Dayrun=11),MAX(0,(xSPRDOPT(O147,($E147-'Pricing Inputs'!$X182*$D147),$CV147,0,($CQ147+IF(Smile=TRUE(),VLOOKUP(MAX(-5,$H147-O147),Volsmile,2),0)),$CT147,$CU147,($A147-DateToday)+15,ABS(Option-2),0)-X147)),0))</f>
        <v> </v>
      </c>
      <c r="AH147" s="290" t="str">
        <f aca="false">IF($A147="N/A"," ",IF(OR(Dayrun=1,Dayrun=8,Dayrun=11),MAX(0,(xSPRDOPT(P147,($E147-'Pricing Inputs'!$X182*$D147),$CV147,0,($CQ147+IF(Smile=TRUE(),VLOOKUP(MAX(-5,$H147-P147),Volsmile,2),0)),$CT147,$CU147,($A147-DateToday)+15,ABS(Option-2),0)-Y147)),0))</f>
        <v> </v>
      </c>
      <c r="AI147" s="290" t="str">
        <f aca="false">IF($A147="N/A"," ",IF(OR(Dayrun&lt;=2,Dayrun&gt;=11),IF(OffPeakEx=TRUE(),MAX(0,(xSPRDOPT(Q147,($E147-'Pricing Inputs'!$X182*$D147),$CV147,0,($CQ147+IF(Smile=TRUE(),VLOOKUP(MAX(-5,$H147-Q147),Volsmile,2),0)),$CT147,$CU147,($A147-DateToday)+15,ABS(Option-2),0)-Z147)),0),0))</f>
        <v> </v>
      </c>
      <c r="AJ147" s="294" t="str">
        <f aca="false">IF($A147="N/A"," ",IF(Dayrun&gt;=3,IF(Option=1,$I147-$H147,IF(Option=2,$H147-$I147)),0))</f>
        <v> </v>
      </c>
      <c r="AK147" s="295" t="str">
        <f aca="false">IF($A147="N/A"," ",IF(Dayrun&gt;=6,IF(Option=1,$J147-H147,IF(Option=2,H147-$J147)),0))</f>
        <v> </v>
      </c>
      <c r="AL147" s="295" t="str">
        <f aca="false">IF($A147="N/A"," ",IF(OR(Dayrun&lt;=2,Dayrun&gt;=9),IF(Option=1,$K147-$H147,IF(Option=2,$H147-$K147)),0))</f>
        <v> </v>
      </c>
      <c r="AM147" s="295" t="str">
        <f aca="false">IF($A147="N/A"," ",IF(OR(Dayrun=1,Dayrun=4,Dayrun=5,Dayrun=7,Dayrun=8,Dayrun=10,Dayrun=11),IF(Option=1,$L147-H147,IF(Option=2,H147-$L147)),0))</f>
        <v> </v>
      </c>
      <c r="AN147" s="295" t="str">
        <f aca="false">IF($A147="N/A"," ",IF(OR(Dayrun=1,Dayrun=7,Dayrun=8,Dayrun=10,Dayrun=11),IF(Option=1,$M147-H147,IF(Option=2,H147-$M147)),0))</f>
        <v> </v>
      </c>
      <c r="AO147" s="295" t="str">
        <f aca="false">IF($A147="N/A"," ",IF(OR(Dayrun&lt;=2,Dayrun&gt;=9),IF(Option=1,$N147-$H147,IF(Option=2,$H147-$N147)),0))</f>
        <v> </v>
      </c>
      <c r="AP147" s="295" t="str">
        <f aca="false">IF($A147="N/A"," ",IF(OR(Dayrun=1,Dayrun=5,Dayrun=8,Dayrun=11),IF(Option=1,$O147-H147,IF(Option=2,H147-$O147)),0))</f>
        <v> </v>
      </c>
      <c r="AQ147" s="295" t="str">
        <f aca="false">IF($A147="N/A"," ",IF(OR(Dayrun=1,Dayrun=8,Dayrun=11),IF(Option=1,$P147-H147,IF(Option=2,H147-$P147)),0))</f>
        <v> </v>
      </c>
      <c r="AR147" s="296" t="str">
        <f aca="false">IF($A147="N/A"," ",IF(OR(Dayrun&lt;=2,Dayrun&gt;=9),IF(Option=1,$Q147-H147,IF(Option=2,H147-$Q147)),0))</f>
        <v> </v>
      </c>
      <c r="AS147" s="297" t="str">
        <f aca="false">IF($A147="N/A"," ",IF(VLOOKUP(MONTH($A147),ManualTable,2)=1,IF(Dayrun&gt;=3,$DE147*8*$CY147,0),0))</f>
        <v> </v>
      </c>
      <c r="AT147" s="297" t="str">
        <f aca="false">IF($A147="N/A"," ",IF(VLOOKUP(MONTH($A147),ManualTable,3)=1,IF(Dayrun&gt;=6,$DE147*8*$CY147,0),0))</f>
        <v> </v>
      </c>
      <c r="AU147" s="297" t="str">
        <f aca="false">IF($A147="N/A"," ",IF(VLOOKUP(MONTH($A147),ManualTable,4)=1,IF(OR(Dayrun&lt;=2,Dayrun&gt;=9),$DE147*8*$CY147,0),0))</f>
        <v> </v>
      </c>
      <c r="AV147" s="297" t="str">
        <f aca="false">IF($A147="N/A"," ",IF(VLOOKUP(MONTH($A147),ManualTable,5)=1,IF(OR(Dayrun=1,Dayrun=4,Dayrun=5,Dayrun=7,Dayrun=8,Dayrun=10,Dayrun=11),$DF147*8*$CY147,0),0))</f>
        <v> </v>
      </c>
      <c r="AW147" s="297" t="str">
        <f aca="false">IF($A147="N/A"," ",IF(VLOOKUP(MONTH($A147),ManualTable,6)=1,IF(OR(Dayrun=1,Dayrun=7,Dayrun=8,Dayrun=10,Dayrun=11),$DF147*8*$CY147,0),0))</f>
        <v> </v>
      </c>
      <c r="AX147" s="297" t="str">
        <f aca="false">IF($A147="N/A"," ",IF(VLOOKUP(MONTH($A147),ManualTable,7)=1,IF(OR(Dayrun&lt;=2,Dayrun&gt;=9),$DF147*8*$CY147,0),0))</f>
        <v> </v>
      </c>
      <c r="AY147" s="297" t="str">
        <f aca="false">IF($A147="N/A"," ",IF(VLOOKUP(MONTH($A147),ManualTable,8)=1,IF(OR(Dayrun=1,Dayrun=5,Dayrun=8,Dayrun=11),$DG147*8*$CY147,0),0))</f>
        <v> </v>
      </c>
      <c r="AZ147" s="297" t="str">
        <f aca="false">IF($A147="N/A"," ",IF(VLOOKUP(MONTH($A147),ManualTable,9)=1,IF(OR(Dayrun=1,Dayrun=8,Dayrun=11),$DG147*8*$CY147,0),0))</f>
        <v> </v>
      </c>
      <c r="BA147" s="298" t="str">
        <f aca="false">IF($A147="N/A"," ",IF(VLOOKUP(MONTH($A147),ManualTable,10)=1,IF(OR(Dayrun&lt;=2,Dayrun&gt;=9),$DG147*8*$CY147,0),0))</f>
        <v> </v>
      </c>
      <c r="BB147" s="299" t="str">
        <f aca="false">IF($A147="N/A"," ",IF(Dayrun&gt;=3,(MAX(0,(xSPRDOPT(I147,($E147-'Pricing Inputs'!$X182*$D147),$CV147,0,($CN147+IF(Smile=TRUE(),VLOOKUP(MAX(-5,$H147-I147),Volsmile,2),0)),$CT147,$CU147,($A147-DateToday)+15,ABS(Option-2),1)*DE147*8))),0))</f>
        <v> </v>
      </c>
      <c r="BC147" s="300" t="str">
        <f aca="false">IF($A147="N/A"," ",IF(Dayrun&gt;=6,MAX(0,(xSPRDOPT(J147,($E147-'Pricing Inputs'!$X182*$D147),$CV147,0,($CN147+IF(Smile=TRUE(),VLOOKUP(MAX(-5,$H147-J147),Volsmile,2),0)),$CT147,$CU147,($A147-DateToday)+15,ABS(Option-2),1)*DE147*8)),0))</f>
        <v> </v>
      </c>
      <c r="BD147" s="300" t="str">
        <f aca="false">IF($A147="N/A"," ",IF(OR(Dayrun&lt;=2,Dayrun&gt;=9),IF(OffPeakEx=TRUE(),MAX(0,(xSPRDOPT(K147,($E147-'Pricing Inputs'!$X182*$D147),$CV147,0,($CQ147+IF(Smile=TRUE(),VLOOKUP(MAX(-5,$H147-K147),Volsmile,2),0)),$CT147,$CU147,($A147-DateToday)+15,ABS(Option-2),1)*DE147*8)),0),0))</f>
        <v> </v>
      </c>
      <c r="BE147" s="300" t="str">
        <f aca="false">IF($A147="N/A"," ",IF(OR(Dayrun=1,Dayrun=4,Dayrun=5,Dayrun=7,Dayrun=8,Dayrun=10,Dayrun=11),MAX(0,(xSPRDOPT(L147,($E147-'Pricing Inputs'!$X182*$D147),$CV147,0,($CQ147+IF(Smile=TRUE(),VLOOKUP(MAX(-5,$H147-L147),Volsmile,2),0)),$CT147,$CU147,($A147-DateToday)+15,ABS(Option-2),1)*DF147*8)),0))</f>
        <v> </v>
      </c>
      <c r="BF147" s="300" t="str">
        <f aca="false">IF($A147="N/A"," ",IF(OR(Dayrun=1,Dayrun=7,Dayrun=8,Dayrun=10,Dayrun=11),MAX(0,(xSPRDOPT(M147,($E147-'Pricing Inputs'!$X182*$D147),$CV147,0,($CQ147+IF(Smile=TRUE(),VLOOKUP(MAX(-5,$H147-M147),Volsmile,2),0)),$CT147,$CU147,($A147-DateToday)+15,ABS(Option-2),1)*DF147*8)),0))</f>
        <v> </v>
      </c>
      <c r="BG147" s="300" t="str">
        <f aca="false">IF($A147="N/A"," ",IF(OR(Dayrun&lt;=2,Dayrun&gt;=10),IF(OffPeakEx=TRUE(),MAX(0,(xSPRDOPT(N147,($E147-'Pricing Inputs'!$X182*$D147),$CV147,0,($CQ147+IF(Smile=TRUE(),VLOOKUP(MAX(-5,$H147-N147),Volsmile,2),0)),$CT147,$CU147,($A147-DateToday)+15,ABS(Option-2),1)*DF147*8)),0),0))</f>
        <v> </v>
      </c>
      <c r="BH147" s="300" t="str">
        <f aca="false">IF($A147="N/A"," ",IF(OR(Dayrun=1,Dayrun=5,Dayrun=8,Dayrun=11),MAX(0,(xSPRDOPT(O147,($E147-'Pricing Inputs'!$X182*$D147),$CV147,0,($CQ147+IF(Smile=TRUE(),VLOOKUP(MAX(-5,$H147-O147),Volsmile,2),0)),$CT147,$CU147,($A147-DateToday)+15,ABS(Option-2),1)*DG147*8)),0))</f>
        <v> </v>
      </c>
      <c r="BI147" s="300" t="str">
        <f aca="false">IF($A147="N/A"," ",IF(OR(Dayrun=1,Dayrun=8,Dayrun=11),MAX(0,(xSPRDOPT(P147,($E147-'Pricing Inputs'!$X182*$D147),$CV147,0,($CQ147+IF(Smile=TRUE(),VLOOKUP(MAX(-5,$H147-P147),Volsmile,2),0)),$CT147,$CU147,($A147-DateToday)+15,ABS(Option-2),1)*DG147*8)),0))</f>
        <v> </v>
      </c>
      <c r="BJ147" s="301" t="str">
        <f aca="false">IF($A147="N/A"," ",IF(OR(Dayrun&lt;=2,Dayrun&gt;=11),IF(OffPeakEx=TRUE(),MAX(0,(xSPRDOPT(Q147,($E147-'Pricing Inputs'!$X182*$D147),$CV147,0,($CQ147+IF(Smile=TRUE(),VLOOKUP(MAX(-5,$H147-Q147),Volsmile,2),0)),$CT147,$CU147,($A147-DateToday)+15,ABS(Option-2),1)*DG147*8)),0),0))</f>
        <v> </v>
      </c>
      <c r="BK147" s="302" t="str">
        <f aca="false">IF($A147="N/A"," ",R147*$AS147)</f>
        <v> </v>
      </c>
      <c r="BL147" s="303" t="str">
        <f aca="false">IF($A147="N/A"," ",S147*$AT147)</f>
        <v> </v>
      </c>
      <c r="BM147" s="303" t="str">
        <f aca="false">IF($A147="N/A"," ",T147*$AU147)</f>
        <v> </v>
      </c>
      <c r="BN147" s="303" t="str">
        <f aca="false">IF($A147="N/A"," ",U147*$AV147)</f>
        <v> </v>
      </c>
      <c r="BO147" s="303" t="str">
        <f aca="false">IF($A147="N/A"," ",V147*$AW147)</f>
        <v> </v>
      </c>
      <c r="BP147" s="303" t="str">
        <f aca="false">IF($A147="N/A"," ",W147*$AX147)</f>
        <v> </v>
      </c>
      <c r="BQ147" s="303" t="str">
        <f aca="false">IF($A147="N/A"," ",X147*$AY147)</f>
        <v> </v>
      </c>
      <c r="BR147" s="303" t="str">
        <f aca="false">IF($A147="N/A"," ",Y147*$AZ147)</f>
        <v> </v>
      </c>
      <c r="BS147" s="304" t="str">
        <f aca="false">IF($A147="N/A"," ",Z147*$BA147)</f>
        <v> </v>
      </c>
      <c r="BT147" s="305" t="str">
        <f aca="false">IF($A147="N/A"," ",AA147*$AS147)</f>
        <v> </v>
      </c>
      <c r="BU147" s="306" t="str">
        <f aca="false">IF($A147="N/A"," ",AB147*$AT147)</f>
        <v> </v>
      </c>
      <c r="BV147" s="306" t="str">
        <f aca="false">IF($A147="N/A"," ",AC147*$AU147)</f>
        <v> </v>
      </c>
      <c r="BW147" s="306" t="str">
        <f aca="false">IF($A147="N/A"," ",AD147*$AV147)</f>
        <v> </v>
      </c>
      <c r="BX147" s="306" t="str">
        <f aca="false">IF($A147="N/A"," ",AE147*$AW147)</f>
        <v> </v>
      </c>
      <c r="BY147" s="306" t="str">
        <f aca="false">IF($A147="N/A"," ",AF147*$AX147)</f>
        <v> </v>
      </c>
      <c r="BZ147" s="306" t="str">
        <f aca="false">IF($A147="N/A"," ",AG147*$AY147)</f>
        <v> </v>
      </c>
      <c r="CA147" s="306" t="str">
        <f aca="false">IF($A147="N/A"," ",AH147*$AZ147)</f>
        <v> </v>
      </c>
      <c r="CB147" s="307" t="str">
        <f aca="false">IF($A147="N/A"," ",AI147*$BA147)</f>
        <v> </v>
      </c>
      <c r="CC147" s="308" t="str">
        <f aca="false">IF($A147="N/A"," ",AJ147*$AS147)</f>
        <v> </v>
      </c>
      <c r="CD147" s="309" t="str">
        <f aca="false">IF($A147="N/A"," ",AK147*$AT147)</f>
        <v> </v>
      </c>
      <c r="CE147" s="309" t="str">
        <f aca="false">IF($A147="N/A"," ",AL147*$AU147)</f>
        <v> </v>
      </c>
      <c r="CF147" s="309" t="str">
        <f aca="false">IF($A147="N/A"," ",AM147*$AV147)</f>
        <v> </v>
      </c>
      <c r="CG147" s="309" t="str">
        <f aca="false">IF($A147="N/A"," ",AN147*$AW147)</f>
        <v> </v>
      </c>
      <c r="CH147" s="309" t="str">
        <f aca="false">IF($A147="N/A"," ",AO147*$AX147)</f>
        <v> </v>
      </c>
      <c r="CI147" s="309" t="str">
        <f aca="false">IF($A147="N/A"," ",AP147*$AY147)</f>
        <v> </v>
      </c>
      <c r="CJ147" s="309" t="str">
        <f aca="false">IF($A147="N/A"," ",AQ147*$AZ147)</f>
        <v> </v>
      </c>
      <c r="CK147" s="310" t="str">
        <f aca="false">IF($A147="N/A"," ",AR147*$BA147)</f>
        <v> </v>
      </c>
      <c r="CL147" s="311" t="str">
        <f aca="false">IF(A147="N/A"," ",(VLOOKUP(A147,PowerVolTable,(IF(VolBMO=2,7,IF(VolBMO=1,6,8))),FALSE())))</f>
        <v> </v>
      </c>
      <c r="CM147" s="312" t="str">
        <f aca="false">IF(A147="N/A"," ",(VLOOKUP(A147,IntraPowerVol,(IF(VolBMO=2,3,IF(VolBMO=1,2,4))),FALSE())*VLOOKUP(MONTH($A147),Volscale,2)))</f>
        <v> </v>
      </c>
      <c r="CN147" s="312" t="str">
        <f aca="false">IF($A147="N/A"," ",IF(VolType=1,CM147,CL147))</f>
        <v> </v>
      </c>
      <c r="CO147" s="312" t="str">
        <f aca="false">IF($A147="N/A"," ",(VLOOKUP($A147,OffPeakVol,(IF(VolBMO=2,7,IF(VolBMO=1,6,8))),FALSE())))</f>
        <v> </v>
      </c>
      <c r="CP147" s="312" t="str">
        <f aca="false">IF($A147="N/A"," ",(VLOOKUP($A147,OffPeakVol,(IF(VolBMO=2,3,IF(VolBMO=1,2,4))),FALSE())*VLOOKUP(MONTH($A147),Volscale,2)))</f>
        <v> </v>
      </c>
      <c r="CQ147" s="312" t="str">
        <f aca="false">IF($A147="N/A"," ",IF(VolType=1,CP147,CO147))</f>
        <v> </v>
      </c>
      <c r="CR147" s="312" t="str">
        <f aca="false">IF($A147="N/A"," ",(VLOOKUP($A147,GasVolTable,(IF(VolBMO=2,6,IF(VolBMO=1,7,5))),FALSE())))</f>
        <v> </v>
      </c>
      <c r="CS147" s="312" t="str">
        <f aca="false">IF($A147="N/A"," ",(VLOOKUP($A147,OmicronVol,(IF(VolBMO=2,3,IF(VolBMO=1,4,2))),FALSE())))</f>
        <v> </v>
      </c>
      <c r="CT147" s="312" t="str">
        <f aca="false">IF($A147="N/A"," ",(IF(DateToday&gt;$A147,$CS147,IF(VolType=1,((($CR147^2)*((($A147-1)-DateToday)/((EOMONTH($A147,0)+1)-DateToday-15)))+((($CS147)^2)*((15)/((EOMONTH($A147,0)+1)-DateToday-15))))^0.5,CR147))))</f>
        <v> </v>
      </c>
      <c r="CU147" s="312" t="str">
        <f aca="false">IF($A147="N/A"," ",IF('Pricing Inputs'!$AR$23=TRUE(),Inputs!$S$22,VLOOKUP($A147,CorrelationTable,2,FALSE())))</f>
        <v> </v>
      </c>
      <c r="CV147" s="313" t="str">
        <f aca="false">IF($A147="N/A"," ",F147+G147+(D147*('Pricing Inputs'!X182)))</f>
        <v> </v>
      </c>
      <c r="CW147" s="314" t="str">
        <f aca="false">IF($A147="N/A"," ",IF(PV=1,0,'Pricing Inputs'!Y182))</f>
        <v> </v>
      </c>
      <c r="CX147" s="315" t="str">
        <f aca="false">IF($A147="N/A"," ",(1+CW147/2)^(-2*((EOMONTH(A147,0)+20)-DateToday)/365.25))</f>
        <v> </v>
      </c>
      <c r="CY147" s="316" t="str">
        <f aca="false">IF($A147="N/A"," ",(IF(MONTH(A147)&gt;=4,IF(MONTH(A147)&lt;=10,Inputs!$S$26,Inputs!$S$27),Inputs!$S$27))*$CX147)</f>
        <v> </v>
      </c>
      <c r="CZ147" s="317" t="str">
        <f aca="false">IF($A147="N/A"," ",BK147+BL147+BN147+BO147+BQ147+BR147)</f>
        <v> </v>
      </c>
      <c r="DA147" s="318" t="str">
        <f aca="false">IF($A147="N/A"," ",BM147+BP147+BS147)</f>
        <v> </v>
      </c>
      <c r="DB147" s="319" t="str">
        <f aca="false">IF($A147="N/A"," ",BT147+BU147+BW147+BX147+BZ147+CA147)</f>
        <v> </v>
      </c>
      <c r="DC147" s="319" t="str">
        <f aca="false">IF($A147="N/A"," ",BV147+BY147+CB147)</f>
        <v> </v>
      </c>
      <c r="DD147" s="320" t="str">
        <f aca="false">IF($A147="N/A"," ",SUM(CC147:CK147))</f>
        <v> </v>
      </c>
      <c r="DE147" s="321" t="str">
        <f aca="false">IF($A147="N/A"," ",VLOOKUP($A147,NumberofDaysTable,2)*Availability)</f>
        <v> </v>
      </c>
      <c r="DF147" s="94" t="str">
        <f aca="false">IF($A147="N/A"," ",VLOOKUP($A147,NumberofDaysTable,3)*Availability)</f>
        <v> </v>
      </c>
      <c r="DG147" s="322" t="str">
        <f aca="false">IF($A147="N/A"," ",VLOOKUP($A147,NumberofDaysTable,4)*Availability)</f>
        <v> </v>
      </c>
      <c r="DH147" s="323" t="str">
        <f aca="false">IF($A147="N/A"," ",IF(Option=1,$D147*Inputs!$S$15*SUM(AS147:BA147),0))</f>
        <v> </v>
      </c>
      <c r="DI147" s="324" t="str">
        <f aca="false">IF($A147="N/A"," ",IF(Option=1,$D147*Inputs!$S$16*SUM(AS147:BA147),0))</f>
        <v> </v>
      </c>
      <c r="DJ147" s="325" t="str">
        <f aca="false">IF($A147="N/A"," ",SUM(AS147:AT147))</f>
        <v> </v>
      </c>
      <c r="DK147" s="325" t="str">
        <f aca="false">IF($A147="N/A"," ",SUM(AU147:BA147))</f>
        <v> </v>
      </c>
      <c r="DL147" s="325" t="str">
        <f aca="false">IF($A147="N/A"," ",SUM(BB147:BC147))</f>
        <v> </v>
      </c>
      <c r="DM147" s="325" t="str">
        <f aca="false">IF($A147="N/A"," ",SUM(BD147:BJ147))</f>
        <v> </v>
      </c>
    </row>
    <row r="148" customFormat="false" ht="12.75" hidden="false" customHeight="false" outlineLevel="0" collapsed="false">
      <c r="A148" s="282" t="str">
        <f aca="false">IF(A147="N/A","N/A",IF(EDATE(A147,1)&gt;Inputs!$S$5,"N/A",EDATE(A147,1)))</f>
        <v>N/A</v>
      </c>
      <c r="B148" s="283" t="str">
        <f aca="false">IF(A148="N/A"," ",YEAR(A148))</f>
        <v> </v>
      </c>
      <c r="C148" s="284" t="str">
        <f aca="false">IF(A148="N/A"," ",VLOOKUP(A148,ScaledPrice,14))</f>
        <v> </v>
      </c>
      <c r="D148" s="285" t="str">
        <f aca="false">IF(A148="N/A"," ",(VLOOKUP(MONTH($A148),Hrtable,2))/1000)</f>
        <v> </v>
      </c>
      <c r="E148" s="286" t="str">
        <f aca="false">IF($A148="N/A"," ",(C148)*D148)</f>
        <v> </v>
      </c>
      <c r="F148" s="287" t="str">
        <f aca="false">IF(A148="N/A"," ",VOM*(1+VOMesc)^(YEAR(A148)-YEAR(Today)))</f>
        <v> </v>
      </c>
      <c r="G148" s="287" t="str">
        <f aca="false">IF(A148="N/A"," ",Perstart/VLOOKUP(Dayrun,'Pricing Inputs'!$AQ$4:$AS$14,3)/(CY148/CX148))</f>
        <v> </v>
      </c>
      <c r="H148" s="288" t="str">
        <f aca="false">IF(A148="N/A"," ",SUM(E148:G148))</f>
        <v> </v>
      </c>
      <c r="I148" s="289" t="str">
        <f aca="false">VLOOKUP($A148,ScaledPrice,6)</f>
        <v> </v>
      </c>
      <c r="J148" s="290" t="str">
        <f aca="false">VLOOKUP($A148,ScaledPrice,10)</f>
        <v> </v>
      </c>
      <c r="K148" s="290" t="str">
        <f aca="false">VLOOKUP($A148,ScaledPrice,13)</f>
        <v> </v>
      </c>
      <c r="L148" s="290" t="str">
        <f aca="false">VLOOKUP($A148,ScaledPrice,7)</f>
        <v> </v>
      </c>
      <c r="M148" s="290" t="str">
        <f aca="false">VLOOKUP($A148,ScaledPrice,11)</f>
        <v> </v>
      </c>
      <c r="N148" s="290" t="str">
        <f aca="false">VLOOKUP($A148,ScaledPrice,13)</f>
        <v> </v>
      </c>
      <c r="O148" s="290" t="str">
        <f aca="false">VLOOKUP($A148,ScaledPrice,8)</f>
        <v> </v>
      </c>
      <c r="P148" s="290" t="str">
        <f aca="false">VLOOKUP($A148,ScaledPrice,12)</f>
        <v> </v>
      </c>
      <c r="Q148" s="291" t="str">
        <f aca="false">VLOOKUP($A148,ScaledPrice,13)</f>
        <v> </v>
      </c>
      <c r="R148" s="292" t="str">
        <f aca="false">IF($A148="N/A"," ",IF(Dayrun&gt;=3,IF(Option=1,MAX($I148-$H148,0),IF(Option=2,MAX($H148-$I148,0),0)),0))</f>
        <v> </v>
      </c>
      <c r="S148" s="286" t="str">
        <f aca="false">IF($A148="N/A"," ",IF(Dayrun&gt;=6,IF(Option=1,MAX($J148-H148,0),IF(Option=2,MAX(H148-$J148,0),0)),0))</f>
        <v> </v>
      </c>
      <c r="T148" s="286" t="str">
        <f aca="false">IF($A148="N/A"," ",IF(OR(Dayrun&lt;=2,Dayrun&gt;=9),IF(Option=1,MAX($K148-$H148,0),IF(Option=2,MAX($H148-$K148,0),0)),0))</f>
        <v> </v>
      </c>
      <c r="U148" s="286" t="str">
        <f aca="false">IF($A148="N/A"," ",IF(OR(Dayrun=1,Dayrun=4,Dayrun=5,Dayrun=7,Dayrun=8,Dayrun=10,Dayrun=11),IF(Option=1,MAX($L148-H148,0),IF(Option=2,MAX(H148-$L148,0),0)),0))</f>
        <v> </v>
      </c>
      <c r="V148" s="286" t="str">
        <f aca="false">IF($A148="N/A"," ",IF(OR(Dayrun=1,Dayrun=7,Dayrun=8,Dayrun=10,Dayrun=11),IF(Option=1,MAX($M148-H148,0),IF(Option=2,MAX(H148-$M148,0),0)),0))</f>
        <v> </v>
      </c>
      <c r="W148" s="286" t="str">
        <f aca="false">IF($A148="N/A"," ",IF(OR(Dayrun&lt;=2,Dayrun&gt;=10),IF(Option=1,MAX($N148-$H148,0),IF(Option=2,MAX($H148-$N148,0),0)),0))</f>
        <v> </v>
      </c>
      <c r="X148" s="286" t="str">
        <f aca="false">IF($A148="N/A"," ",IF(OR(Dayrun=1,Dayrun=5,Dayrun=8,Dayrun=11),IF(Option=1,MAX($O148-H148,0),IF(Option=2,MAX(H148-$O148,0),0)),0))</f>
        <v> </v>
      </c>
      <c r="Y148" s="286" t="str">
        <f aca="false">IF($A148="N/A"," ",IF(OR(Dayrun=1,Dayrun=8,Dayrun=11),IF(Option=1,MAX($P148-H148,0),IF(Option=2,MAX(H148-$P148,0),0)),0))</f>
        <v> </v>
      </c>
      <c r="Z148" s="293" t="str">
        <f aca="false">IF($A148="N/A"," ",IF(OR(Dayrun&lt;=2,Dayrun&gt;=11),IF(Option=1,MAX($Q148-$H148,0),IF(Option=2,MAX($H148-$Q148,0),0)),0))</f>
        <v> </v>
      </c>
      <c r="AA148" s="289" t="str">
        <f aca="false">IF($A148="N/A"," ",IF(Dayrun&gt;=3,(MAX(0,(xSPRDOPT(I148,($E148-'Pricing Inputs'!$X183*$D148),$CV148,0,($CN148+IF(Smile=TRUE(),VLOOKUP(MAX(-5,$H148-I148),Volsmile,2),0)),$CT148,$CU148,($A148-DateToday)+15,ABS(Option-2),0)-R148))),0))</f>
        <v> </v>
      </c>
      <c r="AB148" s="290" t="str">
        <f aca="false">IF($A148="N/A"," ",IF(Dayrun&gt;=6,MAX(0,(xSPRDOPT(J148,($E148-'Pricing Inputs'!$X183*$D148),$CV148,0,($CN148+IF(Smile=TRUE(),VLOOKUP(MAX(-5,$H148-J148),Volsmile,2),0)),$CT148,$CU148,($A148-DateToday)+15,ABS(Option-2),0)-S148)),0))</f>
        <v> </v>
      </c>
      <c r="AC148" s="290" t="str">
        <f aca="false">IF($A148="N/A"," ",IF(OR(Dayrun&lt;=2,Dayrun&gt;=9),IF(OffPeakEx=TRUE(),MAX(0,(xSPRDOPT(K148,($E148-'Pricing Inputs'!$X183*$D148),$CV148,0,($CQ148+IF(Smile=TRUE(),VLOOKUP(MAX(-5,$H148-K148),Volsmile,2),0)),$CT148,$CU148,($A148-DateToday)+15,ABS(Option-2),0)-T148)),0),0))</f>
        <v> </v>
      </c>
      <c r="AD148" s="290" t="str">
        <f aca="false">IF($A148="N/A"," ",IF(OR(Dayrun=1,Dayrun=4,Dayrun=5,Dayrun=7,Dayrun=8,Dayrun=10,Dayrun=11),MAX(0,(xSPRDOPT(L148,($E148-'Pricing Inputs'!$X183*$D148),$CV148,0,($CQ148+IF(Smile=TRUE(),VLOOKUP(MAX(-5,$H148-L148),Volsmile,2),0)),$CT148,$CU148,($A148-DateToday)+15,ABS(Option-2),0)-U148)),0))</f>
        <v> </v>
      </c>
      <c r="AE148" s="290" t="str">
        <f aca="false">IF($A148="N/A"," ",IF(OR(Dayrun=1,Dayrun=7,Dayrun=8,Dayrun=10,Dayrun=11),MAX(0,(xSPRDOPT(M148,($E148-'Pricing Inputs'!$X183*$D148),$CV148,0,($CQ148+IF(Smile=TRUE(),VLOOKUP(MAX(-5,$H148-M148),Volsmile,2),0)),$CT148,$CU148,($A148-DateToday)+15,ABS(Option-2),0)-V148)),0))</f>
        <v> </v>
      </c>
      <c r="AF148" s="290" t="str">
        <f aca="false">IF($A148="N/A"," ",IF(OR(Dayrun&lt;=2,Dayrun&gt;=10),IF(OffPeakEx=TRUE(),MAX(0,(xSPRDOPT(N148,($E148-'Pricing Inputs'!$X183*$D148),$CV148,0,($CQ148+IF(Smile=TRUE(),VLOOKUP(MAX(-5,$H148-N148),Volsmile,2),0)),$CT148,$CU148,($A148-DateToday)+15,ABS(Option-2),0)-W148)),0),0))</f>
        <v> </v>
      </c>
      <c r="AG148" s="290" t="str">
        <f aca="false">IF($A148="N/A"," ",IF(OR(Dayrun=1,Dayrun=5,Dayrun=8,Dayrun=11),MAX(0,(xSPRDOPT(O148,($E148-'Pricing Inputs'!$X183*$D148),$CV148,0,($CQ148+IF(Smile=TRUE(),VLOOKUP(MAX(-5,$H148-O148),Volsmile,2),0)),$CT148,$CU148,($A148-DateToday)+15,ABS(Option-2),0)-X148)),0))</f>
        <v> </v>
      </c>
      <c r="AH148" s="290" t="str">
        <f aca="false">IF($A148="N/A"," ",IF(OR(Dayrun=1,Dayrun=8,Dayrun=11),MAX(0,(xSPRDOPT(P148,($E148-'Pricing Inputs'!$X183*$D148),$CV148,0,($CQ148+IF(Smile=TRUE(),VLOOKUP(MAX(-5,$H148-P148),Volsmile,2),0)),$CT148,$CU148,($A148-DateToday)+15,ABS(Option-2),0)-Y148)),0))</f>
        <v> </v>
      </c>
      <c r="AI148" s="290" t="str">
        <f aca="false">IF($A148="N/A"," ",IF(OR(Dayrun&lt;=2,Dayrun&gt;=11),IF(OffPeakEx=TRUE(),MAX(0,(xSPRDOPT(Q148,($E148-'Pricing Inputs'!$X183*$D148),$CV148,0,($CQ148+IF(Smile=TRUE(),VLOOKUP(MAX(-5,$H148-Q148),Volsmile,2),0)),$CT148,$CU148,($A148-DateToday)+15,ABS(Option-2),0)-Z148)),0),0))</f>
        <v> </v>
      </c>
      <c r="AJ148" s="294" t="str">
        <f aca="false">IF($A148="N/A"," ",IF(Dayrun&gt;=3,IF(Option=1,$I148-$H148,IF(Option=2,$H148-$I148)),0))</f>
        <v> </v>
      </c>
      <c r="AK148" s="295" t="str">
        <f aca="false">IF($A148="N/A"," ",IF(Dayrun&gt;=6,IF(Option=1,$J148-H148,IF(Option=2,H148-$J148)),0))</f>
        <v> </v>
      </c>
      <c r="AL148" s="295" t="str">
        <f aca="false">IF($A148="N/A"," ",IF(OR(Dayrun&lt;=2,Dayrun&gt;=9),IF(Option=1,$K148-$H148,IF(Option=2,$H148-$K148)),0))</f>
        <v> </v>
      </c>
      <c r="AM148" s="295" t="str">
        <f aca="false">IF($A148="N/A"," ",IF(OR(Dayrun=1,Dayrun=4,Dayrun=5,Dayrun=7,Dayrun=8,Dayrun=10,Dayrun=11),IF(Option=1,$L148-H148,IF(Option=2,H148-$L148)),0))</f>
        <v> </v>
      </c>
      <c r="AN148" s="295" t="str">
        <f aca="false">IF($A148="N/A"," ",IF(OR(Dayrun=1,Dayrun=7,Dayrun=8,Dayrun=10,Dayrun=11),IF(Option=1,$M148-H148,IF(Option=2,H148-$M148)),0))</f>
        <v> </v>
      </c>
      <c r="AO148" s="295" t="str">
        <f aca="false">IF($A148="N/A"," ",IF(OR(Dayrun&lt;=2,Dayrun&gt;=9),IF(Option=1,$N148-$H148,IF(Option=2,$H148-$N148)),0))</f>
        <v> </v>
      </c>
      <c r="AP148" s="295" t="str">
        <f aca="false">IF($A148="N/A"," ",IF(OR(Dayrun=1,Dayrun=5,Dayrun=8,Dayrun=11),IF(Option=1,$O148-H148,IF(Option=2,H148-$O148)),0))</f>
        <v> </v>
      </c>
      <c r="AQ148" s="295" t="str">
        <f aca="false">IF($A148="N/A"," ",IF(OR(Dayrun=1,Dayrun=8,Dayrun=11),IF(Option=1,$P148-H148,IF(Option=2,H148-$P148)),0))</f>
        <v> </v>
      </c>
      <c r="AR148" s="296" t="str">
        <f aca="false">IF($A148="N/A"," ",IF(OR(Dayrun&lt;=2,Dayrun&gt;=9),IF(Option=1,$Q148-H148,IF(Option=2,H148-$Q148)),0))</f>
        <v> </v>
      </c>
      <c r="AS148" s="297" t="str">
        <f aca="false">IF($A148="N/A"," ",IF(VLOOKUP(MONTH($A148),ManualTable,2)=1,IF(Dayrun&gt;=3,$DE148*8*$CY148,0),0))</f>
        <v> </v>
      </c>
      <c r="AT148" s="297" t="str">
        <f aca="false">IF($A148="N/A"," ",IF(VLOOKUP(MONTH($A148),ManualTable,3)=1,IF(Dayrun&gt;=6,$DE148*8*$CY148,0),0))</f>
        <v> </v>
      </c>
      <c r="AU148" s="297" t="str">
        <f aca="false">IF($A148="N/A"," ",IF(VLOOKUP(MONTH($A148),ManualTable,4)=1,IF(OR(Dayrun&lt;=2,Dayrun&gt;=9),$DE148*8*$CY148,0),0))</f>
        <v> </v>
      </c>
      <c r="AV148" s="297" t="str">
        <f aca="false">IF($A148="N/A"," ",IF(VLOOKUP(MONTH($A148),ManualTable,5)=1,IF(OR(Dayrun=1,Dayrun=4,Dayrun=5,Dayrun=7,Dayrun=8,Dayrun=10,Dayrun=11),$DF148*8*$CY148,0),0))</f>
        <v> </v>
      </c>
      <c r="AW148" s="297" t="str">
        <f aca="false">IF($A148="N/A"," ",IF(VLOOKUP(MONTH($A148),ManualTable,6)=1,IF(OR(Dayrun=1,Dayrun=7,Dayrun=8,Dayrun=10,Dayrun=11),$DF148*8*$CY148,0),0))</f>
        <v> </v>
      </c>
      <c r="AX148" s="297" t="str">
        <f aca="false">IF($A148="N/A"," ",IF(VLOOKUP(MONTH($A148),ManualTable,7)=1,IF(OR(Dayrun&lt;=2,Dayrun&gt;=9),$DF148*8*$CY148,0),0))</f>
        <v> </v>
      </c>
      <c r="AY148" s="297" t="str">
        <f aca="false">IF($A148="N/A"," ",IF(VLOOKUP(MONTH($A148),ManualTable,8)=1,IF(OR(Dayrun=1,Dayrun=5,Dayrun=8,Dayrun=11),$DG148*8*$CY148,0),0))</f>
        <v> </v>
      </c>
      <c r="AZ148" s="297" t="str">
        <f aca="false">IF($A148="N/A"," ",IF(VLOOKUP(MONTH($A148),ManualTable,9)=1,IF(OR(Dayrun=1,Dayrun=8,Dayrun=11),$DG148*8*$CY148,0),0))</f>
        <v> </v>
      </c>
      <c r="BA148" s="298" t="str">
        <f aca="false">IF($A148="N/A"," ",IF(VLOOKUP(MONTH($A148),ManualTable,10)=1,IF(OR(Dayrun&lt;=2,Dayrun&gt;=9),$DG148*8*$CY148,0),0))</f>
        <v> </v>
      </c>
      <c r="BB148" s="299" t="str">
        <f aca="false">IF($A148="N/A"," ",IF(Dayrun&gt;=3,(MAX(0,(xSPRDOPT(I148,($E148-'Pricing Inputs'!$X183*$D148),$CV148,0,($CN148+IF(Smile=TRUE(),VLOOKUP(MAX(-5,$H148-I148),Volsmile,2),0)),$CT148,$CU148,($A148-DateToday)+15,ABS(Option-2),1)*DE148*8))),0))</f>
        <v> </v>
      </c>
      <c r="BC148" s="300" t="str">
        <f aca="false">IF($A148="N/A"," ",IF(Dayrun&gt;=6,MAX(0,(xSPRDOPT(J148,($E148-'Pricing Inputs'!$X183*$D148),$CV148,0,($CN148+IF(Smile=TRUE(),VLOOKUP(MAX(-5,$H148-J148),Volsmile,2),0)),$CT148,$CU148,($A148-DateToday)+15,ABS(Option-2),1)*DE148*8)),0))</f>
        <v> </v>
      </c>
      <c r="BD148" s="300" t="str">
        <f aca="false">IF($A148="N/A"," ",IF(OR(Dayrun&lt;=2,Dayrun&gt;=9),IF(OffPeakEx=TRUE(),MAX(0,(xSPRDOPT(K148,($E148-'Pricing Inputs'!$X183*$D148),$CV148,0,($CQ148+IF(Smile=TRUE(),VLOOKUP(MAX(-5,$H148-K148),Volsmile,2),0)),$CT148,$CU148,($A148-DateToday)+15,ABS(Option-2),1)*DE148*8)),0),0))</f>
        <v> </v>
      </c>
      <c r="BE148" s="300" t="str">
        <f aca="false">IF($A148="N/A"," ",IF(OR(Dayrun=1,Dayrun=4,Dayrun=5,Dayrun=7,Dayrun=8,Dayrun=10,Dayrun=11),MAX(0,(xSPRDOPT(L148,($E148-'Pricing Inputs'!$X183*$D148),$CV148,0,($CQ148+IF(Smile=TRUE(),VLOOKUP(MAX(-5,$H148-L148),Volsmile,2),0)),$CT148,$CU148,($A148-DateToday)+15,ABS(Option-2),1)*DF148*8)),0))</f>
        <v> </v>
      </c>
      <c r="BF148" s="300" t="str">
        <f aca="false">IF($A148="N/A"," ",IF(OR(Dayrun=1,Dayrun=7,Dayrun=8,Dayrun=10,Dayrun=11),MAX(0,(xSPRDOPT(M148,($E148-'Pricing Inputs'!$X183*$D148),$CV148,0,($CQ148+IF(Smile=TRUE(),VLOOKUP(MAX(-5,$H148-M148),Volsmile,2),0)),$CT148,$CU148,($A148-DateToday)+15,ABS(Option-2),1)*DF148*8)),0))</f>
        <v> </v>
      </c>
      <c r="BG148" s="300" t="str">
        <f aca="false">IF($A148="N/A"," ",IF(OR(Dayrun&lt;=2,Dayrun&gt;=10),IF(OffPeakEx=TRUE(),MAX(0,(xSPRDOPT(N148,($E148-'Pricing Inputs'!$X183*$D148),$CV148,0,($CQ148+IF(Smile=TRUE(),VLOOKUP(MAX(-5,$H148-N148),Volsmile,2),0)),$CT148,$CU148,($A148-DateToday)+15,ABS(Option-2),1)*DF148*8)),0),0))</f>
        <v> </v>
      </c>
      <c r="BH148" s="300" t="str">
        <f aca="false">IF($A148="N/A"," ",IF(OR(Dayrun=1,Dayrun=5,Dayrun=8,Dayrun=11),MAX(0,(xSPRDOPT(O148,($E148-'Pricing Inputs'!$X183*$D148),$CV148,0,($CQ148+IF(Smile=TRUE(),VLOOKUP(MAX(-5,$H148-O148),Volsmile,2),0)),$CT148,$CU148,($A148-DateToday)+15,ABS(Option-2),1)*DG148*8)),0))</f>
        <v> </v>
      </c>
      <c r="BI148" s="300" t="str">
        <f aca="false">IF($A148="N/A"," ",IF(OR(Dayrun=1,Dayrun=8,Dayrun=11),MAX(0,(xSPRDOPT(P148,($E148-'Pricing Inputs'!$X183*$D148),$CV148,0,($CQ148+IF(Smile=TRUE(),VLOOKUP(MAX(-5,$H148-P148),Volsmile,2),0)),$CT148,$CU148,($A148-DateToday)+15,ABS(Option-2),1)*DG148*8)),0))</f>
        <v> </v>
      </c>
      <c r="BJ148" s="301" t="str">
        <f aca="false">IF($A148="N/A"," ",IF(OR(Dayrun&lt;=2,Dayrun&gt;=11),IF(OffPeakEx=TRUE(),MAX(0,(xSPRDOPT(Q148,($E148-'Pricing Inputs'!$X183*$D148),$CV148,0,($CQ148+IF(Smile=TRUE(),VLOOKUP(MAX(-5,$H148-Q148),Volsmile,2),0)),$CT148,$CU148,($A148-DateToday)+15,ABS(Option-2),1)*DG148*8)),0),0))</f>
        <v> </v>
      </c>
      <c r="BK148" s="302" t="str">
        <f aca="false">IF($A148="N/A"," ",R148*$AS148)</f>
        <v> </v>
      </c>
      <c r="BL148" s="303" t="str">
        <f aca="false">IF($A148="N/A"," ",S148*$AT148)</f>
        <v> </v>
      </c>
      <c r="BM148" s="303" t="str">
        <f aca="false">IF($A148="N/A"," ",T148*$AU148)</f>
        <v> </v>
      </c>
      <c r="BN148" s="303" t="str">
        <f aca="false">IF($A148="N/A"," ",U148*$AV148)</f>
        <v> </v>
      </c>
      <c r="BO148" s="303" t="str">
        <f aca="false">IF($A148="N/A"," ",V148*$AW148)</f>
        <v> </v>
      </c>
      <c r="BP148" s="303" t="str">
        <f aca="false">IF($A148="N/A"," ",W148*$AX148)</f>
        <v> </v>
      </c>
      <c r="BQ148" s="303" t="str">
        <f aca="false">IF($A148="N/A"," ",X148*$AY148)</f>
        <v> </v>
      </c>
      <c r="BR148" s="303" t="str">
        <f aca="false">IF($A148="N/A"," ",Y148*$AZ148)</f>
        <v> </v>
      </c>
      <c r="BS148" s="304" t="str">
        <f aca="false">IF($A148="N/A"," ",Z148*$BA148)</f>
        <v> </v>
      </c>
      <c r="BT148" s="305" t="str">
        <f aca="false">IF($A148="N/A"," ",AA148*$AS148)</f>
        <v> </v>
      </c>
      <c r="BU148" s="306" t="str">
        <f aca="false">IF($A148="N/A"," ",AB148*$AT148)</f>
        <v> </v>
      </c>
      <c r="BV148" s="306" t="str">
        <f aca="false">IF($A148="N/A"," ",AC148*$AU148)</f>
        <v> </v>
      </c>
      <c r="BW148" s="306" t="str">
        <f aca="false">IF($A148="N/A"," ",AD148*$AV148)</f>
        <v> </v>
      </c>
      <c r="BX148" s="306" t="str">
        <f aca="false">IF($A148="N/A"," ",AE148*$AW148)</f>
        <v> </v>
      </c>
      <c r="BY148" s="306" t="str">
        <f aca="false">IF($A148="N/A"," ",AF148*$AX148)</f>
        <v> </v>
      </c>
      <c r="BZ148" s="306" t="str">
        <f aca="false">IF($A148="N/A"," ",AG148*$AY148)</f>
        <v> </v>
      </c>
      <c r="CA148" s="306" t="str">
        <f aca="false">IF($A148="N/A"," ",AH148*$AZ148)</f>
        <v> </v>
      </c>
      <c r="CB148" s="307" t="str">
        <f aca="false">IF($A148="N/A"," ",AI148*$BA148)</f>
        <v> </v>
      </c>
      <c r="CC148" s="308" t="str">
        <f aca="false">IF($A148="N/A"," ",AJ148*$AS148)</f>
        <v> </v>
      </c>
      <c r="CD148" s="309" t="str">
        <f aca="false">IF($A148="N/A"," ",AK148*$AT148)</f>
        <v> </v>
      </c>
      <c r="CE148" s="309" t="str">
        <f aca="false">IF($A148="N/A"," ",AL148*$AU148)</f>
        <v> </v>
      </c>
      <c r="CF148" s="309" t="str">
        <f aca="false">IF($A148="N/A"," ",AM148*$AV148)</f>
        <v> </v>
      </c>
      <c r="CG148" s="309" t="str">
        <f aca="false">IF($A148="N/A"," ",AN148*$AW148)</f>
        <v> </v>
      </c>
      <c r="CH148" s="309" t="str">
        <f aca="false">IF($A148="N/A"," ",AO148*$AX148)</f>
        <v> </v>
      </c>
      <c r="CI148" s="309" t="str">
        <f aca="false">IF($A148="N/A"," ",AP148*$AY148)</f>
        <v> </v>
      </c>
      <c r="CJ148" s="309" t="str">
        <f aca="false">IF($A148="N/A"," ",AQ148*$AZ148)</f>
        <v> </v>
      </c>
      <c r="CK148" s="310" t="str">
        <f aca="false">IF($A148="N/A"," ",AR148*$BA148)</f>
        <v> </v>
      </c>
      <c r="CL148" s="311" t="str">
        <f aca="false">IF(A148="N/A"," ",(VLOOKUP(A148,PowerVolTable,(IF(VolBMO=2,7,IF(VolBMO=1,6,8))),FALSE())))</f>
        <v> </v>
      </c>
      <c r="CM148" s="312" t="str">
        <f aca="false">IF(A148="N/A"," ",(VLOOKUP(A148,IntraPowerVol,(IF(VolBMO=2,3,IF(VolBMO=1,2,4))),FALSE())*VLOOKUP(MONTH($A148),Volscale,2)))</f>
        <v> </v>
      </c>
      <c r="CN148" s="312" t="str">
        <f aca="false">IF($A148="N/A"," ",IF(VolType=1,CM148,CL148))</f>
        <v> </v>
      </c>
      <c r="CO148" s="312" t="str">
        <f aca="false">IF($A148="N/A"," ",(VLOOKUP($A148,OffPeakVol,(IF(VolBMO=2,7,IF(VolBMO=1,6,8))),FALSE())))</f>
        <v> </v>
      </c>
      <c r="CP148" s="312" t="str">
        <f aca="false">IF($A148="N/A"," ",(VLOOKUP($A148,OffPeakVol,(IF(VolBMO=2,3,IF(VolBMO=1,2,4))),FALSE())*VLOOKUP(MONTH($A148),Volscale,2)))</f>
        <v> </v>
      </c>
      <c r="CQ148" s="312" t="str">
        <f aca="false">IF($A148="N/A"," ",IF(VolType=1,CP148,CO148))</f>
        <v> </v>
      </c>
      <c r="CR148" s="312" t="str">
        <f aca="false">IF($A148="N/A"," ",(VLOOKUP($A148,GasVolTable,(IF(VolBMO=2,6,IF(VolBMO=1,7,5))),FALSE())))</f>
        <v> </v>
      </c>
      <c r="CS148" s="312" t="str">
        <f aca="false">IF($A148="N/A"," ",(VLOOKUP($A148,OmicronVol,(IF(VolBMO=2,3,IF(VolBMO=1,4,2))),FALSE())))</f>
        <v> </v>
      </c>
      <c r="CT148" s="312" t="str">
        <f aca="false">IF($A148="N/A"," ",(IF(DateToday&gt;$A148,$CS148,IF(VolType=1,((($CR148^2)*((($A148-1)-DateToday)/((EOMONTH($A148,0)+1)-DateToday-15)))+((($CS148)^2)*((15)/((EOMONTH($A148,0)+1)-DateToday-15))))^0.5,CR148))))</f>
        <v> </v>
      </c>
      <c r="CU148" s="312" t="str">
        <f aca="false">IF($A148="N/A"," ",IF('Pricing Inputs'!$AR$23=TRUE(),Inputs!$S$22,VLOOKUP($A148,CorrelationTable,2,FALSE())))</f>
        <v> </v>
      </c>
      <c r="CV148" s="313" t="str">
        <f aca="false">IF($A148="N/A"," ",F148+G148+(D148*('Pricing Inputs'!X183)))</f>
        <v> </v>
      </c>
      <c r="CW148" s="314" t="str">
        <f aca="false">IF($A148="N/A"," ",IF(PV=1,0,'Pricing Inputs'!Y183))</f>
        <v> </v>
      </c>
      <c r="CX148" s="315" t="str">
        <f aca="false">IF($A148="N/A"," ",(1+CW148/2)^(-2*((EOMONTH(A148,0)+20)-DateToday)/365.25))</f>
        <v> </v>
      </c>
      <c r="CY148" s="316" t="str">
        <f aca="false">IF($A148="N/A"," ",(IF(MONTH(A148)&gt;=4,IF(MONTH(A148)&lt;=10,Inputs!$S$26,Inputs!$S$27),Inputs!$S$27))*$CX148)</f>
        <v> </v>
      </c>
      <c r="CZ148" s="317" t="str">
        <f aca="false">IF($A148="N/A"," ",BK148+BL148+BN148+BO148+BQ148+BR148)</f>
        <v> </v>
      </c>
      <c r="DA148" s="318" t="str">
        <f aca="false">IF($A148="N/A"," ",BM148+BP148+BS148)</f>
        <v> </v>
      </c>
      <c r="DB148" s="319" t="str">
        <f aca="false">IF($A148="N/A"," ",BT148+BU148+BW148+BX148+BZ148+CA148)</f>
        <v> </v>
      </c>
      <c r="DC148" s="319" t="str">
        <f aca="false">IF($A148="N/A"," ",BV148+BY148+CB148)</f>
        <v> </v>
      </c>
      <c r="DD148" s="320" t="str">
        <f aca="false">IF($A148="N/A"," ",SUM(CC148:CK148))</f>
        <v> </v>
      </c>
      <c r="DE148" s="321" t="str">
        <f aca="false">IF($A148="N/A"," ",VLOOKUP($A148,NumberofDaysTable,2)*Availability)</f>
        <v> </v>
      </c>
      <c r="DF148" s="94" t="str">
        <f aca="false">IF($A148="N/A"," ",VLOOKUP($A148,NumberofDaysTable,3)*Availability)</f>
        <v> </v>
      </c>
      <c r="DG148" s="322" t="str">
        <f aca="false">IF($A148="N/A"," ",VLOOKUP($A148,NumberofDaysTable,4)*Availability)</f>
        <v> </v>
      </c>
      <c r="DH148" s="323" t="str">
        <f aca="false">IF($A148="N/A"," ",IF(Option=1,$D148*Inputs!$S$15*SUM(AS148:BA148),0))</f>
        <v> </v>
      </c>
      <c r="DI148" s="324" t="str">
        <f aca="false">IF($A148="N/A"," ",IF(Option=1,$D148*Inputs!$S$16*SUM(AS148:BA148),0))</f>
        <v> </v>
      </c>
      <c r="DJ148" s="325" t="str">
        <f aca="false">IF($A148="N/A"," ",SUM(AS148:AT148))</f>
        <v> </v>
      </c>
      <c r="DK148" s="325" t="str">
        <f aca="false">IF($A148="N/A"," ",SUM(AU148:BA148))</f>
        <v> </v>
      </c>
      <c r="DL148" s="325" t="str">
        <f aca="false">IF($A148="N/A"," ",SUM(BB148:BC148))</f>
        <v> </v>
      </c>
      <c r="DM148" s="325" t="str">
        <f aca="false">IF($A148="N/A"," ",SUM(BD148:BJ148))</f>
        <v> </v>
      </c>
    </row>
    <row r="149" customFormat="false" ht="12.75" hidden="false" customHeight="false" outlineLevel="0" collapsed="false">
      <c r="A149" s="282" t="str">
        <f aca="false">IF(A148="N/A","N/A",IF(EDATE(A148,1)&gt;Inputs!$S$5,"N/A",EDATE(A148,1)))</f>
        <v>N/A</v>
      </c>
      <c r="B149" s="283" t="str">
        <f aca="false">IF(A149="N/A"," ",YEAR(A149))</f>
        <v> </v>
      </c>
      <c r="C149" s="284" t="str">
        <f aca="false">IF(A149="N/A"," ",VLOOKUP(A149,ScaledPrice,14))</f>
        <v> </v>
      </c>
      <c r="D149" s="285" t="str">
        <f aca="false">IF(A149="N/A"," ",(VLOOKUP(MONTH($A149),Hrtable,2))/1000)</f>
        <v> </v>
      </c>
      <c r="E149" s="286" t="str">
        <f aca="false">IF($A149="N/A"," ",(C149)*D149)</f>
        <v> </v>
      </c>
      <c r="F149" s="287" t="str">
        <f aca="false">IF(A149="N/A"," ",VOM*(1+VOMesc)^(YEAR(A149)-YEAR(Today)))</f>
        <v> </v>
      </c>
      <c r="G149" s="287" t="str">
        <f aca="false">IF(A149="N/A"," ",Perstart/VLOOKUP(Dayrun,'Pricing Inputs'!$AQ$4:$AS$14,3)/(CY149/CX149))</f>
        <v> </v>
      </c>
      <c r="H149" s="288" t="str">
        <f aca="false">IF(A149="N/A"," ",SUM(E149:G149))</f>
        <v> </v>
      </c>
      <c r="I149" s="289" t="str">
        <f aca="false">VLOOKUP($A149,ScaledPrice,6)</f>
        <v> </v>
      </c>
      <c r="J149" s="290" t="str">
        <f aca="false">VLOOKUP($A149,ScaledPrice,10)</f>
        <v> </v>
      </c>
      <c r="K149" s="290" t="str">
        <f aca="false">VLOOKUP($A149,ScaledPrice,13)</f>
        <v> </v>
      </c>
      <c r="L149" s="290" t="str">
        <f aca="false">VLOOKUP($A149,ScaledPrice,7)</f>
        <v> </v>
      </c>
      <c r="M149" s="290" t="str">
        <f aca="false">VLOOKUP($A149,ScaledPrice,11)</f>
        <v> </v>
      </c>
      <c r="N149" s="290" t="str">
        <f aca="false">VLOOKUP($A149,ScaledPrice,13)</f>
        <v> </v>
      </c>
      <c r="O149" s="290" t="str">
        <f aca="false">VLOOKUP($A149,ScaledPrice,8)</f>
        <v> </v>
      </c>
      <c r="P149" s="290" t="str">
        <f aca="false">VLOOKUP($A149,ScaledPrice,12)</f>
        <v> </v>
      </c>
      <c r="Q149" s="291" t="str">
        <f aca="false">VLOOKUP($A149,ScaledPrice,13)</f>
        <v> </v>
      </c>
      <c r="R149" s="292" t="str">
        <f aca="false">IF($A149="N/A"," ",IF(Dayrun&gt;=3,IF(Option=1,MAX($I149-$H149,0),IF(Option=2,MAX($H149-$I149,0),0)),0))</f>
        <v> </v>
      </c>
      <c r="S149" s="286" t="str">
        <f aca="false">IF($A149="N/A"," ",IF(Dayrun&gt;=6,IF(Option=1,MAX($J149-H149,0),IF(Option=2,MAX(H149-$J149,0),0)),0))</f>
        <v> </v>
      </c>
      <c r="T149" s="286" t="str">
        <f aca="false">IF($A149="N/A"," ",IF(OR(Dayrun&lt;=2,Dayrun&gt;=9),IF(Option=1,MAX($K149-$H149,0),IF(Option=2,MAX($H149-$K149,0),0)),0))</f>
        <v> </v>
      </c>
      <c r="U149" s="286" t="str">
        <f aca="false">IF($A149="N/A"," ",IF(OR(Dayrun=1,Dayrun=4,Dayrun=5,Dayrun=7,Dayrun=8,Dayrun=10,Dayrun=11),IF(Option=1,MAX($L149-H149,0),IF(Option=2,MAX(H149-$L149,0),0)),0))</f>
        <v> </v>
      </c>
      <c r="V149" s="286" t="str">
        <f aca="false">IF($A149="N/A"," ",IF(OR(Dayrun=1,Dayrun=7,Dayrun=8,Dayrun=10,Dayrun=11),IF(Option=1,MAX($M149-H149,0),IF(Option=2,MAX(H149-$M149,0),0)),0))</f>
        <v> </v>
      </c>
      <c r="W149" s="286" t="str">
        <f aca="false">IF($A149="N/A"," ",IF(OR(Dayrun&lt;=2,Dayrun&gt;=10),IF(Option=1,MAX($N149-$H149,0),IF(Option=2,MAX($H149-$N149,0),0)),0))</f>
        <v> </v>
      </c>
      <c r="X149" s="286" t="str">
        <f aca="false">IF($A149="N/A"," ",IF(OR(Dayrun=1,Dayrun=5,Dayrun=8,Dayrun=11),IF(Option=1,MAX($O149-H149,0),IF(Option=2,MAX(H149-$O149,0),0)),0))</f>
        <v> </v>
      </c>
      <c r="Y149" s="286" t="str">
        <f aca="false">IF($A149="N/A"," ",IF(OR(Dayrun=1,Dayrun=8,Dayrun=11),IF(Option=1,MAX($P149-H149,0),IF(Option=2,MAX(H149-$P149,0),0)),0))</f>
        <v> </v>
      </c>
      <c r="Z149" s="293" t="str">
        <f aca="false">IF($A149="N/A"," ",IF(OR(Dayrun&lt;=2,Dayrun&gt;=11),IF(Option=1,MAX($Q149-$H149,0),IF(Option=2,MAX($H149-$Q149,0),0)),0))</f>
        <v> </v>
      </c>
      <c r="AA149" s="289" t="str">
        <f aca="false">IF($A149="N/A"," ",IF(Dayrun&gt;=3,(MAX(0,(xSPRDOPT(I149,($E149-'Pricing Inputs'!$X184*$D149),$CV149,0,($CN149+IF(Smile=TRUE(),VLOOKUP(MAX(-5,$H149-I149),Volsmile,2),0)),$CT149,$CU149,($A149-DateToday)+15,ABS(Option-2),0)-R149))),0))</f>
        <v> </v>
      </c>
      <c r="AB149" s="290" t="str">
        <f aca="false">IF($A149="N/A"," ",IF(Dayrun&gt;=6,MAX(0,(xSPRDOPT(J149,($E149-'Pricing Inputs'!$X184*$D149),$CV149,0,($CN149+IF(Smile=TRUE(),VLOOKUP(MAX(-5,$H149-J149),Volsmile,2),0)),$CT149,$CU149,($A149-DateToday)+15,ABS(Option-2),0)-S149)),0))</f>
        <v> </v>
      </c>
      <c r="AC149" s="290" t="str">
        <f aca="false">IF($A149="N/A"," ",IF(OR(Dayrun&lt;=2,Dayrun&gt;=9),IF(OffPeakEx=TRUE(),MAX(0,(xSPRDOPT(K149,($E149-'Pricing Inputs'!$X184*$D149),$CV149,0,($CQ149+IF(Smile=TRUE(),VLOOKUP(MAX(-5,$H149-K149),Volsmile,2),0)),$CT149,$CU149,($A149-DateToday)+15,ABS(Option-2),0)-T149)),0),0))</f>
        <v> </v>
      </c>
      <c r="AD149" s="290" t="str">
        <f aca="false">IF($A149="N/A"," ",IF(OR(Dayrun=1,Dayrun=4,Dayrun=5,Dayrun=7,Dayrun=8,Dayrun=10,Dayrun=11),MAX(0,(xSPRDOPT(L149,($E149-'Pricing Inputs'!$X184*$D149),$CV149,0,($CQ149+IF(Smile=TRUE(),VLOOKUP(MAX(-5,$H149-L149),Volsmile,2),0)),$CT149,$CU149,($A149-DateToday)+15,ABS(Option-2),0)-U149)),0))</f>
        <v> </v>
      </c>
      <c r="AE149" s="290" t="str">
        <f aca="false">IF($A149="N/A"," ",IF(OR(Dayrun=1,Dayrun=7,Dayrun=8,Dayrun=10,Dayrun=11),MAX(0,(xSPRDOPT(M149,($E149-'Pricing Inputs'!$X184*$D149),$CV149,0,($CQ149+IF(Smile=TRUE(),VLOOKUP(MAX(-5,$H149-M149),Volsmile,2),0)),$CT149,$CU149,($A149-DateToday)+15,ABS(Option-2),0)-V149)),0))</f>
        <v> </v>
      </c>
      <c r="AF149" s="290" t="str">
        <f aca="false">IF($A149="N/A"," ",IF(OR(Dayrun&lt;=2,Dayrun&gt;=10),IF(OffPeakEx=TRUE(),MAX(0,(xSPRDOPT(N149,($E149-'Pricing Inputs'!$X184*$D149),$CV149,0,($CQ149+IF(Smile=TRUE(),VLOOKUP(MAX(-5,$H149-N149),Volsmile,2),0)),$CT149,$CU149,($A149-DateToday)+15,ABS(Option-2),0)-W149)),0),0))</f>
        <v> </v>
      </c>
      <c r="AG149" s="290" t="str">
        <f aca="false">IF($A149="N/A"," ",IF(OR(Dayrun=1,Dayrun=5,Dayrun=8,Dayrun=11),MAX(0,(xSPRDOPT(O149,($E149-'Pricing Inputs'!$X184*$D149),$CV149,0,($CQ149+IF(Smile=TRUE(),VLOOKUP(MAX(-5,$H149-O149),Volsmile,2),0)),$CT149,$CU149,($A149-DateToday)+15,ABS(Option-2),0)-X149)),0))</f>
        <v> </v>
      </c>
      <c r="AH149" s="290" t="str">
        <f aca="false">IF($A149="N/A"," ",IF(OR(Dayrun=1,Dayrun=8,Dayrun=11),MAX(0,(xSPRDOPT(P149,($E149-'Pricing Inputs'!$X184*$D149),$CV149,0,($CQ149+IF(Smile=TRUE(),VLOOKUP(MAX(-5,$H149-P149),Volsmile,2),0)),$CT149,$CU149,($A149-DateToday)+15,ABS(Option-2),0)-Y149)),0))</f>
        <v> </v>
      </c>
      <c r="AI149" s="290" t="str">
        <f aca="false">IF($A149="N/A"," ",IF(OR(Dayrun&lt;=2,Dayrun&gt;=11),IF(OffPeakEx=TRUE(),MAX(0,(xSPRDOPT(Q149,($E149-'Pricing Inputs'!$X184*$D149),$CV149,0,($CQ149+IF(Smile=TRUE(),VLOOKUP(MAX(-5,$H149-Q149),Volsmile,2),0)),$CT149,$CU149,($A149-DateToday)+15,ABS(Option-2),0)-Z149)),0),0))</f>
        <v> </v>
      </c>
      <c r="AJ149" s="294" t="str">
        <f aca="false">IF($A149="N/A"," ",IF(Dayrun&gt;=3,IF(Option=1,$I149-$H149,IF(Option=2,$H149-$I149)),0))</f>
        <v> </v>
      </c>
      <c r="AK149" s="295" t="str">
        <f aca="false">IF($A149="N/A"," ",IF(Dayrun&gt;=6,IF(Option=1,$J149-H149,IF(Option=2,H149-$J149)),0))</f>
        <v> </v>
      </c>
      <c r="AL149" s="295" t="str">
        <f aca="false">IF($A149="N/A"," ",IF(OR(Dayrun&lt;=2,Dayrun&gt;=9),IF(Option=1,$K149-$H149,IF(Option=2,$H149-$K149)),0))</f>
        <v> </v>
      </c>
      <c r="AM149" s="295" t="str">
        <f aca="false">IF($A149="N/A"," ",IF(OR(Dayrun=1,Dayrun=4,Dayrun=5,Dayrun=7,Dayrun=8,Dayrun=10,Dayrun=11),IF(Option=1,$L149-H149,IF(Option=2,H149-$L149)),0))</f>
        <v> </v>
      </c>
      <c r="AN149" s="295" t="str">
        <f aca="false">IF($A149="N/A"," ",IF(OR(Dayrun=1,Dayrun=7,Dayrun=8,Dayrun=10,Dayrun=11),IF(Option=1,$M149-H149,IF(Option=2,H149-$M149)),0))</f>
        <v> </v>
      </c>
      <c r="AO149" s="295" t="str">
        <f aca="false">IF($A149="N/A"," ",IF(OR(Dayrun&lt;=2,Dayrun&gt;=9),IF(Option=1,$N149-$H149,IF(Option=2,$H149-$N149)),0))</f>
        <v> </v>
      </c>
      <c r="AP149" s="295" t="str">
        <f aca="false">IF($A149="N/A"," ",IF(OR(Dayrun=1,Dayrun=5,Dayrun=8,Dayrun=11),IF(Option=1,$O149-H149,IF(Option=2,H149-$O149)),0))</f>
        <v> </v>
      </c>
      <c r="AQ149" s="295" t="str">
        <f aca="false">IF($A149="N/A"," ",IF(OR(Dayrun=1,Dayrun=8,Dayrun=11),IF(Option=1,$P149-H149,IF(Option=2,H149-$P149)),0))</f>
        <v> </v>
      </c>
      <c r="AR149" s="296" t="str">
        <f aca="false">IF($A149="N/A"," ",IF(OR(Dayrun&lt;=2,Dayrun&gt;=9),IF(Option=1,$Q149-H149,IF(Option=2,H149-$Q149)),0))</f>
        <v> </v>
      </c>
      <c r="AS149" s="297" t="str">
        <f aca="false">IF($A149="N/A"," ",IF(VLOOKUP(MONTH($A149),ManualTable,2)=1,IF(Dayrun&gt;=3,$DE149*8*$CY149,0),0))</f>
        <v> </v>
      </c>
      <c r="AT149" s="297" t="str">
        <f aca="false">IF($A149="N/A"," ",IF(VLOOKUP(MONTH($A149),ManualTable,3)=1,IF(Dayrun&gt;=6,$DE149*8*$CY149,0),0))</f>
        <v> </v>
      </c>
      <c r="AU149" s="297" t="str">
        <f aca="false">IF($A149="N/A"," ",IF(VLOOKUP(MONTH($A149),ManualTable,4)=1,IF(OR(Dayrun&lt;=2,Dayrun&gt;=9),$DE149*8*$CY149,0),0))</f>
        <v> </v>
      </c>
      <c r="AV149" s="297" t="str">
        <f aca="false">IF($A149="N/A"," ",IF(VLOOKUP(MONTH($A149),ManualTable,5)=1,IF(OR(Dayrun=1,Dayrun=4,Dayrun=5,Dayrun=7,Dayrun=8,Dayrun=10,Dayrun=11),$DF149*8*$CY149,0),0))</f>
        <v> </v>
      </c>
      <c r="AW149" s="297" t="str">
        <f aca="false">IF($A149="N/A"," ",IF(VLOOKUP(MONTH($A149),ManualTable,6)=1,IF(OR(Dayrun=1,Dayrun=7,Dayrun=8,Dayrun=10,Dayrun=11),$DF149*8*$CY149,0),0))</f>
        <v> </v>
      </c>
      <c r="AX149" s="297" t="str">
        <f aca="false">IF($A149="N/A"," ",IF(VLOOKUP(MONTH($A149),ManualTable,7)=1,IF(OR(Dayrun&lt;=2,Dayrun&gt;=9),$DF149*8*$CY149,0),0))</f>
        <v> </v>
      </c>
      <c r="AY149" s="297" t="str">
        <f aca="false">IF($A149="N/A"," ",IF(VLOOKUP(MONTH($A149),ManualTable,8)=1,IF(OR(Dayrun=1,Dayrun=5,Dayrun=8,Dayrun=11),$DG149*8*$CY149,0),0))</f>
        <v> </v>
      </c>
      <c r="AZ149" s="297" t="str">
        <f aca="false">IF($A149="N/A"," ",IF(VLOOKUP(MONTH($A149),ManualTable,9)=1,IF(OR(Dayrun=1,Dayrun=8,Dayrun=11),$DG149*8*$CY149,0),0))</f>
        <v> </v>
      </c>
      <c r="BA149" s="298" t="str">
        <f aca="false">IF($A149="N/A"," ",IF(VLOOKUP(MONTH($A149),ManualTable,10)=1,IF(OR(Dayrun&lt;=2,Dayrun&gt;=9),$DG149*8*$CY149,0),0))</f>
        <v> </v>
      </c>
      <c r="BB149" s="299" t="str">
        <f aca="false">IF($A149="N/A"," ",IF(Dayrun&gt;=3,(MAX(0,(xSPRDOPT(I149,($E149-'Pricing Inputs'!$X184*$D149),$CV149,0,($CN149+IF(Smile=TRUE(),VLOOKUP(MAX(-5,$H149-I149),Volsmile,2),0)),$CT149,$CU149,($A149-DateToday)+15,ABS(Option-2),1)*DE149*8))),0))</f>
        <v> </v>
      </c>
      <c r="BC149" s="300" t="str">
        <f aca="false">IF($A149="N/A"," ",IF(Dayrun&gt;=6,MAX(0,(xSPRDOPT(J149,($E149-'Pricing Inputs'!$X184*$D149),$CV149,0,($CN149+IF(Smile=TRUE(),VLOOKUP(MAX(-5,$H149-J149),Volsmile,2),0)),$CT149,$CU149,($A149-DateToday)+15,ABS(Option-2),1)*DE149*8)),0))</f>
        <v> </v>
      </c>
      <c r="BD149" s="300" t="str">
        <f aca="false">IF($A149="N/A"," ",IF(OR(Dayrun&lt;=2,Dayrun&gt;=9),IF(OffPeakEx=TRUE(),MAX(0,(xSPRDOPT(K149,($E149-'Pricing Inputs'!$X184*$D149),$CV149,0,($CQ149+IF(Smile=TRUE(),VLOOKUP(MAX(-5,$H149-K149),Volsmile,2),0)),$CT149,$CU149,($A149-DateToday)+15,ABS(Option-2),1)*DE149*8)),0),0))</f>
        <v> </v>
      </c>
      <c r="BE149" s="300" t="str">
        <f aca="false">IF($A149="N/A"," ",IF(OR(Dayrun=1,Dayrun=4,Dayrun=5,Dayrun=7,Dayrun=8,Dayrun=10,Dayrun=11),MAX(0,(xSPRDOPT(L149,($E149-'Pricing Inputs'!$X184*$D149),$CV149,0,($CQ149+IF(Smile=TRUE(),VLOOKUP(MAX(-5,$H149-L149),Volsmile,2),0)),$CT149,$CU149,($A149-DateToday)+15,ABS(Option-2),1)*DF149*8)),0))</f>
        <v> </v>
      </c>
      <c r="BF149" s="300" t="str">
        <f aca="false">IF($A149="N/A"," ",IF(OR(Dayrun=1,Dayrun=7,Dayrun=8,Dayrun=10,Dayrun=11),MAX(0,(xSPRDOPT(M149,($E149-'Pricing Inputs'!$X184*$D149),$CV149,0,($CQ149+IF(Smile=TRUE(),VLOOKUP(MAX(-5,$H149-M149),Volsmile,2),0)),$CT149,$CU149,($A149-DateToday)+15,ABS(Option-2),1)*DF149*8)),0))</f>
        <v> </v>
      </c>
      <c r="BG149" s="300" t="str">
        <f aca="false">IF($A149="N/A"," ",IF(OR(Dayrun&lt;=2,Dayrun&gt;=10),IF(OffPeakEx=TRUE(),MAX(0,(xSPRDOPT(N149,($E149-'Pricing Inputs'!$X184*$D149),$CV149,0,($CQ149+IF(Smile=TRUE(),VLOOKUP(MAX(-5,$H149-N149),Volsmile,2),0)),$CT149,$CU149,($A149-DateToday)+15,ABS(Option-2),1)*DF149*8)),0),0))</f>
        <v> </v>
      </c>
      <c r="BH149" s="300" t="str">
        <f aca="false">IF($A149="N/A"," ",IF(OR(Dayrun=1,Dayrun=5,Dayrun=8,Dayrun=11),MAX(0,(xSPRDOPT(O149,($E149-'Pricing Inputs'!$X184*$D149),$CV149,0,($CQ149+IF(Smile=TRUE(),VLOOKUP(MAX(-5,$H149-O149),Volsmile,2),0)),$CT149,$CU149,($A149-DateToday)+15,ABS(Option-2),1)*DG149*8)),0))</f>
        <v> </v>
      </c>
      <c r="BI149" s="300" t="str">
        <f aca="false">IF($A149="N/A"," ",IF(OR(Dayrun=1,Dayrun=8,Dayrun=11),MAX(0,(xSPRDOPT(P149,($E149-'Pricing Inputs'!$X184*$D149),$CV149,0,($CQ149+IF(Smile=TRUE(),VLOOKUP(MAX(-5,$H149-P149),Volsmile,2),0)),$CT149,$CU149,($A149-DateToday)+15,ABS(Option-2),1)*DG149*8)),0))</f>
        <v> </v>
      </c>
      <c r="BJ149" s="301" t="str">
        <f aca="false">IF($A149="N/A"," ",IF(OR(Dayrun&lt;=2,Dayrun&gt;=11),IF(OffPeakEx=TRUE(),MAX(0,(xSPRDOPT(Q149,($E149-'Pricing Inputs'!$X184*$D149),$CV149,0,($CQ149+IF(Smile=TRUE(),VLOOKUP(MAX(-5,$H149-Q149),Volsmile,2),0)),$CT149,$CU149,($A149-DateToday)+15,ABS(Option-2),1)*DG149*8)),0),0))</f>
        <v> </v>
      </c>
      <c r="BK149" s="302" t="str">
        <f aca="false">IF($A149="N/A"," ",R149*$AS149)</f>
        <v> </v>
      </c>
      <c r="BL149" s="303" t="str">
        <f aca="false">IF($A149="N/A"," ",S149*$AT149)</f>
        <v> </v>
      </c>
      <c r="BM149" s="303" t="str">
        <f aca="false">IF($A149="N/A"," ",T149*$AU149)</f>
        <v> </v>
      </c>
      <c r="BN149" s="303" t="str">
        <f aca="false">IF($A149="N/A"," ",U149*$AV149)</f>
        <v> </v>
      </c>
      <c r="BO149" s="303" t="str">
        <f aca="false">IF($A149="N/A"," ",V149*$AW149)</f>
        <v> </v>
      </c>
      <c r="BP149" s="303" t="str">
        <f aca="false">IF($A149="N/A"," ",W149*$AX149)</f>
        <v> </v>
      </c>
      <c r="BQ149" s="303" t="str">
        <f aca="false">IF($A149="N/A"," ",X149*$AY149)</f>
        <v> </v>
      </c>
      <c r="BR149" s="303" t="str">
        <f aca="false">IF($A149="N/A"," ",Y149*$AZ149)</f>
        <v> </v>
      </c>
      <c r="BS149" s="304" t="str">
        <f aca="false">IF($A149="N/A"," ",Z149*$BA149)</f>
        <v> </v>
      </c>
      <c r="BT149" s="305" t="str">
        <f aca="false">IF($A149="N/A"," ",AA149*$AS149)</f>
        <v> </v>
      </c>
      <c r="BU149" s="306" t="str">
        <f aca="false">IF($A149="N/A"," ",AB149*$AT149)</f>
        <v> </v>
      </c>
      <c r="BV149" s="306" t="str">
        <f aca="false">IF($A149="N/A"," ",AC149*$AU149)</f>
        <v> </v>
      </c>
      <c r="BW149" s="306" t="str">
        <f aca="false">IF($A149="N/A"," ",AD149*$AV149)</f>
        <v> </v>
      </c>
      <c r="BX149" s="306" t="str">
        <f aca="false">IF($A149="N/A"," ",AE149*$AW149)</f>
        <v> </v>
      </c>
      <c r="BY149" s="306" t="str">
        <f aca="false">IF($A149="N/A"," ",AF149*$AX149)</f>
        <v> </v>
      </c>
      <c r="BZ149" s="306" t="str">
        <f aca="false">IF($A149="N/A"," ",AG149*$AY149)</f>
        <v> </v>
      </c>
      <c r="CA149" s="306" t="str">
        <f aca="false">IF($A149="N/A"," ",AH149*$AZ149)</f>
        <v> </v>
      </c>
      <c r="CB149" s="307" t="str">
        <f aca="false">IF($A149="N/A"," ",AI149*$BA149)</f>
        <v> </v>
      </c>
      <c r="CC149" s="308" t="str">
        <f aca="false">IF($A149="N/A"," ",AJ149*$AS149)</f>
        <v> </v>
      </c>
      <c r="CD149" s="309" t="str">
        <f aca="false">IF($A149="N/A"," ",AK149*$AT149)</f>
        <v> </v>
      </c>
      <c r="CE149" s="309" t="str">
        <f aca="false">IF($A149="N/A"," ",AL149*$AU149)</f>
        <v> </v>
      </c>
      <c r="CF149" s="309" t="str">
        <f aca="false">IF($A149="N/A"," ",AM149*$AV149)</f>
        <v> </v>
      </c>
      <c r="CG149" s="309" t="str">
        <f aca="false">IF($A149="N/A"," ",AN149*$AW149)</f>
        <v> </v>
      </c>
      <c r="CH149" s="309" t="str">
        <f aca="false">IF($A149="N/A"," ",AO149*$AX149)</f>
        <v> </v>
      </c>
      <c r="CI149" s="309" t="str">
        <f aca="false">IF($A149="N/A"," ",AP149*$AY149)</f>
        <v> </v>
      </c>
      <c r="CJ149" s="309" t="str">
        <f aca="false">IF($A149="N/A"," ",AQ149*$AZ149)</f>
        <v> </v>
      </c>
      <c r="CK149" s="310" t="str">
        <f aca="false">IF($A149="N/A"," ",AR149*$BA149)</f>
        <v> </v>
      </c>
      <c r="CL149" s="311" t="str">
        <f aca="false">IF(A149="N/A"," ",(VLOOKUP(A149,PowerVolTable,(IF(VolBMO=2,7,IF(VolBMO=1,6,8))),FALSE())))</f>
        <v> </v>
      </c>
      <c r="CM149" s="312" t="str">
        <f aca="false">IF(A149="N/A"," ",(VLOOKUP(A149,IntraPowerVol,(IF(VolBMO=2,3,IF(VolBMO=1,2,4))),FALSE())*VLOOKUP(MONTH($A149),Volscale,2)))</f>
        <v> </v>
      </c>
      <c r="CN149" s="312" t="str">
        <f aca="false">IF($A149="N/A"," ",IF(VolType=1,CM149,CL149))</f>
        <v> </v>
      </c>
      <c r="CO149" s="312" t="str">
        <f aca="false">IF($A149="N/A"," ",(VLOOKUP($A149,OffPeakVol,(IF(VolBMO=2,7,IF(VolBMO=1,6,8))),FALSE())))</f>
        <v> </v>
      </c>
      <c r="CP149" s="312" t="str">
        <f aca="false">IF($A149="N/A"," ",(VLOOKUP($A149,OffPeakVol,(IF(VolBMO=2,3,IF(VolBMO=1,2,4))),FALSE())*VLOOKUP(MONTH($A149),Volscale,2)))</f>
        <v> </v>
      </c>
      <c r="CQ149" s="312" t="str">
        <f aca="false">IF($A149="N/A"," ",IF(VolType=1,CP149,CO149))</f>
        <v> </v>
      </c>
      <c r="CR149" s="312" t="str">
        <f aca="false">IF($A149="N/A"," ",(VLOOKUP($A149,GasVolTable,(IF(VolBMO=2,6,IF(VolBMO=1,7,5))),FALSE())))</f>
        <v> </v>
      </c>
      <c r="CS149" s="312" t="str">
        <f aca="false">IF($A149="N/A"," ",(VLOOKUP($A149,OmicronVol,(IF(VolBMO=2,3,IF(VolBMO=1,4,2))),FALSE())))</f>
        <v> </v>
      </c>
      <c r="CT149" s="312" t="str">
        <f aca="false">IF($A149="N/A"," ",(IF(DateToday&gt;$A149,$CS149,IF(VolType=1,((($CR149^2)*((($A149-1)-DateToday)/((EOMONTH($A149,0)+1)-DateToday-15)))+((($CS149)^2)*((15)/((EOMONTH($A149,0)+1)-DateToday-15))))^0.5,CR149))))</f>
        <v> </v>
      </c>
      <c r="CU149" s="312" t="str">
        <f aca="false">IF($A149="N/A"," ",IF('Pricing Inputs'!$AR$23=TRUE(),Inputs!$S$22,VLOOKUP($A149,CorrelationTable,2,FALSE())))</f>
        <v> </v>
      </c>
      <c r="CV149" s="313" t="str">
        <f aca="false">IF($A149="N/A"," ",F149+G149+(D149*('Pricing Inputs'!X184)))</f>
        <v> </v>
      </c>
      <c r="CW149" s="314" t="str">
        <f aca="false">IF($A149="N/A"," ",IF(PV=1,0,'Pricing Inputs'!Y184))</f>
        <v> </v>
      </c>
      <c r="CX149" s="315" t="str">
        <f aca="false">IF($A149="N/A"," ",(1+CW149/2)^(-2*((EOMONTH(A149,0)+20)-DateToday)/365.25))</f>
        <v> </v>
      </c>
      <c r="CY149" s="316" t="str">
        <f aca="false">IF($A149="N/A"," ",(IF(MONTH(A149)&gt;=4,IF(MONTH(A149)&lt;=10,Inputs!$S$26,Inputs!$S$27),Inputs!$S$27))*$CX149)</f>
        <v> </v>
      </c>
      <c r="CZ149" s="317" t="str">
        <f aca="false">IF($A149="N/A"," ",BK149+BL149+BN149+BO149+BQ149+BR149)</f>
        <v> </v>
      </c>
      <c r="DA149" s="318" t="str">
        <f aca="false">IF($A149="N/A"," ",BM149+BP149+BS149)</f>
        <v> </v>
      </c>
      <c r="DB149" s="319" t="str">
        <f aca="false">IF($A149="N/A"," ",BT149+BU149+BW149+BX149+BZ149+CA149)</f>
        <v> </v>
      </c>
      <c r="DC149" s="319" t="str">
        <f aca="false">IF($A149="N/A"," ",BV149+BY149+CB149)</f>
        <v> </v>
      </c>
      <c r="DD149" s="320" t="str">
        <f aca="false">IF($A149="N/A"," ",SUM(CC149:CK149))</f>
        <v> </v>
      </c>
      <c r="DE149" s="321" t="str">
        <f aca="false">IF($A149="N/A"," ",VLOOKUP($A149,NumberofDaysTable,2)*Availability)</f>
        <v> </v>
      </c>
      <c r="DF149" s="94" t="str">
        <f aca="false">IF($A149="N/A"," ",VLOOKUP($A149,NumberofDaysTable,3)*Availability)</f>
        <v> </v>
      </c>
      <c r="DG149" s="322" t="str">
        <f aca="false">IF($A149="N/A"," ",VLOOKUP($A149,NumberofDaysTable,4)*Availability)</f>
        <v> </v>
      </c>
      <c r="DH149" s="323" t="str">
        <f aca="false">IF($A149="N/A"," ",IF(Option=1,$D149*Inputs!$S$15*SUM(AS149:BA149),0))</f>
        <v> </v>
      </c>
      <c r="DI149" s="324" t="str">
        <f aca="false">IF($A149="N/A"," ",IF(Option=1,$D149*Inputs!$S$16*SUM(AS149:BA149),0))</f>
        <v> </v>
      </c>
      <c r="DJ149" s="325" t="str">
        <f aca="false">IF($A149="N/A"," ",SUM(AS149:AT149))</f>
        <v> </v>
      </c>
      <c r="DK149" s="325" t="str">
        <f aca="false">IF($A149="N/A"," ",SUM(AU149:BA149))</f>
        <v> </v>
      </c>
      <c r="DL149" s="325" t="str">
        <f aca="false">IF($A149="N/A"," ",SUM(BB149:BC149))</f>
        <v> </v>
      </c>
      <c r="DM149" s="325" t="str">
        <f aca="false">IF($A149="N/A"," ",SUM(BD149:BJ149))</f>
        <v> </v>
      </c>
    </row>
    <row r="150" customFormat="false" ht="12.75" hidden="false" customHeight="false" outlineLevel="0" collapsed="false">
      <c r="A150" s="282" t="str">
        <f aca="false">IF(A149="N/A","N/A",IF(EDATE(A149,1)&gt;Inputs!$S$5,"N/A",EDATE(A149,1)))</f>
        <v>N/A</v>
      </c>
      <c r="B150" s="283" t="str">
        <f aca="false">IF(A150="N/A"," ",YEAR(A150))</f>
        <v> </v>
      </c>
      <c r="C150" s="284" t="str">
        <f aca="false">IF(A150="N/A"," ",VLOOKUP(A150,ScaledPrice,14))</f>
        <v> </v>
      </c>
      <c r="D150" s="285" t="str">
        <f aca="false">IF(A150="N/A"," ",(VLOOKUP(MONTH($A150),Hrtable,2))/1000)</f>
        <v> </v>
      </c>
      <c r="E150" s="286" t="str">
        <f aca="false">IF($A150="N/A"," ",(C150)*D150)</f>
        <v> </v>
      </c>
      <c r="F150" s="287" t="str">
        <f aca="false">IF(A150="N/A"," ",VOM*(1+VOMesc)^(YEAR(A150)-YEAR(Today)))</f>
        <v> </v>
      </c>
      <c r="G150" s="287" t="str">
        <f aca="false">IF(A150="N/A"," ",Perstart/VLOOKUP(Dayrun,'Pricing Inputs'!$AQ$4:$AS$14,3)/(CY150/CX150))</f>
        <v> </v>
      </c>
      <c r="H150" s="288" t="str">
        <f aca="false">IF(A150="N/A"," ",SUM(E150:G150))</f>
        <v> </v>
      </c>
      <c r="I150" s="289" t="str">
        <f aca="false">VLOOKUP($A150,ScaledPrice,6)</f>
        <v> </v>
      </c>
      <c r="J150" s="290" t="str">
        <f aca="false">VLOOKUP($A150,ScaledPrice,10)</f>
        <v> </v>
      </c>
      <c r="K150" s="290" t="str">
        <f aca="false">VLOOKUP($A150,ScaledPrice,13)</f>
        <v> </v>
      </c>
      <c r="L150" s="290" t="str">
        <f aca="false">VLOOKUP($A150,ScaledPrice,7)</f>
        <v> </v>
      </c>
      <c r="M150" s="290" t="str">
        <f aca="false">VLOOKUP($A150,ScaledPrice,11)</f>
        <v> </v>
      </c>
      <c r="N150" s="290" t="str">
        <f aca="false">VLOOKUP($A150,ScaledPrice,13)</f>
        <v> </v>
      </c>
      <c r="O150" s="290" t="str">
        <f aca="false">VLOOKUP($A150,ScaledPrice,8)</f>
        <v> </v>
      </c>
      <c r="P150" s="290" t="str">
        <f aca="false">VLOOKUP($A150,ScaledPrice,12)</f>
        <v> </v>
      </c>
      <c r="Q150" s="291" t="str">
        <f aca="false">VLOOKUP($A150,ScaledPrice,13)</f>
        <v> </v>
      </c>
      <c r="R150" s="292" t="str">
        <f aca="false">IF($A150="N/A"," ",IF(Dayrun&gt;=3,IF(Option=1,MAX($I150-$H150,0),IF(Option=2,MAX($H150-$I150,0),0)),0))</f>
        <v> </v>
      </c>
      <c r="S150" s="286" t="str">
        <f aca="false">IF($A150="N/A"," ",IF(Dayrun&gt;=6,IF(Option=1,MAX($J150-H150,0),IF(Option=2,MAX(H150-$J150,0),0)),0))</f>
        <v> </v>
      </c>
      <c r="T150" s="286" t="str">
        <f aca="false">IF($A150="N/A"," ",IF(OR(Dayrun&lt;=2,Dayrun&gt;=9),IF(Option=1,MAX($K150-$H150,0),IF(Option=2,MAX($H150-$K150,0),0)),0))</f>
        <v> </v>
      </c>
      <c r="U150" s="286" t="str">
        <f aca="false">IF($A150="N/A"," ",IF(OR(Dayrun=1,Dayrun=4,Dayrun=5,Dayrun=7,Dayrun=8,Dayrun=10,Dayrun=11),IF(Option=1,MAX($L150-H150,0),IF(Option=2,MAX(H150-$L150,0),0)),0))</f>
        <v> </v>
      </c>
      <c r="V150" s="286" t="str">
        <f aca="false">IF($A150="N/A"," ",IF(OR(Dayrun=1,Dayrun=7,Dayrun=8,Dayrun=10,Dayrun=11),IF(Option=1,MAX($M150-H150,0),IF(Option=2,MAX(H150-$M150,0),0)),0))</f>
        <v> </v>
      </c>
      <c r="W150" s="286" t="str">
        <f aca="false">IF($A150="N/A"," ",IF(OR(Dayrun&lt;=2,Dayrun&gt;=10),IF(Option=1,MAX($N150-$H150,0),IF(Option=2,MAX($H150-$N150,0),0)),0))</f>
        <v> </v>
      </c>
      <c r="X150" s="286" t="str">
        <f aca="false">IF($A150="N/A"," ",IF(OR(Dayrun=1,Dayrun=5,Dayrun=8,Dayrun=11),IF(Option=1,MAX($O150-H150,0),IF(Option=2,MAX(H150-$O150,0),0)),0))</f>
        <v> </v>
      </c>
      <c r="Y150" s="286" t="str">
        <f aca="false">IF($A150="N/A"," ",IF(OR(Dayrun=1,Dayrun=8,Dayrun=11),IF(Option=1,MAX($P150-H150,0),IF(Option=2,MAX(H150-$P150,0),0)),0))</f>
        <v> </v>
      </c>
      <c r="Z150" s="293" t="str">
        <f aca="false">IF($A150="N/A"," ",IF(OR(Dayrun&lt;=2,Dayrun&gt;=11),IF(Option=1,MAX($Q150-$H150,0),IF(Option=2,MAX($H150-$Q150,0),0)),0))</f>
        <v> </v>
      </c>
      <c r="AA150" s="289" t="str">
        <f aca="false">IF($A150="N/A"," ",IF(Dayrun&gt;=3,(MAX(0,(xSPRDOPT(I150,($E150-'Pricing Inputs'!$X185*$D150),$CV150,0,($CN150+IF(Smile=TRUE(),VLOOKUP(MAX(-5,$H150-I150),Volsmile,2),0)),$CT150,$CU150,($A150-DateToday)+15,ABS(Option-2),0)-R150))),0))</f>
        <v> </v>
      </c>
      <c r="AB150" s="290" t="str">
        <f aca="false">IF($A150="N/A"," ",IF(Dayrun&gt;=6,MAX(0,(xSPRDOPT(J150,($E150-'Pricing Inputs'!$X185*$D150),$CV150,0,($CN150+IF(Smile=TRUE(),VLOOKUP(MAX(-5,$H150-J150),Volsmile,2),0)),$CT150,$CU150,($A150-DateToday)+15,ABS(Option-2),0)-S150)),0))</f>
        <v> </v>
      </c>
      <c r="AC150" s="290" t="str">
        <f aca="false">IF($A150="N/A"," ",IF(OR(Dayrun&lt;=2,Dayrun&gt;=9),IF(OffPeakEx=TRUE(),MAX(0,(xSPRDOPT(K150,($E150-'Pricing Inputs'!$X185*$D150),$CV150,0,($CQ150+IF(Smile=TRUE(),VLOOKUP(MAX(-5,$H150-K150),Volsmile,2),0)),$CT150,$CU150,($A150-DateToday)+15,ABS(Option-2),0)-T150)),0),0))</f>
        <v> </v>
      </c>
      <c r="AD150" s="290" t="str">
        <f aca="false">IF($A150="N/A"," ",IF(OR(Dayrun=1,Dayrun=4,Dayrun=5,Dayrun=7,Dayrun=8,Dayrun=10,Dayrun=11),MAX(0,(xSPRDOPT(L150,($E150-'Pricing Inputs'!$X185*$D150),$CV150,0,($CQ150+IF(Smile=TRUE(),VLOOKUP(MAX(-5,$H150-L150),Volsmile,2),0)),$CT150,$CU150,($A150-DateToday)+15,ABS(Option-2),0)-U150)),0))</f>
        <v> </v>
      </c>
      <c r="AE150" s="290" t="str">
        <f aca="false">IF($A150="N/A"," ",IF(OR(Dayrun=1,Dayrun=7,Dayrun=8,Dayrun=10,Dayrun=11),MAX(0,(xSPRDOPT(M150,($E150-'Pricing Inputs'!$X185*$D150),$CV150,0,($CQ150+IF(Smile=TRUE(),VLOOKUP(MAX(-5,$H150-M150),Volsmile,2),0)),$CT150,$CU150,($A150-DateToday)+15,ABS(Option-2),0)-V150)),0))</f>
        <v> </v>
      </c>
      <c r="AF150" s="290" t="str">
        <f aca="false">IF($A150="N/A"," ",IF(OR(Dayrun&lt;=2,Dayrun&gt;=10),IF(OffPeakEx=TRUE(),MAX(0,(xSPRDOPT(N150,($E150-'Pricing Inputs'!$X185*$D150),$CV150,0,($CQ150+IF(Smile=TRUE(),VLOOKUP(MAX(-5,$H150-N150),Volsmile,2),0)),$CT150,$CU150,($A150-DateToday)+15,ABS(Option-2),0)-W150)),0),0))</f>
        <v> </v>
      </c>
      <c r="AG150" s="290" t="str">
        <f aca="false">IF($A150="N/A"," ",IF(OR(Dayrun=1,Dayrun=5,Dayrun=8,Dayrun=11),MAX(0,(xSPRDOPT(O150,($E150-'Pricing Inputs'!$X185*$D150),$CV150,0,($CQ150+IF(Smile=TRUE(),VLOOKUP(MAX(-5,$H150-O150),Volsmile,2),0)),$CT150,$CU150,($A150-DateToday)+15,ABS(Option-2),0)-X150)),0))</f>
        <v> </v>
      </c>
      <c r="AH150" s="290" t="str">
        <f aca="false">IF($A150="N/A"," ",IF(OR(Dayrun=1,Dayrun=8,Dayrun=11),MAX(0,(xSPRDOPT(P150,($E150-'Pricing Inputs'!$X185*$D150),$CV150,0,($CQ150+IF(Smile=TRUE(),VLOOKUP(MAX(-5,$H150-P150),Volsmile,2),0)),$CT150,$CU150,($A150-DateToday)+15,ABS(Option-2),0)-Y150)),0))</f>
        <v> </v>
      </c>
      <c r="AI150" s="290" t="str">
        <f aca="false">IF($A150="N/A"," ",IF(OR(Dayrun&lt;=2,Dayrun&gt;=11),IF(OffPeakEx=TRUE(),MAX(0,(xSPRDOPT(Q150,($E150-'Pricing Inputs'!$X185*$D150),$CV150,0,($CQ150+IF(Smile=TRUE(),VLOOKUP(MAX(-5,$H150-Q150),Volsmile,2),0)),$CT150,$CU150,($A150-DateToday)+15,ABS(Option-2),0)-Z150)),0),0))</f>
        <v> </v>
      </c>
      <c r="AJ150" s="294" t="str">
        <f aca="false">IF($A150="N/A"," ",IF(Dayrun&gt;=3,IF(Option=1,$I150-$H150,IF(Option=2,$H150-$I150)),0))</f>
        <v> </v>
      </c>
      <c r="AK150" s="295" t="str">
        <f aca="false">IF($A150="N/A"," ",IF(Dayrun&gt;=6,IF(Option=1,$J150-H150,IF(Option=2,H150-$J150)),0))</f>
        <v> </v>
      </c>
      <c r="AL150" s="295" t="str">
        <f aca="false">IF($A150="N/A"," ",IF(OR(Dayrun&lt;=2,Dayrun&gt;=9),IF(Option=1,$K150-$H150,IF(Option=2,$H150-$K150)),0))</f>
        <v> </v>
      </c>
      <c r="AM150" s="295" t="str">
        <f aca="false">IF($A150="N/A"," ",IF(OR(Dayrun=1,Dayrun=4,Dayrun=5,Dayrun=7,Dayrun=8,Dayrun=10,Dayrun=11),IF(Option=1,$L150-H150,IF(Option=2,H150-$L150)),0))</f>
        <v> </v>
      </c>
      <c r="AN150" s="295" t="str">
        <f aca="false">IF($A150="N/A"," ",IF(OR(Dayrun=1,Dayrun=7,Dayrun=8,Dayrun=10,Dayrun=11),IF(Option=1,$M150-H150,IF(Option=2,H150-$M150)),0))</f>
        <v> </v>
      </c>
      <c r="AO150" s="295" t="str">
        <f aca="false">IF($A150="N/A"," ",IF(OR(Dayrun&lt;=2,Dayrun&gt;=9),IF(Option=1,$N150-$H150,IF(Option=2,$H150-$N150)),0))</f>
        <v> </v>
      </c>
      <c r="AP150" s="295" t="str">
        <f aca="false">IF($A150="N/A"," ",IF(OR(Dayrun=1,Dayrun=5,Dayrun=8,Dayrun=11),IF(Option=1,$O150-H150,IF(Option=2,H150-$O150)),0))</f>
        <v> </v>
      </c>
      <c r="AQ150" s="295" t="str">
        <f aca="false">IF($A150="N/A"," ",IF(OR(Dayrun=1,Dayrun=8,Dayrun=11),IF(Option=1,$P150-H150,IF(Option=2,H150-$P150)),0))</f>
        <v> </v>
      </c>
      <c r="AR150" s="296" t="str">
        <f aca="false">IF($A150="N/A"," ",IF(OR(Dayrun&lt;=2,Dayrun&gt;=9),IF(Option=1,$Q150-H150,IF(Option=2,H150-$Q150)),0))</f>
        <v> </v>
      </c>
      <c r="AS150" s="297" t="str">
        <f aca="false">IF($A150="N/A"," ",IF(VLOOKUP(MONTH($A150),ManualTable,2)=1,IF(Dayrun&gt;=3,$DE150*8*$CY150,0),0))</f>
        <v> </v>
      </c>
      <c r="AT150" s="297" t="str">
        <f aca="false">IF($A150="N/A"," ",IF(VLOOKUP(MONTH($A150),ManualTable,3)=1,IF(Dayrun&gt;=6,$DE150*8*$CY150,0),0))</f>
        <v> </v>
      </c>
      <c r="AU150" s="297" t="str">
        <f aca="false">IF($A150="N/A"," ",IF(VLOOKUP(MONTH($A150),ManualTable,4)=1,IF(OR(Dayrun&lt;=2,Dayrun&gt;=9),$DE150*8*$CY150,0),0))</f>
        <v> </v>
      </c>
      <c r="AV150" s="297" t="str">
        <f aca="false">IF($A150="N/A"," ",IF(VLOOKUP(MONTH($A150),ManualTable,5)=1,IF(OR(Dayrun=1,Dayrun=4,Dayrun=5,Dayrun=7,Dayrun=8,Dayrun=10,Dayrun=11),$DF150*8*$CY150,0),0))</f>
        <v> </v>
      </c>
      <c r="AW150" s="297" t="str">
        <f aca="false">IF($A150="N/A"," ",IF(VLOOKUP(MONTH($A150),ManualTable,6)=1,IF(OR(Dayrun=1,Dayrun=7,Dayrun=8,Dayrun=10,Dayrun=11),$DF150*8*$CY150,0),0))</f>
        <v> </v>
      </c>
      <c r="AX150" s="297" t="str">
        <f aca="false">IF($A150="N/A"," ",IF(VLOOKUP(MONTH($A150),ManualTable,7)=1,IF(OR(Dayrun&lt;=2,Dayrun&gt;=9),$DF150*8*$CY150,0),0))</f>
        <v> </v>
      </c>
      <c r="AY150" s="297" t="str">
        <f aca="false">IF($A150="N/A"," ",IF(VLOOKUP(MONTH($A150),ManualTable,8)=1,IF(OR(Dayrun=1,Dayrun=5,Dayrun=8,Dayrun=11),$DG150*8*$CY150,0),0))</f>
        <v> </v>
      </c>
      <c r="AZ150" s="297" t="str">
        <f aca="false">IF($A150="N/A"," ",IF(VLOOKUP(MONTH($A150),ManualTable,9)=1,IF(OR(Dayrun=1,Dayrun=8,Dayrun=11),$DG150*8*$CY150,0),0))</f>
        <v> </v>
      </c>
      <c r="BA150" s="298" t="str">
        <f aca="false">IF($A150="N/A"," ",IF(VLOOKUP(MONTH($A150),ManualTable,10)=1,IF(OR(Dayrun&lt;=2,Dayrun&gt;=9),$DG150*8*$CY150,0),0))</f>
        <v> </v>
      </c>
      <c r="BB150" s="299" t="str">
        <f aca="false">IF($A150="N/A"," ",IF(Dayrun&gt;=3,(MAX(0,(xSPRDOPT(I150,($E150-'Pricing Inputs'!$X185*$D150),$CV150,0,($CN150+IF(Smile=TRUE(),VLOOKUP(MAX(-5,$H150-I150),Volsmile,2),0)),$CT150,$CU150,($A150-DateToday)+15,ABS(Option-2),1)*DE150*8))),0))</f>
        <v> </v>
      </c>
      <c r="BC150" s="300" t="str">
        <f aca="false">IF($A150="N/A"," ",IF(Dayrun&gt;=6,MAX(0,(xSPRDOPT(J150,($E150-'Pricing Inputs'!$X185*$D150),$CV150,0,($CN150+IF(Smile=TRUE(),VLOOKUP(MAX(-5,$H150-J150),Volsmile,2),0)),$CT150,$CU150,($A150-DateToday)+15,ABS(Option-2),1)*DE150*8)),0))</f>
        <v> </v>
      </c>
      <c r="BD150" s="300" t="str">
        <f aca="false">IF($A150="N/A"," ",IF(OR(Dayrun&lt;=2,Dayrun&gt;=9),IF(OffPeakEx=TRUE(),MAX(0,(xSPRDOPT(K150,($E150-'Pricing Inputs'!$X185*$D150),$CV150,0,($CQ150+IF(Smile=TRUE(),VLOOKUP(MAX(-5,$H150-K150),Volsmile,2),0)),$CT150,$CU150,($A150-DateToday)+15,ABS(Option-2),1)*DE150*8)),0),0))</f>
        <v> </v>
      </c>
      <c r="BE150" s="300" t="str">
        <f aca="false">IF($A150="N/A"," ",IF(OR(Dayrun=1,Dayrun=4,Dayrun=5,Dayrun=7,Dayrun=8,Dayrun=10,Dayrun=11),MAX(0,(xSPRDOPT(L150,($E150-'Pricing Inputs'!$X185*$D150),$CV150,0,($CQ150+IF(Smile=TRUE(),VLOOKUP(MAX(-5,$H150-L150),Volsmile,2),0)),$CT150,$CU150,($A150-DateToday)+15,ABS(Option-2),1)*DF150*8)),0))</f>
        <v> </v>
      </c>
      <c r="BF150" s="300" t="str">
        <f aca="false">IF($A150="N/A"," ",IF(OR(Dayrun=1,Dayrun=7,Dayrun=8,Dayrun=10,Dayrun=11),MAX(0,(xSPRDOPT(M150,($E150-'Pricing Inputs'!$X185*$D150),$CV150,0,($CQ150+IF(Smile=TRUE(),VLOOKUP(MAX(-5,$H150-M150),Volsmile,2),0)),$CT150,$CU150,($A150-DateToday)+15,ABS(Option-2),1)*DF150*8)),0))</f>
        <v> </v>
      </c>
      <c r="BG150" s="300" t="str">
        <f aca="false">IF($A150="N/A"," ",IF(OR(Dayrun&lt;=2,Dayrun&gt;=10),IF(OffPeakEx=TRUE(),MAX(0,(xSPRDOPT(N150,($E150-'Pricing Inputs'!$X185*$D150),$CV150,0,($CQ150+IF(Smile=TRUE(),VLOOKUP(MAX(-5,$H150-N150),Volsmile,2),0)),$CT150,$CU150,($A150-DateToday)+15,ABS(Option-2),1)*DF150*8)),0),0))</f>
        <v> </v>
      </c>
      <c r="BH150" s="300" t="str">
        <f aca="false">IF($A150="N/A"," ",IF(OR(Dayrun=1,Dayrun=5,Dayrun=8,Dayrun=11),MAX(0,(xSPRDOPT(O150,($E150-'Pricing Inputs'!$X185*$D150),$CV150,0,($CQ150+IF(Smile=TRUE(),VLOOKUP(MAX(-5,$H150-O150),Volsmile,2),0)),$CT150,$CU150,($A150-DateToday)+15,ABS(Option-2),1)*DG150*8)),0))</f>
        <v> </v>
      </c>
      <c r="BI150" s="300" t="str">
        <f aca="false">IF($A150="N/A"," ",IF(OR(Dayrun=1,Dayrun=8,Dayrun=11),MAX(0,(xSPRDOPT(P150,($E150-'Pricing Inputs'!$X185*$D150),$CV150,0,($CQ150+IF(Smile=TRUE(),VLOOKUP(MAX(-5,$H150-P150),Volsmile,2),0)),$CT150,$CU150,($A150-DateToday)+15,ABS(Option-2),1)*DG150*8)),0))</f>
        <v> </v>
      </c>
      <c r="BJ150" s="301" t="str">
        <f aca="false">IF($A150="N/A"," ",IF(OR(Dayrun&lt;=2,Dayrun&gt;=11),IF(OffPeakEx=TRUE(),MAX(0,(xSPRDOPT(Q150,($E150-'Pricing Inputs'!$X185*$D150),$CV150,0,($CQ150+IF(Smile=TRUE(),VLOOKUP(MAX(-5,$H150-Q150),Volsmile,2),0)),$CT150,$CU150,($A150-DateToday)+15,ABS(Option-2),1)*DG150*8)),0),0))</f>
        <v> </v>
      </c>
      <c r="BK150" s="302" t="str">
        <f aca="false">IF($A150="N/A"," ",R150*$AS150)</f>
        <v> </v>
      </c>
      <c r="BL150" s="303" t="str">
        <f aca="false">IF($A150="N/A"," ",S150*$AT150)</f>
        <v> </v>
      </c>
      <c r="BM150" s="303" t="str">
        <f aca="false">IF($A150="N/A"," ",T150*$AU150)</f>
        <v> </v>
      </c>
      <c r="BN150" s="303" t="str">
        <f aca="false">IF($A150="N/A"," ",U150*$AV150)</f>
        <v> </v>
      </c>
      <c r="BO150" s="303" t="str">
        <f aca="false">IF($A150="N/A"," ",V150*$AW150)</f>
        <v> </v>
      </c>
      <c r="BP150" s="303" t="str">
        <f aca="false">IF($A150="N/A"," ",W150*$AX150)</f>
        <v> </v>
      </c>
      <c r="BQ150" s="303" t="str">
        <f aca="false">IF($A150="N/A"," ",X150*$AY150)</f>
        <v> </v>
      </c>
      <c r="BR150" s="303" t="str">
        <f aca="false">IF($A150="N/A"," ",Y150*$AZ150)</f>
        <v> </v>
      </c>
      <c r="BS150" s="304" t="str">
        <f aca="false">IF($A150="N/A"," ",Z150*$BA150)</f>
        <v> </v>
      </c>
      <c r="BT150" s="305" t="str">
        <f aca="false">IF($A150="N/A"," ",AA150*$AS150)</f>
        <v> </v>
      </c>
      <c r="BU150" s="306" t="str">
        <f aca="false">IF($A150="N/A"," ",AB150*$AT150)</f>
        <v> </v>
      </c>
      <c r="BV150" s="306" t="str">
        <f aca="false">IF($A150="N/A"," ",AC150*$AU150)</f>
        <v> </v>
      </c>
      <c r="BW150" s="306" t="str">
        <f aca="false">IF($A150="N/A"," ",AD150*$AV150)</f>
        <v> </v>
      </c>
      <c r="BX150" s="306" t="str">
        <f aca="false">IF($A150="N/A"," ",AE150*$AW150)</f>
        <v> </v>
      </c>
      <c r="BY150" s="306" t="str">
        <f aca="false">IF($A150="N/A"," ",AF150*$AX150)</f>
        <v> </v>
      </c>
      <c r="BZ150" s="306" t="str">
        <f aca="false">IF($A150="N/A"," ",AG150*$AY150)</f>
        <v> </v>
      </c>
      <c r="CA150" s="306" t="str">
        <f aca="false">IF($A150="N/A"," ",AH150*$AZ150)</f>
        <v> </v>
      </c>
      <c r="CB150" s="307" t="str">
        <f aca="false">IF($A150="N/A"," ",AI150*$BA150)</f>
        <v> </v>
      </c>
      <c r="CC150" s="308" t="str">
        <f aca="false">IF($A150="N/A"," ",AJ150*$AS150)</f>
        <v> </v>
      </c>
      <c r="CD150" s="309" t="str">
        <f aca="false">IF($A150="N/A"," ",AK150*$AT150)</f>
        <v> </v>
      </c>
      <c r="CE150" s="309" t="str">
        <f aca="false">IF($A150="N/A"," ",AL150*$AU150)</f>
        <v> </v>
      </c>
      <c r="CF150" s="309" t="str">
        <f aca="false">IF($A150="N/A"," ",AM150*$AV150)</f>
        <v> </v>
      </c>
      <c r="CG150" s="309" t="str">
        <f aca="false">IF($A150="N/A"," ",AN150*$AW150)</f>
        <v> </v>
      </c>
      <c r="CH150" s="309" t="str">
        <f aca="false">IF($A150="N/A"," ",AO150*$AX150)</f>
        <v> </v>
      </c>
      <c r="CI150" s="309" t="str">
        <f aca="false">IF($A150="N/A"," ",AP150*$AY150)</f>
        <v> </v>
      </c>
      <c r="CJ150" s="309" t="str">
        <f aca="false">IF($A150="N/A"," ",AQ150*$AZ150)</f>
        <v> </v>
      </c>
      <c r="CK150" s="310" t="str">
        <f aca="false">IF($A150="N/A"," ",AR150*$BA150)</f>
        <v> </v>
      </c>
      <c r="CL150" s="311" t="str">
        <f aca="false">IF(A150="N/A"," ",(VLOOKUP(A150,PowerVolTable,(IF(VolBMO=2,7,IF(VolBMO=1,6,8))),FALSE())))</f>
        <v> </v>
      </c>
      <c r="CM150" s="312" t="str">
        <f aca="false">IF(A150="N/A"," ",(VLOOKUP(A150,IntraPowerVol,(IF(VolBMO=2,3,IF(VolBMO=1,2,4))),FALSE())*VLOOKUP(MONTH($A150),Volscale,2)))</f>
        <v> </v>
      </c>
      <c r="CN150" s="312" t="str">
        <f aca="false">IF($A150="N/A"," ",IF(VolType=1,CM150,CL150))</f>
        <v> </v>
      </c>
      <c r="CO150" s="312" t="str">
        <f aca="false">IF($A150="N/A"," ",(VLOOKUP($A150,OffPeakVol,(IF(VolBMO=2,7,IF(VolBMO=1,6,8))),FALSE())))</f>
        <v> </v>
      </c>
      <c r="CP150" s="312" t="str">
        <f aca="false">IF($A150="N/A"," ",(VLOOKUP($A150,OffPeakVol,(IF(VolBMO=2,3,IF(VolBMO=1,2,4))),FALSE())*VLOOKUP(MONTH($A150),Volscale,2)))</f>
        <v> </v>
      </c>
      <c r="CQ150" s="312" t="str">
        <f aca="false">IF($A150="N/A"," ",IF(VolType=1,CP150,CO150))</f>
        <v> </v>
      </c>
      <c r="CR150" s="312" t="str">
        <f aca="false">IF($A150="N/A"," ",(VLOOKUP($A150,GasVolTable,(IF(VolBMO=2,6,IF(VolBMO=1,7,5))),FALSE())))</f>
        <v> </v>
      </c>
      <c r="CS150" s="312" t="str">
        <f aca="false">IF($A150="N/A"," ",(VLOOKUP($A150,OmicronVol,(IF(VolBMO=2,3,IF(VolBMO=1,4,2))),FALSE())))</f>
        <v> </v>
      </c>
      <c r="CT150" s="312" t="str">
        <f aca="false">IF($A150="N/A"," ",(IF(DateToday&gt;$A150,$CS150,IF(VolType=1,((($CR150^2)*((($A150-1)-DateToday)/((EOMONTH($A150,0)+1)-DateToday-15)))+((($CS150)^2)*((15)/((EOMONTH($A150,0)+1)-DateToday-15))))^0.5,CR150))))</f>
        <v> </v>
      </c>
      <c r="CU150" s="312" t="str">
        <f aca="false">IF($A150="N/A"," ",IF('Pricing Inputs'!$AR$23=TRUE(),Inputs!$S$22,VLOOKUP($A150,CorrelationTable,2,FALSE())))</f>
        <v> </v>
      </c>
      <c r="CV150" s="313" t="str">
        <f aca="false">IF($A150="N/A"," ",F150+G150+(D150*('Pricing Inputs'!X185)))</f>
        <v> </v>
      </c>
      <c r="CW150" s="314" t="str">
        <f aca="false">IF($A150="N/A"," ",IF(PV=1,0,'Pricing Inputs'!Y185))</f>
        <v> </v>
      </c>
      <c r="CX150" s="315" t="str">
        <f aca="false">IF($A150="N/A"," ",(1+CW150/2)^(-2*((EOMONTH(A150,0)+20)-DateToday)/365.25))</f>
        <v> </v>
      </c>
      <c r="CY150" s="316" t="str">
        <f aca="false">IF($A150="N/A"," ",(IF(MONTH(A150)&gt;=4,IF(MONTH(A150)&lt;=10,Inputs!$S$26,Inputs!$S$27),Inputs!$S$27))*$CX150)</f>
        <v> </v>
      </c>
      <c r="CZ150" s="317" t="str">
        <f aca="false">IF($A150="N/A"," ",BK150+BL150+BN150+BO150+BQ150+BR150)</f>
        <v> </v>
      </c>
      <c r="DA150" s="318" t="str">
        <f aca="false">IF($A150="N/A"," ",BM150+BP150+BS150)</f>
        <v> </v>
      </c>
      <c r="DB150" s="319" t="str">
        <f aca="false">IF($A150="N/A"," ",BT150+BU150+BW150+BX150+BZ150+CA150)</f>
        <v> </v>
      </c>
      <c r="DC150" s="319" t="str">
        <f aca="false">IF($A150="N/A"," ",BV150+BY150+CB150)</f>
        <v> </v>
      </c>
      <c r="DD150" s="320" t="str">
        <f aca="false">IF($A150="N/A"," ",SUM(CC150:CK150))</f>
        <v> </v>
      </c>
      <c r="DE150" s="321" t="str">
        <f aca="false">IF($A150="N/A"," ",VLOOKUP($A150,NumberofDaysTable,2)*Availability)</f>
        <v> </v>
      </c>
      <c r="DF150" s="94" t="str">
        <f aca="false">IF($A150="N/A"," ",VLOOKUP($A150,NumberofDaysTable,3)*Availability)</f>
        <v> </v>
      </c>
      <c r="DG150" s="322" t="str">
        <f aca="false">IF($A150="N/A"," ",VLOOKUP($A150,NumberofDaysTable,4)*Availability)</f>
        <v> </v>
      </c>
      <c r="DH150" s="323" t="str">
        <f aca="false">IF($A150="N/A"," ",IF(Option=1,$D150*Inputs!$S$15*SUM(AS150:BA150),0))</f>
        <v> </v>
      </c>
      <c r="DI150" s="324" t="str">
        <f aca="false">IF($A150="N/A"," ",IF(Option=1,$D150*Inputs!$S$16*SUM(AS150:BA150),0))</f>
        <v> </v>
      </c>
      <c r="DJ150" s="325" t="str">
        <f aca="false">IF($A150="N/A"," ",SUM(AS150:AT150))</f>
        <v> </v>
      </c>
      <c r="DK150" s="325" t="str">
        <f aca="false">IF($A150="N/A"," ",SUM(AU150:BA150))</f>
        <v> </v>
      </c>
      <c r="DL150" s="325" t="str">
        <f aca="false">IF($A150="N/A"," ",SUM(BB150:BC150))</f>
        <v> </v>
      </c>
      <c r="DM150" s="325" t="str">
        <f aca="false">IF($A150="N/A"," ",SUM(BD150:BJ150))</f>
        <v> </v>
      </c>
    </row>
    <row r="151" customFormat="false" ht="12.75" hidden="false" customHeight="false" outlineLevel="0" collapsed="false">
      <c r="A151" s="282" t="str">
        <f aca="false">IF(A150="N/A","N/A",IF(EDATE(A150,1)&gt;Inputs!$S$5,"N/A",EDATE(A150,1)))</f>
        <v>N/A</v>
      </c>
      <c r="B151" s="283" t="str">
        <f aca="false">IF(A151="N/A"," ",YEAR(A151))</f>
        <v> </v>
      </c>
      <c r="C151" s="284" t="str">
        <f aca="false">IF(A151="N/A"," ",VLOOKUP(A151,ScaledPrice,14))</f>
        <v> </v>
      </c>
      <c r="D151" s="285" t="str">
        <f aca="false">IF(A151="N/A"," ",(VLOOKUP(MONTH($A151),Hrtable,2))/1000)</f>
        <v> </v>
      </c>
      <c r="E151" s="286" t="str">
        <f aca="false">IF($A151="N/A"," ",(C151)*D151)</f>
        <v> </v>
      </c>
      <c r="F151" s="287" t="str">
        <f aca="false">IF(A151="N/A"," ",VOM*(1+VOMesc)^(YEAR(A151)-YEAR(Today)))</f>
        <v> </v>
      </c>
      <c r="G151" s="287" t="str">
        <f aca="false">IF(A151="N/A"," ",Perstart/VLOOKUP(Dayrun,'Pricing Inputs'!$AQ$4:$AS$14,3)/(CY151/CX151))</f>
        <v> </v>
      </c>
      <c r="H151" s="288" t="str">
        <f aca="false">IF(A151="N/A"," ",SUM(E151:G151))</f>
        <v> </v>
      </c>
      <c r="I151" s="289" t="str">
        <f aca="false">VLOOKUP($A151,ScaledPrice,6)</f>
        <v> </v>
      </c>
      <c r="J151" s="290" t="str">
        <f aca="false">VLOOKUP($A151,ScaledPrice,10)</f>
        <v> </v>
      </c>
      <c r="K151" s="290" t="str">
        <f aca="false">VLOOKUP($A151,ScaledPrice,13)</f>
        <v> </v>
      </c>
      <c r="L151" s="290" t="str">
        <f aca="false">VLOOKUP($A151,ScaledPrice,7)</f>
        <v> </v>
      </c>
      <c r="M151" s="290" t="str">
        <f aca="false">VLOOKUP($A151,ScaledPrice,11)</f>
        <v> </v>
      </c>
      <c r="N151" s="290" t="str">
        <f aca="false">VLOOKUP($A151,ScaledPrice,13)</f>
        <v> </v>
      </c>
      <c r="O151" s="290" t="str">
        <f aca="false">VLOOKUP($A151,ScaledPrice,8)</f>
        <v> </v>
      </c>
      <c r="P151" s="290" t="str">
        <f aca="false">VLOOKUP($A151,ScaledPrice,12)</f>
        <v> </v>
      </c>
      <c r="Q151" s="291" t="str">
        <f aca="false">VLOOKUP($A151,ScaledPrice,13)</f>
        <v> </v>
      </c>
      <c r="R151" s="292" t="str">
        <f aca="false">IF($A151="N/A"," ",IF(Dayrun&gt;=3,IF(Option=1,MAX($I151-$H151,0),IF(Option=2,MAX($H151-$I151,0),0)),0))</f>
        <v> </v>
      </c>
      <c r="S151" s="286" t="str">
        <f aca="false">IF($A151="N/A"," ",IF(Dayrun&gt;=6,IF(Option=1,MAX($J151-H151,0),IF(Option=2,MAX(H151-$J151,0),0)),0))</f>
        <v> </v>
      </c>
      <c r="T151" s="286" t="str">
        <f aca="false">IF($A151="N/A"," ",IF(OR(Dayrun&lt;=2,Dayrun&gt;=9),IF(Option=1,MAX($K151-$H151,0),IF(Option=2,MAX($H151-$K151,0),0)),0))</f>
        <v> </v>
      </c>
      <c r="U151" s="286" t="str">
        <f aca="false">IF($A151="N/A"," ",IF(OR(Dayrun=1,Dayrun=4,Dayrun=5,Dayrun=7,Dayrun=8,Dayrun=10,Dayrun=11),IF(Option=1,MAX($L151-H151,0),IF(Option=2,MAX(H151-$L151,0),0)),0))</f>
        <v> </v>
      </c>
      <c r="V151" s="286" t="str">
        <f aca="false">IF($A151="N/A"," ",IF(OR(Dayrun=1,Dayrun=7,Dayrun=8,Dayrun=10,Dayrun=11),IF(Option=1,MAX($M151-H151,0),IF(Option=2,MAX(H151-$M151,0),0)),0))</f>
        <v> </v>
      </c>
      <c r="W151" s="286" t="str">
        <f aca="false">IF($A151="N/A"," ",IF(OR(Dayrun&lt;=2,Dayrun&gt;=10),IF(Option=1,MAX($N151-$H151,0),IF(Option=2,MAX($H151-$N151,0),0)),0))</f>
        <v> </v>
      </c>
      <c r="X151" s="286" t="str">
        <f aca="false">IF($A151="N/A"," ",IF(OR(Dayrun=1,Dayrun=5,Dayrun=8,Dayrun=11),IF(Option=1,MAX($O151-H151,0),IF(Option=2,MAX(H151-$O151,0),0)),0))</f>
        <v> </v>
      </c>
      <c r="Y151" s="286" t="str">
        <f aca="false">IF($A151="N/A"," ",IF(OR(Dayrun=1,Dayrun=8,Dayrun=11),IF(Option=1,MAX($P151-H151,0),IF(Option=2,MAX(H151-$P151,0),0)),0))</f>
        <v> </v>
      </c>
      <c r="Z151" s="293" t="str">
        <f aca="false">IF($A151="N/A"," ",IF(OR(Dayrun&lt;=2,Dayrun&gt;=11),IF(Option=1,MAX($Q151-$H151,0),IF(Option=2,MAX($H151-$Q151,0),0)),0))</f>
        <v> </v>
      </c>
      <c r="AA151" s="289" t="str">
        <f aca="false">IF($A151="N/A"," ",IF(Dayrun&gt;=3,(MAX(0,(xSPRDOPT(I151,($E151-'Pricing Inputs'!$X186*$D151),$CV151,0,($CN151+IF(Smile=TRUE(),VLOOKUP(MAX(-5,$H151-I151),Volsmile,2),0)),$CT151,$CU151,($A151-DateToday)+15,ABS(Option-2),0)-R151))),0))</f>
        <v> </v>
      </c>
      <c r="AB151" s="290" t="str">
        <f aca="false">IF($A151="N/A"," ",IF(Dayrun&gt;=6,MAX(0,(xSPRDOPT(J151,($E151-'Pricing Inputs'!$X186*$D151),$CV151,0,($CN151+IF(Smile=TRUE(),VLOOKUP(MAX(-5,$H151-J151),Volsmile,2),0)),$CT151,$CU151,($A151-DateToday)+15,ABS(Option-2),0)-S151)),0))</f>
        <v> </v>
      </c>
      <c r="AC151" s="290" t="str">
        <f aca="false">IF($A151="N/A"," ",IF(OR(Dayrun&lt;=2,Dayrun&gt;=9),IF(OffPeakEx=TRUE(),MAX(0,(xSPRDOPT(K151,($E151-'Pricing Inputs'!$X186*$D151),$CV151,0,($CQ151+IF(Smile=TRUE(),VLOOKUP(MAX(-5,$H151-K151),Volsmile,2),0)),$CT151,$CU151,($A151-DateToday)+15,ABS(Option-2),0)-T151)),0),0))</f>
        <v> </v>
      </c>
      <c r="AD151" s="290" t="str">
        <f aca="false">IF($A151="N/A"," ",IF(OR(Dayrun=1,Dayrun=4,Dayrun=5,Dayrun=7,Dayrun=8,Dayrun=10,Dayrun=11),MAX(0,(xSPRDOPT(L151,($E151-'Pricing Inputs'!$X186*$D151),$CV151,0,($CQ151+IF(Smile=TRUE(),VLOOKUP(MAX(-5,$H151-L151),Volsmile,2),0)),$CT151,$CU151,($A151-DateToday)+15,ABS(Option-2),0)-U151)),0))</f>
        <v> </v>
      </c>
      <c r="AE151" s="290" t="str">
        <f aca="false">IF($A151="N/A"," ",IF(OR(Dayrun=1,Dayrun=7,Dayrun=8,Dayrun=10,Dayrun=11),MAX(0,(xSPRDOPT(M151,($E151-'Pricing Inputs'!$X186*$D151),$CV151,0,($CQ151+IF(Smile=TRUE(),VLOOKUP(MAX(-5,$H151-M151),Volsmile,2),0)),$CT151,$CU151,($A151-DateToday)+15,ABS(Option-2),0)-V151)),0))</f>
        <v> </v>
      </c>
      <c r="AF151" s="290" t="str">
        <f aca="false">IF($A151="N/A"," ",IF(OR(Dayrun&lt;=2,Dayrun&gt;=10),IF(OffPeakEx=TRUE(),MAX(0,(xSPRDOPT(N151,($E151-'Pricing Inputs'!$X186*$D151),$CV151,0,($CQ151+IF(Smile=TRUE(),VLOOKUP(MAX(-5,$H151-N151),Volsmile,2),0)),$CT151,$CU151,($A151-DateToday)+15,ABS(Option-2),0)-W151)),0),0))</f>
        <v> </v>
      </c>
      <c r="AG151" s="290" t="str">
        <f aca="false">IF($A151="N/A"," ",IF(OR(Dayrun=1,Dayrun=5,Dayrun=8,Dayrun=11),MAX(0,(xSPRDOPT(O151,($E151-'Pricing Inputs'!$X186*$D151),$CV151,0,($CQ151+IF(Smile=TRUE(),VLOOKUP(MAX(-5,$H151-O151),Volsmile,2),0)),$CT151,$CU151,($A151-DateToday)+15,ABS(Option-2),0)-X151)),0))</f>
        <v> </v>
      </c>
      <c r="AH151" s="290" t="str">
        <f aca="false">IF($A151="N/A"," ",IF(OR(Dayrun=1,Dayrun=8,Dayrun=11),MAX(0,(xSPRDOPT(P151,($E151-'Pricing Inputs'!$X186*$D151),$CV151,0,($CQ151+IF(Smile=TRUE(),VLOOKUP(MAX(-5,$H151-P151),Volsmile,2),0)),$CT151,$CU151,($A151-DateToday)+15,ABS(Option-2),0)-Y151)),0))</f>
        <v> </v>
      </c>
      <c r="AI151" s="290" t="str">
        <f aca="false">IF($A151="N/A"," ",IF(OR(Dayrun&lt;=2,Dayrun&gt;=11),IF(OffPeakEx=TRUE(),MAX(0,(xSPRDOPT(Q151,($E151-'Pricing Inputs'!$X186*$D151),$CV151,0,($CQ151+IF(Smile=TRUE(),VLOOKUP(MAX(-5,$H151-Q151),Volsmile,2),0)),$CT151,$CU151,($A151-DateToday)+15,ABS(Option-2),0)-Z151)),0),0))</f>
        <v> </v>
      </c>
      <c r="AJ151" s="294" t="str">
        <f aca="false">IF($A151="N/A"," ",IF(Dayrun&gt;=3,IF(Option=1,$I151-$H151,IF(Option=2,$H151-$I151)),0))</f>
        <v> </v>
      </c>
      <c r="AK151" s="295" t="str">
        <f aca="false">IF($A151="N/A"," ",IF(Dayrun&gt;=6,IF(Option=1,$J151-H151,IF(Option=2,H151-$J151)),0))</f>
        <v> </v>
      </c>
      <c r="AL151" s="295" t="str">
        <f aca="false">IF($A151="N/A"," ",IF(OR(Dayrun&lt;=2,Dayrun&gt;=9),IF(Option=1,$K151-$H151,IF(Option=2,$H151-$K151)),0))</f>
        <v> </v>
      </c>
      <c r="AM151" s="295" t="str">
        <f aca="false">IF($A151="N/A"," ",IF(OR(Dayrun=1,Dayrun=4,Dayrun=5,Dayrun=7,Dayrun=8,Dayrun=10,Dayrun=11),IF(Option=1,$L151-H151,IF(Option=2,H151-$L151)),0))</f>
        <v> </v>
      </c>
      <c r="AN151" s="295" t="str">
        <f aca="false">IF($A151="N/A"," ",IF(OR(Dayrun=1,Dayrun=7,Dayrun=8,Dayrun=10,Dayrun=11),IF(Option=1,$M151-H151,IF(Option=2,H151-$M151)),0))</f>
        <v> </v>
      </c>
      <c r="AO151" s="295" t="str">
        <f aca="false">IF($A151="N/A"," ",IF(OR(Dayrun&lt;=2,Dayrun&gt;=9),IF(Option=1,$N151-$H151,IF(Option=2,$H151-$N151)),0))</f>
        <v> </v>
      </c>
      <c r="AP151" s="295" t="str">
        <f aca="false">IF($A151="N/A"," ",IF(OR(Dayrun=1,Dayrun=5,Dayrun=8,Dayrun=11),IF(Option=1,$O151-H151,IF(Option=2,H151-$O151)),0))</f>
        <v> </v>
      </c>
      <c r="AQ151" s="295" t="str">
        <f aca="false">IF($A151="N/A"," ",IF(OR(Dayrun=1,Dayrun=8,Dayrun=11),IF(Option=1,$P151-H151,IF(Option=2,H151-$P151)),0))</f>
        <v> </v>
      </c>
      <c r="AR151" s="296" t="str">
        <f aca="false">IF($A151="N/A"," ",IF(OR(Dayrun&lt;=2,Dayrun&gt;=9),IF(Option=1,$Q151-H151,IF(Option=2,H151-$Q151)),0))</f>
        <v> </v>
      </c>
      <c r="AS151" s="297" t="str">
        <f aca="false">IF($A151="N/A"," ",IF(VLOOKUP(MONTH($A151),ManualTable,2)=1,IF(Dayrun&gt;=3,$DE151*8*$CY151,0),0))</f>
        <v> </v>
      </c>
      <c r="AT151" s="297" t="str">
        <f aca="false">IF($A151="N/A"," ",IF(VLOOKUP(MONTH($A151),ManualTable,3)=1,IF(Dayrun&gt;=6,$DE151*8*$CY151,0),0))</f>
        <v> </v>
      </c>
      <c r="AU151" s="297" t="str">
        <f aca="false">IF($A151="N/A"," ",IF(VLOOKUP(MONTH($A151),ManualTable,4)=1,IF(OR(Dayrun&lt;=2,Dayrun&gt;=9),$DE151*8*$CY151,0),0))</f>
        <v> </v>
      </c>
      <c r="AV151" s="297" t="str">
        <f aca="false">IF($A151="N/A"," ",IF(VLOOKUP(MONTH($A151),ManualTable,5)=1,IF(OR(Dayrun=1,Dayrun=4,Dayrun=5,Dayrun=7,Dayrun=8,Dayrun=10,Dayrun=11),$DF151*8*$CY151,0),0))</f>
        <v> </v>
      </c>
      <c r="AW151" s="297" t="str">
        <f aca="false">IF($A151="N/A"," ",IF(VLOOKUP(MONTH($A151),ManualTable,6)=1,IF(OR(Dayrun=1,Dayrun=7,Dayrun=8,Dayrun=10,Dayrun=11),$DF151*8*$CY151,0),0))</f>
        <v> </v>
      </c>
      <c r="AX151" s="297" t="str">
        <f aca="false">IF($A151="N/A"," ",IF(VLOOKUP(MONTH($A151),ManualTable,7)=1,IF(OR(Dayrun&lt;=2,Dayrun&gt;=9),$DF151*8*$CY151,0),0))</f>
        <v> </v>
      </c>
      <c r="AY151" s="297" t="str">
        <f aca="false">IF($A151="N/A"," ",IF(VLOOKUP(MONTH($A151),ManualTable,8)=1,IF(OR(Dayrun=1,Dayrun=5,Dayrun=8,Dayrun=11),$DG151*8*$CY151,0),0))</f>
        <v> </v>
      </c>
      <c r="AZ151" s="297" t="str">
        <f aca="false">IF($A151="N/A"," ",IF(VLOOKUP(MONTH($A151),ManualTable,9)=1,IF(OR(Dayrun=1,Dayrun=8,Dayrun=11),$DG151*8*$CY151,0),0))</f>
        <v> </v>
      </c>
      <c r="BA151" s="298" t="str">
        <f aca="false">IF($A151="N/A"," ",IF(VLOOKUP(MONTH($A151),ManualTable,10)=1,IF(OR(Dayrun&lt;=2,Dayrun&gt;=9),$DG151*8*$CY151,0),0))</f>
        <v> </v>
      </c>
      <c r="BB151" s="299" t="str">
        <f aca="false">IF($A151="N/A"," ",IF(Dayrun&gt;=3,(MAX(0,(xSPRDOPT(I151,($E151-'Pricing Inputs'!$X186*$D151),$CV151,0,($CN151+IF(Smile=TRUE(),VLOOKUP(MAX(-5,$H151-I151),Volsmile,2),0)),$CT151,$CU151,($A151-DateToday)+15,ABS(Option-2),1)*DE151*8))),0))</f>
        <v> </v>
      </c>
      <c r="BC151" s="300" t="str">
        <f aca="false">IF($A151="N/A"," ",IF(Dayrun&gt;=6,MAX(0,(xSPRDOPT(J151,($E151-'Pricing Inputs'!$X186*$D151),$CV151,0,($CN151+IF(Smile=TRUE(),VLOOKUP(MAX(-5,$H151-J151),Volsmile,2),0)),$CT151,$CU151,($A151-DateToday)+15,ABS(Option-2),1)*DE151*8)),0))</f>
        <v> </v>
      </c>
      <c r="BD151" s="300" t="str">
        <f aca="false">IF($A151="N/A"," ",IF(OR(Dayrun&lt;=2,Dayrun&gt;=9),IF(OffPeakEx=TRUE(),MAX(0,(xSPRDOPT(K151,($E151-'Pricing Inputs'!$X186*$D151),$CV151,0,($CQ151+IF(Smile=TRUE(),VLOOKUP(MAX(-5,$H151-K151),Volsmile,2),0)),$CT151,$CU151,($A151-DateToday)+15,ABS(Option-2),1)*DE151*8)),0),0))</f>
        <v> </v>
      </c>
      <c r="BE151" s="300" t="str">
        <f aca="false">IF($A151="N/A"," ",IF(OR(Dayrun=1,Dayrun=4,Dayrun=5,Dayrun=7,Dayrun=8,Dayrun=10,Dayrun=11),MAX(0,(xSPRDOPT(L151,($E151-'Pricing Inputs'!$X186*$D151),$CV151,0,($CQ151+IF(Smile=TRUE(),VLOOKUP(MAX(-5,$H151-L151),Volsmile,2),0)),$CT151,$CU151,($A151-DateToday)+15,ABS(Option-2),1)*DF151*8)),0))</f>
        <v> </v>
      </c>
      <c r="BF151" s="300" t="str">
        <f aca="false">IF($A151="N/A"," ",IF(OR(Dayrun=1,Dayrun=7,Dayrun=8,Dayrun=10,Dayrun=11),MAX(0,(xSPRDOPT(M151,($E151-'Pricing Inputs'!$X186*$D151),$CV151,0,($CQ151+IF(Smile=TRUE(),VLOOKUP(MAX(-5,$H151-M151),Volsmile,2),0)),$CT151,$CU151,($A151-DateToday)+15,ABS(Option-2),1)*DF151*8)),0))</f>
        <v> </v>
      </c>
      <c r="BG151" s="300" t="str">
        <f aca="false">IF($A151="N/A"," ",IF(OR(Dayrun&lt;=2,Dayrun&gt;=10),IF(OffPeakEx=TRUE(),MAX(0,(xSPRDOPT(N151,($E151-'Pricing Inputs'!$X186*$D151),$CV151,0,($CQ151+IF(Smile=TRUE(),VLOOKUP(MAX(-5,$H151-N151),Volsmile,2),0)),$CT151,$CU151,($A151-DateToday)+15,ABS(Option-2),1)*DF151*8)),0),0))</f>
        <v> </v>
      </c>
      <c r="BH151" s="300" t="str">
        <f aca="false">IF($A151="N/A"," ",IF(OR(Dayrun=1,Dayrun=5,Dayrun=8,Dayrun=11),MAX(0,(xSPRDOPT(O151,($E151-'Pricing Inputs'!$X186*$D151),$CV151,0,($CQ151+IF(Smile=TRUE(),VLOOKUP(MAX(-5,$H151-O151),Volsmile,2),0)),$CT151,$CU151,($A151-DateToday)+15,ABS(Option-2),1)*DG151*8)),0))</f>
        <v> </v>
      </c>
      <c r="BI151" s="300" t="str">
        <f aca="false">IF($A151="N/A"," ",IF(OR(Dayrun=1,Dayrun=8,Dayrun=11),MAX(0,(xSPRDOPT(P151,($E151-'Pricing Inputs'!$X186*$D151),$CV151,0,($CQ151+IF(Smile=TRUE(),VLOOKUP(MAX(-5,$H151-P151),Volsmile,2),0)),$CT151,$CU151,($A151-DateToday)+15,ABS(Option-2),1)*DG151*8)),0))</f>
        <v> </v>
      </c>
      <c r="BJ151" s="301" t="str">
        <f aca="false">IF($A151="N/A"," ",IF(OR(Dayrun&lt;=2,Dayrun&gt;=11),IF(OffPeakEx=TRUE(),MAX(0,(xSPRDOPT(Q151,($E151-'Pricing Inputs'!$X186*$D151),$CV151,0,($CQ151+IF(Smile=TRUE(),VLOOKUP(MAX(-5,$H151-Q151),Volsmile,2),0)),$CT151,$CU151,($A151-DateToday)+15,ABS(Option-2),1)*DG151*8)),0),0))</f>
        <v> </v>
      </c>
      <c r="BK151" s="302" t="str">
        <f aca="false">IF($A151="N/A"," ",R151*$AS151)</f>
        <v> </v>
      </c>
      <c r="BL151" s="303" t="str">
        <f aca="false">IF($A151="N/A"," ",S151*$AT151)</f>
        <v> </v>
      </c>
      <c r="BM151" s="303" t="str">
        <f aca="false">IF($A151="N/A"," ",T151*$AU151)</f>
        <v> </v>
      </c>
      <c r="BN151" s="303" t="str">
        <f aca="false">IF($A151="N/A"," ",U151*$AV151)</f>
        <v> </v>
      </c>
      <c r="BO151" s="303" t="str">
        <f aca="false">IF($A151="N/A"," ",V151*$AW151)</f>
        <v> </v>
      </c>
      <c r="BP151" s="303" t="str">
        <f aca="false">IF($A151="N/A"," ",W151*$AX151)</f>
        <v> </v>
      </c>
      <c r="BQ151" s="303" t="str">
        <f aca="false">IF($A151="N/A"," ",X151*$AY151)</f>
        <v> </v>
      </c>
      <c r="BR151" s="303" t="str">
        <f aca="false">IF($A151="N/A"," ",Y151*$AZ151)</f>
        <v> </v>
      </c>
      <c r="BS151" s="304" t="str">
        <f aca="false">IF($A151="N/A"," ",Z151*$BA151)</f>
        <v> </v>
      </c>
      <c r="BT151" s="305" t="str">
        <f aca="false">IF($A151="N/A"," ",AA151*$AS151)</f>
        <v> </v>
      </c>
      <c r="BU151" s="306" t="str">
        <f aca="false">IF($A151="N/A"," ",AB151*$AT151)</f>
        <v> </v>
      </c>
      <c r="BV151" s="306" t="str">
        <f aca="false">IF($A151="N/A"," ",AC151*$AU151)</f>
        <v> </v>
      </c>
      <c r="BW151" s="306" t="str">
        <f aca="false">IF($A151="N/A"," ",AD151*$AV151)</f>
        <v> </v>
      </c>
      <c r="BX151" s="306" t="str">
        <f aca="false">IF($A151="N/A"," ",AE151*$AW151)</f>
        <v> </v>
      </c>
      <c r="BY151" s="306" t="str">
        <f aca="false">IF($A151="N/A"," ",AF151*$AX151)</f>
        <v> </v>
      </c>
      <c r="BZ151" s="306" t="str">
        <f aca="false">IF($A151="N/A"," ",AG151*$AY151)</f>
        <v> </v>
      </c>
      <c r="CA151" s="306" t="str">
        <f aca="false">IF($A151="N/A"," ",AH151*$AZ151)</f>
        <v> </v>
      </c>
      <c r="CB151" s="307" t="str">
        <f aca="false">IF($A151="N/A"," ",AI151*$BA151)</f>
        <v> </v>
      </c>
      <c r="CC151" s="308" t="str">
        <f aca="false">IF($A151="N/A"," ",AJ151*$AS151)</f>
        <v> </v>
      </c>
      <c r="CD151" s="309" t="str">
        <f aca="false">IF($A151="N/A"," ",AK151*$AT151)</f>
        <v> </v>
      </c>
      <c r="CE151" s="309" t="str">
        <f aca="false">IF($A151="N/A"," ",AL151*$AU151)</f>
        <v> </v>
      </c>
      <c r="CF151" s="309" t="str">
        <f aca="false">IF($A151="N/A"," ",AM151*$AV151)</f>
        <v> </v>
      </c>
      <c r="CG151" s="309" t="str">
        <f aca="false">IF($A151="N/A"," ",AN151*$AW151)</f>
        <v> </v>
      </c>
      <c r="CH151" s="309" t="str">
        <f aca="false">IF($A151="N/A"," ",AO151*$AX151)</f>
        <v> </v>
      </c>
      <c r="CI151" s="309" t="str">
        <f aca="false">IF($A151="N/A"," ",AP151*$AY151)</f>
        <v> </v>
      </c>
      <c r="CJ151" s="309" t="str">
        <f aca="false">IF($A151="N/A"," ",AQ151*$AZ151)</f>
        <v> </v>
      </c>
      <c r="CK151" s="310" t="str">
        <f aca="false">IF($A151="N/A"," ",AR151*$BA151)</f>
        <v> </v>
      </c>
      <c r="CL151" s="311" t="str">
        <f aca="false">IF(A151="N/A"," ",(VLOOKUP(A151,PowerVolTable,(IF(VolBMO=2,7,IF(VolBMO=1,6,8))),FALSE())))</f>
        <v> </v>
      </c>
      <c r="CM151" s="312" t="str">
        <f aca="false">IF(A151="N/A"," ",(VLOOKUP(A151,IntraPowerVol,(IF(VolBMO=2,3,IF(VolBMO=1,2,4))),FALSE())*VLOOKUP(MONTH($A151),Volscale,2)))</f>
        <v> </v>
      </c>
      <c r="CN151" s="312" t="str">
        <f aca="false">IF($A151="N/A"," ",IF(VolType=1,CM151,CL151))</f>
        <v> </v>
      </c>
      <c r="CO151" s="312" t="str">
        <f aca="false">IF($A151="N/A"," ",(VLOOKUP($A151,OffPeakVol,(IF(VolBMO=2,7,IF(VolBMO=1,6,8))),FALSE())))</f>
        <v> </v>
      </c>
      <c r="CP151" s="312" t="str">
        <f aca="false">IF($A151="N/A"," ",(VLOOKUP($A151,OffPeakVol,(IF(VolBMO=2,3,IF(VolBMO=1,2,4))),FALSE())*VLOOKUP(MONTH($A151),Volscale,2)))</f>
        <v> </v>
      </c>
      <c r="CQ151" s="312" t="str">
        <f aca="false">IF($A151="N/A"," ",IF(VolType=1,CP151,CO151))</f>
        <v> </v>
      </c>
      <c r="CR151" s="312" t="str">
        <f aca="false">IF($A151="N/A"," ",(VLOOKUP($A151,GasVolTable,(IF(VolBMO=2,6,IF(VolBMO=1,7,5))),FALSE())))</f>
        <v> </v>
      </c>
      <c r="CS151" s="312" t="str">
        <f aca="false">IF($A151="N/A"," ",(VLOOKUP($A151,OmicronVol,(IF(VolBMO=2,3,IF(VolBMO=1,4,2))),FALSE())))</f>
        <v> </v>
      </c>
      <c r="CT151" s="312" t="str">
        <f aca="false">IF($A151="N/A"," ",(IF(DateToday&gt;$A151,$CS151,IF(VolType=1,((($CR151^2)*((($A151-1)-DateToday)/((EOMONTH($A151,0)+1)-DateToday-15)))+((($CS151)^2)*((15)/((EOMONTH($A151,0)+1)-DateToday-15))))^0.5,CR151))))</f>
        <v> </v>
      </c>
      <c r="CU151" s="312" t="str">
        <f aca="false">IF($A151="N/A"," ",IF('Pricing Inputs'!$AR$23=TRUE(),Inputs!$S$22,VLOOKUP($A151,CorrelationTable,2,FALSE())))</f>
        <v> </v>
      </c>
      <c r="CV151" s="313" t="str">
        <f aca="false">IF($A151="N/A"," ",F151+G151+(D151*('Pricing Inputs'!X186)))</f>
        <v> </v>
      </c>
      <c r="CW151" s="314" t="str">
        <f aca="false">IF($A151="N/A"," ",IF(PV=1,0,'Pricing Inputs'!Y186))</f>
        <v> </v>
      </c>
      <c r="CX151" s="315" t="str">
        <f aca="false">IF($A151="N/A"," ",(1+CW151/2)^(-2*((EOMONTH(A151,0)+20)-DateToday)/365.25))</f>
        <v> </v>
      </c>
      <c r="CY151" s="316" t="str">
        <f aca="false">IF($A151="N/A"," ",(IF(MONTH(A151)&gt;=4,IF(MONTH(A151)&lt;=10,Inputs!$S$26,Inputs!$S$27),Inputs!$S$27))*$CX151)</f>
        <v> </v>
      </c>
      <c r="CZ151" s="317" t="str">
        <f aca="false">IF($A151="N/A"," ",BK151+BL151+BN151+BO151+BQ151+BR151)</f>
        <v> </v>
      </c>
      <c r="DA151" s="318" t="str">
        <f aca="false">IF($A151="N/A"," ",BM151+BP151+BS151)</f>
        <v> </v>
      </c>
      <c r="DB151" s="319" t="str">
        <f aca="false">IF($A151="N/A"," ",BT151+BU151+BW151+BX151+BZ151+CA151)</f>
        <v> </v>
      </c>
      <c r="DC151" s="319" t="str">
        <f aca="false">IF($A151="N/A"," ",BV151+BY151+CB151)</f>
        <v> </v>
      </c>
      <c r="DD151" s="320" t="str">
        <f aca="false">IF($A151="N/A"," ",SUM(CC151:CK151))</f>
        <v> </v>
      </c>
      <c r="DE151" s="321" t="str">
        <f aca="false">IF($A151="N/A"," ",VLOOKUP($A151,NumberofDaysTable,2)*Availability)</f>
        <v> </v>
      </c>
      <c r="DF151" s="94" t="str">
        <f aca="false">IF($A151="N/A"," ",VLOOKUP($A151,NumberofDaysTable,3)*Availability)</f>
        <v> </v>
      </c>
      <c r="DG151" s="322" t="str">
        <f aca="false">IF($A151="N/A"," ",VLOOKUP($A151,NumberofDaysTable,4)*Availability)</f>
        <v> </v>
      </c>
      <c r="DH151" s="323" t="str">
        <f aca="false">IF($A151="N/A"," ",IF(Option=1,$D151*Inputs!$S$15*SUM(AS151:BA151),0))</f>
        <v> </v>
      </c>
      <c r="DI151" s="324" t="str">
        <f aca="false">IF($A151="N/A"," ",IF(Option=1,$D151*Inputs!$S$16*SUM(AS151:BA151),0))</f>
        <v> </v>
      </c>
      <c r="DJ151" s="325" t="str">
        <f aca="false">IF($A151="N/A"," ",SUM(AS151:AT151))</f>
        <v> </v>
      </c>
      <c r="DK151" s="325" t="str">
        <f aca="false">IF($A151="N/A"," ",SUM(AU151:BA151))</f>
        <v> </v>
      </c>
      <c r="DL151" s="325" t="str">
        <f aca="false">IF($A151="N/A"," ",SUM(BB151:BC151))</f>
        <v> </v>
      </c>
      <c r="DM151" s="325" t="str">
        <f aca="false">IF($A151="N/A"," ",SUM(BD151:BJ151))</f>
        <v> </v>
      </c>
    </row>
    <row r="152" customFormat="false" ht="12.75" hidden="false" customHeight="false" outlineLevel="0" collapsed="false">
      <c r="A152" s="282" t="str">
        <f aca="false">IF(A151="N/A","N/A",IF(EDATE(A151,1)&gt;Inputs!$S$5,"N/A",EDATE(A151,1)))</f>
        <v>N/A</v>
      </c>
      <c r="B152" s="283" t="str">
        <f aca="false">IF(A152="N/A"," ",YEAR(A152))</f>
        <v> </v>
      </c>
      <c r="C152" s="284" t="str">
        <f aca="false">IF(A152="N/A"," ",VLOOKUP(A152,ScaledPrice,14))</f>
        <v> </v>
      </c>
      <c r="D152" s="285" t="str">
        <f aca="false">IF(A152="N/A"," ",(VLOOKUP(MONTH($A152),Hrtable,2))/1000)</f>
        <v> </v>
      </c>
      <c r="E152" s="286" t="str">
        <f aca="false">IF($A152="N/A"," ",(C152)*D152)</f>
        <v> </v>
      </c>
      <c r="F152" s="287" t="str">
        <f aca="false">IF(A152="N/A"," ",VOM*(1+VOMesc)^(YEAR(A152)-YEAR(Today)))</f>
        <v> </v>
      </c>
      <c r="G152" s="287" t="str">
        <f aca="false">IF(A152="N/A"," ",Perstart/VLOOKUP(Dayrun,'Pricing Inputs'!$AQ$4:$AS$14,3)/(CY152/CX152))</f>
        <v> </v>
      </c>
      <c r="H152" s="288" t="str">
        <f aca="false">IF(A152="N/A"," ",SUM(E152:G152))</f>
        <v> </v>
      </c>
      <c r="I152" s="289" t="str">
        <f aca="false">VLOOKUP($A152,ScaledPrice,6)</f>
        <v> </v>
      </c>
      <c r="J152" s="290" t="str">
        <f aca="false">VLOOKUP($A152,ScaledPrice,10)</f>
        <v> </v>
      </c>
      <c r="K152" s="290" t="str">
        <f aca="false">VLOOKUP($A152,ScaledPrice,13)</f>
        <v> </v>
      </c>
      <c r="L152" s="290" t="str">
        <f aca="false">VLOOKUP($A152,ScaledPrice,7)</f>
        <v> </v>
      </c>
      <c r="M152" s="290" t="str">
        <f aca="false">VLOOKUP($A152,ScaledPrice,11)</f>
        <v> </v>
      </c>
      <c r="N152" s="290" t="str">
        <f aca="false">VLOOKUP($A152,ScaledPrice,13)</f>
        <v> </v>
      </c>
      <c r="O152" s="290" t="str">
        <f aca="false">VLOOKUP($A152,ScaledPrice,8)</f>
        <v> </v>
      </c>
      <c r="P152" s="290" t="str">
        <f aca="false">VLOOKUP($A152,ScaledPrice,12)</f>
        <v> </v>
      </c>
      <c r="Q152" s="291" t="str">
        <f aca="false">VLOOKUP($A152,ScaledPrice,13)</f>
        <v> </v>
      </c>
      <c r="R152" s="292" t="str">
        <f aca="false">IF($A152="N/A"," ",IF(Dayrun&gt;=3,IF(Option=1,MAX($I152-$H152,0),IF(Option=2,MAX($H152-$I152,0),0)),0))</f>
        <v> </v>
      </c>
      <c r="S152" s="286" t="str">
        <f aca="false">IF($A152="N/A"," ",IF(Dayrun&gt;=6,IF(Option=1,MAX($J152-H152,0),IF(Option=2,MAX(H152-$J152,0),0)),0))</f>
        <v> </v>
      </c>
      <c r="T152" s="286" t="str">
        <f aca="false">IF($A152="N/A"," ",IF(OR(Dayrun&lt;=2,Dayrun&gt;=9),IF(Option=1,MAX($K152-$H152,0),IF(Option=2,MAX($H152-$K152,0),0)),0))</f>
        <v> </v>
      </c>
      <c r="U152" s="286" t="str">
        <f aca="false">IF($A152="N/A"," ",IF(OR(Dayrun=1,Dayrun=4,Dayrun=5,Dayrun=7,Dayrun=8,Dayrun=10,Dayrun=11),IF(Option=1,MAX($L152-H152,0),IF(Option=2,MAX(H152-$L152,0),0)),0))</f>
        <v> </v>
      </c>
      <c r="V152" s="286" t="str">
        <f aca="false">IF($A152="N/A"," ",IF(OR(Dayrun=1,Dayrun=7,Dayrun=8,Dayrun=10,Dayrun=11),IF(Option=1,MAX($M152-H152,0),IF(Option=2,MAX(H152-$M152,0),0)),0))</f>
        <v> </v>
      </c>
      <c r="W152" s="286" t="str">
        <f aca="false">IF($A152="N/A"," ",IF(OR(Dayrun&lt;=2,Dayrun&gt;=10),IF(Option=1,MAX($N152-$H152,0),IF(Option=2,MAX($H152-$N152,0),0)),0))</f>
        <v> </v>
      </c>
      <c r="X152" s="286" t="str">
        <f aca="false">IF($A152="N/A"," ",IF(OR(Dayrun=1,Dayrun=5,Dayrun=8,Dayrun=11),IF(Option=1,MAX($O152-H152,0),IF(Option=2,MAX(H152-$O152,0),0)),0))</f>
        <v> </v>
      </c>
      <c r="Y152" s="286" t="str">
        <f aca="false">IF($A152="N/A"," ",IF(OR(Dayrun=1,Dayrun=8,Dayrun=11),IF(Option=1,MAX($P152-H152,0),IF(Option=2,MAX(H152-$P152,0),0)),0))</f>
        <v> </v>
      </c>
      <c r="Z152" s="293" t="str">
        <f aca="false">IF($A152="N/A"," ",IF(OR(Dayrun&lt;=2,Dayrun&gt;=11),IF(Option=1,MAX($Q152-$H152,0),IF(Option=2,MAX($H152-$Q152,0),0)),0))</f>
        <v> </v>
      </c>
      <c r="AA152" s="289" t="str">
        <f aca="false">IF($A152="N/A"," ",IF(Dayrun&gt;=3,(MAX(0,(xSPRDOPT(I152,($E152-'Pricing Inputs'!$X187*$D152),$CV152,0,($CN152+IF(Smile=TRUE(),VLOOKUP(MAX(-5,$H152-I152),Volsmile,2),0)),$CT152,$CU152,($A152-DateToday)+15,ABS(Option-2),0)-R152))),0))</f>
        <v> </v>
      </c>
      <c r="AB152" s="290" t="str">
        <f aca="false">IF($A152="N/A"," ",IF(Dayrun&gt;=6,MAX(0,(xSPRDOPT(J152,($E152-'Pricing Inputs'!$X187*$D152),$CV152,0,($CN152+IF(Smile=TRUE(),VLOOKUP(MAX(-5,$H152-J152),Volsmile,2),0)),$CT152,$CU152,($A152-DateToday)+15,ABS(Option-2),0)-S152)),0))</f>
        <v> </v>
      </c>
      <c r="AC152" s="290" t="str">
        <f aca="false">IF($A152="N/A"," ",IF(OR(Dayrun&lt;=2,Dayrun&gt;=9),IF(OffPeakEx=TRUE(),MAX(0,(xSPRDOPT(K152,($E152-'Pricing Inputs'!$X187*$D152),$CV152,0,($CQ152+IF(Smile=TRUE(),VLOOKUP(MAX(-5,$H152-K152),Volsmile,2),0)),$CT152,$CU152,($A152-DateToday)+15,ABS(Option-2),0)-T152)),0),0))</f>
        <v> </v>
      </c>
      <c r="AD152" s="290" t="str">
        <f aca="false">IF($A152="N/A"," ",IF(OR(Dayrun=1,Dayrun=4,Dayrun=5,Dayrun=7,Dayrun=8,Dayrun=10,Dayrun=11),MAX(0,(xSPRDOPT(L152,($E152-'Pricing Inputs'!$X187*$D152),$CV152,0,($CQ152+IF(Smile=TRUE(),VLOOKUP(MAX(-5,$H152-L152),Volsmile,2),0)),$CT152,$CU152,($A152-DateToday)+15,ABS(Option-2),0)-U152)),0))</f>
        <v> </v>
      </c>
      <c r="AE152" s="290" t="str">
        <f aca="false">IF($A152="N/A"," ",IF(OR(Dayrun=1,Dayrun=7,Dayrun=8,Dayrun=10,Dayrun=11),MAX(0,(xSPRDOPT(M152,($E152-'Pricing Inputs'!$X187*$D152),$CV152,0,($CQ152+IF(Smile=TRUE(),VLOOKUP(MAX(-5,$H152-M152),Volsmile,2),0)),$CT152,$CU152,($A152-DateToday)+15,ABS(Option-2),0)-V152)),0))</f>
        <v> </v>
      </c>
      <c r="AF152" s="290" t="str">
        <f aca="false">IF($A152="N/A"," ",IF(OR(Dayrun&lt;=2,Dayrun&gt;=10),IF(OffPeakEx=TRUE(),MAX(0,(xSPRDOPT(N152,($E152-'Pricing Inputs'!$X187*$D152),$CV152,0,($CQ152+IF(Smile=TRUE(),VLOOKUP(MAX(-5,$H152-N152),Volsmile,2),0)),$CT152,$CU152,($A152-DateToday)+15,ABS(Option-2),0)-W152)),0),0))</f>
        <v> </v>
      </c>
      <c r="AG152" s="290" t="str">
        <f aca="false">IF($A152="N/A"," ",IF(OR(Dayrun=1,Dayrun=5,Dayrun=8,Dayrun=11),MAX(0,(xSPRDOPT(O152,($E152-'Pricing Inputs'!$X187*$D152),$CV152,0,($CQ152+IF(Smile=TRUE(),VLOOKUP(MAX(-5,$H152-O152),Volsmile,2),0)),$CT152,$CU152,($A152-DateToday)+15,ABS(Option-2),0)-X152)),0))</f>
        <v> </v>
      </c>
      <c r="AH152" s="290" t="str">
        <f aca="false">IF($A152="N/A"," ",IF(OR(Dayrun=1,Dayrun=8,Dayrun=11),MAX(0,(xSPRDOPT(P152,($E152-'Pricing Inputs'!$X187*$D152),$CV152,0,($CQ152+IF(Smile=TRUE(),VLOOKUP(MAX(-5,$H152-P152),Volsmile,2),0)),$CT152,$CU152,($A152-DateToday)+15,ABS(Option-2),0)-Y152)),0))</f>
        <v> </v>
      </c>
      <c r="AI152" s="290" t="str">
        <f aca="false">IF($A152="N/A"," ",IF(OR(Dayrun&lt;=2,Dayrun&gt;=11),IF(OffPeakEx=TRUE(),MAX(0,(xSPRDOPT(Q152,($E152-'Pricing Inputs'!$X187*$D152),$CV152,0,($CQ152+IF(Smile=TRUE(),VLOOKUP(MAX(-5,$H152-Q152),Volsmile,2),0)),$CT152,$CU152,($A152-DateToday)+15,ABS(Option-2),0)-Z152)),0),0))</f>
        <v> </v>
      </c>
      <c r="AJ152" s="294" t="str">
        <f aca="false">IF($A152="N/A"," ",IF(Dayrun&gt;=3,IF(Option=1,$I152-$H152,IF(Option=2,$H152-$I152)),0))</f>
        <v> </v>
      </c>
      <c r="AK152" s="295" t="str">
        <f aca="false">IF($A152="N/A"," ",IF(Dayrun&gt;=6,IF(Option=1,$J152-H152,IF(Option=2,H152-$J152)),0))</f>
        <v> </v>
      </c>
      <c r="AL152" s="295" t="str">
        <f aca="false">IF($A152="N/A"," ",IF(OR(Dayrun&lt;=2,Dayrun&gt;=9),IF(Option=1,$K152-$H152,IF(Option=2,$H152-$K152)),0))</f>
        <v> </v>
      </c>
      <c r="AM152" s="295" t="str">
        <f aca="false">IF($A152="N/A"," ",IF(OR(Dayrun=1,Dayrun=4,Dayrun=5,Dayrun=7,Dayrun=8,Dayrun=10,Dayrun=11),IF(Option=1,$L152-H152,IF(Option=2,H152-$L152)),0))</f>
        <v> </v>
      </c>
      <c r="AN152" s="295" t="str">
        <f aca="false">IF($A152="N/A"," ",IF(OR(Dayrun=1,Dayrun=7,Dayrun=8,Dayrun=10,Dayrun=11),IF(Option=1,$M152-H152,IF(Option=2,H152-$M152)),0))</f>
        <v> </v>
      </c>
      <c r="AO152" s="295" t="str">
        <f aca="false">IF($A152="N/A"," ",IF(OR(Dayrun&lt;=2,Dayrun&gt;=9),IF(Option=1,$N152-$H152,IF(Option=2,$H152-$N152)),0))</f>
        <v> </v>
      </c>
      <c r="AP152" s="295" t="str">
        <f aca="false">IF($A152="N/A"," ",IF(OR(Dayrun=1,Dayrun=5,Dayrun=8,Dayrun=11),IF(Option=1,$O152-H152,IF(Option=2,H152-$O152)),0))</f>
        <v> </v>
      </c>
      <c r="AQ152" s="295" t="str">
        <f aca="false">IF($A152="N/A"," ",IF(OR(Dayrun=1,Dayrun=8,Dayrun=11),IF(Option=1,$P152-H152,IF(Option=2,H152-$P152)),0))</f>
        <v> </v>
      </c>
      <c r="AR152" s="296" t="str">
        <f aca="false">IF($A152="N/A"," ",IF(OR(Dayrun&lt;=2,Dayrun&gt;=9),IF(Option=1,$Q152-H152,IF(Option=2,H152-$Q152)),0))</f>
        <v> </v>
      </c>
      <c r="AS152" s="297" t="str">
        <f aca="false">IF($A152="N/A"," ",IF(VLOOKUP(MONTH($A152),ManualTable,2)=1,IF(Dayrun&gt;=3,$DE152*8*$CY152,0),0))</f>
        <v> </v>
      </c>
      <c r="AT152" s="297" t="str">
        <f aca="false">IF($A152="N/A"," ",IF(VLOOKUP(MONTH($A152),ManualTable,3)=1,IF(Dayrun&gt;=6,$DE152*8*$CY152,0),0))</f>
        <v> </v>
      </c>
      <c r="AU152" s="297" t="str">
        <f aca="false">IF($A152="N/A"," ",IF(VLOOKUP(MONTH($A152),ManualTable,4)=1,IF(OR(Dayrun&lt;=2,Dayrun&gt;=9),$DE152*8*$CY152,0),0))</f>
        <v> </v>
      </c>
      <c r="AV152" s="297" t="str">
        <f aca="false">IF($A152="N/A"," ",IF(VLOOKUP(MONTH($A152),ManualTable,5)=1,IF(OR(Dayrun=1,Dayrun=4,Dayrun=5,Dayrun=7,Dayrun=8,Dayrun=10,Dayrun=11),$DF152*8*$CY152,0),0))</f>
        <v> </v>
      </c>
      <c r="AW152" s="297" t="str">
        <f aca="false">IF($A152="N/A"," ",IF(VLOOKUP(MONTH($A152),ManualTable,6)=1,IF(OR(Dayrun=1,Dayrun=7,Dayrun=8,Dayrun=10,Dayrun=11),$DF152*8*$CY152,0),0))</f>
        <v> </v>
      </c>
      <c r="AX152" s="297" t="str">
        <f aca="false">IF($A152="N/A"," ",IF(VLOOKUP(MONTH($A152),ManualTable,7)=1,IF(OR(Dayrun&lt;=2,Dayrun&gt;=9),$DF152*8*$CY152,0),0))</f>
        <v> </v>
      </c>
      <c r="AY152" s="297" t="str">
        <f aca="false">IF($A152="N/A"," ",IF(VLOOKUP(MONTH($A152),ManualTable,8)=1,IF(OR(Dayrun=1,Dayrun=5,Dayrun=8,Dayrun=11),$DG152*8*$CY152,0),0))</f>
        <v> </v>
      </c>
      <c r="AZ152" s="297" t="str">
        <f aca="false">IF($A152="N/A"," ",IF(VLOOKUP(MONTH($A152),ManualTable,9)=1,IF(OR(Dayrun=1,Dayrun=8,Dayrun=11),$DG152*8*$CY152,0),0))</f>
        <v> </v>
      </c>
      <c r="BA152" s="298" t="str">
        <f aca="false">IF($A152="N/A"," ",IF(VLOOKUP(MONTH($A152),ManualTable,10)=1,IF(OR(Dayrun&lt;=2,Dayrun&gt;=9),$DG152*8*$CY152,0),0))</f>
        <v> </v>
      </c>
      <c r="BB152" s="299" t="str">
        <f aca="false">IF($A152="N/A"," ",IF(Dayrun&gt;=3,(MAX(0,(xSPRDOPT(I152,($E152-'Pricing Inputs'!$X187*$D152),$CV152,0,($CN152+IF(Smile=TRUE(),VLOOKUP(MAX(-5,$H152-I152),Volsmile,2),0)),$CT152,$CU152,($A152-DateToday)+15,ABS(Option-2),1)*DE152*8))),0))</f>
        <v> </v>
      </c>
      <c r="BC152" s="300" t="str">
        <f aca="false">IF($A152="N/A"," ",IF(Dayrun&gt;=6,MAX(0,(xSPRDOPT(J152,($E152-'Pricing Inputs'!$X187*$D152),$CV152,0,($CN152+IF(Smile=TRUE(),VLOOKUP(MAX(-5,$H152-J152),Volsmile,2),0)),$CT152,$CU152,($A152-DateToday)+15,ABS(Option-2),1)*DE152*8)),0))</f>
        <v> </v>
      </c>
      <c r="BD152" s="300" t="str">
        <f aca="false">IF($A152="N/A"," ",IF(OR(Dayrun&lt;=2,Dayrun&gt;=9),IF(OffPeakEx=TRUE(),MAX(0,(xSPRDOPT(K152,($E152-'Pricing Inputs'!$X187*$D152),$CV152,0,($CQ152+IF(Smile=TRUE(),VLOOKUP(MAX(-5,$H152-K152),Volsmile,2),0)),$CT152,$CU152,($A152-DateToday)+15,ABS(Option-2),1)*DE152*8)),0),0))</f>
        <v> </v>
      </c>
      <c r="BE152" s="300" t="str">
        <f aca="false">IF($A152="N/A"," ",IF(OR(Dayrun=1,Dayrun=4,Dayrun=5,Dayrun=7,Dayrun=8,Dayrun=10,Dayrun=11),MAX(0,(xSPRDOPT(L152,($E152-'Pricing Inputs'!$X187*$D152),$CV152,0,($CQ152+IF(Smile=TRUE(),VLOOKUP(MAX(-5,$H152-L152),Volsmile,2),0)),$CT152,$CU152,($A152-DateToday)+15,ABS(Option-2),1)*DF152*8)),0))</f>
        <v> </v>
      </c>
      <c r="BF152" s="300" t="str">
        <f aca="false">IF($A152="N/A"," ",IF(OR(Dayrun=1,Dayrun=7,Dayrun=8,Dayrun=10,Dayrun=11),MAX(0,(xSPRDOPT(M152,($E152-'Pricing Inputs'!$X187*$D152),$CV152,0,($CQ152+IF(Smile=TRUE(),VLOOKUP(MAX(-5,$H152-M152),Volsmile,2),0)),$CT152,$CU152,($A152-DateToday)+15,ABS(Option-2),1)*DF152*8)),0))</f>
        <v> </v>
      </c>
      <c r="BG152" s="300" t="str">
        <f aca="false">IF($A152="N/A"," ",IF(OR(Dayrun&lt;=2,Dayrun&gt;=10),IF(OffPeakEx=TRUE(),MAX(0,(xSPRDOPT(N152,($E152-'Pricing Inputs'!$X187*$D152),$CV152,0,($CQ152+IF(Smile=TRUE(),VLOOKUP(MAX(-5,$H152-N152),Volsmile,2),0)),$CT152,$CU152,($A152-DateToday)+15,ABS(Option-2),1)*DF152*8)),0),0))</f>
        <v> </v>
      </c>
      <c r="BH152" s="300" t="str">
        <f aca="false">IF($A152="N/A"," ",IF(OR(Dayrun=1,Dayrun=5,Dayrun=8,Dayrun=11),MAX(0,(xSPRDOPT(O152,($E152-'Pricing Inputs'!$X187*$D152),$CV152,0,($CQ152+IF(Smile=TRUE(),VLOOKUP(MAX(-5,$H152-O152),Volsmile,2),0)),$CT152,$CU152,($A152-DateToday)+15,ABS(Option-2),1)*DG152*8)),0))</f>
        <v> </v>
      </c>
      <c r="BI152" s="300" t="str">
        <f aca="false">IF($A152="N/A"," ",IF(OR(Dayrun=1,Dayrun=8,Dayrun=11),MAX(0,(xSPRDOPT(P152,($E152-'Pricing Inputs'!$X187*$D152),$CV152,0,($CQ152+IF(Smile=TRUE(),VLOOKUP(MAX(-5,$H152-P152),Volsmile,2),0)),$CT152,$CU152,($A152-DateToday)+15,ABS(Option-2),1)*DG152*8)),0))</f>
        <v> </v>
      </c>
      <c r="BJ152" s="301" t="str">
        <f aca="false">IF($A152="N/A"," ",IF(OR(Dayrun&lt;=2,Dayrun&gt;=11),IF(OffPeakEx=TRUE(),MAX(0,(xSPRDOPT(Q152,($E152-'Pricing Inputs'!$X187*$D152),$CV152,0,($CQ152+IF(Smile=TRUE(),VLOOKUP(MAX(-5,$H152-Q152),Volsmile,2),0)),$CT152,$CU152,($A152-DateToday)+15,ABS(Option-2),1)*DG152*8)),0),0))</f>
        <v> </v>
      </c>
      <c r="BK152" s="302" t="str">
        <f aca="false">IF($A152="N/A"," ",R152*$AS152)</f>
        <v> </v>
      </c>
      <c r="BL152" s="303" t="str">
        <f aca="false">IF($A152="N/A"," ",S152*$AT152)</f>
        <v> </v>
      </c>
      <c r="BM152" s="303" t="str">
        <f aca="false">IF($A152="N/A"," ",T152*$AU152)</f>
        <v> </v>
      </c>
      <c r="BN152" s="303" t="str">
        <f aca="false">IF($A152="N/A"," ",U152*$AV152)</f>
        <v> </v>
      </c>
      <c r="BO152" s="303" t="str">
        <f aca="false">IF($A152="N/A"," ",V152*$AW152)</f>
        <v> </v>
      </c>
      <c r="BP152" s="303" t="str">
        <f aca="false">IF($A152="N/A"," ",W152*$AX152)</f>
        <v> </v>
      </c>
      <c r="BQ152" s="303" t="str">
        <f aca="false">IF($A152="N/A"," ",X152*$AY152)</f>
        <v> </v>
      </c>
      <c r="BR152" s="303" t="str">
        <f aca="false">IF($A152="N/A"," ",Y152*$AZ152)</f>
        <v> </v>
      </c>
      <c r="BS152" s="304" t="str">
        <f aca="false">IF($A152="N/A"," ",Z152*$BA152)</f>
        <v> </v>
      </c>
      <c r="BT152" s="305" t="str">
        <f aca="false">IF($A152="N/A"," ",AA152*$AS152)</f>
        <v> </v>
      </c>
      <c r="BU152" s="306" t="str">
        <f aca="false">IF($A152="N/A"," ",AB152*$AT152)</f>
        <v> </v>
      </c>
      <c r="BV152" s="306" t="str">
        <f aca="false">IF($A152="N/A"," ",AC152*$AU152)</f>
        <v> </v>
      </c>
      <c r="BW152" s="306" t="str">
        <f aca="false">IF($A152="N/A"," ",AD152*$AV152)</f>
        <v> </v>
      </c>
      <c r="BX152" s="306" t="str">
        <f aca="false">IF($A152="N/A"," ",AE152*$AW152)</f>
        <v> </v>
      </c>
      <c r="BY152" s="306" t="str">
        <f aca="false">IF($A152="N/A"," ",AF152*$AX152)</f>
        <v> </v>
      </c>
      <c r="BZ152" s="306" t="str">
        <f aca="false">IF($A152="N/A"," ",AG152*$AY152)</f>
        <v> </v>
      </c>
      <c r="CA152" s="306" t="str">
        <f aca="false">IF($A152="N/A"," ",AH152*$AZ152)</f>
        <v> </v>
      </c>
      <c r="CB152" s="307" t="str">
        <f aca="false">IF($A152="N/A"," ",AI152*$BA152)</f>
        <v> </v>
      </c>
      <c r="CC152" s="308" t="str">
        <f aca="false">IF($A152="N/A"," ",AJ152*$AS152)</f>
        <v> </v>
      </c>
      <c r="CD152" s="309" t="str">
        <f aca="false">IF($A152="N/A"," ",AK152*$AT152)</f>
        <v> </v>
      </c>
      <c r="CE152" s="309" t="str">
        <f aca="false">IF($A152="N/A"," ",AL152*$AU152)</f>
        <v> </v>
      </c>
      <c r="CF152" s="309" t="str">
        <f aca="false">IF($A152="N/A"," ",AM152*$AV152)</f>
        <v> </v>
      </c>
      <c r="CG152" s="309" t="str">
        <f aca="false">IF($A152="N/A"," ",AN152*$AW152)</f>
        <v> </v>
      </c>
      <c r="CH152" s="309" t="str">
        <f aca="false">IF($A152="N/A"," ",AO152*$AX152)</f>
        <v> </v>
      </c>
      <c r="CI152" s="309" t="str">
        <f aca="false">IF($A152="N/A"," ",AP152*$AY152)</f>
        <v> </v>
      </c>
      <c r="CJ152" s="309" t="str">
        <f aca="false">IF($A152="N/A"," ",AQ152*$AZ152)</f>
        <v> </v>
      </c>
      <c r="CK152" s="310" t="str">
        <f aca="false">IF($A152="N/A"," ",AR152*$BA152)</f>
        <v> </v>
      </c>
      <c r="CL152" s="311" t="str">
        <f aca="false">IF(A152="N/A"," ",(VLOOKUP(A152,PowerVolTable,(IF(VolBMO=2,7,IF(VolBMO=1,6,8))),FALSE())))</f>
        <v> </v>
      </c>
      <c r="CM152" s="312" t="str">
        <f aca="false">IF(A152="N/A"," ",(VLOOKUP(A152,IntraPowerVol,(IF(VolBMO=2,3,IF(VolBMO=1,2,4))),FALSE())*VLOOKUP(MONTH($A152),Volscale,2)))</f>
        <v> </v>
      </c>
      <c r="CN152" s="312" t="str">
        <f aca="false">IF($A152="N/A"," ",IF(VolType=1,CM152,CL152))</f>
        <v> </v>
      </c>
      <c r="CO152" s="312" t="str">
        <f aca="false">IF($A152="N/A"," ",(VLOOKUP($A152,OffPeakVol,(IF(VolBMO=2,7,IF(VolBMO=1,6,8))),FALSE())))</f>
        <v> </v>
      </c>
      <c r="CP152" s="312" t="str">
        <f aca="false">IF($A152="N/A"," ",(VLOOKUP($A152,OffPeakVol,(IF(VolBMO=2,3,IF(VolBMO=1,2,4))),FALSE())*VLOOKUP(MONTH($A152),Volscale,2)))</f>
        <v> </v>
      </c>
      <c r="CQ152" s="312" t="str">
        <f aca="false">IF($A152="N/A"," ",IF(VolType=1,CP152,CO152))</f>
        <v> </v>
      </c>
      <c r="CR152" s="312" t="str">
        <f aca="false">IF($A152="N/A"," ",(VLOOKUP($A152,GasVolTable,(IF(VolBMO=2,6,IF(VolBMO=1,7,5))),FALSE())))</f>
        <v> </v>
      </c>
      <c r="CS152" s="312" t="str">
        <f aca="false">IF($A152="N/A"," ",(VLOOKUP($A152,OmicronVol,(IF(VolBMO=2,3,IF(VolBMO=1,4,2))),FALSE())))</f>
        <v> </v>
      </c>
      <c r="CT152" s="312" t="str">
        <f aca="false">IF($A152="N/A"," ",(IF(DateToday&gt;$A152,$CS152,IF(VolType=1,((($CR152^2)*((($A152-1)-DateToday)/((EOMONTH($A152,0)+1)-DateToday-15)))+((($CS152)^2)*((15)/((EOMONTH($A152,0)+1)-DateToday-15))))^0.5,CR152))))</f>
        <v> </v>
      </c>
      <c r="CU152" s="312" t="str">
        <f aca="false">IF($A152="N/A"," ",IF('Pricing Inputs'!$AR$23=TRUE(),Inputs!$S$22,VLOOKUP($A152,CorrelationTable,2,FALSE())))</f>
        <v> </v>
      </c>
      <c r="CV152" s="313" t="str">
        <f aca="false">IF($A152="N/A"," ",F152+G152+(D152*('Pricing Inputs'!X187)))</f>
        <v> </v>
      </c>
      <c r="CW152" s="314" t="str">
        <f aca="false">IF($A152="N/A"," ",IF(PV=1,0,'Pricing Inputs'!Y187))</f>
        <v> </v>
      </c>
      <c r="CX152" s="315" t="str">
        <f aca="false">IF($A152="N/A"," ",(1+CW152/2)^(-2*((EOMONTH(A152,0)+20)-DateToday)/365.25))</f>
        <v> </v>
      </c>
      <c r="CY152" s="316" t="str">
        <f aca="false">IF($A152="N/A"," ",(IF(MONTH(A152)&gt;=4,IF(MONTH(A152)&lt;=10,Inputs!$S$26,Inputs!$S$27),Inputs!$S$27))*$CX152)</f>
        <v> </v>
      </c>
      <c r="CZ152" s="317" t="str">
        <f aca="false">IF($A152="N/A"," ",BK152+BL152+BN152+BO152+BQ152+BR152)</f>
        <v> </v>
      </c>
      <c r="DA152" s="318" t="str">
        <f aca="false">IF($A152="N/A"," ",BM152+BP152+BS152)</f>
        <v> </v>
      </c>
      <c r="DB152" s="319" t="str">
        <f aca="false">IF($A152="N/A"," ",BT152+BU152+BW152+BX152+BZ152+CA152)</f>
        <v> </v>
      </c>
      <c r="DC152" s="319" t="str">
        <f aca="false">IF($A152="N/A"," ",BV152+BY152+CB152)</f>
        <v> </v>
      </c>
      <c r="DD152" s="320" t="str">
        <f aca="false">IF($A152="N/A"," ",SUM(CC152:CK152))</f>
        <v> </v>
      </c>
      <c r="DE152" s="321" t="str">
        <f aca="false">IF($A152="N/A"," ",VLOOKUP($A152,NumberofDaysTable,2)*Availability)</f>
        <v> </v>
      </c>
      <c r="DF152" s="94" t="str">
        <f aca="false">IF($A152="N/A"," ",VLOOKUP($A152,NumberofDaysTable,3)*Availability)</f>
        <v> </v>
      </c>
      <c r="DG152" s="322" t="str">
        <f aca="false">IF($A152="N/A"," ",VLOOKUP($A152,NumberofDaysTable,4)*Availability)</f>
        <v> </v>
      </c>
      <c r="DH152" s="323" t="str">
        <f aca="false">IF($A152="N/A"," ",IF(Option=1,$D152*Inputs!$S$15*SUM(AS152:BA152),0))</f>
        <v> </v>
      </c>
      <c r="DI152" s="324" t="str">
        <f aca="false">IF($A152="N/A"," ",IF(Option=1,$D152*Inputs!$S$16*SUM(AS152:BA152),0))</f>
        <v> </v>
      </c>
      <c r="DJ152" s="325" t="str">
        <f aca="false">IF($A152="N/A"," ",SUM(AS152:AT152))</f>
        <v> </v>
      </c>
      <c r="DK152" s="325" t="str">
        <f aca="false">IF($A152="N/A"," ",SUM(AU152:BA152))</f>
        <v> </v>
      </c>
      <c r="DL152" s="325" t="str">
        <f aca="false">IF($A152="N/A"," ",SUM(BB152:BC152))</f>
        <v> </v>
      </c>
      <c r="DM152" s="325" t="str">
        <f aca="false">IF($A152="N/A"," ",SUM(BD152:BJ152))</f>
        <v> </v>
      </c>
    </row>
    <row r="153" customFormat="false" ht="12.75" hidden="false" customHeight="false" outlineLevel="0" collapsed="false">
      <c r="A153" s="282" t="str">
        <f aca="false">IF(A152="N/A","N/A",IF(EDATE(A152,1)&gt;Inputs!$S$5,"N/A",EDATE(A152,1)))</f>
        <v>N/A</v>
      </c>
      <c r="B153" s="283" t="str">
        <f aca="false">IF(A153="N/A"," ",YEAR(A153))</f>
        <v> </v>
      </c>
      <c r="C153" s="284" t="str">
        <f aca="false">IF(A153="N/A"," ",VLOOKUP(A153,ScaledPrice,14))</f>
        <v> </v>
      </c>
      <c r="D153" s="285" t="str">
        <f aca="false">IF(A153="N/A"," ",(VLOOKUP(MONTH($A153),Hrtable,2))/1000)</f>
        <v> </v>
      </c>
      <c r="E153" s="286" t="str">
        <f aca="false">IF($A153="N/A"," ",(C153)*D153)</f>
        <v> </v>
      </c>
      <c r="F153" s="287" t="str">
        <f aca="false">IF(A153="N/A"," ",VOM*(1+VOMesc)^(YEAR(A153)-YEAR(Today)))</f>
        <v> </v>
      </c>
      <c r="G153" s="287" t="str">
        <f aca="false">IF(A153="N/A"," ",Perstart/VLOOKUP(Dayrun,'Pricing Inputs'!$AQ$4:$AS$14,3)/(CY153/CX153))</f>
        <v> </v>
      </c>
      <c r="H153" s="288" t="str">
        <f aca="false">IF(A153="N/A"," ",SUM(E153:G153))</f>
        <v> </v>
      </c>
      <c r="I153" s="289" t="str">
        <f aca="false">VLOOKUP($A153,ScaledPrice,6)</f>
        <v> </v>
      </c>
      <c r="J153" s="290" t="str">
        <f aca="false">VLOOKUP($A153,ScaledPrice,10)</f>
        <v> </v>
      </c>
      <c r="K153" s="290" t="str">
        <f aca="false">VLOOKUP($A153,ScaledPrice,13)</f>
        <v> </v>
      </c>
      <c r="L153" s="290" t="str">
        <f aca="false">VLOOKUP($A153,ScaledPrice,7)</f>
        <v> </v>
      </c>
      <c r="M153" s="290" t="str">
        <f aca="false">VLOOKUP($A153,ScaledPrice,11)</f>
        <v> </v>
      </c>
      <c r="N153" s="290" t="str">
        <f aca="false">VLOOKUP($A153,ScaledPrice,13)</f>
        <v> </v>
      </c>
      <c r="O153" s="290" t="str">
        <f aca="false">VLOOKUP($A153,ScaledPrice,8)</f>
        <v> </v>
      </c>
      <c r="P153" s="290" t="str">
        <f aca="false">VLOOKUP($A153,ScaledPrice,12)</f>
        <v> </v>
      </c>
      <c r="Q153" s="291" t="str">
        <f aca="false">VLOOKUP($A153,ScaledPrice,13)</f>
        <v> </v>
      </c>
      <c r="R153" s="292" t="str">
        <f aca="false">IF($A153="N/A"," ",IF(Dayrun&gt;=3,IF(Option=1,MAX($I153-$H153,0),IF(Option=2,MAX($H153-$I153,0),0)),0))</f>
        <v> </v>
      </c>
      <c r="S153" s="286" t="str">
        <f aca="false">IF($A153="N/A"," ",IF(Dayrun&gt;=6,IF(Option=1,MAX($J153-H153,0),IF(Option=2,MAX(H153-$J153,0),0)),0))</f>
        <v> </v>
      </c>
      <c r="T153" s="286" t="str">
        <f aca="false">IF($A153="N/A"," ",IF(OR(Dayrun&lt;=2,Dayrun&gt;=9),IF(Option=1,MAX($K153-$H153,0),IF(Option=2,MAX($H153-$K153,0),0)),0))</f>
        <v> </v>
      </c>
      <c r="U153" s="286" t="str">
        <f aca="false">IF($A153="N/A"," ",IF(OR(Dayrun=1,Dayrun=4,Dayrun=5,Dayrun=7,Dayrun=8,Dayrun=10,Dayrun=11),IF(Option=1,MAX($L153-H153,0),IF(Option=2,MAX(H153-$L153,0),0)),0))</f>
        <v> </v>
      </c>
      <c r="V153" s="286" t="str">
        <f aca="false">IF($A153="N/A"," ",IF(OR(Dayrun=1,Dayrun=7,Dayrun=8,Dayrun=10,Dayrun=11),IF(Option=1,MAX($M153-H153,0),IF(Option=2,MAX(H153-$M153,0),0)),0))</f>
        <v> </v>
      </c>
      <c r="W153" s="286" t="str">
        <f aca="false">IF($A153="N/A"," ",IF(OR(Dayrun&lt;=2,Dayrun&gt;=10),IF(Option=1,MAX($N153-$H153,0),IF(Option=2,MAX($H153-$N153,0),0)),0))</f>
        <v> </v>
      </c>
      <c r="X153" s="286" t="str">
        <f aca="false">IF($A153="N/A"," ",IF(OR(Dayrun=1,Dayrun=5,Dayrun=8,Dayrun=11),IF(Option=1,MAX($O153-H153,0),IF(Option=2,MAX(H153-$O153,0),0)),0))</f>
        <v> </v>
      </c>
      <c r="Y153" s="286" t="str">
        <f aca="false">IF($A153="N/A"," ",IF(OR(Dayrun=1,Dayrun=8,Dayrun=11),IF(Option=1,MAX($P153-H153,0),IF(Option=2,MAX(H153-$P153,0),0)),0))</f>
        <v> </v>
      </c>
      <c r="Z153" s="293" t="str">
        <f aca="false">IF($A153="N/A"," ",IF(OR(Dayrun&lt;=2,Dayrun&gt;=11),IF(Option=1,MAX($Q153-$H153,0),IF(Option=2,MAX($H153-$Q153,0),0)),0))</f>
        <v> </v>
      </c>
      <c r="AA153" s="289" t="str">
        <f aca="false">IF($A153="N/A"," ",IF(Dayrun&gt;=3,(MAX(0,(xSPRDOPT(I153,($E153-'Pricing Inputs'!$X188*$D153),$CV153,0,($CN153+IF(Smile=TRUE(),VLOOKUP(MAX(-5,$H153-I153),Volsmile,2),0)),$CT153,$CU153,($A153-DateToday)+15,ABS(Option-2),0)-R153))),0))</f>
        <v> </v>
      </c>
      <c r="AB153" s="290" t="str">
        <f aca="false">IF($A153="N/A"," ",IF(Dayrun&gt;=6,MAX(0,(xSPRDOPT(J153,($E153-'Pricing Inputs'!$X188*$D153),$CV153,0,($CN153+IF(Smile=TRUE(),VLOOKUP(MAX(-5,$H153-J153),Volsmile,2),0)),$CT153,$CU153,($A153-DateToday)+15,ABS(Option-2),0)-S153)),0))</f>
        <v> </v>
      </c>
      <c r="AC153" s="290" t="str">
        <f aca="false">IF($A153="N/A"," ",IF(OR(Dayrun&lt;=2,Dayrun&gt;=9),IF(OffPeakEx=TRUE(),MAX(0,(xSPRDOPT(K153,($E153-'Pricing Inputs'!$X188*$D153),$CV153,0,($CQ153+IF(Smile=TRUE(),VLOOKUP(MAX(-5,$H153-K153),Volsmile,2),0)),$CT153,$CU153,($A153-DateToday)+15,ABS(Option-2),0)-T153)),0),0))</f>
        <v> </v>
      </c>
      <c r="AD153" s="290" t="str">
        <f aca="false">IF($A153="N/A"," ",IF(OR(Dayrun=1,Dayrun=4,Dayrun=5,Dayrun=7,Dayrun=8,Dayrun=10,Dayrun=11),MAX(0,(xSPRDOPT(L153,($E153-'Pricing Inputs'!$X188*$D153),$CV153,0,($CQ153+IF(Smile=TRUE(),VLOOKUP(MAX(-5,$H153-L153),Volsmile,2),0)),$CT153,$CU153,($A153-DateToday)+15,ABS(Option-2),0)-U153)),0))</f>
        <v> </v>
      </c>
      <c r="AE153" s="290" t="str">
        <f aca="false">IF($A153="N/A"," ",IF(OR(Dayrun=1,Dayrun=7,Dayrun=8,Dayrun=10,Dayrun=11),MAX(0,(xSPRDOPT(M153,($E153-'Pricing Inputs'!$X188*$D153),$CV153,0,($CQ153+IF(Smile=TRUE(),VLOOKUP(MAX(-5,$H153-M153),Volsmile,2),0)),$CT153,$CU153,($A153-DateToday)+15,ABS(Option-2),0)-V153)),0))</f>
        <v> </v>
      </c>
      <c r="AF153" s="290" t="str">
        <f aca="false">IF($A153="N/A"," ",IF(OR(Dayrun&lt;=2,Dayrun&gt;=10),IF(OffPeakEx=TRUE(),MAX(0,(xSPRDOPT(N153,($E153-'Pricing Inputs'!$X188*$D153),$CV153,0,($CQ153+IF(Smile=TRUE(),VLOOKUP(MAX(-5,$H153-N153),Volsmile,2),0)),$CT153,$CU153,($A153-DateToday)+15,ABS(Option-2),0)-W153)),0),0))</f>
        <v> </v>
      </c>
      <c r="AG153" s="290" t="str">
        <f aca="false">IF($A153="N/A"," ",IF(OR(Dayrun=1,Dayrun=5,Dayrun=8,Dayrun=11),MAX(0,(xSPRDOPT(O153,($E153-'Pricing Inputs'!$X188*$D153),$CV153,0,($CQ153+IF(Smile=TRUE(),VLOOKUP(MAX(-5,$H153-O153),Volsmile,2),0)),$CT153,$CU153,($A153-DateToday)+15,ABS(Option-2),0)-X153)),0))</f>
        <v> </v>
      </c>
      <c r="AH153" s="290" t="str">
        <f aca="false">IF($A153="N/A"," ",IF(OR(Dayrun=1,Dayrun=8,Dayrun=11),MAX(0,(xSPRDOPT(P153,($E153-'Pricing Inputs'!$X188*$D153),$CV153,0,($CQ153+IF(Smile=TRUE(),VLOOKUP(MAX(-5,$H153-P153),Volsmile,2),0)),$CT153,$CU153,($A153-DateToday)+15,ABS(Option-2),0)-Y153)),0))</f>
        <v> </v>
      </c>
      <c r="AI153" s="290" t="str">
        <f aca="false">IF($A153="N/A"," ",IF(OR(Dayrun&lt;=2,Dayrun&gt;=11),IF(OffPeakEx=TRUE(),MAX(0,(xSPRDOPT(Q153,($E153-'Pricing Inputs'!$X188*$D153),$CV153,0,($CQ153+IF(Smile=TRUE(),VLOOKUP(MAX(-5,$H153-Q153),Volsmile,2),0)),$CT153,$CU153,($A153-DateToday)+15,ABS(Option-2),0)-Z153)),0),0))</f>
        <v> </v>
      </c>
      <c r="AJ153" s="294" t="str">
        <f aca="false">IF($A153="N/A"," ",IF(Dayrun&gt;=3,IF(Option=1,$I153-$H153,IF(Option=2,$H153-$I153)),0))</f>
        <v> </v>
      </c>
      <c r="AK153" s="295" t="str">
        <f aca="false">IF($A153="N/A"," ",IF(Dayrun&gt;=6,IF(Option=1,$J153-H153,IF(Option=2,H153-$J153)),0))</f>
        <v> </v>
      </c>
      <c r="AL153" s="295" t="str">
        <f aca="false">IF($A153="N/A"," ",IF(OR(Dayrun&lt;=2,Dayrun&gt;=9),IF(Option=1,$K153-$H153,IF(Option=2,$H153-$K153)),0))</f>
        <v> </v>
      </c>
      <c r="AM153" s="295" t="str">
        <f aca="false">IF($A153="N/A"," ",IF(OR(Dayrun=1,Dayrun=4,Dayrun=5,Dayrun=7,Dayrun=8,Dayrun=10,Dayrun=11),IF(Option=1,$L153-H153,IF(Option=2,H153-$L153)),0))</f>
        <v> </v>
      </c>
      <c r="AN153" s="295" t="str">
        <f aca="false">IF($A153="N/A"," ",IF(OR(Dayrun=1,Dayrun=7,Dayrun=8,Dayrun=10,Dayrun=11),IF(Option=1,$M153-H153,IF(Option=2,H153-$M153)),0))</f>
        <v> </v>
      </c>
      <c r="AO153" s="295" t="str">
        <f aca="false">IF($A153="N/A"," ",IF(OR(Dayrun&lt;=2,Dayrun&gt;=9),IF(Option=1,$N153-$H153,IF(Option=2,$H153-$N153)),0))</f>
        <v> </v>
      </c>
      <c r="AP153" s="295" t="str">
        <f aca="false">IF($A153="N/A"," ",IF(OR(Dayrun=1,Dayrun=5,Dayrun=8,Dayrun=11),IF(Option=1,$O153-H153,IF(Option=2,H153-$O153)),0))</f>
        <v> </v>
      </c>
      <c r="AQ153" s="295" t="str">
        <f aca="false">IF($A153="N/A"," ",IF(OR(Dayrun=1,Dayrun=8,Dayrun=11),IF(Option=1,$P153-H153,IF(Option=2,H153-$P153)),0))</f>
        <v> </v>
      </c>
      <c r="AR153" s="296" t="str">
        <f aca="false">IF($A153="N/A"," ",IF(OR(Dayrun&lt;=2,Dayrun&gt;=9),IF(Option=1,$Q153-H153,IF(Option=2,H153-$Q153)),0))</f>
        <v> </v>
      </c>
      <c r="AS153" s="297" t="str">
        <f aca="false">IF($A153="N/A"," ",IF(VLOOKUP(MONTH($A153),ManualTable,2)=1,IF(Dayrun&gt;=3,$DE153*8*$CY153,0),0))</f>
        <v> </v>
      </c>
      <c r="AT153" s="297" t="str">
        <f aca="false">IF($A153="N/A"," ",IF(VLOOKUP(MONTH($A153),ManualTable,3)=1,IF(Dayrun&gt;=6,$DE153*8*$CY153,0),0))</f>
        <v> </v>
      </c>
      <c r="AU153" s="297" t="str">
        <f aca="false">IF($A153="N/A"," ",IF(VLOOKUP(MONTH($A153),ManualTable,4)=1,IF(OR(Dayrun&lt;=2,Dayrun&gt;=9),$DE153*8*$CY153,0),0))</f>
        <v> </v>
      </c>
      <c r="AV153" s="297" t="str">
        <f aca="false">IF($A153="N/A"," ",IF(VLOOKUP(MONTH($A153),ManualTable,5)=1,IF(OR(Dayrun=1,Dayrun=4,Dayrun=5,Dayrun=7,Dayrun=8,Dayrun=10,Dayrun=11),$DF153*8*$CY153,0),0))</f>
        <v> </v>
      </c>
      <c r="AW153" s="297" t="str">
        <f aca="false">IF($A153="N/A"," ",IF(VLOOKUP(MONTH($A153),ManualTable,6)=1,IF(OR(Dayrun=1,Dayrun=7,Dayrun=8,Dayrun=10,Dayrun=11),$DF153*8*$CY153,0),0))</f>
        <v> </v>
      </c>
      <c r="AX153" s="297" t="str">
        <f aca="false">IF($A153="N/A"," ",IF(VLOOKUP(MONTH($A153),ManualTable,7)=1,IF(OR(Dayrun&lt;=2,Dayrun&gt;=9),$DF153*8*$CY153,0),0))</f>
        <v> </v>
      </c>
      <c r="AY153" s="297" t="str">
        <f aca="false">IF($A153="N/A"," ",IF(VLOOKUP(MONTH($A153),ManualTable,8)=1,IF(OR(Dayrun=1,Dayrun=5,Dayrun=8,Dayrun=11),$DG153*8*$CY153,0),0))</f>
        <v> </v>
      </c>
      <c r="AZ153" s="297" t="str">
        <f aca="false">IF($A153="N/A"," ",IF(VLOOKUP(MONTH($A153),ManualTable,9)=1,IF(OR(Dayrun=1,Dayrun=8,Dayrun=11),$DG153*8*$CY153,0),0))</f>
        <v> </v>
      </c>
      <c r="BA153" s="298" t="str">
        <f aca="false">IF($A153="N/A"," ",IF(VLOOKUP(MONTH($A153),ManualTable,10)=1,IF(OR(Dayrun&lt;=2,Dayrun&gt;=9),$DG153*8*$CY153,0),0))</f>
        <v> </v>
      </c>
      <c r="BB153" s="299" t="str">
        <f aca="false">IF($A153="N/A"," ",IF(Dayrun&gt;=3,(MAX(0,(xSPRDOPT(I153,($E153-'Pricing Inputs'!$X188*$D153),$CV153,0,($CN153+IF(Smile=TRUE(),VLOOKUP(MAX(-5,$H153-I153),Volsmile,2),0)),$CT153,$CU153,($A153-DateToday)+15,ABS(Option-2),1)*DE153*8))),0))</f>
        <v> </v>
      </c>
      <c r="BC153" s="300" t="str">
        <f aca="false">IF($A153="N/A"," ",IF(Dayrun&gt;=6,MAX(0,(xSPRDOPT(J153,($E153-'Pricing Inputs'!$X188*$D153),$CV153,0,($CN153+IF(Smile=TRUE(),VLOOKUP(MAX(-5,$H153-J153),Volsmile,2),0)),$CT153,$CU153,($A153-DateToday)+15,ABS(Option-2),1)*DE153*8)),0))</f>
        <v> </v>
      </c>
      <c r="BD153" s="300" t="str">
        <f aca="false">IF($A153="N/A"," ",IF(OR(Dayrun&lt;=2,Dayrun&gt;=9),IF(OffPeakEx=TRUE(),MAX(0,(xSPRDOPT(K153,($E153-'Pricing Inputs'!$X188*$D153),$CV153,0,($CQ153+IF(Smile=TRUE(),VLOOKUP(MAX(-5,$H153-K153),Volsmile,2),0)),$CT153,$CU153,($A153-DateToday)+15,ABS(Option-2),1)*DE153*8)),0),0))</f>
        <v> </v>
      </c>
      <c r="BE153" s="300" t="str">
        <f aca="false">IF($A153="N/A"," ",IF(OR(Dayrun=1,Dayrun=4,Dayrun=5,Dayrun=7,Dayrun=8,Dayrun=10,Dayrun=11),MAX(0,(xSPRDOPT(L153,($E153-'Pricing Inputs'!$X188*$D153),$CV153,0,($CQ153+IF(Smile=TRUE(),VLOOKUP(MAX(-5,$H153-L153),Volsmile,2),0)),$CT153,$CU153,($A153-DateToday)+15,ABS(Option-2),1)*DF153*8)),0))</f>
        <v> </v>
      </c>
      <c r="BF153" s="300" t="str">
        <f aca="false">IF($A153="N/A"," ",IF(OR(Dayrun=1,Dayrun=7,Dayrun=8,Dayrun=10,Dayrun=11),MAX(0,(xSPRDOPT(M153,($E153-'Pricing Inputs'!$X188*$D153),$CV153,0,($CQ153+IF(Smile=TRUE(),VLOOKUP(MAX(-5,$H153-M153),Volsmile,2),0)),$CT153,$CU153,($A153-DateToday)+15,ABS(Option-2),1)*DF153*8)),0))</f>
        <v> </v>
      </c>
      <c r="BG153" s="300" t="str">
        <f aca="false">IF($A153="N/A"," ",IF(OR(Dayrun&lt;=2,Dayrun&gt;=10),IF(OffPeakEx=TRUE(),MAX(0,(xSPRDOPT(N153,($E153-'Pricing Inputs'!$X188*$D153),$CV153,0,($CQ153+IF(Smile=TRUE(),VLOOKUP(MAX(-5,$H153-N153),Volsmile,2),0)),$CT153,$CU153,($A153-DateToday)+15,ABS(Option-2),1)*DF153*8)),0),0))</f>
        <v> </v>
      </c>
      <c r="BH153" s="300" t="str">
        <f aca="false">IF($A153="N/A"," ",IF(OR(Dayrun=1,Dayrun=5,Dayrun=8,Dayrun=11),MAX(0,(xSPRDOPT(O153,($E153-'Pricing Inputs'!$X188*$D153),$CV153,0,($CQ153+IF(Smile=TRUE(),VLOOKUP(MAX(-5,$H153-O153),Volsmile,2),0)),$CT153,$CU153,($A153-DateToday)+15,ABS(Option-2),1)*DG153*8)),0))</f>
        <v> </v>
      </c>
      <c r="BI153" s="300" t="str">
        <f aca="false">IF($A153="N/A"," ",IF(OR(Dayrun=1,Dayrun=8,Dayrun=11),MAX(0,(xSPRDOPT(P153,($E153-'Pricing Inputs'!$X188*$D153),$CV153,0,($CQ153+IF(Smile=TRUE(),VLOOKUP(MAX(-5,$H153-P153),Volsmile,2),0)),$CT153,$CU153,($A153-DateToday)+15,ABS(Option-2),1)*DG153*8)),0))</f>
        <v> </v>
      </c>
      <c r="BJ153" s="301" t="str">
        <f aca="false">IF($A153="N/A"," ",IF(OR(Dayrun&lt;=2,Dayrun&gt;=11),IF(OffPeakEx=TRUE(),MAX(0,(xSPRDOPT(Q153,($E153-'Pricing Inputs'!$X188*$D153),$CV153,0,($CQ153+IF(Smile=TRUE(),VLOOKUP(MAX(-5,$H153-Q153),Volsmile,2),0)),$CT153,$CU153,($A153-DateToday)+15,ABS(Option-2),1)*DG153*8)),0),0))</f>
        <v> </v>
      </c>
      <c r="BK153" s="302" t="str">
        <f aca="false">IF($A153="N/A"," ",R153*$AS153)</f>
        <v> </v>
      </c>
      <c r="BL153" s="303" t="str">
        <f aca="false">IF($A153="N/A"," ",S153*$AT153)</f>
        <v> </v>
      </c>
      <c r="BM153" s="303" t="str">
        <f aca="false">IF($A153="N/A"," ",T153*$AU153)</f>
        <v> </v>
      </c>
      <c r="BN153" s="303" t="str">
        <f aca="false">IF($A153="N/A"," ",U153*$AV153)</f>
        <v> </v>
      </c>
      <c r="BO153" s="303" t="str">
        <f aca="false">IF($A153="N/A"," ",V153*$AW153)</f>
        <v> </v>
      </c>
      <c r="BP153" s="303" t="str">
        <f aca="false">IF($A153="N/A"," ",W153*$AX153)</f>
        <v> </v>
      </c>
      <c r="BQ153" s="303" t="str">
        <f aca="false">IF($A153="N/A"," ",X153*$AY153)</f>
        <v> </v>
      </c>
      <c r="BR153" s="303" t="str">
        <f aca="false">IF($A153="N/A"," ",Y153*$AZ153)</f>
        <v> </v>
      </c>
      <c r="BS153" s="304" t="str">
        <f aca="false">IF($A153="N/A"," ",Z153*$BA153)</f>
        <v> </v>
      </c>
      <c r="BT153" s="305" t="str">
        <f aca="false">IF($A153="N/A"," ",AA153*$AS153)</f>
        <v> </v>
      </c>
      <c r="BU153" s="306" t="str">
        <f aca="false">IF($A153="N/A"," ",AB153*$AT153)</f>
        <v> </v>
      </c>
      <c r="BV153" s="306" t="str">
        <f aca="false">IF($A153="N/A"," ",AC153*$AU153)</f>
        <v> </v>
      </c>
      <c r="BW153" s="306" t="str">
        <f aca="false">IF($A153="N/A"," ",AD153*$AV153)</f>
        <v> </v>
      </c>
      <c r="BX153" s="306" t="str">
        <f aca="false">IF($A153="N/A"," ",AE153*$AW153)</f>
        <v> </v>
      </c>
      <c r="BY153" s="306" t="str">
        <f aca="false">IF($A153="N/A"," ",AF153*$AX153)</f>
        <v> </v>
      </c>
      <c r="BZ153" s="306" t="str">
        <f aca="false">IF($A153="N/A"," ",AG153*$AY153)</f>
        <v> </v>
      </c>
      <c r="CA153" s="306" t="str">
        <f aca="false">IF($A153="N/A"," ",AH153*$AZ153)</f>
        <v> </v>
      </c>
      <c r="CB153" s="307" t="str">
        <f aca="false">IF($A153="N/A"," ",AI153*$BA153)</f>
        <v> </v>
      </c>
      <c r="CC153" s="308" t="str">
        <f aca="false">IF($A153="N/A"," ",AJ153*$AS153)</f>
        <v> </v>
      </c>
      <c r="CD153" s="309" t="str">
        <f aca="false">IF($A153="N/A"," ",AK153*$AT153)</f>
        <v> </v>
      </c>
      <c r="CE153" s="309" t="str">
        <f aca="false">IF($A153="N/A"," ",AL153*$AU153)</f>
        <v> </v>
      </c>
      <c r="CF153" s="309" t="str">
        <f aca="false">IF($A153="N/A"," ",AM153*$AV153)</f>
        <v> </v>
      </c>
      <c r="CG153" s="309" t="str">
        <f aca="false">IF($A153="N/A"," ",AN153*$AW153)</f>
        <v> </v>
      </c>
      <c r="CH153" s="309" t="str">
        <f aca="false">IF($A153="N/A"," ",AO153*$AX153)</f>
        <v> </v>
      </c>
      <c r="CI153" s="309" t="str">
        <f aca="false">IF($A153="N/A"," ",AP153*$AY153)</f>
        <v> </v>
      </c>
      <c r="CJ153" s="309" t="str">
        <f aca="false">IF($A153="N/A"," ",AQ153*$AZ153)</f>
        <v> </v>
      </c>
      <c r="CK153" s="310" t="str">
        <f aca="false">IF($A153="N/A"," ",AR153*$BA153)</f>
        <v> </v>
      </c>
      <c r="CL153" s="311" t="str">
        <f aca="false">IF(A153="N/A"," ",(VLOOKUP(A153,PowerVolTable,(IF(VolBMO=2,7,IF(VolBMO=1,6,8))),FALSE())))</f>
        <v> </v>
      </c>
      <c r="CM153" s="312" t="str">
        <f aca="false">IF(A153="N/A"," ",(VLOOKUP(A153,IntraPowerVol,(IF(VolBMO=2,3,IF(VolBMO=1,2,4))),FALSE())*VLOOKUP(MONTH($A153),Volscale,2)))</f>
        <v> </v>
      </c>
      <c r="CN153" s="312" t="str">
        <f aca="false">IF($A153="N/A"," ",IF(VolType=1,CM153,CL153))</f>
        <v> </v>
      </c>
      <c r="CO153" s="312" t="str">
        <f aca="false">IF($A153="N/A"," ",(VLOOKUP($A153,OffPeakVol,(IF(VolBMO=2,7,IF(VolBMO=1,6,8))),FALSE())))</f>
        <v> </v>
      </c>
      <c r="CP153" s="312" t="str">
        <f aca="false">IF($A153="N/A"," ",(VLOOKUP($A153,OffPeakVol,(IF(VolBMO=2,3,IF(VolBMO=1,2,4))),FALSE())*VLOOKUP(MONTH($A153),Volscale,2)))</f>
        <v> </v>
      </c>
      <c r="CQ153" s="312" t="str">
        <f aca="false">IF($A153="N/A"," ",IF(VolType=1,CP153,CO153))</f>
        <v> </v>
      </c>
      <c r="CR153" s="312" t="str">
        <f aca="false">IF($A153="N/A"," ",(VLOOKUP($A153,GasVolTable,(IF(VolBMO=2,6,IF(VolBMO=1,7,5))),FALSE())))</f>
        <v> </v>
      </c>
      <c r="CS153" s="312" t="str">
        <f aca="false">IF($A153="N/A"," ",(VLOOKUP($A153,OmicronVol,(IF(VolBMO=2,3,IF(VolBMO=1,4,2))),FALSE())))</f>
        <v> </v>
      </c>
      <c r="CT153" s="312" t="str">
        <f aca="false">IF($A153="N/A"," ",(IF(DateToday&gt;$A153,$CS153,IF(VolType=1,((($CR153^2)*((($A153-1)-DateToday)/((EOMONTH($A153,0)+1)-DateToday-15)))+((($CS153)^2)*((15)/((EOMONTH($A153,0)+1)-DateToday-15))))^0.5,CR153))))</f>
        <v> </v>
      </c>
      <c r="CU153" s="312" t="str">
        <f aca="false">IF($A153="N/A"," ",IF('Pricing Inputs'!$AR$23=TRUE(),Inputs!$S$22,VLOOKUP($A153,CorrelationTable,2,FALSE())))</f>
        <v> </v>
      </c>
      <c r="CV153" s="313" t="str">
        <f aca="false">IF($A153="N/A"," ",F153+G153+(D153*('Pricing Inputs'!X188)))</f>
        <v> </v>
      </c>
      <c r="CW153" s="314" t="str">
        <f aca="false">IF($A153="N/A"," ",IF(PV=1,0,'Pricing Inputs'!Y188))</f>
        <v> </v>
      </c>
      <c r="CX153" s="315" t="str">
        <f aca="false">IF($A153="N/A"," ",(1+CW153/2)^(-2*((EOMONTH(A153,0)+20)-DateToday)/365.25))</f>
        <v> </v>
      </c>
      <c r="CY153" s="316" t="str">
        <f aca="false">IF($A153="N/A"," ",(IF(MONTH(A153)&gt;=4,IF(MONTH(A153)&lt;=10,Inputs!$S$26,Inputs!$S$27),Inputs!$S$27))*$CX153)</f>
        <v> </v>
      </c>
      <c r="CZ153" s="317" t="str">
        <f aca="false">IF($A153="N/A"," ",BK153+BL153+BN153+BO153+BQ153+BR153)</f>
        <v> </v>
      </c>
      <c r="DA153" s="318" t="str">
        <f aca="false">IF($A153="N/A"," ",BM153+BP153+BS153)</f>
        <v> </v>
      </c>
      <c r="DB153" s="319" t="str">
        <f aca="false">IF($A153="N/A"," ",BT153+BU153+BW153+BX153+BZ153+CA153)</f>
        <v> </v>
      </c>
      <c r="DC153" s="319" t="str">
        <f aca="false">IF($A153="N/A"," ",BV153+BY153+CB153)</f>
        <v> </v>
      </c>
      <c r="DD153" s="320" t="str">
        <f aca="false">IF($A153="N/A"," ",SUM(CC153:CK153))</f>
        <v> </v>
      </c>
      <c r="DE153" s="321" t="str">
        <f aca="false">IF($A153="N/A"," ",VLOOKUP($A153,NumberofDaysTable,2)*Availability)</f>
        <v> </v>
      </c>
      <c r="DF153" s="94" t="str">
        <f aca="false">IF($A153="N/A"," ",VLOOKUP($A153,NumberofDaysTable,3)*Availability)</f>
        <v> </v>
      </c>
      <c r="DG153" s="322" t="str">
        <f aca="false">IF($A153="N/A"," ",VLOOKUP($A153,NumberofDaysTable,4)*Availability)</f>
        <v> </v>
      </c>
      <c r="DH153" s="323" t="str">
        <f aca="false">IF($A153="N/A"," ",IF(Option=1,$D153*Inputs!$S$15*SUM(AS153:BA153),0))</f>
        <v> </v>
      </c>
      <c r="DI153" s="324" t="str">
        <f aca="false">IF($A153="N/A"," ",IF(Option=1,$D153*Inputs!$S$16*SUM(AS153:BA153),0))</f>
        <v> </v>
      </c>
      <c r="DJ153" s="325" t="str">
        <f aca="false">IF($A153="N/A"," ",SUM(AS153:AT153))</f>
        <v> </v>
      </c>
      <c r="DK153" s="325" t="str">
        <f aca="false">IF($A153="N/A"," ",SUM(AU153:BA153))</f>
        <v> </v>
      </c>
      <c r="DL153" s="325" t="str">
        <f aca="false">IF($A153="N/A"," ",SUM(BB153:BC153))</f>
        <v> </v>
      </c>
      <c r="DM153" s="325" t="str">
        <f aca="false">IF($A153="N/A"," ",SUM(BD153:BJ153))</f>
        <v> </v>
      </c>
    </row>
    <row r="154" customFormat="false" ht="12.75" hidden="false" customHeight="false" outlineLevel="0" collapsed="false">
      <c r="A154" s="282" t="str">
        <f aca="false">IF(A153="N/A","N/A",IF(EDATE(A153,1)&gt;Inputs!$S$5,"N/A",EDATE(A153,1)))</f>
        <v>N/A</v>
      </c>
      <c r="B154" s="283" t="str">
        <f aca="false">IF(A154="N/A"," ",YEAR(A154))</f>
        <v> </v>
      </c>
      <c r="C154" s="284" t="str">
        <f aca="false">IF(A154="N/A"," ",VLOOKUP(A154,ScaledPrice,14))</f>
        <v> </v>
      </c>
      <c r="D154" s="285" t="str">
        <f aca="false">IF(A154="N/A"," ",(VLOOKUP(MONTH($A154),Hrtable,2))/1000)</f>
        <v> </v>
      </c>
      <c r="E154" s="286" t="str">
        <f aca="false">IF($A154="N/A"," ",(C154)*D154)</f>
        <v> </v>
      </c>
      <c r="F154" s="287" t="str">
        <f aca="false">IF(A154="N/A"," ",VOM*(1+VOMesc)^(YEAR(A154)-YEAR(Today)))</f>
        <v> </v>
      </c>
      <c r="G154" s="287" t="str">
        <f aca="false">IF(A154="N/A"," ",Perstart/VLOOKUP(Dayrun,'Pricing Inputs'!$AQ$4:$AS$14,3)/(CY154/CX154))</f>
        <v> </v>
      </c>
      <c r="H154" s="288" t="str">
        <f aca="false">IF(A154="N/A"," ",SUM(E154:G154))</f>
        <v> </v>
      </c>
      <c r="I154" s="289" t="str">
        <f aca="false">VLOOKUP($A154,ScaledPrice,6)</f>
        <v> </v>
      </c>
      <c r="J154" s="290" t="str">
        <f aca="false">VLOOKUP($A154,ScaledPrice,10)</f>
        <v> </v>
      </c>
      <c r="K154" s="290" t="str">
        <f aca="false">VLOOKUP($A154,ScaledPrice,13)</f>
        <v> </v>
      </c>
      <c r="L154" s="290" t="str">
        <f aca="false">VLOOKUP($A154,ScaledPrice,7)</f>
        <v> </v>
      </c>
      <c r="M154" s="290" t="str">
        <f aca="false">VLOOKUP($A154,ScaledPrice,11)</f>
        <v> </v>
      </c>
      <c r="N154" s="290" t="str">
        <f aca="false">VLOOKUP($A154,ScaledPrice,13)</f>
        <v> </v>
      </c>
      <c r="O154" s="290" t="str">
        <f aca="false">VLOOKUP($A154,ScaledPrice,8)</f>
        <v> </v>
      </c>
      <c r="P154" s="290" t="str">
        <f aca="false">VLOOKUP($A154,ScaledPrice,12)</f>
        <v> </v>
      </c>
      <c r="Q154" s="291" t="str">
        <f aca="false">VLOOKUP($A154,ScaledPrice,13)</f>
        <v> </v>
      </c>
      <c r="R154" s="292" t="str">
        <f aca="false">IF($A154="N/A"," ",IF(Dayrun&gt;=3,IF(Option=1,MAX($I154-$H154,0),IF(Option=2,MAX($H154-$I154,0),0)),0))</f>
        <v> </v>
      </c>
      <c r="S154" s="286" t="str">
        <f aca="false">IF($A154="N/A"," ",IF(Dayrun&gt;=6,IF(Option=1,MAX($J154-H154,0),IF(Option=2,MAX(H154-$J154,0),0)),0))</f>
        <v> </v>
      </c>
      <c r="T154" s="286" t="str">
        <f aca="false">IF($A154="N/A"," ",IF(OR(Dayrun&lt;=2,Dayrun&gt;=9),IF(Option=1,MAX($K154-$H154,0),IF(Option=2,MAX($H154-$K154,0),0)),0))</f>
        <v> </v>
      </c>
      <c r="U154" s="286" t="str">
        <f aca="false">IF($A154="N/A"," ",IF(OR(Dayrun=1,Dayrun=4,Dayrun=5,Dayrun=7,Dayrun=8,Dayrun=10,Dayrun=11),IF(Option=1,MAX($L154-H154,0),IF(Option=2,MAX(H154-$L154,0),0)),0))</f>
        <v> </v>
      </c>
      <c r="V154" s="286" t="str">
        <f aca="false">IF($A154="N/A"," ",IF(OR(Dayrun=1,Dayrun=7,Dayrun=8,Dayrun=10,Dayrun=11),IF(Option=1,MAX($M154-H154,0),IF(Option=2,MAX(H154-$M154,0),0)),0))</f>
        <v> </v>
      </c>
      <c r="W154" s="286" t="str">
        <f aca="false">IF($A154="N/A"," ",IF(OR(Dayrun&lt;=2,Dayrun&gt;=10),IF(Option=1,MAX($N154-$H154,0),IF(Option=2,MAX($H154-$N154,0),0)),0))</f>
        <v> </v>
      </c>
      <c r="X154" s="286" t="str">
        <f aca="false">IF($A154="N/A"," ",IF(OR(Dayrun=1,Dayrun=5,Dayrun=8,Dayrun=11),IF(Option=1,MAX($O154-H154,0),IF(Option=2,MAX(H154-$O154,0),0)),0))</f>
        <v> </v>
      </c>
      <c r="Y154" s="286" t="str">
        <f aca="false">IF($A154="N/A"," ",IF(OR(Dayrun=1,Dayrun=8,Dayrun=11),IF(Option=1,MAX($P154-H154,0),IF(Option=2,MAX(H154-$P154,0),0)),0))</f>
        <v> </v>
      </c>
      <c r="Z154" s="293" t="str">
        <f aca="false">IF($A154="N/A"," ",IF(OR(Dayrun&lt;=2,Dayrun&gt;=11),IF(Option=1,MAX($Q154-$H154,0),IF(Option=2,MAX($H154-$Q154,0),0)),0))</f>
        <v> </v>
      </c>
      <c r="AA154" s="289" t="str">
        <f aca="false">IF($A154="N/A"," ",IF(Dayrun&gt;=3,(MAX(0,(xSPRDOPT(I154,($E154-'Pricing Inputs'!$X189*$D154),$CV154,0,($CN154+IF(Smile=TRUE(),VLOOKUP(MAX(-5,$H154-I154),Volsmile,2),0)),$CT154,$CU154,($A154-DateToday)+15,ABS(Option-2),0)-R154))),0))</f>
        <v> </v>
      </c>
      <c r="AB154" s="290" t="str">
        <f aca="false">IF($A154="N/A"," ",IF(Dayrun&gt;=6,MAX(0,(xSPRDOPT(J154,($E154-'Pricing Inputs'!$X189*$D154),$CV154,0,($CN154+IF(Smile=TRUE(),VLOOKUP(MAX(-5,$H154-J154),Volsmile,2),0)),$CT154,$CU154,($A154-DateToday)+15,ABS(Option-2),0)-S154)),0))</f>
        <v> </v>
      </c>
      <c r="AC154" s="290" t="str">
        <f aca="false">IF($A154="N/A"," ",IF(OR(Dayrun&lt;=2,Dayrun&gt;=9),IF(OffPeakEx=TRUE(),MAX(0,(xSPRDOPT(K154,($E154-'Pricing Inputs'!$X189*$D154),$CV154,0,($CQ154+IF(Smile=TRUE(),VLOOKUP(MAX(-5,$H154-K154),Volsmile,2),0)),$CT154,$CU154,($A154-DateToday)+15,ABS(Option-2),0)-T154)),0),0))</f>
        <v> </v>
      </c>
      <c r="AD154" s="290" t="str">
        <f aca="false">IF($A154="N/A"," ",IF(OR(Dayrun=1,Dayrun=4,Dayrun=5,Dayrun=7,Dayrun=8,Dayrun=10,Dayrun=11),MAX(0,(xSPRDOPT(L154,($E154-'Pricing Inputs'!$X189*$D154),$CV154,0,($CQ154+IF(Smile=TRUE(),VLOOKUP(MAX(-5,$H154-L154),Volsmile,2),0)),$CT154,$CU154,($A154-DateToday)+15,ABS(Option-2),0)-U154)),0))</f>
        <v> </v>
      </c>
      <c r="AE154" s="290" t="str">
        <f aca="false">IF($A154="N/A"," ",IF(OR(Dayrun=1,Dayrun=7,Dayrun=8,Dayrun=10,Dayrun=11),MAX(0,(xSPRDOPT(M154,($E154-'Pricing Inputs'!$X189*$D154),$CV154,0,($CQ154+IF(Smile=TRUE(),VLOOKUP(MAX(-5,$H154-M154),Volsmile,2),0)),$CT154,$CU154,($A154-DateToday)+15,ABS(Option-2),0)-V154)),0))</f>
        <v> </v>
      </c>
      <c r="AF154" s="290" t="str">
        <f aca="false">IF($A154="N/A"," ",IF(OR(Dayrun&lt;=2,Dayrun&gt;=10),IF(OffPeakEx=TRUE(),MAX(0,(xSPRDOPT(N154,($E154-'Pricing Inputs'!$X189*$D154),$CV154,0,($CQ154+IF(Smile=TRUE(),VLOOKUP(MAX(-5,$H154-N154),Volsmile,2),0)),$CT154,$CU154,($A154-DateToday)+15,ABS(Option-2),0)-W154)),0),0))</f>
        <v> </v>
      </c>
      <c r="AG154" s="290" t="str">
        <f aca="false">IF($A154="N/A"," ",IF(OR(Dayrun=1,Dayrun=5,Dayrun=8,Dayrun=11),MAX(0,(xSPRDOPT(O154,($E154-'Pricing Inputs'!$X189*$D154),$CV154,0,($CQ154+IF(Smile=TRUE(),VLOOKUP(MAX(-5,$H154-O154),Volsmile,2),0)),$CT154,$CU154,($A154-DateToday)+15,ABS(Option-2),0)-X154)),0))</f>
        <v> </v>
      </c>
      <c r="AH154" s="290" t="str">
        <f aca="false">IF($A154="N/A"," ",IF(OR(Dayrun=1,Dayrun=8,Dayrun=11),MAX(0,(xSPRDOPT(P154,($E154-'Pricing Inputs'!$X189*$D154),$CV154,0,($CQ154+IF(Smile=TRUE(),VLOOKUP(MAX(-5,$H154-P154),Volsmile,2),0)),$CT154,$CU154,($A154-DateToday)+15,ABS(Option-2),0)-Y154)),0))</f>
        <v> </v>
      </c>
      <c r="AI154" s="290" t="str">
        <f aca="false">IF($A154="N/A"," ",IF(OR(Dayrun&lt;=2,Dayrun&gt;=11),IF(OffPeakEx=TRUE(),MAX(0,(xSPRDOPT(Q154,($E154-'Pricing Inputs'!$X189*$D154),$CV154,0,($CQ154+IF(Smile=TRUE(),VLOOKUP(MAX(-5,$H154-Q154),Volsmile,2),0)),$CT154,$CU154,($A154-DateToday)+15,ABS(Option-2),0)-Z154)),0),0))</f>
        <v> </v>
      </c>
      <c r="AJ154" s="294" t="str">
        <f aca="false">IF($A154="N/A"," ",IF(Dayrun&gt;=3,IF(Option=1,$I154-$H154,IF(Option=2,$H154-$I154)),0))</f>
        <v> </v>
      </c>
      <c r="AK154" s="295" t="str">
        <f aca="false">IF($A154="N/A"," ",IF(Dayrun&gt;=6,IF(Option=1,$J154-H154,IF(Option=2,H154-$J154)),0))</f>
        <v> </v>
      </c>
      <c r="AL154" s="295" t="str">
        <f aca="false">IF($A154="N/A"," ",IF(OR(Dayrun&lt;=2,Dayrun&gt;=9),IF(Option=1,$K154-$H154,IF(Option=2,$H154-$K154)),0))</f>
        <v> </v>
      </c>
      <c r="AM154" s="295" t="str">
        <f aca="false">IF($A154="N/A"," ",IF(OR(Dayrun=1,Dayrun=4,Dayrun=5,Dayrun=7,Dayrun=8,Dayrun=10,Dayrun=11),IF(Option=1,$L154-H154,IF(Option=2,H154-$L154)),0))</f>
        <v> </v>
      </c>
      <c r="AN154" s="295" t="str">
        <f aca="false">IF($A154="N/A"," ",IF(OR(Dayrun=1,Dayrun=7,Dayrun=8,Dayrun=10,Dayrun=11),IF(Option=1,$M154-H154,IF(Option=2,H154-$M154)),0))</f>
        <v> </v>
      </c>
      <c r="AO154" s="295" t="str">
        <f aca="false">IF($A154="N/A"," ",IF(OR(Dayrun&lt;=2,Dayrun&gt;=9),IF(Option=1,$N154-$H154,IF(Option=2,$H154-$N154)),0))</f>
        <v> </v>
      </c>
      <c r="AP154" s="295" t="str">
        <f aca="false">IF($A154="N/A"," ",IF(OR(Dayrun=1,Dayrun=5,Dayrun=8,Dayrun=11),IF(Option=1,$O154-H154,IF(Option=2,H154-$O154)),0))</f>
        <v> </v>
      </c>
      <c r="AQ154" s="295" t="str">
        <f aca="false">IF($A154="N/A"," ",IF(OR(Dayrun=1,Dayrun=8,Dayrun=11),IF(Option=1,$P154-H154,IF(Option=2,H154-$P154)),0))</f>
        <v> </v>
      </c>
      <c r="AR154" s="296" t="str">
        <f aca="false">IF($A154="N/A"," ",IF(OR(Dayrun&lt;=2,Dayrun&gt;=9),IF(Option=1,$Q154-H154,IF(Option=2,H154-$Q154)),0))</f>
        <v> </v>
      </c>
      <c r="AS154" s="297" t="str">
        <f aca="false">IF($A154="N/A"," ",IF(VLOOKUP(MONTH($A154),ManualTable,2)=1,IF(Dayrun&gt;=3,$DE154*8*$CY154,0),0))</f>
        <v> </v>
      </c>
      <c r="AT154" s="297" t="str">
        <f aca="false">IF($A154="N/A"," ",IF(VLOOKUP(MONTH($A154),ManualTable,3)=1,IF(Dayrun&gt;=6,$DE154*8*$CY154,0),0))</f>
        <v> </v>
      </c>
      <c r="AU154" s="297" t="str">
        <f aca="false">IF($A154="N/A"," ",IF(VLOOKUP(MONTH($A154),ManualTable,4)=1,IF(OR(Dayrun&lt;=2,Dayrun&gt;=9),$DE154*8*$CY154,0),0))</f>
        <v> </v>
      </c>
      <c r="AV154" s="297" t="str">
        <f aca="false">IF($A154="N/A"," ",IF(VLOOKUP(MONTH($A154),ManualTable,5)=1,IF(OR(Dayrun=1,Dayrun=4,Dayrun=5,Dayrun=7,Dayrun=8,Dayrun=10,Dayrun=11),$DF154*8*$CY154,0),0))</f>
        <v> </v>
      </c>
      <c r="AW154" s="297" t="str">
        <f aca="false">IF($A154="N/A"," ",IF(VLOOKUP(MONTH($A154),ManualTable,6)=1,IF(OR(Dayrun=1,Dayrun=7,Dayrun=8,Dayrun=10,Dayrun=11),$DF154*8*$CY154,0),0))</f>
        <v> </v>
      </c>
      <c r="AX154" s="297" t="str">
        <f aca="false">IF($A154="N/A"," ",IF(VLOOKUP(MONTH($A154),ManualTable,7)=1,IF(OR(Dayrun&lt;=2,Dayrun&gt;=9),$DF154*8*$CY154,0),0))</f>
        <v> </v>
      </c>
      <c r="AY154" s="297" t="str">
        <f aca="false">IF($A154="N/A"," ",IF(VLOOKUP(MONTH($A154),ManualTable,8)=1,IF(OR(Dayrun=1,Dayrun=5,Dayrun=8,Dayrun=11),$DG154*8*$CY154,0),0))</f>
        <v> </v>
      </c>
      <c r="AZ154" s="297" t="str">
        <f aca="false">IF($A154="N/A"," ",IF(VLOOKUP(MONTH($A154),ManualTable,9)=1,IF(OR(Dayrun=1,Dayrun=8,Dayrun=11),$DG154*8*$CY154,0),0))</f>
        <v> </v>
      </c>
      <c r="BA154" s="298" t="str">
        <f aca="false">IF($A154="N/A"," ",IF(VLOOKUP(MONTH($A154),ManualTable,10)=1,IF(OR(Dayrun&lt;=2,Dayrun&gt;=9),$DG154*8*$CY154,0),0))</f>
        <v> </v>
      </c>
      <c r="BB154" s="299" t="str">
        <f aca="false">IF($A154="N/A"," ",IF(Dayrun&gt;=3,(MAX(0,(xSPRDOPT(I154,($E154-'Pricing Inputs'!$X189*$D154),$CV154,0,($CN154+IF(Smile=TRUE(),VLOOKUP(MAX(-5,$H154-I154),Volsmile,2),0)),$CT154,$CU154,($A154-DateToday)+15,ABS(Option-2),1)*DE154*8))),0))</f>
        <v> </v>
      </c>
      <c r="BC154" s="300" t="str">
        <f aca="false">IF($A154="N/A"," ",IF(Dayrun&gt;=6,MAX(0,(xSPRDOPT(J154,($E154-'Pricing Inputs'!$X189*$D154),$CV154,0,($CN154+IF(Smile=TRUE(),VLOOKUP(MAX(-5,$H154-J154),Volsmile,2),0)),$CT154,$CU154,($A154-DateToday)+15,ABS(Option-2),1)*DE154*8)),0))</f>
        <v> </v>
      </c>
      <c r="BD154" s="300" t="str">
        <f aca="false">IF($A154="N/A"," ",IF(OR(Dayrun&lt;=2,Dayrun&gt;=9),IF(OffPeakEx=TRUE(),MAX(0,(xSPRDOPT(K154,($E154-'Pricing Inputs'!$X189*$D154),$CV154,0,($CQ154+IF(Smile=TRUE(),VLOOKUP(MAX(-5,$H154-K154),Volsmile,2),0)),$CT154,$CU154,($A154-DateToday)+15,ABS(Option-2),1)*DE154*8)),0),0))</f>
        <v> </v>
      </c>
      <c r="BE154" s="300" t="str">
        <f aca="false">IF($A154="N/A"," ",IF(OR(Dayrun=1,Dayrun=4,Dayrun=5,Dayrun=7,Dayrun=8,Dayrun=10,Dayrun=11),MAX(0,(xSPRDOPT(L154,($E154-'Pricing Inputs'!$X189*$D154),$CV154,0,($CQ154+IF(Smile=TRUE(),VLOOKUP(MAX(-5,$H154-L154),Volsmile,2),0)),$CT154,$CU154,($A154-DateToday)+15,ABS(Option-2),1)*DF154*8)),0))</f>
        <v> </v>
      </c>
      <c r="BF154" s="300" t="str">
        <f aca="false">IF($A154="N/A"," ",IF(OR(Dayrun=1,Dayrun=7,Dayrun=8,Dayrun=10,Dayrun=11),MAX(0,(xSPRDOPT(M154,($E154-'Pricing Inputs'!$X189*$D154),$CV154,0,($CQ154+IF(Smile=TRUE(),VLOOKUP(MAX(-5,$H154-M154),Volsmile,2),0)),$CT154,$CU154,($A154-DateToday)+15,ABS(Option-2),1)*DF154*8)),0))</f>
        <v> </v>
      </c>
      <c r="BG154" s="300" t="str">
        <f aca="false">IF($A154="N/A"," ",IF(OR(Dayrun&lt;=2,Dayrun&gt;=10),IF(OffPeakEx=TRUE(),MAX(0,(xSPRDOPT(N154,($E154-'Pricing Inputs'!$X189*$D154),$CV154,0,($CQ154+IF(Smile=TRUE(),VLOOKUP(MAX(-5,$H154-N154),Volsmile,2),0)),$CT154,$CU154,($A154-DateToday)+15,ABS(Option-2),1)*DF154*8)),0),0))</f>
        <v> </v>
      </c>
      <c r="BH154" s="300" t="str">
        <f aca="false">IF($A154="N/A"," ",IF(OR(Dayrun=1,Dayrun=5,Dayrun=8,Dayrun=11),MAX(0,(xSPRDOPT(O154,($E154-'Pricing Inputs'!$X189*$D154),$CV154,0,($CQ154+IF(Smile=TRUE(),VLOOKUP(MAX(-5,$H154-O154),Volsmile,2),0)),$CT154,$CU154,($A154-DateToday)+15,ABS(Option-2),1)*DG154*8)),0))</f>
        <v> </v>
      </c>
      <c r="BI154" s="300" t="str">
        <f aca="false">IF($A154="N/A"," ",IF(OR(Dayrun=1,Dayrun=8,Dayrun=11),MAX(0,(xSPRDOPT(P154,($E154-'Pricing Inputs'!$X189*$D154),$CV154,0,($CQ154+IF(Smile=TRUE(),VLOOKUP(MAX(-5,$H154-P154),Volsmile,2),0)),$CT154,$CU154,($A154-DateToday)+15,ABS(Option-2),1)*DG154*8)),0))</f>
        <v> </v>
      </c>
      <c r="BJ154" s="301" t="str">
        <f aca="false">IF($A154="N/A"," ",IF(OR(Dayrun&lt;=2,Dayrun&gt;=11),IF(OffPeakEx=TRUE(),MAX(0,(xSPRDOPT(Q154,($E154-'Pricing Inputs'!$X189*$D154),$CV154,0,($CQ154+IF(Smile=TRUE(),VLOOKUP(MAX(-5,$H154-Q154),Volsmile,2),0)),$CT154,$CU154,($A154-DateToday)+15,ABS(Option-2),1)*DG154*8)),0),0))</f>
        <v> </v>
      </c>
      <c r="BK154" s="302" t="str">
        <f aca="false">IF($A154="N/A"," ",R154*$AS154)</f>
        <v> </v>
      </c>
      <c r="BL154" s="303" t="str">
        <f aca="false">IF($A154="N/A"," ",S154*$AT154)</f>
        <v> </v>
      </c>
      <c r="BM154" s="303" t="str">
        <f aca="false">IF($A154="N/A"," ",T154*$AU154)</f>
        <v> </v>
      </c>
      <c r="BN154" s="303" t="str">
        <f aca="false">IF($A154="N/A"," ",U154*$AV154)</f>
        <v> </v>
      </c>
      <c r="BO154" s="303" t="str">
        <f aca="false">IF($A154="N/A"," ",V154*$AW154)</f>
        <v> </v>
      </c>
      <c r="BP154" s="303" t="str">
        <f aca="false">IF($A154="N/A"," ",W154*$AX154)</f>
        <v> </v>
      </c>
      <c r="BQ154" s="303" t="str">
        <f aca="false">IF($A154="N/A"," ",X154*$AY154)</f>
        <v> </v>
      </c>
      <c r="BR154" s="303" t="str">
        <f aca="false">IF($A154="N/A"," ",Y154*$AZ154)</f>
        <v> </v>
      </c>
      <c r="BS154" s="304" t="str">
        <f aca="false">IF($A154="N/A"," ",Z154*$BA154)</f>
        <v> </v>
      </c>
      <c r="BT154" s="305" t="str">
        <f aca="false">IF($A154="N/A"," ",AA154*$AS154)</f>
        <v> </v>
      </c>
      <c r="BU154" s="306" t="str">
        <f aca="false">IF($A154="N/A"," ",AB154*$AT154)</f>
        <v> </v>
      </c>
      <c r="BV154" s="306" t="str">
        <f aca="false">IF($A154="N/A"," ",AC154*$AU154)</f>
        <v> </v>
      </c>
      <c r="BW154" s="306" t="str">
        <f aca="false">IF($A154="N/A"," ",AD154*$AV154)</f>
        <v> </v>
      </c>
      <c r="BX154" s="306" t="str">
        <f aca="false">IF($A154="N/A"," ",AE154*$AW154)</f>
        <v> </v>
      </c>
      <c r="BY154" s="306" t="str">
        <f aca="false">IF($A154="N/A"," ",AF154*$AX154)</f>
        <v> </v>
      </c>
      <c r="BZ154" s="306" t="str">
        <f aca="false">IF($A154="N/A"," ",AG154*$AY154)</f>
        <v> </v>
      </c>
      <c r="CA154" s="306" t="str">
        <f aca="false">IF($A154="N/A"," ",AH154*$AZ154)</f>
        <v> </v>
      </c>
      <c r="CB154" s="307" t="str">
        <f aca="false">IF($A154="N/A"," ",AI154*$BA154)</f>
        <v> </v>
      </c>
      <c r="CC154" s="308" t="str">
        <f aca="false">IF($A154="N/A"," ",AJ154*$AS154)</f>
        <v> </v>
      </c>
      <c r="CD154" s="309" t="str">
        <f aca="false">IF($A154="N/A"," ",AK154*$AT154)</f>
        <v> </v>
      </c>
      <c r="CE154" s="309" t="str">
        <f aca="false">IF($A154="N/A"," ",AL154*$AU154)</f>
        <v> </v>
      </c>
      <c r="CF154" s="309" t="str">
        <f aca="false">IF($A154="N/A"," ",AM154*$AV154)</f>
        <v> </v>
      </c>
      <c r="CG154" s="309" t="str">
        <f aca="false">IF($A154="N/A"," ",AN154*$AW154)</f>
        <v> </v>
      </c>
      <c r="CH154" s="309" t="str">
        <f aca="false">IF($A154="N/A"," ",AO154*$AX154)</f>
        <v> </v>
      </c>
      <c r="CI154" s="309" t="str">
        <f aca="false">IF($A154="N/A"," ",AP154*$AY154)</f>
        <v> </v>
      </c>
      <c r="CJ154" s="309" t="str">
        <f aca="false">IF($A154="N/A"," ",AQ154*$AZ154)</f>
        <v> </v>
      </c>
      <c r="CK154" s="310" t="str">
        <f aca="false">IF($A154="N/A"," ",AR154*$BA154)</f>
        <v> </v>
      </c>
      <c r="CL154" s="311" t="str">
        <f aca="false">IF(A154="N/A"," ",(VLOOKUP(A154,PowerVolTable,(IF(VolBMO=2,7,IF(VolBMO=1,6,8))),FALSE())))</f>
        <v> </v>
      </c>
      <c r="CM154" s="312" t="str">
        <f aca="false">IF(A154="N/A"," ",(VLOOKUP(A154,IntraPowerVol,(IF(VolBMO=2,3,IF(VolBMO=1,2,4))),FALSE())*VLOOKUP(MONTH($A154),Volscale,2)))</f>
        <v> </v>
      </c>
      <c r="CN154" s="312" t="str">
        <f aca="false">IF($A154="N/A"," ",IF(VolType=1,CM154,CL154))</f>
        <v> </v>
      </c>
      <c r="CO154" s="312" t="str">
        <f aca="false">IF($A154="N/A"," ",(VLOOKUP($A154,OffPeakVol,(IF(VolBMO=2,7,IF(VolBMO=1,6,8))),FALSE())))</f>
        <v> </v>
      </c>
      <c r="CP154" s="312" t="str">
        <f aca="false">IF($A154="N/A"," ",(VLOOKUP($A154,OffPeakVol,(IF(VolBMO=2,3,IF(VolBMO=1,2,4))),FALSE())*VLOOKUP(MONTH($A154),Volscale,2)))</f>
        <v> </v>
      </c>
      <c r="CQ154" s="312" t="str">
        <f aca="false">IF($A154="N/A"," ",IF(VolType=1,CP154,CO154))</f>
        <v> </v>
      </c>
      <c r="CR154" s="312" t="str">
        <f aca="false">IF($A154="N/A"," ",(VLOOKUP($A154,GasVolTable,(IF(VolBMO=2,6,IF(VolBMO=1,7,5))),FALSE())))</f>
        <v> </v>
      </c>
      <c r="CS154" s="312" t="str">
        <f aca="false">IF($A154="N/A"," ",(VLOOKUP($A154,OmicronVol,(IF(VolBMO=2,3,IF(VolBMO=1,4,2))),FALSE())))</f>
        <v> </v>
      </c>
      <c r="CT154" s="312" t="str">
        <f aca="false">IF($A154="N/A"," ",(IF(DateToday&gt;$A154,$CS154,IF(VolType=1,((($CR154^2)*((($A154-1)-DateToday)/((EOMONTH($A154,0)+1)-DateToday-15)))+((($CS154)^2)*((15)/((EOMONTH($A154,0)+1)-DateToday-15))))^0.5,CR154))))</f>
        <v> </v>
      </c>
      <c r="CU154" s="312" t="str">
        <f aca="false">IF($A154="N/A"," ",IF('Pricing Inputs'!$AR$23=TRUE(),Inputs!$S$22,VLOOKUP($A154,CorrelationTable,2,FALSE())))</f>
        <v> </v>
      </c>
      <c r="CV154" s="313" t="str">
        <f aca="false">IF($A154="N/A"," ",F154+G154+(D154*('Pricing Inputs'!X189)))</f>
        <v> </v>
      </c>
      <c r="CW154" s="314" t="str">
        <f aca="false">IF($A154="N/A"," ",IF(PV=1,0,'Pricing Inputs'!Y189))</f>
        <v> </v>
      </c>
      <c r="CX154" s="315" t="str">
        <f aca="false">IF($A154="N/A"," ",(1+CW154/2)^(-2*((EOMONTH(A154,0)+20)-DateToday)/365.25))</f>
        <v> </v>
      </c>
      <c r="CY154" s="316" t="str">
        <f aca="false">IF($A154="N/A"," ",(IF(MONTH(A154)&gt;=4,IF(MONTH(A154)&lt;=10,Inputs!$S$26,Inputs!$S$27),Inputs!$S$27))*$CX154)</f>
        <v> </v>
      </c>
      <c r="CZ154" s="317" t="str">
        <f aca="false">IF($A154="N/A"," ",BK154+BL154+BN154+BO154+BQ154+BR154)</f>
        <v> </v>
      </c>
      <c r="DA154" s="318" t="str">
        <f aca="false">IF($A154="N/A"," ",BM154+BP154+BS154)</f>
        <v> </v>
      </c>
      <c r="DB154" s="319" t="str">
        <f aca="false">IF($A154="N/A"," ",BT154+BU154+BW154+BX154+BZ154+CA154)</f>
        <v> </v>
      </c>
      <c r="DC154" s="319" t="str">
        <f aca="false">IF($A154="N/A"," ",BV154+BY154+CB154)</f>
        <v> </v>
      </c>
      <c r="DD154" s="320" t="str">
        <f aca="false">IF($A154="N/A"," ",SUM(CC154:CK154))</f>
        <v> </v>
      </c>
      <c r="DE154" s="321" t="str">
        <f aca="false">IF($A154="N/A"," ",VLOOKUP($A154,NumberofDaysTable,2)*Availability)</f>
        <v> </v>
      </c>
      <c r="DF154" s="94" t="str">
        <f aca="false">IF($A154="N/A"," ",VLOOKUP($A154,NumberofDaysTable,3)*Availability)</f>
        <v> </v>
      </c>
      <c r="DG154" s="322" t="str">
        <f aca="false">IF($A154="N/A"," ",VLOOKUP($A154,NumberofDaysTable,4)*Availability)</f>
        <v> </v>
      </c>
      <c r="DH154" s="323" t="str">
        <f aca="false">IF($A154="N/A"," ",IF(Option=1,$D154*Inputs!$S$15*SUM(AS154:BA154),0))</f>
        <v> </v>
      </c>
      <c r="DI154" s="324" t="str">
        <f aca="false">IF($A154="N/A"," ",IF(Option=1,$D154*Inputs!$S$16*SUM(AS154:BA154),0))</f>
        <v> </v>
      </c>
      <c r="DJ154" s="325" t="str">
        <f aca="false">IF($A154="N/A"," ",SUM(AS154:AT154))</f>
        <v> </v>
      </c>
      <c r="DK154" s="325" t="str">
        <f aca="false">IF($A154="N/A"," ",SUM(AU154:BA154))</f>
        <v> </v>
      </c>
      <c r="DL154" s="325" t="str">
        <f aca="false">IF($A154="N/A"," ",SUM(BB154:BC154))</f>
        <v> </v>
      </c>
      <c r="DM154" s="325" t="str">
        <f aca="false">IF($A154="N/A"," ",SUM(BD154:BJ154))</f>
        <v> </v>
      </c>
    </row>
    <row r="155" customFormat="false" ht="12.75" hidden="false" customHeight="false" outlineLevel="0" collapsed="false">
      <c r="A155" s="282" t="str">
        <f aca="false">IF(A154="N/A","N/A",IF(EDATE(A154,1)&gt;Inputs!$S$5,"N/A",EDATE(A154,1)))</f>
        <v>N/A</v>
      </c>
      <c r="B155" s="283" t="str">
        <f aca="false">IF(A155="N/A"," ",YEAR(A155))</f>
        <v> </v>
      </c>
      <c r="C155" s="284" t="str">
        <f aca="false">IF(A155="N/A"," ",VLOOKUP(A155,ScaledPrice,14))</f>
        <v> </v>
      </c>
      <c r="D155" s="285" t="str">
        <f aca="false">IF(A155="N/A"," ",(VLOOKUP(MONTH($A155),Hrtable,2))/1000)</f>
        <v> </v>
      </c>
      <c r="E155" s="286" t="str">
        <f aca="false">IF($A155="N/A"," ",(C155)*D155)</f>
        <v> </v>
      </c>
      <c r="F155" s="287" t="str">
        <f aca="false">IF(A155="N/A"," ",VOM*(1+VOMesc)^(YEAR(A155)-YEAR(Today)))</f>
        <v> </v>
      </c>
      <c r="G155" s="287" t="str">
        <f aca="false">IF(A155="N/A"," ",Perstart/VLOOKUP(Dayrun,'Pricing Inputs'!$AQ$4:$AS$14,3)/(CY155/CX155))</f>
        <v> </v>
      </c>
      <c r="H155" s="288" t="str">
        <f aca="false">IF(A155="N/A"," ",SUM(E155:G155))</f>
        <v> </v>
      </c>
      <c r="I155" s="289" t="str">
        <f aca="false">VLOOKUP($A155,ScaledPrice,6)</f>
        <v> </v>
      </c>
      <c r="J155" s="290" t="str">
        <f aca="false">VLOOKUP($A155,ScaledPrice,10)</f>
        <v> </v>
      </c>
      <c r="K155" s="290" t="str">
        <f aca="false">VLOOKUP($A155,ScaledPrice,13)</f>
        <v> </v>
      </c>
      <c r="L155" s="290" t="str">
        <f aca="false">VLOOKUP($A155,ScaledPrice,7)</f>
        <v> </v>
      </c>
      <c r="M155" s="290" t="str">
        <f aca="false">VLOOKUP($A155,ScaledPrice,11)</f>
        <v> </v>
      </c>
      <c r="N155" s="290" t="str">
        <f aca="false">VLOOKUP($A155,ScaledPrice,13)</f>
        <v> </v>
      </c>
      <c r="O155" s="290" t="str">
        <f aca="false">VLOOKUP($A155,ScaledPrice,8)</f>
        <v> </v>
      </c>
      <c r="P155" s="290" t="str">
        <f aca="false">VLOOKUP($A155,ScaledPrice,12)</f>
        <v> </v>
      </c>
      <c r="Q155" s="291" t="str">
        <f aca="false">VLOOKUP($A155,ScaledPrice,13)</f>
        <v> </v>
      </c>
      <c r="R155" s="292" t="str">
        <f aca="false">IF($A155="N/A"," ",IF(Dayrun&gt;=3,IF(Option=1,MAX($I155-$H155,0),IF(Option=2,MAX($H155-$I155,0),0)),0))</f>
        <v> </v>
      </c>
      <c r="S155" s="286" t="str">
        <f aca="false">IF($A155="N/A"," ",IF(Dayrun&gt;=6,IF(Option=1,MAX($J155-H155,0),IF(Option=2,MAX(H155-$J155,0),0)),0))</f>
        <v> </v>
      </c>
      <c r="T155" s="286" t="str">
        <f aca="false">IF($A155="N/A"," ",IF(OR(Dayrun&lt;=2,Dayrun&gt;=9),IF(Option=1,MAX($K155-$H155,0),IF(Option=2,MAX($H155-$K155,0),0)),0))</f>
        <v> </v>
      </c>
      <c r="U155" s="286" t="str">
        <f aca="false">IF($A155="N/A"," ",IF(OR(Dayrun=1,Dayrun=4,Dayrun=5,Dayrun=7,Dayrun=8,Dayrun=10,Dayrun=11),IF(Option=1,MAX($L155-H155,0),IF(Option=2,MAX(H155-$L155,0),0)),0))</f>
        <v> </v>
      </c>
      <c r="V155" s="286" t="str">
        <f aca="false">IF($A155="N/A"," ",IF(OR(Dayrun=1,Dayrun=7,Dayrun=8,Dayrun=10,Dayrun=11),IF(Option=1,MAX($M155-H155,0),IF(Option=2,MAX(H155-$M155,0),0)),0))</f>
        <v> </v>
      </c>
      <c r="W155" s="286" t="str">
        <f aca="false">IF($A155="N/A"," ",IF(OR(Dayrun&lt;=2,Dayrun&gt;=10),IF(Option=1,MAX($N155-$H155,0),IF(Option=2,MAX($H155-$N155,0),0)),0))</f>
        <v> </v>
      </c>
      <c r="X155" s="286" t="str">
        <f aca="false">IF($A155="N/A"," ",IF(OR(Dayrun=1,Dayrun=5,Dayrun=8,Dayrun=11),IF(Option=1,MAX($O155-H155,0),IF(Option=2,MAX(H155-$O155,0),0)),0))</f>
        <v> </v>
      </c>
      <c r="Y155" s="286" t="str">
        <f aca="false">IF($A155="N/A"," ",IF(OR(Dayrun=1,Dayrun=8,Dayrun=11),IF(Option=1,MAX($P155-H155,0),IF(Option=2,MAX(H155-$P155,0),0)),0))</f>
        <v> </v>
      </c>
      <c r="Z155" s="293" t="str">
        <f aca="false">IF($A155="N/A"," ",IF(OR(Dayrun&lt;=2,Dayrun&gt;=11),IF(Option=1,MAX($Q155-$H155,0),IF(Option=2,MAX($H155-$Q155,0),0)),0))</f>
        <v> </v>
      </c>
      <c r="AA155" s="289" t="str">
        <f aca="false">IF($A155="N/A"," ",IF(Dayrun&gt;=3,(MAX(0,(xSPRDOPT(I155,($E155-'Pricing Inputs'!$X190*$D155),$CV155,0,($CN155+IF(Smile=TRUE(),VLOOKUP(MAX(-5,$H155-I155),Volsmile,2),0)),$CT155,$CU155,($A155-DateToday)+15,ABS(Option-2),0)-R155))),0))</f>
        <v> </v>
      </c>
      <c r="AB155" s="290" t="str">
        <f aca="false">IF($A155="N/A"," ",IF(Dayrun&gt;=6,MAX(0,(xSPRDOPT(J155,($E155-'Pricing Inputs'!$X190*$D155),$CV155,0,($CN155+IF(Smile=TRUE(),VLOOKUP(MAX(-5,$H155-J155),Volsmile,2),0)),$CT155,$CU155,($A155-DateToday)+15,ABS(Option-2),0)-S155)),0))</f>
        <v> </v>
      </c>
      <c r="AC155" s="290" t="str">
        <f aca="false">IF($A155="N/A"," ",IF(OR(Dayrun&lt;=2,Dayrun&gt;=9),IF(OffPeakEx=TRUE(),MAX(0,(xSPRDOPT(K155,($E155-'Pricing Inputs'!$X190*$D155),$CV155,0,($CQ155+IF(Smile=TRUE(),VLOOKUP(MAX(-5,$H155-K155),Volsmile,2),0)),$CT155,$CU155,($A155-DateToday)+15,ABS(Option-2),0)-T155)),0),0))</f>
        <v> </v>
      </c>
      <c r="AD155" s="290" t="str">
        <f aca="false">IF($A155="N/A"," ",IF(OR(Dayrun=1,Dayrun=4,Dayrun=5,Dayrun=7,Dayrun=8,Dayrun=10,Dayrun=11),MAX(0,(xSPRDOPT(L155,($E155-'Pricing Inputs'!$X190*$D155),$CV155,0,($CQ155+IF(Smile=TRUE(),VLOOKUP(MAX(-5,$H155-L155),Volsmile,2),0)),$CT155,$CU155,($A155-DateToday)+15,ABS(Option-2),0)-U155)),0))</f>
        <v> </v>
      </c>
      <c r="AE155" s="290" t="str">
        <f aca="false">IF($A155="N/A"," ",IF(OR(Dayrun=1,Dayrun=7,Dayrun=8,Dayrun=10,Dayrun=11),MAX(0,(xSPRDOPT(M155,($E155-'Pricing Inputs'!$X190*$D155),$CV155,0,($CQ155+IF(Smile=TRUE(),VLOOKUP(MAX(-5,$H155-M155),Volsmile,2),0)),$CT155,$CU155,($A155-DateToday)+15,ABS(Option-2),0)-V155)),0))</f>
        <v> </v>
      </c>
      <c r="AF155" s="290" t="str">
        <f aca="false">IF($A155="N/A"," ",IF(OR(Dayrun&lt;=2,Dayrun&gt;=10),IF(OffPeakEx=TRUE(),MAX(0,(xSPRDOPT(N155,($E155-'Pricing Inputs'!$X190*$D155),$CV155,0,($CQ155+IF(Smile=TRUE(),VLOOKUP(MAX(-5,$H155-N155),Volsmile,2),0)),$CT155,$CU155,($A155-DateToday)+15,ABS(Option-2),0)-W155)),0),0))</f>
        <v> </v>
      </c>
      <c r="AG155" s="290" t="str">
        <f aca="false">IF($A155="N/A"," ",IF(OR(Dayrun=1,Dayrun=5,Dayrun=8,Dayrun=11),MAX(0,(xSPRDOPT(O155,($E155-'Pricing Inputs'!$X190*$D155),$CV155,0,($CQ155+IF(Smile=TRUE(),VLOOKUP(MAX(-5,$H155-O155),Volsmile,2),0)),$CT155,$CU155,($A155-DateToday)+15,ABS(Option-2),0)-X155)),0))</f>
        <v> </v>
      </c>
      <c r="AH155" s="290" t="str">
        <f aca="false">IF($A155="N/A"," ",IF(OR(Dayrun=1,Dayrun=8,Dayrun=11),MAX(0,(xSPRDOPT(P155,($E155-'Pricing Inputs'!$X190*$D155),$CV155,0,($CQ155+IF(Smile=TRUE(),VLOOKUP(MAX(-5,$H155-P155),Volsmile,2),0)),$CT155,$CU155,($A155-DateToday)+15,ABS(Option-2),0)-Y155)),0))</f>
        <v> </v>
      </c>
      <c r="AI155" s="290" t="str">
        <f aca="false">IF($A155="N/A"," ",IF(OR(Dayrun&lt;=2,Dayrun&gt;=11),IF(OffPeakEx=TRUE(),MAX(0,(xSPRDOPT(Q155,($E155-'Pricing Inputs'!$X190*$D155),$CV155,0,($CQ155+IF(Smile=TRUE(),VLOOKUP(MAX(-5,$H155-Q155),Volsmile,2),0)),$CT155,$CU155,($A155-DateToday)+15,ABS(Option-2),0)-Z155)),0),0))</f>
        <v> </v>
      </c>
      <c r="AJ155" s="294" t="str">
        <f aca="false">IF($A155="N/A"," ",IF(Dayrun&gt;=3,IF(Option=1,$I155-$H155,IF(Option=2,$H155-$I155)),0))</f>
        <v> </v>
      </c>
      <c r="AK155" s="295" t="str">
        <f aca="false">IF($A155="N/A"," ",IF(Dayrun&gt;=6,IF(Option=1,$J155-H155,IF(Option=2,H155-$J155)),0))</f>
        <v> </v>
      </c>
      <c r="AL155" s="295" t="str">
        <f aca="false">IF($A155="N/A"," ",IF(OR(Dayrun&lt;=2,Dayrun&gt;=9),IF(Option=1,$K155-$H155,IF(Option=2,$H155-$K155)),0))</f>
        <v> </v>
      </c>
      <c r="AM155" s="295" t="str">
        <f aca="false">IF($A155="N/A"," ",IF(OR(Dayrun=1,Dayrun=4,Dayrun=5,Dayrun=7,Dayrun=8,Dayrun=10,Dayrun=11),IF(Option=1,$L155-H155,IF(Option=2,H155-$L155)),0))</f>
        <v> </v>
      </c>
      <c r="AN155" s="295" t="str">
        <f aca="false">IF($A155="N/A"," ",IF(OR(Dayrun=1,Dayrun=7,Dayrun=8,Dayrun=10,Dayrun=11),IF(Option=1,$M155-H155,IF(Option=2,H155-$M155)),0))</f>
        <v> </v>
      </c>
      <c r="AO155" s="295" t="str">
        <f aca="false">IF($A155="N/A"," ",IF(OR(Dayrun&lt;=2,Dayrun&gt;=9),IF(Option=1,$N155-$H155,IF(Option=2,$H155-$N155)),0))</f>
        <v> </v>
      </c>
      <c r="AP155" s="295" t="str">
        <f aca="false">IF($A155="N/A"," ",IF(OR(Dayrun=1,Dayrun=5,Dayrun=8,Dayrun=11),IF(Option=1,$O155-H155,IF(Option=2,H155-$O155)),0))</f>
        <v> </v>
      </c>
      <c r="AQ155" s="295" t="str">
        <f aca="false">IF($A155="N/A"," ",IF(OR(Dayrun=1,Dayrun=8,Dayrun=11),IF(Option=1,$P155-H155,IF(Option=2,H155-$P155)),0))</f>
        <v> </v>
      </c>
      <c r="AR155" s="296" t="str">
        <f aca="false">IF($A155="N/A"," ",IF(OR(Dayrun&lt;=2,Dayrun&gt;=9),IF(Option=1,$Q155-H155,IF(Option=2,H155-$Q155)),0))</f>
        <v> </v>
      </c>
      <c r="AS155" s="297" t="str">
        <f aca="false">IF($A155="N/A"," ",IF(VLOOKUP(MONTH($A155),ManualTable,2)=1,IF(Dayrun&gt;=3,$DE155*8*$CY155,0),0))</f>
        <v> </v>
      </c>
      <c r="AT155" s="297" t="str">
        <f aca="false">IF($A155="N/A"," ",IF(VLOOKUP(MONTH($A155),ManualTable,3)=1,IF(Dayrun&gt;=6,$DE155*8*$CY155,0),0))</f>
        <v> </v>
      </c>
      <c r="AU155" s="297" t="str">
        <f aca="false">IF($A155="N/A"," ",IF(VLOOKUP(MONTH($A155),ManualTable,4)=1,IF(OR(Dayrun&lt;=2,Dayrun&gt;=9),$DE155*8*$CY155,0),0))</f>
        <v> </v>
      </c>
      <c r="AV155" s="297" t="str">
        <f aca="false">IF($A155="N/A"," ",IF(VLOOKUP(MONTH($A155),ManualTable,5)=1,IF(OR(Dayrun=1,Dayrun=4,Dayrun=5,Dayrun=7,Dayrun=8,Dayrun=10,Dayrun=11),$DF155*8*$CY155,0),0))</f>
        <v> </v>
      </c>
      <c r="AW155" s="297" t="str">
        <f aca="false">IF($A155="N/A"," ",IF(VLOOKUP(MONTH($A155),ManualTable,6)=1,IF(OR(Dayrun=1,Dayrun=7,Dayrun=8,Dayrun=10,Dayrun=11),$DF155*8*$CY155,0),0))</f>
        <v> </v>
      </c>
      <c r="AX155" s="297" t="str">
        <f aca="false">IF($A155="N/A"," ",IF(VLOOKUP(MONTH($A155),ManualTable,7)=1,IF(OR(Dayrun&lt;=2,Dayrun&gt;=9),$DF155*8*$CY155,0),0))</f>
        <v> </v>
      </c>
      <c r="AY155" s="297" t="str">
        <f aca="false">IF($A155="N/A"," ",IF(VLOOKUP(MONTH($A155),ManualTable,8)=1,IF(OR(Dayrun=1,Dayrun=5,Dayrun=8,Dayrun=11),$DG155*8*$CY155,0),0))</f>
        <v> </v>
      </c>
      <c r="AZ155" s="297" t="str">
        <f aca="false">IF($A155="N/A"," ",IF(VLOOKUP(MONTH($A155),ManualTable,9)=1,IF(OR(Dayrun=1,Dayrun=8,Dayrun=11),$DG155*8*$CY155,0),0))</f>
        <v> </v>
      </c>
      <c r="BA155" s="298" t="str">
        <f aca="false">IF($A155="N/A"," ",IF(VLOOKUP(MONTH($A155),ManualTable,10)=1,IF(OR(Dayrun&lt;=2,Dayrun&gt;=9),$DG155*8*$CY155,0),0))</f>
        <v> </v>
      </c>
      <c r="BB155" s="299" t="str">
        <f aca="false">IF($A155="N/A"," ",IF(Dayrun&gt;=3,(MAX(0,(xSPRDOPT(I155,($E155-'Pricing Inputs'!$X190*$D155),$CV155,0,($CN155+IF(Smile=TRUE(),VLOOKUP(MAX(-5,$H155-I155),Volsmile,2),0)),$CT155,$CU155,($A155-DateToday)+15,ABS(Option-2),1)*DE155*8))),0))</f>
        <v> </v>
      </c>
      <c r="BC155" s="300" t="str">
        <f aca="false">IF($A155="N/A"," ",IF(Dayrun&gt;=6,MAX(0,(xSPRDOPT(J155,($E155-'Pricing Inputs'!$X190*$D155),$CV155,0,($CN155+IF(Smile=TRUE(),VLOOKUP(MAX(-5,$H155-J155),Volsmile,2),0)),$CT155,$CU155,($A155-DateToday)+15,ABS(Option-2),1)*DE155*8)),0))</f>
        <v> </v>
      </c>
      <c r="BD155" s="300" t="str">
        <f aca="false">IF($A155="N/A"," ",IF(OR(Dayrun&lt;=2,Dayrun&gt;=9),IF(OffPeakEx=TRUE(),MAX(0,(xSPRDOPT(K155,($E155-'Pricing Inputs'!$X190*$D155),$CV155,0,($CQ155+IF(Smile=TRUE(),VLOOKUP(MAX(-5,$H155-K155),Volsmile,2),0)),$CT155,$CU155,($A155-DateToday)+15,ABS(Option-2),1)*DE155*8)),0),0))</f>
        <v> </v>
      </c>
      <c r="BE155" s="300" t="str">
        <f aca="false">IF($A155="N/A"," ",IF(OR(Dayrun=1,Dayrun=4,Dayrun=5,Dayrun=7,Dayrun=8,Dayrun=10,Dayrun=11),MAX(0,(xSPRDOPT(L155,($E155-'Pricing Inputs'!$X190*$D155),$CV155,0,($CQ155+IF(Smile=TRUE(),VLOOKUP(MAX(-5,$H155-L155),Volsmile,2),0)),$CT155,$CU155,($A155-DateToday)+15,ABS(Option-2),1)*DF155*8)),0))</f>
        <v> </v>
      </c>
      <c r="BF155" s="300" t="str">
        <f aca="false">IF($A155="N/A"," ",IF(OR(Dayrun=1,Dayrun=7,Dayrun=8,Dayrun=10,Dayrun=11),MAX(0,(xSPRDOPT(M155,($E155-'Pricing Inputs'!$X190*$D155),$CV155,0,($CQ155+IF(Smile=TRUE(),VLOOKUP(MAX(-5,$H155-M155),Volsmile,2),0)),$CT155,$CU155,($A155-DateToday)+15,ABS(Option-2),1)*DF155*8)),0))</f>
        <v> </v>
      </c>
      <c r="BG155" s="300" t="str">
        <f aca="false">IF($A155="N/A"," ",IF(OR(Dayrun&lt;=2,Dayrun&gt;=10),IF(OffPeakEx=TRUE(),MAX(0,(xSPRDOPT(N155,($E155-'Pricing Inputs'!$X190*$D155),$CV155,0,($CQ155+IF(Smile=TRUE(),VLOOKUP(MAX(-5,$H155-N155),Volsmile,2),0)),$CT155,$CU155,($A155-DateToday)+15,ABS(Option-2),1)*DF155*8)),0),0))</f>
        <v> </v>
      </c>
      <c r="BH155" s="300" t="str">
        <f aca="false">IF($A155="N/A"," ",IF(OR(Dayrun=1,Dayrun=5,Dayrun=8,Dayrun=11),MAX(0,(xSPRDOPT(O155,($E155-'Pricing Inputs'!$X190*$D155),$CV155,0,($CQ155+IF(Smile=TRUE(),VLOOKUP(MAX(-5,$H155-O155),Volsmile,2),0)),$CT155,$CU155,($A155-DateToday)+15,ABS(Option-2),1)*DG155*8)),0))</f>
        <v> </v>
      </c>
      <c r="BI155" s="300" t="str">
        <f aca="false">IF($A155="N/A"," ",IF(OR(Dayrun=1,Dayrun=8,Dayrun=11),MAX(0,(xSPRDOPT(P155,($E155-'Pricing Inputs'!$X190*$D155),$CV155,0,($CQ155+IF(Smile=TRUE(),VLOOKUP(MAX(-5,$H155-P155),Volsmile,2),0)),$CT155,$CU155,($A155-DateToday)+15,ABS(Option-2),1)*DG155*8)),0))</f>
        <v> </v>
      </c>
      <c r="BJ155" s="301" t="str">
        <f aca="false">IF($A155="N/A"," ",IF(OR(Dayrun&lt;=2,Dayrun&gt;=11),IF(OffPeakEx=TRUE(),MAX(0,(xSPRDOPT(Q155,($E155-'Pricing Inputs'!$X190*$D155),$CV155,0,($CQ155+IF(Smile=TRUE(),VLOOKUP(MAX(-5,$H155-Q155),Volsmile,2),0)),$CT155,$CU155,($A155-DateToday)+15,ABS(Option-2),1)*DG155*8)),0),0))</f>
        <v> </v>
      </c>
      <c r="BK155" s="302" t="str">
        <f aca="false">IF($A155="N/A"," ",R155*$AS155)</f>
        <v> </v>
      </c>
      <c r="BL155" s="303" t="str">
        <f aca="false">IF($A155="N/A"," ",S155*$AT155)</f>
        <v> </v>
      </c>
      <c r="BM155" s="303" t="str">
        <f aca="false">IF($A155="N/A"," ",T155*$AU155)</f>
        <v> </v>
      </c>
      <c r="BN155" s="303" t="str">
        <f aca="false">IF($A155="N/A"," ",U155*$AV155)</f>
        <v> </v>
      </c>
      <c r="BO155" s="303" t="str">
        <f aca="false">IF($A155="N/A"," ",V155*$AW155)</f>
        <v> </v>
      </c>
      <c r="BP155" s="303" t="str">
        <f aca="false">IF($A155="N/A"," ",W155*$AX155)</f>
        <v> </v>
      </c>
      <c r="BQ155" s="303" t="str">
        <f aca="false">IF($A155="N/A"," ",X155*$AY155)</f>
        <v> </v>
      </c>
      <c r="BR155" s="303" t="str">
        <f aca="false">IF($A155="N/A"," ",Y155*$AZ155)</f>
        <v> </v>
      </c>
      <c r="BS155" s="304" t="str">
        <f aca="false">IF($A155="N/A"," ",Z155*$BA155)</f>
        <v> </v>
      </c>
      <c r="BT155" s="305" t="str">
        <f aca="false">IF($A155="N/A"," ",AA155*$AS155)</f>
        <v> </v>
      </c>
      <c r="BU155" s="306" t="str">
        <f aca="false">IF($A155="N/A"," ",AB155*$AT155)</f>
        <v> </v>
      </c>
      <c r="BV155" s="306" t="str">
        <f aca="false">IF($A155="N/A"," ",AC155*$AU155)</f>
        <v> </v>
      </c>
      <c r="BW155" s="306" t="str">
        <f aca="false">IF($A155="N/A"," ",AD155*$AV155)</f>
        <v> </v>
      </c>
      <c r="BX155" s="306" t="str">
        <f aca="false">IF($A155="N/A"," ",AE155*$AW155)</f>
        <v> </v>
      </c>
      <c r="BY155" s="306" t="str">
        <f aca="false">IF($A155="N/A"," ",AF155*$AX155)</f>
        <v> </v>
      </c>
      <c r="BZ155" s="306" t="str">
        <f aca="false">IF($A155="N/A"," ",AG155*$AY155)</f>
        <v> </v>
      </c>
      <c r="CA155" s="306" t="str">
        <f aca="false">IF($A155="N/A"," ",AH155*$AZ155)</f>
        <v> </v>
      </c>
      <c r="CB155" s="307" t="str">
        <f aca="false">IF($A155="N/A"," ",AI155*$BA155)</f>
        <v> </v>
      </c>
      <c r="CC155" s="308" t="str">
        <f aca="false">IF($A155="N/A"," ",AJ155*$AS155)</f>
        <v> </v>
      </c>
      <c r="CD155" s="309" t="str">
        <f aca="false">IF($A155="N/A"," ",AK155*$AT155)</f>
        <v> </v>
      </c>
      <c r="CE155" s="309" t="str">
        <f aca="false">IF($A155="N/A"," ",AL155*$AU155)</f>
        <v> </v>
      </c>
      <c r="CF155" s="309" t="str">
        <f aca="false">IF($A155="N/A"," ",AM155*$AV155)</f>
        <v> </v>
      </c>
      <c r="CG155" s="309" t="str">
        <f aca="false">IF($A155="N/A"," ",AN155*$AW155)</f>
        <v> </v>
      </c>
      <c r="CH155" s="309" t="str">
        <f aca="false">IF($A155="N/A"," ",AO155*$AX155)</f>
        <v> </v>
      </c>
      <c r="CI155" s="309" t="str">
        <f aca="false">IF($A155="N/A"," ",AP155*$AY155)</f>
        <v> </v>
      </c>
      <c r="CJ155" s="309" t="str">
        <f aca="false">IF($A155="N/A"," ",AQ155*$AZ155)</f>
        <v> </v>
      </c>
      <c r="CK155" s="310" t="str">
        <f aca="false">IF($A155="N/A"," ",AR155*$BA155)</f>
        <v> </v>
      </c>
      <c r="CL155" s="311" t="str">
        <f aca="false">IF(A155="N/A"," ",(VLOOKUP(A155,PowerVolTable,(IF(VolBMO=2,7,IF(VolBMO=1,6,8))),FALSE())))</f>
        <v> </v>
      </c>
      <c r="CM155" s="312" t="str">
        <f aca="false">IF(A155="N/A"," ",(VLOOKUP(A155,IntraPowerVol,(IF(VolBMO=2,3,IF(VolBMO=1,2,4))),FALSE())*VLOOKUP(MONTH($A155),Volscale,2)))</f>
        <v> </v>
      </c>
      <c r="CN155" s="312" t="str">
        <f aca="false">IF($A155="N/A"," ",IF(VolType=1,CM155,CL155))</f>
        <v> </v>
      </c>
      <c r="CO155" s="312" t="str">
        <f aca="false">IF($A155="N/A"," ",(VLOOKUP($A155,OffPeakVol,(IF(VolBMO=2,7,IF(VolBMO=1,6,8))),FALSE())))</f>
        <v> </v>
      </c>
      <c r="CP155" s="312" t="str">
        <f aca="false">IF($A155="N/A"," ",(VLOOKUP($A155,OffPeakVol,(IF(VolBMO=2,3,IF(VolBMO=1,2,4))),FALSE())*VLOOKUP(MONTH($A155),Volscale,2)))</f>
        <v> </v>
      </c>
      <c r="CQ155" s="312" t="str">
        <f aca="false">IF($A155="N/A"," ",IF(VolType=1,CP155,CO155))</f>
        <v> </v>
      </c>
      <c r="CR155" s="312" t="str">
        <f aca="false">IF($A155="N/A"," ",(VLOOKUP($A155,GasVolTable,(IF(VolBMO=2,6,IF(VolBMO=1,7,5))),FALSE())))</f>
        <v> </v>
      </c>
      <c r="CS155" s="312" t="str">
        <f aca="false">IF($A155="N/A"," ",(VLOOKUP($A155,OmicronVol,(IF(VolBMO=2,3,IF(VolBMO=1,4,2))),FALSE())))</f>
        <v> </v>
      </c>
      <c r="CT155" s="312" t="str">
        <f aca="false">IF($A155="N/A"," ",(IF(DateToday&gt;$A155,$CS155,IF(VolType=1,((($CR155^2)*((($A155-1)-DateToday)/((EOMONTH($A155,0)+1)-DateToday-15)))+((($CS155)^2)*((15)/((EOMONTH($A155,0)+1)-DateToday-15))))^0.5,CR155))))</f>
        <v> </v>
      </c>
      <c r="CU155" s="312" t="str">
        <f aca="false">IF($A155="N/A"," ",IF('Pricing Inputs'!$AR$23=TRUE(),Inputs!$S$22,VLOOKUP($A155,CorrelationTable,2,FALSE())))</f>
        <v> </v>
      </c>
      <c r="CV155" s="313" t="str">
        <f aca="false">IF($A155="N/A"," ",F155+G155+(D155*('Pricing Inputs'!X190)))</f>
        <v> </v>
      </c>
      <c r="CW155" s="314" t="str">
        <f aca="false">IF($A155="N/A"," ",IF(PV=1,0,'Pricing Inputs'!Y190))</f>
        <v> </v>
      </c>
      <c r="CX155" s="315" t="str">
        <f aca="false">IF($A155="N/A"," ",(1+CW155/2)^(-2*((EOMONTH(A155,0)+20)-DateToday)/365.25))</f>
        <v> </v>
      </c>
      <c r="CY155" s="316" t="str">
        <f aca="false">IF($A155="N/A"," ",(IF(MONTH(A155)&gt;=4,IF(MONTH(A155)&lt;=10,Inputs!$S$26,Inputs!$S$27),Inputs!$S$27))*$CX155)</f>
        <v> </v>
      </c>
      <c r="CZ155" s="317" t="str">
        <f aca="false">IF($A155="N/A"," ",BK155+BL155+BN155+BO155+BQ155+BR155)</f>
        <v> </v>
      </c>
      <c r="DA155" s="318" t="str">
        <f aca="false">IF($A155="N/A"," ",BM155+BP155+BS155)</f>
        <v> </v>
      </c>
      <c r="DB155" s="319" t="str">
        <f aca="false">IF($A155="N/A"," ",BT155+BU155+BW155+BX155+BZ155+CA155)</f>
        <v> </v>
      </c>
      <c r="DC155" s="319" t="str">
        <f aca="false">IF($A155="N/A"," ",BV155+BY155+CB155)</f>
        <v> </v>
      </c>
      <c r="DD155" s="320" t="str">
        <f aca="false">IF($A155="N/A"," ",SUM(CC155:CK155))</f>
        <v> </v>
      </c>
      <c r="DE155" s="321" t="str">
        <f aca="false">IF($A155="N/A"," ",VLOOKUP($A155,NumberofDaysTable,2)*Availability)</f>
        <v> </v>
      </c>
      <c r="DF155" s="94" t="str">
        <f aca="false">IF($A155="N/A"," ",VLOOKUP($A155,NumberofDaysTable,3)*Availability)</f>
        <v> </v>
      </c>
      <c r="DG155" s="322" t="str">
        <f aca="false">IF($A155="N/A"," ",VLOOKUP($A155,NumberofDaysTable,4)*Availability)</f>
        <v> </v>
      </c>
      <c r="DH155" s="323" t="str">
        <f aca="false">IF($A155="N/A"," ",IF(Option=1,$D155*Inputs!$S$15*SUM(AS155:BA155),0))</f>
        <v> </v>
      </c>
      <c r="DI155" s="324" t="str">
        <f aca="false">IF($A155="N/A"," ",IF(Option=1,$D155*Inputs!$S$16*SUM(AS155:BA155),0))</f>
        <v> </v>
      </c>
      <c r="DJ155" s="325" t="str">
        <f aca="false">IF($A155="N/A"," ",SUM(AS155:AT155))</f>
        <v> </v>
      </c>
      <c r="DK155" s="325" t="str">
        <f aca="false">IF($A155="N/A"," ",SUM(AU155:BA155))</f>
        <v> </v>
      </c>
      <c r="DL155" s="325" t="str">
        <f aca="false">IF($A155="N/A"," ",SUM(BB155:BC155))</f>
        <v> </v>
      </c>
      <c r="DM155" s="325" t="str">
        <f aca="false">IF($A155="N/A"," ",SUM(BD155:BJ155))</f>
        <v> </v>
      </c>
    </row>
    <row r="156" customFormat="false" ht="12.75" hidden="false" customHeight="false" outlineLevel="0" collapsed="false">
      <c r="A156" s="282" t="str">
        <f aca="false">IF(A155="N/A","N/A",IF(EDATE(A155,1)&gt;Inputs!$S$5,"N/A",EDATE(A155,1)))</f>
        <v>N/A</v>
      </c>
      <c r="B156" s="283" t="str">
        <f aca="false">IF(A156="N/A"," ",YEAR(A156))</f>
        <v> </v>
      </c>
      <c r="C156" s="284" t="str">
        <f aca="false">IF(A156="N/A"," ",VLOOKUP(A156,ScaledPrice,14))</f>
        <v> </v>
      </c>
      <c r="D156" s="285" t="str">
        <f aca="false">IF(A156="N/A"," ",(VLOOKUP(MONTH($A156),Hrtable,2))/1000)</f>
        <v> </v>
      </c>
      <c r="E156" s="286" t="str">
        <f aca="false">IF($A156="N/A"," ",(C156)*D156)</f>
        <v> </v>
      </c>
      <c r="F156" s="287" t="str">
        <f aca="false">IF(A156="N/A"," ",VOM*(1+VOMesc)^(YEAR(A156)-YEAR(Today)))</f>
        <v> </v>
      </c>
      <c r="G156" s="287" t="str">
        <f aca="false">IF(A156="N/A"," ",Perstart/VLOOKUP(Dayrun,'Pricing Inputs'!$AQ$4:$AS$14,3)/(CY156/CX156))</f>
        <v> </v>
      </c>
      <c r="H156" s="288" t="str">
        <f aca="false">IF(A156="N/A"," ",SUM(E156:G156))</f>
        <v> </v>
      </c>
      <c r="I156" s="289" t="str">
        <f aca="false">VLOOKUP($A156,ScaledPrice,6)</f>
        <v> </v>
      </c>
      <c r="J156" s="290" t="str">
        <f aca="false">VLOOKUP($A156,ScaledPrice,10)</f>
        <v> </v>
      </c>
      <c r="K156" s="290" t="str">
        <f aca="false">VLOOKUP($A156,ScaledPrice,13)</f>
        <v> </v>
      </c>
      <c r="L156" s="290" t="str">
        <f aca="false">VLOOKUP($A156,ScaledPrice,7)</f>
        <v> </v>
      </c>
      <c r="M156" s="290" t="str">
        <f aca="false">VLOOKUP($A156,ScaledPrice,11)</f>
        <v> </v>
      </c>
      <c r="N156" s="290" t="str">
        <f aca="false">VLOOKUP($A156,ScaledPrice,13)</f>
        <v> </v>
      </c>
      <c r="O156" s="290" t="str">
        <f aca="false">VLOOKUP($A156,ScaledPrice,8)</f>
        <v> </v>
      </c>
      <c r="P156" s="290" t="str">
        <f aca="false">VLOOKUP($A156,ScaledPrice,12)</f>
        <v> </v>
      </c>
      <c r="Q156" s="291" t="str">
        <f aca="false">VLOOKUP($A156,ScaledPrice,13)</f>
        <v> </v>
      </c>
      <c r="R156" s="292" t="str">
        <f aca="false">IF($A156="N/A"," ",IF(Dayrun&gt;=3,IF(Option=1,MAX($I156-$H156,0),IF(Option=2,MAX($H156-$I156,0),0)),0))</f>
        <v> </v>
      </c>
      <c r="S156" s="286" t="str">
        <f aca="false">IF($A156="N/A"," ",IF(Dayrun&gt;=6,IF(Option=1,MAX($J156-H156,0),IF(Option=2,MAX(H156-$J156,0),0)),0))</f>
        <v> </v>
      </c>
      <c r="T156" s="286" t="str">
        <f aca="false">IF($A156="N/A"," ",IF(OR(Dayrun&lt;=2,Dayrun&gt;=9),IF(Option=1,MAX($K156-$H156,0),IF(Option=2,MAX($H156-$K156,0),0)),0))</f>
        <v> </v>
      </c>
      <c r="U156" s="286" t="str">
        <f aca="false">IF($A156="N/A"," ",IF(OR(Dayrun=1,Dayrun=4,Dayrun=5,Dayrun=7,Dayrun=8,Dayrun=10,Dayrun=11),IF(Option=1,MAX($L156-H156,0),IF(Option=2,MAX(H156-$L156,0),0)),0))</f>
        <v> </v>
      </c>
      <c r="V156" s="286" t="str">
        <f aca="false">IF($A156="N/A"," ",IF(OR(Dayrun=1,Dayrun=7,Dayrun=8,Dayrun=10,Dayrun=11),IF(Option=1,MAX($M156-H156,0),IF(Option=2,MAX(H156-$M156,0),0)),0))</f>
        <v> </v>
      </c>
      <c r="W156" s="286" t="str">
        <f aca="false">IF($A156="N/A"," ",IF(OR(Dayrun&lt;=2,Dayrun&gt;=10),IF(Option=1,MAX($N156-$H156,0),IF(Option=2,MAX($H156-$N156,0),0)),0))</f>
        <v> </v>
      </c>
      <c r="X156" s="286" t="str">
        <f aca="false">IF($A156="N/A"," ",IF(OR(Dayrun=1,Dayrun=5,Dayrun=8,Dayrun=11),IF(Option=1,MAX($O156-H156,0),IF(Option=2,MAX(H156-$O156,0),0)),0))</f>
        <v> </v>
      </c>
      <c r="Y156" s="286" t="str">
        <f aca="false">IF($A156="N/A"," ",IF(OR(Dayrun=1,Dayrun=8,Dayrun=11),IF(Option=1,MAX($P156-H156,0),IF(Option=2,MAX(H156-$P156,0),0)),0))</f>
        <v> </v>
      </c>
      <c r="Z156" s="293" t="str">
        <f aca="false">IF($A156="N/A"," ",IF(OR(Dayrun&lt;=2,Dayrun&gt;=11),IF(Option=1,MAX($Q156-$H156,0),IF(Option=2,MAX($H156-$Q156,0),0)),0))</f>
        <v> </v>
      </c>
      <c r="AA156" s="289" t="str">
        <f aca="false">IF($A156="N/A"," ",IF(Dayrun&gt;=3,(MAX(0,(xSPRDOPT(I156,($E156-'Pricing Inputs'!$X191*$D156),$CV156,0,($CN156+IF(Smile=TRUE(),VLOOKUP(MAX(-5,$H156-I156),Volsmile,2),0)),$CT156,$CU156,($A156-DateToday)+15,ABS(Option-2),0)-R156))),0))</f>
        <v> </v>
      </c>
      <c r="AB156" s="290" t="str">
        <f aca="false">IF($A156="N/A"," ",IF(Dayrun&gt;=6,MAX(0,(xSPRDOPT(J156,($E156-'Pricing Inputs'!$X191*$D156),$CV156,0,($CN156+IF(Smile=TRUE(),VLOOKUP(MAX(-5,$H156-J156),Volsmile,2),0)),$CT156,$CU156,($A156-DateToday)+15,ABS(Option-2),0)-S156)),0))</f>
        <v> </v>
      </c>
      <c r="AC156" s="290" t="str">
        <f aca="false">IF($A156="N/A"," ",IF(OR(Dayrun&lt;=2,Dayrun&gt;=9),IF(OffPeakEx=TRUE(),MAX(0,(xSPRDOPT(K156,($E156-'Pricing Inputs'!$X191*$D156),$CV156,0,($CQ156+IF(Smile=TRUE(),VLOOKUP(MAX(-5,$H156-K156),Volsmile,2),0)),$CT156,$CU156,($A156-DateToday)+15,ABS(Option-2),0)-T156)),0),0))</f>
        <v> </v>
      </c>
      <c r="AD156" s="290" t="str">
        <f aca="false">IF($A156="N/A"," ",IF(OR(Dayrun=1,Dayrun=4,Dayrun=5,Dayrun=7,Dayrun=8,Dayrun=10,Dayrun=11),MAX(0,(xSPRDOPT(L156,($E156-'Pricing Inputs'!$X191*$D156),$CV156,0,($CQ156+IF(Smile=TRUE(),VLOOKUP(MAX(-5,$H156-L156),Volsmile,2),0)),$CT156,$CU156,($A156-DateToday)+15,ABS(Option-2),0)-U156)),0))</f>
        <v> </v>
      </c>
      <c r="AE156" s="290" t="str">
        <f aca="false">IF($A156="N/A"," ",IF(OR(Dayrun=1,Dayrun=7,Dayrun=8,Dayrun=10,Dayrun=11),MAX(0,(xSPRDOPT(M156,($E156-'Pricing Inputs'!$X191*$D156),$CV156,0,($CQ156+IF(Smile=TRUE(),VLOOKUP(MAX(-5,$H156-M156),Volsmile,2),0)),$CT156,$CU156,($A156-DateToday)+15,ABS(Option-2),0)-V156)),0))</f>
        <v> </v>
      </c>
      <c r="AF156" s="290" t="str">
        <f aca="false">IF($A156="N/A"," ",IF(OR(Dayrun&lt;=2,Dayrun&gt;=10),IF(OffPeakEx=TRUE(),MAX(0,(xSPRDOPT(N156,($E156-'Pricing Inputs'!$X191*$D156),$CV156,0,($CQ156+IF(Smile=TRUE(),VLOOKUP(MAX(-5,$H156-N156),Volsmile,2),0)),$CT156,$CU156,($A156-DateToday)+15,ABS(Option-2),0)-W156)),0),0))</f>
        <v> </v>
      </c>
      <c r="AG156" s="290" t="str">
        <f aca="false">IF($A156="N/A"," ",IF(OR(Dayrun=1,Dayrun=5,Dayrun=8,Dayrun=11),MAX(0,(xSPRDOPT(O156,($E156-'Pricing Inputs'!$X191*$D156),$CV156,0,($CQ156+IF(Smile=TRUE(),VLOOKUP(MAX(-5,$H156-O156),Volsmile,2),0)),$CT156,$CU156,($A156-DateToday)+15,ABS(Option-2),0)-X156)),0))</f>
        <v> </v>
      </c>
      <c r="AH156" s="290" t="str">
        <f aca="false">IF($A156="N/A"," ",IF(OR(Dayrun=1,Dayrun=8,Dayrun=11),MAX(0,(xSPRDOPT(P156,($E156-'Pricing Inputs'!$X191*$D156),$CV156,0,($CQ156+IF(Smile=TRUE(),VLOOKUP(MAX(-5,$H156-P156),Volsmile,2),0)),$CT156,$CU156,($A156-DateToday)+15,ABS(Option-2),0)-Y156)),0))</f>
        <v> </v>
      </c>
      <c r="AI156" s="290" t="str">
        <f aca="false">IF($A156="N/A"," ",IF(OR(Dayrun&lt;=2,Dayrun&gt;=11),IF(OffPeakEx=TRUE(),MAX(0,(xSPRDOPT(Q156,($E156-'Pricing Inputs'!$X191*$D156),$CV156,0,($CQ156+IF(Smile=TRUE(),VLOOKUP(MAX(-5,$H156-Q156),Volsmile,2),0)),$CT156,$CU156,($A156-DateToday)+15,ABS(Option-2),0)-Z156)),0),0))</f>
        <v> </v>
      </c>
      <c r="AJ156" s="294" t="str">
        <f aca="false">IF($A156="N/A"," ",IF(Dayrun&gt;=3,IF(Option=1,$I156-$H156,IF(Option=2,$H156-$I156)),0))</f>
        <v> </v>
      </c>
      <c r="AK156" s="295" t="str">
        <f aca="false">IF($A156="N/A"," ",IF(Dayrun&gt;=6,IF(Option=1,$J156-H156,IF(Option=2,H156-$J156)),0))</f>
        <v> </v>
      </c>
      <c r="AL156" s="295" t="str">
        <f aca="false">IF($A156="N/A"," ",IF(OR(Dayrun&lt;=2,Dayrun&gt;=9),IF(Option=1,$K156-$H156,IF(Option=2,$H156-$K156)),0))</f>
        <v> </v>
      </c>
      <c r="AM156" s="295" t="str">
        <f aca="false">IF($A156="N/A"," ",IF(OR(Dayrun=1,Dayrun=4,Dayrun=5,Dayrun=7,Dayrun=8,Dayrun=10,Dayrun=11),IF(Option=1,$L156-H156,IF(Option=2,H156-$L156)),0))</f>
        <v> </v>
      </c>
      <c r="AN156" s="295" t="str">
        <f aca="false">IF($A156="N/A"," ",IF(OR(Dayrun=1,Dayrun=7,Dayrun=8,Dayrun=10,Dayrun=11),IF(Option=1,$M156-H156,IF(Option=2,H156-$M156)),0))</f>
        <v> </v>
      </c>
      <c r="AO156" s="295" t="str">
        <f aca="false">IF($A156="N/A"," ",IF(OR(Dayrun&lt;=2,Dayrun&gt;=9),IF(Option=1,$N156-$H156,IF(Option=2,$H156-$N156)),0))</f>
        <v> </v>
      </c>
      <c r="AP156" s="295" t="str">
        <f aca="false">IF($A156="N/A"," ",IF(OR(Dayrun=1,Dayrun=5,Dayrun=8,Dayrun=11),IF(Option=1,$O156-H156,IF(Option=2,H156-$O156)),0))</f>
        <v> </v>
      </c>
      <c r="AQ156" s="295" t="str">
        <f aca="false">IF($A156="N/A"," ",IF(OR(Dayrun=1,Dayrun=8,Dayrun=11),IF(Option=1,$P156-H156,IF(Option=2,H156-$P156)),0))</f>
        <v> </v>
      </c>
      <c r="AR156" s="296" t="str">
        <f aca="false">IF($A156="N/A"," ",IF(OR(Dayrun&lt;=2,Dayrun&gt;=9),IF(Option=1,$Q156-H156,IF(Option=2,H156-$Q156)),0))</f>
        <v> </v>
      </c>
      <c r="AS156" s="297" t="str">
        <f aca="false">IF($A156="N/A"," ",IF(VLOOKUP(MONTH($A156),ManualTable,2)=1,IF(Dayrun&gt;=3,$DE156*8*$CY156,0),0))</f>
        <v> </v>
      </c>
      <c r="AT156" s="297" t="str">
        <f aca="false">IF($A156="N/A"," ",IF(VLOOKUP(MONTH($A156),ManualTable,3)=1,IF(Dayrun&gt;=6,$DE156*8*$CY156,0),0))</f>
        <v> </v>
      </c>
      <c r="AU156" s="297" t="str">
        <f aca="false">IF($A156="N/A"," ",IF(VLOOKUP(MONTH($A156),ManualTable,4)=1,IF(OR(Dayrun&lt;=2,Dayrun&gt;=9),$DE156*8*$CY156,0),0))</f>
        <v> </v>
      </c>
      <c r="AV156" s="297" t="str">
        <f aca="false">IF($A156="N/A"," ",IF(VLOOKUP(MONTH($A156),ManualTable,5)=1,IF(OR(Dayrun=1,Dayrun=4,Dayrun=5,Dayrun=7,Dayrun=8,Dayrun=10,Dayrun=11),$DF156*8*$CY156,0),0))</f>
        <v> </v>
      </c>
      <c r="AW156" s="297" t="str">
        <f aca="false">IF($A156="N/A"," ",IF(VLOOKUP(MONTH($A156),ManualTable,6)=1,IF(OR(Dayrun=1,Dayrun=7,Dayrun=8,Dayrun=10,Dayrun=11),$DF156*8*$CY156,0),0))</f>
        <v> </v>
      </c>
      <c r="AX156" s="297" t="str">
        <f aca="false">IF($A156="N/A"," ",IF(VLOOKUP(MONTH($A156),ManualTable,7)=1,IF(OR(Dayrun&lt;=2,Dayrun&gt;=9),$DF156*8*$CY156,0),0))</f>
        <v> </v>
      </c>
      <c r="AY156" s="297" t="str">
        <f aca="false">IF($A156="N/A"," ",IF(VLOOKUP(MONTH($A156),ManualTable,8)=1,IF(OR(Dayrun=1,Dayrun=5,Dayrun=8,Dayrun=11),$DG156*8*$CY156,0),0))</f>
        <v> </v>
      </c>
      <c r="AZ156" s="297" t="str">
        <f aca="false">IF($A156="N/A"," ",IF(VLOOKUP(MONTH($A156),ManualTable,9)=1,IF(OR(Dayrun=1,Dayrun=8,Dayrun=11),$DG156*8*$CY156,0),0))</f>
        <v> </v>
      </c>
      <c r="BA156" s="298" t="str">
        <f aca="false">IF($A156="N/A"," ",IF(VLOOKUP(MONTH($A156),ManualTable,10)=1,IF(OR(Dayrun&lt;=2,Dayrun&gt;=9),$DG156*8*$CY156,0),0))</f>
        <v> </v>
      </c>
      <c r="BB156" s="299" t="str">
        <f aca="false">IF($A156="N/A"," ",IF(Dayrun&gt;=3,(MAX(0,(xSPRDOPT(I156,($E156-'Pricing Inputs'!$X191*$D156),$CV156,0,($CN156+IF(Smile=TRUE(),VLOOKUP(MAX(-5,$H156-I156),Volsmile,2),0)),$CT156,$CU156,($A156-DateToday)+15,ABS(Option-2),1)*DE156*8))),0))</f>
        <v> </v>
      </c>
      <c r="BC156" s="300" t="str">
        <f aca="false">IF($A156="N/A"," ",IF(Dayrun&gt;=6,MAX(0,(xSPRDOPT(J156,($E156-'Pricing Inputs'!$X191*$D156),$CV156,0,($CN156+IF(Smile=TRUE(),VLOOKUP(MAX(-5,$H156-J156),Volsmile,2),0)),$CT156,$CU156,($A156-DateToday)+15,ABS(Option-2),1)*DE156*8)),0))</f>
        <v> </v>
      </c>
      <c r="BD156" s="300" t="str">
        <f aca="false">IF($A156="N/A"," ",IF(OR(Dayrun&lt;=2,Dayrun&gt;=9),IF(OffPeakEx=TRUE(),MAX(0,(xSPRDOPT(K156,($E156-'Pricing Inputs'!$X191*$D156),$CV156,0,($CQ156+IF(Smile=TRUE(),VLOOKUP(MAX(-5,$H156-K156),Volsmile,2),0)),$CT156,$CU156,($A156-DateToday)+15,ABS(Option-2),1)*DE156*8)),0),0))</f>
        <v> </v>
      </c>
      <c r="BE156" s="300" t="str">
        <f aca="false">IF($A156="N/A"," ",IF(OR(Dayrun=1,Dayrun=4,Dayrun=5,Dayrun=7,Dayrun=8,Dayrun=10,Dayrun=11),MAX(0,(xSPRDOPT(L156,($E156-'Pricing Inputs'!$X191*$D156),$CV156,0,($CQ156+IF(Smile=TRUE(),VLOOKUP(MAX(-5,$H156-L156),Volsmile,2),0)),$CT156,$CU156,($A156-DateToday)+15,ABS(Option-2),1)*DF156*8)),0))</f>
        <v> </v>
      </c>
      <c r="BF156" s="300" t="str">
        <f aca="false">IF($A156="N/A"," ",IF(OR(Dayrun=1,Dayrun=7,Dayrun=8,Dayrun=10,Dayrun=11),MAX(0,(xSPRDOPT(M156,($E156-'Pricing Inputs'!$X191*$D156),$CV156,0,($CQ156+IF(Smile=TRUE(),VLOOKUP(MAX(-5,$H156-M156),Volsmile,2),0)),$CT156,$CU156,($A156-DateToday)+15,ABS(Option-2),1)*DF156*8)),0))</f>
        <v> </v>
      </c>
      <c r="BG156" s="300" t="str">
        <f aca="false">IF($A156="N/A"," ",IF(OR(Dayrun&lt;=2,Dayrun&gt;=10),IF(OffPeakEx=TRUE(),MAX(0,(xSPRDOPT(N156,($E156-'Pricing Inputs'!$X191*$D156),$CV156,0,($CQ156+IF(Smile=TRUE(),VLOOKUP(MAX(-5,$H156-N156),Volsmile,2),0)),$CT156,$CU156,($A156-DateToday)+15,ABS(Option-2),1)*DF156*8)),0),0))</f>
        <v> </v>
      </c>
      <c r="BH156" s="300" t="str">
        <f aca="false">IF($A156="N/A"," ",IF(OR(Dayrun=1,Dayrun=5,Dayrun=8,Dayrun=11),MAX(0,(xSPRDOPT(O156,($E156-'Pricing Inputs'!$X191*$D156),$CV156,0,($CQ156+IF(Smile=TRUE(),VLOOKUP(MAX(-5,$H156-O156),Volsmile,2),0)),$CT156,$CU156,($A156-DateToday)+15,ABS(Option-2),1)*DG156*8)),0))</f>
        <v> </v>
      </c>
      <c r="BI156" s="300" t="str">
        <f aca="false">IF($A156="N/A"," ",IF(OR(Dayrun=1,Dayrun=8,Dayrun=11),MAX(0,(xSPRDOPT(P156,($E156-'Pricing Inputs'!$X191*$D156),$CV156,0,($CQ156+IF(Smile=TRUE(),VLOOKUP(MAX(-5,$H156-P156),Volsmile,2),0)),$CT156,$CU156,($A156-DateToday)+15,ABS(Option-2),1)*DG156*8)),0))</f>
        <v> </v>
      </c>
      <c r="BJ156" s="301" t="str">
        <f aca="false">IF($A156="N/A"," ",IF(OR(Dayrun&lt;=2,Dayrun&gt;=11),IF(OffPeakEx=TRUE(),MAX(0,(xSPRDOPT(Q156,($E156-'Pricing Inputs'!$X191*$D156),$CV156,0,($CQ156+IF(Smile=TRUE(),VLOOKUP(MAX(-5,$H156-Q156),Volsmile,2),0)),$CT156,$CU156,($A156-DateToday)+15,ABS(Option-2),1)*DG156*8)),0),0))</f>
        <v> </v>
      </c>
      <c r="BK156" s="302" t="str">
        <f aca="false">IF($A156="N/A"," ",R156*$AS156)</f>
        <v> </v>
      </c>
      <c r="BL156" s="303" t="str">
        <f aca="false">IF($A156="N/A"," ",S156*$AT156)</f>
        <v> </v>
      </c>
      <c r="BM156" s="303" t="str">
        <f aca="false">IF($A156="N/A"," ",T156*$AU156)</f>
        <v> </v>
      </c>
      <c r="BN156" s="303" t="str">
        <f aca="false">IF($A156="N/A"," ",U156*$AV156)</f>
        <v> </v>
      </c>
      <c r="BO156" s="303" t="str">
        <f aca="false">IF($A156="N/A"," ",V156*$AW156)</f>
        <v> </v>
      </c>
      <c r="BP156" s="303" t="str">
        <f aca="false">IF($A156="N/A"," ",W156*$AX156)</f>
        <v> </v>
      </c>
      <c r="BQ156" s="303" t="str">
        <f aca="false">IF($A156="N/A"," ",X156*$AY156)</f>
        <v> </v>
      </c>
      <c r="BR156" s="303" t="str">
        <f aca="false">IF($A156="N/A"," ",Y156*$AZ156)</f>
        <v> </v>
      </c>
      <c r="BS156" s="304" t="str">
        <f aca="false">IF($A156="N/A"," ",Z156*$BA156)</f>
        <v> </v>
      </c>
      <c r="BT156" s="305" t="str">
        <f aca="false">IF($A156="N/A"," ",AA156*$AS156)</f>
        <v> </v>
      </c>
      <c r="BU156" s="306" t="str">
        <f aca="false">IF($A156="N/A"," ",AB156*$AT156)</f>
        <v> </v>
      </c>
      <c r="BV156" s="306" t="str">
        <f aca="false">IF($A156="N/A"," ",AC156*$AU156)</f>
        <v> </v>
      </c>
      <c r="BW156" s="306" t="str">
        <f aca="false">IF($A156="N/A"," ",AD156*$AV156)</f>
        <v> </v>
      </c>
      <c r="BX156" s="306" t="str">
        <f aca="false">IF($A156="N/A"," ",AE156*$AW156)</f>
        <v> </v>
      </c>
      <c r="BY156" s="306" t="str">
        <f aca="false">IF($A156="N/A"," ",AF156*$AX156)</f>
        <v> </v>
      </c>
      <c r="BZ156" s="306" t="str">
        <f aca="false">IF($A156="N/A"," ",AG156*$AY156)</f>
        <v> </v>
      </c>
      <c r="CA156" s="306" t="str">
        <f aca="false">IF($A156="N/A"," ",AH156*$AZ156)</f>
        <v> </v>
      </c>
      <c r="CB156" s="307" t="str">
        <f aca="false">IF($A156="N/A"," ",AI156*$BA156)</f>
        <v> </v>
      </c>
      <c r="CC156" s="308" t="str">
        <f aca="false">IF($A156="N/A"," ",AJ156*$AS156)</f>
        <v> </v>
      </c>
      <c r="CD156" s="309" t="str">
        <f aca="false">IF($A156="N/A"," ",AK156*$AT156)</f>
        <v> </v>
      </c>
      <c r="CE156" s="309" t="str">
        <f aca="false">IF($A156="N/A"," ",AL156*$AU156)</f>
        <v> </v>
      </c>
      <c r="CF156" s="309" t="str">
        <f aca="false">IF($A156="N/A"," ",AM156*$AV156)</f>
        <v> </v>
      </c>
      <c r="CG156" s="309" t="str">
        <f aca="false">IF($A156="N/A"," ",AN156*$AW156)</f>
        <v> </v>
      </c>
      <c r="CH156" s="309" t="str">
        <f aca="false">IF($A156="N/A"," ",AO156*$AX156)</f>
        <v> </v>
      </c>
      <c r="CI156" s="309" t="str">
        <f aca="false">IF($A156="N/A"," ",AP156*$AY156)</f>
        <v> </v>
      </c>
      <c r="CJ156" s="309" t="str">
        <f aca="false">IF($A156="N/A"," ",AQ156*$AZ156)</f>
        <v> </v>
      </c>
      <c r="CK156" s="310" t="str">
        <f aca="false">IF($A156="N/A"," ",AR156*$BA156)</f>
        <v> </v>
      </c>
      <c r="CL156" s="311" t="str">
        <f aca="false">IF(A156="N/A"," ",(VLOOKUP(A156,PowerVolTable,(IF(VolBMO=2,7,IF(VolBMO=1,6,8))),FALSE())))</f>
        <v> </v>
      </c>
      <c r="CM156" s="312" t="str">
        <f aca="false">IF(A156="N/A"," ",(VLOOKUP(A156,IntraPowerVol,(IF(VolBMO=2,3,IF(VolBMO=1,2,4))),FALSE())*VLOOKUP(MONTH($A156),Volscale,2)))</f>
        <v> </v>
      </c>
      <c r="CN156" s="312" t="str">
        <f aca="false">IF($A156="N/A"," ",IF(VolType=1,CM156,CL156))</f>
        <v> </v>
      </c>
      <c r="CO156" s="312" t="str">
        <f aca="false">IF($A156="N/A"," ",(VLOOKUP($A156,OffPeakVol,(IF(VolBMO=2,7,IF(VolBMO=1,6,8))),FALSE())))</f>
        <v> </v>
      </c>
      <c r="CP156" s="312" t="str">
        <f aca="false">IF($A156="N/A"," ",(VLOOKUP($A156,OffPeakVol,(IF(VolBMO=2,3,IF(VolBMO=1,2,4))),FALSE())*VLOOKUP(MONTH($A156),Volscale,2)))</f>
        <v> </v>
      </c>
      <c r="CQ156" s="312" t="str">
        <f aca="false">IF($A156="N/A"," ",IF(VolType=1,CP156,CO156))</f>
        <v> </v>
      </c>
      <c r="CR156" s="312" t="str">
        <f aca="false">IF($A156="N/A"," ",(VLOOKUP($A156,GasVolTable,(IF(VolBMO=2,6,IF(VolBMO=1,7,5))),FALSE())))</f>
        <v> </v>
      </c>
      <c r="CS156" s="312" t="str">
        <f aca="false">IF($A156="N/A"," ",(VLOOKUP($A156,OmicronVol,(IF(VolBMO=2,3,IF(VolBMO=1,4,2))),FALSE())))</f>
        <v> </v>
      </c>
      <c r="CT156" s="312" t="str">
        <f aca="false">IF($A156="N/A"," ",(IF(DateToday&gt;$A156,$CS156,IF(VolType=1,((($CR156^2)*((($A156-1)-DateToday)/((EOMONTH($A156,0)+1)-DateToday-15)))+((($CS156)^2)*((15)/((EOMONTH($A156,0)+1)-DateToday-15))))^0.5,CR156))))</f>
        <v> </v>
      </c>
      <c r="CU156" s="312" t="str">
        <f aca="false">IF($A156="N/A"," ",IF('Pricing Inputs'!$AR$23=TRUE(),Inputs!$S$22,VLOOKUP($A156,CorrelationTable,2,FALSE())))</f>
        <v> </v>
      </c>
      <c r="CV156" s="313" t="str">
        <f aca="false">IF($A156="N/A"," ",F156+G156+(D156*('Pricing Inputs'!X191)))</f>
        <v> </v>
      </c>
      <c r="CW156" s="314" t="str">
        <f aca="false">IF($A156="N/A"," ",IF(PV=1,0,'Pricing Inputs'!Y191))</f>
        <v> </v>
      </c>
      <c r="CX156" s="315" t="str">
        <f aca="false">IF($A156="N/A"," ",(1+CW156/2)^(-2*((EOMONTH(A156,0)+20)-DateToday)/365.25))</f>
        <v> </v>
      </c>
      <c r="CY156" s="316" t="str">
        <f aca="false">IF($A156="N/A"," ",(IF(MONTH(A156)&gt;=4,IF(MONTH(A156)&lt;=10,Inputs!$S$26,Inputs!$S$27),Inputs!$S$27))*$CX156)</f>
        <v> </v>
      </c>
      <c r="CZ156" s="317" t="str">
        <f aca="false">IF($A156="N/A"," ",BK156+BL156+BN156+BO156+BQ156+BR156)</f>
        <v> </v>
      </c>
      <c r="DA156" s="318" t="str">
        <f aca="false">IF($A156="N/A"," ",BM156+BP156+BS156)</f>
        <v> </v>
      </c>
      <c r="DB156" s="319" t="str">
        <f aca="false">IF($A156="N/A"," ",BT156+BU156+BW156+BX156+BZ156+CA156)</f>
        <v> </v>
      </c>
      <c r="DC156" s="319" t="str">
        <f aca="false">IF($A156="N/A"," ",BV156+BY156+CB156)</f>
        <v> </v>
      </c>
      <c r="DD156" s="320" t="str">
        <f aca="false">IF($A156="N/A"," ",SUM(CC156:CK156))</f>
        <v> </v>
      </c>
      <c r="DE156" s="321" t="str">
        <f aca="false">IF($A156="N/A"," ",VLOOKUP($A156,NumberofDaysTable,2)*Availability)</f>
        <v> </v>
      </c>
      <c r="DF156" s="94" t="str">
        <f aca="false">IF($A156="N/A"," ",VLOOKUP($A156,NumberofDaysTable,3)*Availability)</f>
        <v> </v>
      </c>
      <c r="DG156" s="322" t="str">
        <f aca="false">IF($A156="N/A"," ",VLOOKUP($A156,NumberofDaysTable,4)*Availability)</f>
        <v> </v>
      </c>
      <c r="DH156" s="323" t="str">
        <f aca="false">IF($A156="N/A"," ",IF(Option=1,$D156*Inputs!$S$15*SUM(AS156:BA156),0))</f>
        <v> </v>
      </c>
      <c r="DI156" s="324" t="str">
        <f aca="false">IF($A156="N/A"," ",IF(Option=1,$D156*Inputs!$S$16*SUM(AS156:BA156),0))</f>
        <v> </v>
      </c>
      <c r="DJ156" s="325" t="str">
        <f aca="false">IF($A156="N/A"," ",SUM(AS156:AT156))</f>
        <v> </v>
      </c>
      <c r="DK156" s="325" t="str">
        <f aca="false">IF($A156="N/A"," ",SUM(AU156:BA156))</f>
        <v> </v>
      </c>
      <c r="DL156" s="325" t="str">
        <f aca="false">IF($A156="N/A"," ",SUM(BB156:BC156))</f>
        <v> </v>
      </c>
      <c r="DM156" s="325" t="str">
        <f aca="false">IF($A156="N/A"," ",SUM(BD156:BJ156))</f>
        <v> </v>
      </c>
    </row>
    <row r="157" customFormat="false" ht="12.75" hidden="false" customHeight="false" outlineLevel="0" collapsed="false">
      <c r="A157" s="282" t="str">
        <f aca="false">IF(A156="N/A","N/A",IF(EDATE(A156,1)&gt;Inputs!$S$5,"N/A",EDATE(A156,1)))</f>
        <v>N/A</v>
      </c>
      <c r="B157" s="283" t="str">
        <f aca="false">IF(A157="N/A"," ",YEAR(A157))</f>
        <v> </v>
      </c>
      <c r="C157" s="284" t="str">
        <f aca="false">IF(A157="N/A"," ",VLOOKUP(A157,ScaledPrice,14))</f>
        <v> </v>
      </c>
      <c r="D157" s="285" t="str">
        <f aca="false">IF(A157="N/A"," ",(VLOOKUP(MONTH($A157),Hrtable,2))/1000)</f>
        <v> </v>
      </c>
      <c r="E157" s="286" t="str">
        <f aca="false">IF($A157="N/A"," ",(C157)*D157)</f>
        <v> </v>
      </c>
      <c r="F157" s="287" t="str">
        <f aca="false">IF(A157="N/A"," ",VOM*(1+VOMesc)^(YEAR(A157)-YEAR(Today)))</f>
        <v> </v>
      </c>
      <c r="G157" s="287" t="str">
        <f aca="false">IF(A157="N/A"," ",Perstart/VLOOKUP(Dayrun,'Pricing Inputs'!$AQ$4:$AS$14,3)/(CY157/CX157))</f>
        <v> </v>
      </c>
      <c r="H157" s="288" t="str">
        <f aca="false">IF(A157="N/A"," ",SUM(E157:G157))</f>
        <v> </v>
      </c>
      <c r="I157" s="289" t="str">
        <f aca="false">VLOOKUP($A157,ScaledPrice,6)</f>
        <v> </v>
      </c>
      <c r="J157" s="290" t="str">
        <f aca="false">VLOOKUP($A157,ScaledPrice,10)</f>
        <v> </v>
      </c>
      <c r="K157" s="290" t="str">
        <f aca="false">VLOOKUP($A157,ScaledPrice,13)</f>
        <v> </v>
      </c>
      <c r="L157" s="290" t="str">
        <f aca="false">VLOOKUP($A157,ScaledPrice,7)</f>
        <v> </v>
      </c>
      <c r="M157" s="290" t="str">
        <f aca="false">VLOOKUP($A157,ScaledPrice,11)</f>
        <v> </v>
      </c>
      <c r="N157" s="290" t="str">
        <f aca="false">VLOOKUP($A157,ScaledPrice,13)</f>
        <v> </v>
      </c>
      <c r="O157" s="290" t="str">
        <f aca="false">VLOOKUP($A157,ScaledPrice,8)</f>
        <v> </v>
      </c>
      <c r="P157" s="290" t="str">
        <f aca="false">VLOOKUP($A157,ScaledPrice,12)</f>
        <v> </v>
      </c>
      <c r="Q157" s="291" t="str">
        <f aca="false">VLOOKUP($A157,ScaledPrice,13)</f>
        <v> </v>
      </c>
      <c r="R157" s="292" t="str">
        <f aca="false">IF($A157="N/A"," ",IF(Dayrun&gt;=3,IF(Option=1,MAX($I157-$H157,0),IF(Option=2,MAX($H157-$I157,0),0)),0))</f>
        <v> </v>
      </c>
      <c r="S157" s="286" t="str">
        <f aca="false">IF($A157="N/A"," ",IF(Dayrun&gt;=6,IF(Option=1,MAX($J157-H157,0),IF(Option=2,MAX(H157-$J157,0),0)),0))</f>
        <v> </v>
      </c>
      <c r="T157" s="286" t="str">
        <f aca="false">IF($A157="N/A"," ",IF(OR(Dayrun&lt;=2,Dayrun&gt;=9),IF(Option=1,MAX($K157-$H157,0),IF(Option=2,MAX($H157-$K157,0),0)),0))</f>
        <v> </v>
      </c>
      <c r="U157" s="286" t="str">
        <f aca="false">IF($A157="N/A"," ",IF(OR(Dayrun=1,Dayrun=4,Dayrun=5,Dayrun=7,Dayrun=8,Dayrun=10,Dayrun=11),IF(Option=1,MAX($L157-H157,0),IF(Option=2,MAX(H157-$L157,0),0)),0))</f>
        <v> </v>
      </c>
      <c r="V157" s="286" t="str">
        <f aca="false">IF($A157="N/A"," ",IF(OR(Dayrun=1,Dayrun=7,Dayrun=8,Dayrun=10,Dayrun=11),IF(Option=1,MAX($M157-H157,0),IF(Option=2,MAX(H157-$M157,0),0)),0))</f>
        <v> </v>
      </c>
      <c r="W157" s="286" t="str">
        <f aca="false">IF($A157="N/A"," ",IF(OR(Dayrun&lt;=2,Dayrun&gt;=10),IF(Option=1,MAX($N157-$H157,0),IF(Option=2,MAX($H157-$N157,0),0)),0))</f>
        <v> </v>
      </c>
      <c r="X157" s="286" t="str">
        <f aca="false">IF($A157="N/A"," ",IF(OR(Dayrun=1,Dayrun=5,Dayrun=8,Dayrun=11),IF(Option=1,MAX($O157-H157,0),IF(Option=2,MAX(H157-$O157,0),0)),0))</f>
        <v> </v>
      </c>
      <c r="Y157" s="286" t="str">
        <f aca="false">IF($A157="N/A"," ",IF(OR(Dayrun=1,Dayrun=8,Dayrun=11),IF(Option=1,MAX($P157-H157,0),IF(Option=2,MAX(H157-$P157,0),0)),0))</f>
        <v> </v>
      </c>
      <c r="Z157" s="293" t="str">
        <f aca="false">IF($A157="N/A"," ",IF(OR(Dayrun&lt;=2,Dayrun&gt;=11),IF(Option=1,MAX($Q157-$H157,0),IF(Option=2,MAX($H157-$Q157,0),0)),0))</f>
        <v> </v>
      </c>
      <c r="AA157" s="289" t="str">
        <f aca="false">IF($A157="N/A"," ",IF(Dayrun&gt;=3,(MAX(0,(xSPRDOPT(I157,($E157-'Pricing Inputs'!$X192*$D157),$CV157,0,($CN157+IF(Smile=TRUE(),VLOOKUP(MAX(-5,$H157-I157),Volsmile,2),0)),$CT157,$CU157,($A157-DateToday)+15,ABS(Option-2),0)-R157))),0))</f>
        <v> </v>
      </c>
      <c r="AB157" s="290" t="str">
        <f aca="false">IF($A157="N/A"," ",IF(Dayrun&gt;=6,MAX(0,(xSPRDOPT(J157,($E157-'Pricing Inputs'!$X192*$D157),$CV157,0,($CN157+IF(Smile=TRUE(),VLOOKUP(MAX(-5,$H157-J157),Volsmile,2),0)),$CT157,$CU157,($A157-DateToday)+15,ABS(Option-2),0)-S157)),0))</f>
        <v> </v>
      </c>
      <c r="AC157" s="290" t="str">
        <f aca="false">IF($A157="N/A"," ",IF(OR(Dayrun&lt;=2,Dayrun&gt;=9),IF(OffPeakEx=TRUE(),MAX(0,(xSPRDOPT(K157,($E157-'Pricing Inputs'!$X192*$D157),$CV157,0,($CQ157+IF(Smile=TRUE(),VLOOKUP(MAX(-5,$H157-K157),Volsmile,2),0)),$CT157,$CU157,($A157-DateToday)+15,ABS(Option-2),0)-T157)),0),0))</f>
        <v> </v>
      </c>
      <c r="AD157" s="290" t="str">
        <f aca="false">IF($A157="N/A"," ",IF(OR(Dayrun=1,Dayrun=4,Dayrun=5,Dayrun=7,Dayrun=8,Dayrun=10,Dayrun=11),MAX(0,(xSPRDOPT(L157,($E157-'Pricing Inputs'!$X192*$D157),$CV157,0,($CQ157+IF(Smile=TRUE(),VLOOKUP(MAX(-5,$H157-L157),Volsmile,2),0)),$CT157,$CU157,($A157-DateToday)+15,ABS(Option-2),0)-U157)),0))</f>
        <v> </v>
      </c>
      <c r="AE157" s="290" t="str">
        <f aca="false">IF($A157="N/A"," ",IF(OR(Dayrun=1,Dayrun=7,Dayrun=8,Dayrun=10,Dayrun=11),MAX(0,(xSPRDOPT(M157,($E157-'Pricing Inputs'!$X192*$D157),$CV157,0,($CQ157+IF(Smile=TRUE(),VLOOKUP(MAX(-5,$H157-M157),Volsmile,2),0)),$CT157,$CU157,($A157-DateToday)+15,ABS(Option-2),0)-V157)),0))</f>
        <v> </v>
      </c>
      <c r="AF157" s="290" t="str">
        <f aca="false">IF($A157="N/A"," ",IF(OR(Dayrun&lt;=2,Dayrun&gt;=10),IF(OffPeakEx=TRUE(),MAX(0,(xSPRDOPT(N157,($E157-'Pricing Inputs'!$X192*$D157),$CV157,0,($CQ157+IF(Smile=TRUE(),VLOOKUP(MAX(-5,$H157-N157),Volsmile,2),0)),$CT157,$CU157,($A157-DateToday)+15,ABS(Option-2),0)-W157)),0),0))</f>
        <v> </v>
      </c>
      <c r="AG157" s="290" t="str">
        <f aca="false">IF($A157="N/A"," ",IF(OR(Dayrun=1,Dayrun=5,Dayrun=8,Dayrun=11),MAX(0,(xSPRDOPT(O157,($E157-'Pricing Inputs'!$X192*$D157),$CV157,0,($CQ157+IF(Smile=TRUE(),VLOOKUP(MAX(-5,$H157-O157),Volsmile,2),0)),$CT157,$CU157,($A157-DateToday)+15,ABS(Option-2),0)-X157)),0))</f>
        <v> </v>
      </c>
      <c r="AH157" s="290" t="str">
        <f aca="false">IF($A157="N/A"," ",IF(OR(Dayrun=1,Dayrun=8,Dayrun=11),MAX(0,(xSPRDOPT(P157,($E157-'Pricing Inputs'!$X192*$D157),$CV157,0,($CQ157+IF(Smile=TRUE(),VLOOKUP(MAX(-5,$H157-P157),Volsmile,2),0)),$CT157,$CU157,($A157-DateToday)+15,ABS(Option-2),0)-Y157)),0))</f>
        <v> </v>
      </c>
      <c r="AI157" s="290" t="str">
        <f aca="false">IF($A157="N/A"," ",IF(OR(Dayrun&lt;=2,Dayrun&gt;=11),IF(OffPeakEx=TRUE(),MAX(0,(xSPRDOPT(Q157,($E157-'Pricing Inputs'!$X192*$D157),$CV157,0,($CQ157+IF(Smile=TRUE(),VLOOKUP(MAX(-5,$H157-Q157),Volsmile,2),0)),$CT157,$CU157,($A157-DateToday)+15,ABS(Option-2),0)-Z157)),0),0))</f>
        <v> </v>
      </c>
      <c r="AJ157" s="294" t="str">
        <f aca="false">IF($A157="N/A"," ",IF(Dayrun&gt;=3,IF(Option=1,$I157-$H157,IF(Option=2,$H157-$I157)),0))</f>
        <v> </v>
      </c>
      <c r="AK157" s="295" t="str">
        <f aca="false">IF($A157="N/A"," ",IF(Dayrun&gt;=6,IF(Option=1,$J157-H157,IF(Option=2,H157-$J157)),0))</f>
        <v> </v>
      </c>
      <c r="AL157" s="295" t="str">
        <f aca="false">IF($A157="N/A"," ",IF(OR(Dayrun&lt;=2,Dayrun&gt;=9),IF(Option=1,$K157-$H157,IF(Option=2,$H157-$K157)),0))</f>
        <v> </v>
      </c>
      <c r="AM157" s="295" t="str">
        <f aca="false">IF($A157="N/A"," ",IF(OR(Dayrun=1,Dayrun=4,Dayrun=5,Dayrun=7,Dayrun=8,Dayrun=10,Dayrun=11),IF(Option=1,$L157-H157,IF(Option=2,H157-$L157)),0))</f>
        <v> </v>
      </c>
      <c r="AN157" s="295" t="str">
        <f aca="false">IF($A157="N/A"," ",IF(OR(Dayrun=1,Dayrun=7,Dayrun=8,Dayrun=10,Dayrun=11),IF(Option=1,$M157-H157,IF(Option=2,H157-$M157)),0))</f>
        <v> </v>
      </c>
      <c r="AO157" s="295" t="str">
        <f aca="false">IF($A157="N/A"," ",IF(OR(Dayrun&lt;=2,Dayrun&gt;=9),IF(Option=1,$N157-$H157,IF(Option=2,$H157-$N157)),0))</f>
        <v> </v>
      </c>
      <c r="AP157" s="295" t="str">
        <f aca="false">IF($A157="N/A"," ",IF(OR(Dayrun=1,Dayrun=5,Dayrun=8,Dayrun=11),IF(Option=1,$O157-H157,IF(Option=2,H157-$O157)),0))</f>
        <v> </v>
      </c>
      <c r="AQ157" s="295" t="str">
        <f aca="false">IF($A157="N/A"," ",IF(OR(Dayrun=1,Dayrun=8,Dayrun=11),IF(Option=1,$P157-H157,IF(Option=2,H157-$P157)),0))</f>
        <v> </v>
      </c>
      <c r="AR157" s="296" t="str">
        <f aca="false">IF($A157="N/A"," ",IF(OR(Dayrun&lt;=2,Dayrun&gt;=9),IF(Option=1,$Q157-H157,IF(Option=2,H157-$Q157)),0))</f>
        <v> </v>
      </c>
      <c r="AS157" s="297" t="str">
        <f aca="false">IF($A157="N/A"," ",IF(VLOOKUP(MONTH($A157),ManualTable,2)=1,IF(Dayrun&gt;=3,$DE157*8*$CY157,0),0))</f>
        <v> </v>
      </c>
      <c r="AT157" s="297" t="str">
        <f aca="false">IF($A157="N/A"," ",IF(VLOOKUP(MONTH($A157),ManualTable,3)=1,IF(Dayrun&gt;=6,$DE157*8*$CY157,0),0))</f>
        <v> </v>
      </c>
      <c r="AU157" s="297" t="str">
        <f aca="false">IF($A157="N/A"," ",IF(VLOOKUP(MONTH($A157),ManualTable,4)=1,IF(OR(Dayrun&lt;=2,Dayrun&gt;=9),$DE157*8*$CY157,0),0))</f>
        <v> </v>
      </c>
      <c r="AV157" s="297" t="str">
        <f aca="false">IF($A157="N/A"," ",IF(VLOOKUP(MONTH($A157),ManualTable,5)=1,IF(OR(Dayrun=1,Dayrun=4,Dayrun=5,Dayrun=7,Dayrun=8,Dayrun=10,Dayrun=11),$DF157*8*$CY157,0),0))</f>
        <v> </v>
      </c>
      <c r="AW157" s="297" t="str">
        <f aca="false">IF($A157="N/A"," ",IF(VLOOKUP(MONTH($A157),ManualTable,6)=1,IF(OR(Dayrun=1,Dayrun=7,Dayrun=8,Dayrun=10,Dayrun=11),$DF157*8*$CY157,0),0))</f>
        <v> </v>
      </c>
      <c r="AX157" s="297" t="str">
        <f aca="false">IF($A157="N/A"," ",IF(VLOOKUP(MONTH($A157),ManualTable,7)=1,IF(OR(Dayrun&lt;=2,Dayrun&gt;=9),$DF157*8*$CY157,0),0))</f>
        <v> </v>
      </c>
      <c r="AY157" s="297" t="str">
        <f aca="false">IF($A157="N/A"," ",IF(VLOOKUP(MONTH($A157),ManualTable,8)=1,IF(OR(Dayrun=1,Dayrun=5,Dayrun=8,Dayrun=11),$DG157*8*$CY157,0),0))</f>
        <v> </v>
      </c>
      <c r="AZ157" s="297" t="str">
        <f aca="false">IF($A157="N/A"," ",IF(VLOOKUP(MONTH($A157),ManualTable,9)=1,IF(OR(Dayrun=1,Dayrun=8,Dayrun=11),$DG157*8*$CY157,0),0))</f>
        <v> </v>
      </c>
      <c r="BA157" s="298" t="str">
        <f aca="false">IF($A157="N/A"," ",IF(VLOOKUP(MONTH($A157),ManualTable,10)=1,IF(OR(Dayrun&lt;=2,Dayrun&gt;=9),$DG157*8*$CY157,0),0))</f>
        <v> </v>
      </c>
      <c r="BB157" s="299" t="str">
        <f aca="false">IF($A157="N/A"," ",IF(Dayrun&gt;=3,(MAX(0,(xSPRDOPT(I157,($E157-'Pricing Inputs'!$X192*$D157),$CV157,0,($CN157+IF(Smile=TRUE(),VLOOKUP(MAX(-5,$H157-I157),Volsmile,2),0)),$CT157,$CU157,($A157-DateToday)+15,ABS(Option-2),1)*DE157*8))),0))</f>
        <v> </v>
      </c>
      <c r="BC157" s="300" t="str">
        <f aca="false">IF($A157="N/A"," ",IF(Dayrun&gt;=6,MAX(0,(xSPRDOPT(J157,($E157-'Pricing Inputs'!$X192*$D157),$CV157,0,($CN157+IF(Smile=TRUE(),VLOOKUP(MAX(-5,$H157-J157),Volsmile,2),0)),$CT157,$CU157,($A157-DateToday)+15,ABS(Option-2),1)*DE157*8)),0))</f>
        <v> </v>
      </c>
      <c r="BD157" s="300" t="str">
        <f aca="false">IF($A157="N/A"," ",IF(OR(Dayrun&lt;=2,Dayrun&gt;=9),IF(OffPeakEx=TRUE(),MAX(0,(xSPRDOPT(K157,($E157-'Pricing Inputs'!$X192*$D157),$CV157,0,($CQ157+IF(Smile=TRUE(),VLOOKUP(MAX(-5,$H157-K157),Volsmile,2),0)),$CT157,$CU157,($A157-DateToday)+15,ABS(Option-2),1)*DE157*8)),0),0))</f>
        <v> </v>
      </c>
      <c r="BE157" s="300" t="str">
        <f aca="false">IF($A157="N/A"," ",IF(OR(Dayrun=1,Dayrun=4,Dayrun=5,Dayrun=7,Dayrun=8,Dayrun=10,Dayrun=11),MAX(0,(xSPRDOPT(L157,($E157-'Pricing Inputs'!$X192*$D157),$CV157,0,($CQ157+IF(Smile=TRUE(),VLOOKUP(MAX(-5,$H157-L157),Volsmile,2),0)),$CT157,$CU157,($A157-DateToday)+15,ABS(Option-2),1)*DF157*8)),0))</f>
        <v> </v>
      </c>
      <c r="BF157" s="300" t="str">
        <f aca="false">IF($A157="N/A"," ",IF(OR(Dayrun=1,Dayrun=7,Dayrun=8,Dayrun=10,Dayrun=11),MAX(0,(xSPRDOPT(M157,($E157-'Pricing Inputs'!$X192*$D157),$CV157,0,($CQ157+IF(Smile=TRUE(),VLOOKUP(MAX(-5,$H157-M157),Volsmile,2),0)),$CT157,$CU157,($A157-DateToday)+15,ABS(Option-2),1)*DF157*8)),0))</f>
        <v> </v>
      </c>
      <c r="BG157" s="300" t="str">
        <f aca="false">IF($A157="N/A"," ",IF(OR(Dayrun&lt;=2,Dayrun&gt;=10),IF(OffPeakEx=TRUE(),MAX(0,(xSPRDOPT(N157,($E157-'Pricing Inputs'!$X192*$D157),$CV157,0,($CQ157+IF(Smile=TRUE(),VLOOKUP(MAX(-5,$H157-N157),Volsmile,2),0)),$CT157,$CU157,($A157-DateToday)+15,ABS(Option-2),1)*DF157*8)),0),0))</f>
        <v> </v>
      </c>
      <c r="BH157" s="300" t="str">
        <f aca="false">IF($A157="N/A"," ",IF(OR(Dayrun=1,Dayrun=5,Dayrun=8,Dayrun=11),MAX(0,(xSPRDOPT(O157,($E157-'Pricing Inputs'!$X192*$D157),$CV157,0,($CQ157+IF(Smile=TRUE(),VLOOKUP(MAX(-5,$H157-O157),Volsmile,2),0)),$CT157,$CU157,($A157-DateToday)+15,ABS(Option-2),1)*DG157*8)),0))</f>
        <v> </v>
      </c>
      <c r="BI157" s="300" t="str">
        <f aca="false">IF($A157="N/A"," ",IF(OR(Dayrun=1,Dayrun=8,Dayrun=11),MAX(0,(xSPRDOPT(P157,($E157-'Pricing Inputs'!$X192*$D157),$CV157,0,($CQ157+IF(Smile=TRUE(),VLOOKUP(MAX(-5,$H157-P157),Volsmile,2),0)),$CT157,$CU157,($A157-DateToday)+15,ABS(Option-2),1)*DG157*8)),0))</f>
        <v> </v>
      </c>
      <c r="BJ157" s="301" t="str">
        <f aca="false">IF($A157="N/A"," ",IF(OR(Dayrun&lt;=2,Dayrun&gt;=11),IF(OffPeakEx=TRUE(),MAX(0,(xSPRDOPT(Q157,($E157-'Pricing Inputs'!$X192*$D157),$CV157,0,($CQ157+IF(Smile=TRUE(),VLOOKUP(MAX(-5,$H157-Q157),Volsmile,2),0)),$CT157,$CU157,($A157-DateToday)+15,ABS(Option-2),1)*DG157*8)),0),0))</f>
        <v> </v>
      </c>
      <c r="BK157" s="302" t="str">
        <f aca="false">IF($A157="N/A"," ",R157*$AS157)</f>
        <v> </v>
      </c>
      <c r="BL157" s="303" t="str">
        <f aca="false">IF($A157="N/A"," ",S157*$AT157)</f>
        <v> </v>
      </c>
      <c r="BM157" s="303" t="str">
        <f aca="false">IF($A157="N/A"," ",T157*$AU157)</f>
        <v> </v>
      </c>
      <c r="BN157" s="303" t="str">
        <f aca="false">IF($A157="N/A"," ",U157*$AV157)</f>
        <v> </v>
      </c>
      <c r="BO157" s="303" t="str">
        <f aca="false">IF($A157="N/A"," ",V157*$AW157)</f>
        <v> </v>
      </c>
      <c r="BP157" s="303" t="str">
        <f aca="false">IF($A157="N/A"," ",W157*$AX157)</f>
        <v> </v>
      </c>
      <c r="BQ157" s="303" t="str">
        <f aca="false">IF($A157="N/A"," ",X157*$AY157)</f>
        <v> </v>
      </c>
      <c r="BR157" s="303" t="str">
        <f aca="false">IF($A157="N/A"," ",Y157*$AZ157)</f>
        <v> </v>
      </c>
      <c r="BS157" s="304" t="str">
        <f aca="false">IF($A157="N/A"," ",Z157*$BA157)</f>
        <v> </v>
      </c>
      <c r="BT157" s="305" t="str">
        <f aca="false">IF($A157="N/A"," ",AA157*$AS157)</f>
        <v> </v>
      </c>
      <c r="BU157" s="306" t="str">
        <f aca="false">IF($A157="N/A"," ",AB157*$AT157)</f>
        <v> </v>
      </c>
      <c r="BV157" s="306" t="str">
        <f aca="false">IF($A157="N/A"," ",AC157*$AU157)</f>
        <v> </v>
      </c>
      <c r="BW157" s="306" t="str">
        <f aca="false">IF($A157="N/A"," ",AD157*$AV157)</f>
        <v> </v>
      </c>
      <c r="BX157" s="306" t="str">
        <f aca="false">IF($A157="N/A"," ",AE157*$AW157)</f>
        <v> </v>
      </c>
      <c r="BY157" s="306" t="str">
        <f aca="false">IF($A157="N/A"," ",AF157*$AX157)</f>
        <v> </v>
      </c>
      <c r="BZ157" s="306" t="str">
        <f aca="false">IF($A157="N/A"," ",AG157*$AY157)</f>
        <v> </v>
      </c>
      <c r="CA157" s="306" t="str">
        <f aca="false">IF($A157="N/A"," ",AH157*$AZ157)</f>
        <v> </v>
      </c>
      <c r="CB157" s="307" t="str">
        <f aca="false">IF($A157="N/A"," ",AI157*$BA157)</f>
        <v> </v>
      </c>
      <c r="CC157" s="308" t="str">
        <f aca="false">IF($A157="N/A"," ",AJ157*$AS157)</f>
        <v> </v>
      </c>
      <c r="CD157" s="309" t="str">
        <f aca="false">IF($A157="N/A"," ",AK157*$AT157)</f>
        <v> </v>
      </c>
      <c r="CE157" s="309" t="str">
        <f aca="false">IF($A157="N/A"," ",AL157*$AU157)</f>
        <v> </v>
      </c>
      <c r="CF157" s="309" t="str">
        <f aca="false">IF($A157="N/A"," ",AM157*$AV157)</f>
        <v> </v>
      </c>
      <c r="CG157" s="309" t="str">
        <f aca="false">IF($A157="N/A"," ",AN157*$AW157)</f>
        <v> </v>
      </c>
      <c r="CH157" s="309" t="str">
        <f aca="false">IF($A157="N/A"," ",AO157*$AX157)</f>
        <v> </v>
      </c>
      <c r="CI157" s="309" t="str">
        <f aca="false">IF($A157="N/A"," ",AP157*$AY157)</f>
        <v> </v>
      </c>
      <c r="CJ157" s="309" t="str">
        <f aca="false">IF($A157="N/A"," ",AQ157*$AZ157)</f>
        <v> </v>
      </c>
      <c r="CK157" s="310" t="str">
        <f aca="false">IF($A157="N/A"," ",AR157*$BA157)</f>
        <v> </v>
      </c>
      <c r="CL157" s="311" t="str">
        <f aca="false">IF(A157="N/A"," ",(VLOOKUP(A157,PowerVolTable,(IF(VolBMO=2,7,IF(VolBMO=1,6,8))),FALSE())))</f>
        <v> </v>
      </c>
      <c r="CM157" s="312" t="str">
        <f aca="false">IF(A157="N/A"," ",(VLOOKUP(A157,IntraPowerVol,(IF(VolBMO=2,3,IF(VolBMO=1,2,4))),FALSE())*VLOOKUP(MONTH($A157),Volscale,2)))</f>
        <v> </v>
      </c>
      <c r="CN157" s="312" t="str">
        <f aca="false">IF($A157="N/A"," ",IF(VolType=1,CM157,CL157))</f>
        <v> </v>
      </c>
      <c r="CO157" s="312" t="str">
        <f aca="false">IF($A157="N/A"," ",(VLOOKUP($A157,OffPeakVol,(IF(VolBMO=2,7,IF(VolBMO=1,6,8))),FALSE())))</f>
        <v> </v>
      </c>
      <c r="CP157" s="312" t="str">
        <f aca="false">IF($A157="N/A"," ",(VLOOKUP($A157,OffPeakVol,(IF(VolBMO=2,3,IF(VolBMO=1,2,4))),FALSE())*VLOOKUP(MONTH($A157),Volscale,2)))</f>
        <v> </v>
      </c>
      <c r="CQ157" s="312" t="str">
        <f aca="false">IF($A157="N/A"," ",IF(VolType=1,CP157,CO157))</f>
        <v> </v>
      </c>
      <c r="CR157" s="312" t="str">
        <f aca="false">IF($A157="N/A"," ",(VLOOKUP($A157,GasVolTable,(IF(VolBMO=2,6,IF(VolBMO=1,7,5))),FALSE())))</f>
        <v> </v>
      </c>
      <c r="CS157" s="312" t="str">
        <f aca="false">IF($A157="N/A"," ",(VLOOKUP($A157,OmicronVol,(IF(VolBMO=2,3,IF(VolBMO=1,4,2))),FALSE())))</f>
        <v> </v>
      </c>
      <c r="CT157" s="312" t="str">
        <f aca="false">IF($A157="N/A"," ",(IF(DateToday&gt;$A157,$CS157,IF(VolType=1,((($CR157^2)*((($A157-1)-DateToday)/((EOMONTH($A157,0)+1)-DateToday-15)))+((($CS157)^2)*((15)/((EOMONTH($A157,0)+1)-DateToday-15))))^0.5,CR157))))</f>
        <v> </v>
      </c>
      <c r="CU157" s="312" t="str">
        <f aca="false">IF($A157="N/A"," ",IF('Pricing Inputs'!$AR$23=TRUE(),Inputs!$S$22,VLOOKUP($A157,CorrelationTable,2,FALSE())))</f>
        <v> </v>
      </c>
      <c r="CV157" s="313" t="str">
        <f aca="false">IF($A157="N/A"," ",F157+G157+(D157*('Pricing Inputs'!X192)))</f>
        <v> </v>
      </c>
      <c r="CW157" s="314" t="str">
        <f aca="false">IF($A157="N/A"," ",IF(PV=1,0,'Pricing Inputs'!Y192))</f>
        <v> </v>
      </c>
      <c r="CX157" s="315" t="str">
        <f aca="false">IF($A157="N/A"," ",(1+CW157/2)^(-2*((EOMONTH(A157,0)+20)-DateToday)/365.25))</f>
        <v> </v>
      </c>
      <c r="CY157" s="316" t="str">
        <f aca="false">IF($A157="N/A"," ",(IF(MONTH(A157)&gt;=4,IF(MONTH(A157)&lt;=10,Inputs!$S$26,Inputs!$S$27),Inputs!$S$27))*$CX157)</f>
        <v> </v>
      </c>
      <c r="CZ157" s="317" t="str">
        <f aca="false">IF($A157="N/A"," ",BK157+BL157+BN157+BO157+BQ157+BR157)</f>
        <v> </v>
      </c>
      <c r="DA157" s="318" t="str">
        <f aca="false">IF($A157="N/A"," ",BM157+BP157+BS157)</f>
        <v> </v>
      </c>
      <c r="DB157" s="319" t="str">
        <f aca="false">IF($A157="N/A"," ",BT157+BU157+BW157+BX157+BZ157+CA157)</f>
        <v> </v>
      </c>
      <c r="DC157" s="319" t="str">
        <f aca="false">IF($A157="N/A"," ",BV157+BY157+CB157)</f>
        <v> </v>
      </c>
      <c r="DD157" s="320" t="str">
        <f aca="false">IF($A157="N/A"," ",SUM(CC157:CK157))</f>
        <v> </v>
      </c>
      <c r="DE157" s="321" t="str">
        <f aca="false">IF($A157="N/A"," ",VLOOKUP($A157,NumberofDaysTable,2)*Availability)</f>
        <v> </v>
      </c>
      <c r="DF157" s="94" t="str">
        <f aca="false">IF($A157="N/A"," ",VLOOKUP($A157,NumberofDaysTable,3)*Availability)</f>
        <v> </v>
      </c>
      <c r="DG157" s="322" t="str">
        <f aca="false">IF($A157="N/A"," ",VLOOKUP($A157,NumberofDaysTable,4)*Availability)</f>
        <v> </v>
      </c>
      <c r="DH157" s="323" t="str">
        <f aca="false">IF($A157="N/A"," ",IF(Option=1,$D157*Inputs!$S$15*SUM(AS157:BA157),0))</f>
        <v> </v>
      </c>
      <c r="DI157" s="324" t="str">
        <f aca="false">IF($A157="N/A"," ",IF(Option=1,$D157*Inputs!$S$16*SUM(AS157:BA157),0))</f>
        <v> </v>
      </c>
      <c r="DJ157" s="325" t="str">
        <f aca="false">IF($A157="N/A"," ",SUM(AS157:AT157))</f>
        <v> </v>
      </c>
      <c r="DK157" s="325" t="str">
        <f aca="false">IF($A157="N/A"," ",SUM(AU157:BA157))</f>
        <v> </v>
      </c>
      <c r="DL157" s="325" t="str">
        <f aca="false">IF($A157="N/A"," ",SUM(BB157:BC157))</f>
        <v> </v>
      </c>
      <c r="DM157" s="325" t="str">
        <f aca="false">IF($A157="N/A"," ",SUM(BD157:BJ157))</f>
        <v> </v>
      </c>
    </row>
    <row r="158" customFormat="false" ht="12.75" hidden="false" customHeight="false" outlineLevel="0" collapsed="false">
      <c r="A158" s="282" t="str">
        <f aca="false">IF(A157="N/A","N/A",IF(EDATE(A157,1)&gt;Inputs!$S$5,"N/A",EDATE(A157,1)))</f>
        <v>N/A</v>
      </c>
      <c r="B158" s="283" t="str">
        <f aca="false">IF(A158="N/A"," ",YEAR(A158))</f>
        <v> </v>
      </c>
      <c r="C158" s="284" t="str">
        <f aca="false">IF(A158="N/A"," ",VLOOKUP(A158,ScaledPrice,14))</f>
        <v> </v>
      </c>
      <c r="D158" s="285" t="str">
        <f aca="false">IF(A158="N/A"," ",(VLOOKUP(MONTH($A158),Hrtable,2))/1000)</f>
        <v> </v>
      </c>
      <c r="E158" s="286" t="str">
        <f aca="false">IF($A158="N/A"," ",(C158)*D158)</f>
        <v> </v>
      </c>
      <c r="F158" s="287" t="str">
        <f aca="false">IF(A158="N/A"," ",VOM*(1+VOMesc)^(YEAR(A158)-YEAR(Today)))</f>
        <v> </v>
      </c>
      <c r="G158" s="287" t="str">
        <f aca="false">IF(A158="N/A"," ",Perstart/VLOOKUP(Dayrun,'Pricing Inputs'!$AQ$4:$AS$14,3)/(CY158/CX158))</f>
        <v> </v>
      </c>
      <c r="H158" s="288" t="str">
        <f aca="false">IF(A158="N/A"," ",SUM(E158:G158))</f>
        <v> </v>
      </c>
      <c r="I158" s="289" t="str">
        <f aca="false">VLOOKUP($A158,ScaledPrice,6)</f>
        <v> </v>
      </c>
      <c r="J158" s="290" t="str">
        <f aca="false">VLOOKUP($A158,ScaledPrice,10)</f>
        <v> </v>
      </c>
      <c r="K158" s="290" t="str">
        <f aca="false">VLOOKUP($A158,ScaledPrice,13)</f>
        <v> </v>
      </c>
      <c r="L158" s="290" t="str">
        <f aca="false">VLOOKUP($A158,ScaledPrice,7)</f>
        <v> </v>
      </c>
      <c r="M158" s="290" t="str">
        <f aca="false">VLOOKUP($A158,ScaledPrice,11)</f>
        <v> </v>
      </c>
      <c r="N158" s="290" t="str">
        <f aca="false">VLOOKUP($A158,ScaledPrice,13)</f>
        <v> </v>
      </c>
      <c r="O158" s="290" t="str">
        <f aca="false">VLOOKUP($A158,ScaledPrice,8)</f>
        <v> </v>
      </c>
      <c r="P158" s="290" t="str">
        <f aca="false">VLOOKUP($A158,ScaledPrice,12)</f>
        <v> </v>
      </c>
      <c r="Q158" s="291" t="str">
        <f aca="false">VLOOKUP($A158,ScaledPrice,13)</f>
        <v> </v>
      </c>
      <c r="R158" s="292" t="str">
        <f aca="false">IF($A158="N/A"," ",IF(Dayrun&gt;=3,IF(Option=1,MAX($I158-$H158,0),IF(Option=2,MAX($H158-$I158,0),0)),0))</f>
        <v> </v>
      </c>
      <c r="S158" s="286" t="str">
        <f aca="false">IF($A158="N/A"," ",IF(Dayrun&gt;=6,IF(Option=1,MAX($J158-H158,0),IF(Option=2,MAX(H158-$J158,0),0)),0))</f>
        <v> </v>
      </c>
      <c r="T158" s="286" t="str">
        <f aca="false">IF($A158="N/A"," ",IF(OR(Dayrun&lt;=2,Dayrun&gt;=9),IF(Option=1,MAX($K158-$H158,0),IF(Option=2,MAX($H158-$K158,0),0)),0))</f>
        <v> </v>
      </c>
      <c r="U158" s="286" t="str">
        <f aca="false">IF($A158="N/A"," ",IF(OR(Dayrun=1,Dayrun=4,Dayrun=5,Dayrun=7,Dayrun=8,Dayrun=10,Dayrun=11),IF(Option=1,MAX($L158-H158,0),IF(Option=2,MAX(H158-$L158,0),0)),0))</f>
        <v> </v>
      </c>
      <c r="V158" s="286" t="str">
        <f aca="false">IF($A158="N/A"," ",IF(OR(Dayrun=1,Dayrun=7,Dayrun=8,Dayrun=10,Dayrun=11),IF(Option=1,MAX($M158-H158,0),IF(Option=2,MAX(H158-$M158,0),0)),0))</f>
        <v> </v>
      </c>
      <c r="W158" s="286" t="str">
        <f aca="false">IF($A158="N/A"," ",IF(OR(Dayrun&lt;=2,Dayrun&gt;=10),IF(Option=1,MAX($N158-$H158,0),IF(Option=2,MAX($H158-$N158,0),0)),0))</f>
        <v> </v>
      </c>
      <c r="X158" s="286" t="str">
        <f aca="false">IF($A158="N/A"," ",IF(OR(Dayrun=1,Dayrun=5,Dayrun=8,Dayrun=11),IF(Option=1,MAX($O158-H158,0),IF(Option=2,MAX(H158-$O158,0),0)),0))</f>
        <v> </v>
      </c>
      <c r="Y158" s="286" t="str">
        <f aca="false">IF($A158="N/A"," ",IF(OR(Dayrun=1,Dayrun=8,Dayrun=11),IF(Option=1,MAX($P158-H158,0),IF(Option=2,MAX(H158-$P158,0),0)),0))</f>
        <v> </v>
      </c>
      <c r="Z158" s="293" t="str">
        <f aca="false">IF($A158="N/A"," ",IF(OR(Dayrun&lt;=2,Dayrun&gt;=11),IF(Option=1,MAX($Q158-$H158,0),IF(Option=2,MAX($H158-$Q158,0),0)),0))</f>
        <v> </v>
      </c>
      <c r="AA158" s="289" t="str">
        <f aca="false">IF($A158="N/A"," ",IF(Dayrun&gt;=3,(MAX(0,(xSPRDOPT(I158,($E158-'Pricing Inputs'!$X193*$D158),$CV158,0,($CN158+IF(Smile=TRUE(),VLOOKUP(MAX(-5,$H158-I158),Volsmile,2),0)),$CT158,$CU158,($A158-DateToday)+15,ABS(Option-2),0)-R158))),0))</f>
        <v> </v>
      </c>
      <c r="AB158" s="290" t="str">
        <f aca="false">IF($A158="N/A"," ",IF(Dayrun&gt;=6,MAX(0,(xSPRDOPT(J158,($E158-'Pricing Inputs'!$X193*$D158),$CV158,0,($CN158+IF(Smile=TRUE(),VLOOKUP(MAX(-5,$H158-J158),Volsmile,2),0)),$CT158,$CU158,($A158-DateToday)+15,ABS(Option-2),0)-S158)),0))</f>
        <v> </v>
      </c>
      <c r="AC158" s="290" t="str">
        <f aca="false">IF($A158="N/A"," ",IF(OR(Dayrun&lt;=2,Dayrun&gt;=9),IF(OffPeakEx=TRUE(),MAX(0,(xSPRDOPT(K158,($E158-'Pricing Inputs'!$X193*$D158),$CV158,0,($CQ158+IF(Smile=TRUE(),VLOOKUP(MAX(-5,$H158-K158),Volsmile,2),0)),$CT158,$CU158,($A158-DateToday)+15,ABS(Option-2),0)-T158)),0),0))</f>
        <v> </v>
      </c>
      <c r="AD158" s="290" t="str">
        <f aca="false">IF($A158="N/A"," ",IF(OR(Dayrun=1,Dayrun=4,Dayrun=5,Dayrun=7,Dayrun=8,Dayrun=10,Dayrun=11),MAX(0,(xSPRDOPT(L158,($E158-'Pricing Inputs'!$X193*$D158),$CV158,0,($CQ158+IF(Smile=TRUE(),VLOOKUP(MAX(-5,$H158-L158),Volsmile,2),0)),$CT158,$CU158,($A158-DateToday)+15,ABS(Option-2),0)-U158)),0))</f>
        <v> </v>
      </c>
      <c r="AE158" s="290" t="str">
        <f aca="false">IF($A158="N/A"," ",IF(OR(Dayrun=1,Dayrun=7,Dayrun=8,Dayrun=10,Dayrun=11),MAX(0,(xSPRDOPT(M158,($E158-'Pricing Inputs'!$X193*$D158),$CV158,0,($CQ158+IF(Smile=TRUE(),VLOOKUP(MAX(-5,$H158-M158),Volsmile,2),0)),$CT158,$CU158,($A158-DateToday)+15,ABS(Option-2),0)-V158)),0))</f>
        <v> </v>
      </c>
      <c r="AF158" s="290" t="str">
        <f aca="false">IF($A158="N/A"," ",IF(OR(Dayrun&lt;=2,Dayrun&gt;=10),IF(OffPeakEx=TRUE(),MAX(0,(xSPRDOPT(N158,($E158-'Pricing Inputs'!$X193*$D158),$CV158,0,($CQ158+IF(Smile=TRUE(),VLOOKUP(MAX(-5,$H158-N158),Volsmile,2),0)),$CT158,$CU158,($A158-DateToday)+15,ABS(Option-2),0)-W158)),0),0))</f>
        <v> </v>
      </c>
      <c r="AG158" s="290" t="str">
        <f aca="false">IF($A158="N/A"," ",IF(OR(Dayrun=1,Dayrun=5,Dayrun=8,Dayrun=11),MAX(0,(xSPRDOPT(O158,($E158-'Pricing Inputs'!$X193*$D158),$CV158,0,($CQ158+IF(Smile=TRUE(),VLOOKUP(MAX(-5,$H158-O158),Volsmile,2),0)),$CT158,$CU158,($A158-DateToday)+15,ABS(Option-2),0)-X158)),0))</f>
        <v> </v>
      </c>
      <c r="AH158" s="290" t="str">
        <f aca="false">IF($A158="N/A"," ",IF(OR(Dayrun=1,Dayrun=8,Dayrun=11),MAX(0,(xSPRDOPT(P158,($E158-'Pricing Inputs'!$X193*$D158),$CV158,0,($CQ158+IF(Smile=TRUE(),VLOOKUP(MAX(-5,$H158-P158),Volsmile,2),0)),$CT158,$CU158,($A158-DateToday)+15,ABS(Option-2),0)-Y158)),0))</f>
        <v> </v>
      </c>
      <c r="AI158" s="290" t="str">
        <f aca="false">IF($A158="N/A"," ",IF(OR(Dayrun&lt;=2,Dayrun&gt;=11),IF(OffPeakEx=TRUE(),MAX(0,(xSPRDOPT(Q158,($E158-'Pricing Inputs'!$X193*$D158),$CV158,0,($CQ158+IF(Smile=TRUE(),VLOOKUP(MAX(-5,$H158-Q158),Volsmile,2),0)),$CT158,$CU158,($A158-DateToday)+15,ABS(Option-2),0)-Z158)),0),0))</f>
        <v> </v>
      </c>
      <c r="AJ158" s="294" t="str">
        <f aca="false">IF($A158="N/A"," ",IF(Dayrun&gt;=3,IF(Option=1,$I158-$H158,IF(Option=2,$H158-$I158)),0))</f>
        <v> </v>
      </c>
      <c r="AK158" s="295" t="str">
        <f aca="false">IF($A158="N/A"," ",IF(Dayrun&gt;=6,IF(Option=1,$J158-H158,IF(Option=2,H158-$J158)),0))</f>
        <v> </v>
      </c>
      <c r="AL158" s="295" t="str">
        <f aca="false">IF($A158="N/A"," ",IF(OR(Dayrun&lt;=2,Dayrun&gt;=9),IF(Option=1,$K158-$H158,IF(Option=2,$H158-$K158)),0))</f>
        <v> </v>
      </c>
      <c r="AM158" s="295" t="str">
        <f aca="false">IF($A158="N/A"," ",IF(OR(Dayrun=1,Dayrun=4,Dayrun=5,Dayrun=7,Dayrun=8,Dayrun=10,Dayrun=11),IF(Option=1,$L158-H158,IF(Option=2,H158-$L158)),0))</f>
        <v> </v>
      </c>
      <c r="AN158" s="295" t="str">
        <f aca="false">IF($A158="N/A"," ",IF(OR(Dayrun=1,Dayrun=7,Dayrun=8,Dayrun=10,Dayrun=11),IF(Option=1,$M158-H158,IF(Option=2,H158-$M158)),0))</f>
        <v> </v>
      </c>
      <c r="AO158" s="295" t="str">
        <f aca="false">IF($A158="N/A"," ",IF(OR(Dayrun&lt;=2,Dayrun&gt;=9),IF(Option=1,$N158-$H158,IF(Option=2,$H158-$N158)),0))</f>
        <v> </v>
      </c>
      <c r="AP158" s="295" t="str">
        <f aca="false">IF($A158="N/A"," ",IF(OR(Dayrun=1,Dayrun=5,Dayrun=8,Dayrun=11),IF(Option=1,$O158-H158,IF(Option=2,H158-$O158)),0))</f>
        <v> </v>
      </c>
      <c r="AQ158" s="295" t="str">
        <f aca="false">IF($A158="N/A"," ",IF(OR(Dayrun=1,Dayrun=8,Dayrun=11),IF(Option=1,$P158-H158,IF(Option=2,H158-$P158)),0))</f>
        <v> </v>
      </c>
      <c r="AR158" s="296" t="str">
        <f aca="false">IF($A158="N/A"," ",IF(OR(Dayrun&lt;=2,Dayrun&gt;=9),IF(Option=1,$Q158-H158,IF(Option=2,H158-$Q158)),0))</f>
        <v> </v>
      </c>
      <c r="AS158" s="297" t="str">
        <f aca="false">IF($A158="N/A"," ",IF(VLOOKUP(MONTH($A158),ManualTable,2)=1,IF(Dayrun&gt;=3,$DE158*8*$CY158,0),0))</f>
        <v> </v>
      </c>
      <c r="AT158" s="297" t="str">
        <f aca="false">IF($A158="N/A"," ",IF(VLOOKUP(MONTH($A158),ManualTable,3)=1,IF(Dayrun&gt;=6,$DE158*8*$CY158,0),0))</f>
        <v> </v>
      </c>
      <c r="AU158" s="297" t="str">
        <f aca="false">IF($A158="N/A"," ",IF(VLOOKUP(MONTH($A158),ManualTable,4)=1,IF(OR(Dayrun&lt;=2,Dayrun&gt;=9),$DE158*8*$CY158,0),0))</f>
        <v> </v>
      </c>
      <c r="AV158" s="297" t="str">
        <f aca="false">IF($A158="N/A"," ",IF(VLOOKUP(MONTH($A158),ManualTable,5)=1,IF(OR(Dayrun=1,Dayrun=4,Dayrun=5,Dayrun=7,Dayrun=8,Dayrun=10,Dayrun=11),$DF158*8*$CY158,0),0))</f>
        <v> </v>
      </c>
      <c r="AW158" s="297" t="str">
        <f aca="false">IF($A158="N/A"," ",IF(VLOOKUP(MONTH($A158),ManualTable,6)=1,IF(OR(Dayrun=1,Dayrun=7,Dayrun=8,Dayrun=10,Dayrun=11),$DF158*8*$CY158,0),0))</f>
        <v> </v>
      </c>
      <c r="AX158" s="297" t="str">
        <f aca="false">IF($A158="N/A"," ",IF(VLOOKUP(MONTH($A158),ManualTable,7)=1,IF(OR(Dayrun&lt;=2,Dayrun&gt;=9),$DF158*8*$CY158,0),0))</f>
        <v> </v>
      </c>
      <c r="AY158" s="297" t="str">
        <f aca="false">IF($A158="N/A"," ",IF(VLOOKUP(MONTH($A158),ManualTable,8)=1,IF(OR(Dayrun=1,Dayrun=5,Dayrun=8,Dayrun=11),$DG158*8*$CY158,0),0))</f>
        <v> </v>
      </c>
      <c r="AZ158" s="297" t="str">
        <f aca="false">IF($A158="N/A"," ",IF(VLOOKUP(MONTH($A158),ManualTable,9)=1,IF(OR(Dayrun=1,Dayrun=8,Dayrun=11),$DG158*8*$CY158,0),0))</f>
        <v> </v>
      </c>
      <c r="BA158" s="298" t="str">
        <f aca="false">IF($A158="N/A"," ",IF(VLOOKUP(MONTH($A158),ManualTable,10)=1,IF(OR(Dayrun&lt;=2,Dayrun&gt;=9),$DG158*8*$CY158,0),0))</f>
        <v> </v>
      </c>
      <c r="BB158" s="299" t="str">
        <f aca="false">IF($A158="N/A"," ",IF(Dayrun&gt;=3,(MAX(0,(xSPRDOPT(I158,($E158-'Pricing Inputs'!$X193*$D158),$CV158,0,($CN158+IF(Smile=TRUE(),VLOOKUP(MAX(-5,$H158-I158),Volsmile,2),0)),$CT158,$CU158,($A158-DateToday)+15,ABS(Option-2),1)*DE158*8))),0))</f>
        <v> </v>
      </c>
      <c r="BC158" s="300" t="str">
        <f aca="false">IF($A158="N/A"," ",IF(Dayrun&gt;=6,MAX(0,(xSPRDOPT(J158,($E158-'Pricing Inputs'!$X193*$D158),$CV158,0,($CN158+IF(Smile=TRUE(),VLOOKUP(MAX(-5,$H158-J158),Volsmile,2),0)),$CT158,$CU158,($A158-DateToday)+15,ABS(Option-2),1)*DE158*8)),0))</f>
        <v> </v>
      </c>
      <c r="BD158" s="300" t="str">
        <f aca="false">IF($A158="N/A"," ",IF(OR(Dayrun&lt;=2,Dayrun&gt;=9),IF(OffPeakEx=TRUE(),MAX(0,(xSPRDOPT(K158,($E158-'Pricing Inputs'!$X193*$D158),$CV158,0,($CQ158+IF(Smile=TRUE(),VLOOKUP(MAX(-5,$H158-K158),Volsmile,2),0)),$CT158,$CU158,($A158-DateToday)+15,ABS(Option-2),1)*DE158*8)),0),0))</f>
        <v> </v>
      </c>
      <c r="BE158" s="300" t="str">
        <f aca="false">IF($A158="N/A"," ",IF(OR(Dayrun=1,Dayrun=4,Dayrun=5,Dayrun=7,Dayrun=8,Dayrun=10,Dayrun=11),MAX(0,(xSPRDOPT(L158,($E158-'Pricing Inputs'!$X193*$D158),$CV158,0,($CQ158+IF(Smile=TRUE(),VLOOKUP(MAX(-5,$H158-L158),Volsmile,2),0)),$CT158,$CU158,($A158-DateToday)+15,ABS(Option-2),1)*DF158*8)),0))</f>
        <v> </v>
      </c>
      <c r="BF158" s="300" t="str">
        <f aca="false">IF($A158="N/A"," ",IF(OR(Dayrun=1,Dayrun=7,Dayrun=8,Dayrun=10,Dayrun=11),MAX(0,(xSPRDOPT(M158,($E158-'Pricing Inputs'!$X193*$D158),$CV158,0,($CQ158+IF(Smile=TRUE(),VLOOKUP(MAX(-5,$H158-M158),Volsmile,2),0)),$CT158,$CU158,($A158-DateToday)+15,ABS(Option-2),1)*DF158*8)),0))</f>
        <v> </v>
      </c>
      <c r="BG158" s="300" t="str">
        <f aca="false">IF($A158="N/A"," ",IF(OR(Dayrun&lt;=2,Dayrun&gt;=10),IF(OffPeakEx=TRUE(),MAX(0,(xSPRDOPT(N158,($E158-'Pricing Inputs'!$X193*$D158),$CV158,0,($CQ158+IF(Smile=TRUE(),VLOOKUP(MAX(-5,$H158-N158),Volsmile,2),0)),$CT158,$CU158,($A158-DateToday)+15,ABS(Option-2),1)*DF158*8)),0),0))</f>
        <v> </v>
      </c>
      <c r="BH158" s="300" t="str">
        <f aca="false">IF($A158="N/A"," ",IF(OR(Dayrun=1,Dayrun=5,Dayrun=8,Dayrun=11),MAX(0,(xSPRDOPT(O158,($E158-'Pricing Inputs'!$X193*$D158),$CV158,0,($CQ158+IF(Smile=TRUE(),VLOOKUP(MAX(-5,$H158-O158),Volsmile,2),0)),$CT158,$CU158,($A158-DateToday)+15,ABS(Option-2),1)*DG158*8)),0))</f>
        <v> </v>
      </c>
      <c r="BI158" s="300" t="str">
        <f aca="false">IF($A158="N/A"," ",IF(OR(Dayrun=1,Dayrun=8,Dayrun=11),MAX(0,(xSPRDOPT(P158,($E158-'Pricing Inputs'!$X193*$D158),$CV158,0,($CQ158+IF(Smile=TRUE(),VLOOKUP(MAX(-5,$H158-P158),Volsmile,2),0)),$CT158,$CU158,($A158-DateToday)+15,ABS(Option-2),1)*DG158*8)),0))</f>
        <v> </v>
      </c>
      <c r="BJ158" s="301" t="str">
        <f aca="false">IF($A158="N/A"," ",IF(OR(Dayrun&lt;=2,Dayrun&gt;=11),IF(OffPeakEx=TRUE(),MAX(0,(xSPRDOPT(Q158,($E158-'Pricing Inputs'!$X193*$D158),$CV158,0,($CQ158+IF(Smile=TRUE(),VLOOKUP(MAX(-5,$H158-Q158),Volsmile,2),0)),$CT158,$CU158,($A158-DateToday)+15,ABS(Option-2),1)*DG158*8)),0),0))</f>
        <v> </v>
      </c>
      <c r="BK158" s="302" t="str">
        <f aca="false">IF($A158="N/A"," ",R158*$AS158)</f>
        <v> </v>
      </c>
      <c r="BL158" s="303" t="str">
        <f aca="false">IF($A158="N/A"," ",S158*$AT158)</f>
        <v> </v>
      </c>
      <c r="BM158" s="303" t="str">
        <f aca="false">IF($A158="N/A"," ",T158*$AU158)</f>
        <v> </v>
      </c>
      <c r="BN158" s="303" t="str">
        <f aca="false">IF($A158="N/A"," ",U158*$AV158)</f>
        <v> </v>
      </c>
      <c r="BO158" s="303" t="str">
        <f aca="false">IF($A158="N/A"," ",V158*$AW158)</f>
        <v> </v>
      </c>
      <c r="BP158" s="303" t="str">
        <f aca="false">IF($A158="N/A"," ",W158*$AX158)</f>
        <v> </v>
      </c>
      <c r="BQ158" s="303" t="str">
        <f aca="false">IF($A158="N/A"," ",X158*$AY158)</f>
        <v> </v>
      </c>
      <c r="BR158" s="303" t="str">
        <f aca="false">IF($A158="N/A"," ",Y158*$AZ158)</f>
        <v> </v>
      </c>
      <c r="BS158" s="304" t="str">
        <f aca="false">IF($A158="N/A"," ",Z158*$BA158)</f>
        <v> </v>
      </c>
      <c r="BT158" s="305" t="str">
        <f aca="false">IF($A158="N/A"," ",AA158*$AS158)</f>
        <v> </v>
      </c>
      <c r="BU158" s="306" t="str">
        <f aca="false">IF($A158="N/A"," ",AB158*$AT158)</f>
        <v> </v>
      </c>
      <c r="BV158" s="306" t="str">
        <f aca="false">IF($A158="N/A"," ",AC158*$AU158)</f>
        <v> </v>
      </c>
      <c r="BW158" s="306" t="str">
        <f aca="false">IF($A158="N/A"," ",AD158*$AV158)</f>
        <v> </v>
      </c>
      <c r="BX158" s="306" t="str">
        <f aca="false">IF($A158="N/A"," ",AE158*$AW158)</f>
        <v> </v>
      </c>
      <c r="BY158" s="306" t="str">
        <f aca="false">IF($A158="N/A"," ",AF158*$AX158)</f>
        <v> </v>
      </c>
      <c r="BZ158" s="306" t="str">
        <f aca="false">IF($A158="N/A"," ",AG158*$AY158)</f>
        <v> </v>
      </c>
      <c r="CA158" s="306" t="str">
        <f aca="false">IF($A158="N/A"," ",AH158*$AZ158)</f>
        <v> </v>
      </c>
      <c r="CB158" s="307" t="str">
        <f aca="false">IF($A158="N/A"," ",AI158*$BA158)</f>
        <v> </v>
      </c>
      <c r="CC158" s="308" t="str">
        <f aca="false">IF($A158="N/A"," ",AJ158*$AS158)</f>
        <v> </v>
      </c>
      <c r="CD158" s="309" t="str">
        <f aca="false">IF($A158="N/A"," ",AK158*$AT158)</f>
        <v> </v>
      </c>
      <c r="CE158" s="309" t="str">
        <f aca="false">IF($A158="N/A"," ",AL158*$AU158)</f>
        <v> </v>
      </c>
      <c r="CF158" s="309" t="str">
        <f aca="false">IF($A158="N/A"," ",AM158*$AV158)</f>
        <v> </v>
      </c>
      <c r="CG158" s="309" t="str">
        <f aca="false">IF($A158="N/A"," ",AN158*$AW158)</f>
        <v> </v>
      </c>
      <c r="CH158" s="309" t="str">
        <f aca="false">IF($A158="N/A"," ",AO158*$AX158)</f>
        <v> </v>
      </c>
      <c r="CI158" s="309" t="str">
        <f aca="false">IF($A158="N/A"," ",AP158*$AY158)</f>
        <v> </v>
      </c>
      <c r="CJ158" s="309" t="str">
        <f aca="false">IF($A158="N/A"," ",AQ158*$AZ158)</f>
        <v> </v>
      </c>
      <c r="CK158" s="310" t="str">
        <f aca="false">IF($A158="N/A"," ",AR158*$BA158)</f>
        <v> </v>
      </c>
      <c r="CL158" s="311" t="str">
        <f aca="false">IF(A158="N/A"," ",(VLOOKUP(A158,PowerVolTable,(IF(VolBMO=2,7,IF(VolBMO=1,6,8))),FALSE())))</f>
        <v> </v>
      </c>
      <c r="CM158" s="312" t="str">
        <f aca="false">IF(A158="N/A"," ",(VLOOKUP(A158,IntraPowerVol,(IF(VolBMO=2,3,IF(VolBMO=1,2,4))),FALSE())*VLOOKUP(MONTH($A158),Volscale,2)))</f>
        <v> </v>
      </c>
      <c r="CN158" s="312" t="str">
        <f aca="false">IF($A158="N/A"," ",IF(VolType=1,CM158,CL158))</f>
        <v> </v>
      </c>
      <c r="CO158" s="312" t="str">
        <f aca="false">IF($A158="N/A"," ",(VLOOKUP($A158,OffPeakVol,(IF(VolBMO=2,7,IF(VolBMO=1,6,8))),FALSE())))</f>
        <v> </v>
      </c>
      <c r="CP158" s="312" t="str">
        <f aca="false">IF($A158="N/A"," ",(VLOOKUP($A158,OffPeakVol,(IF(VolBMO=2,3,IF(VolBMO=1,2,4))),FALSE())*VLOOKUP(MONTH($A158),Volscale,2)))</f>
        <v> </v>
      </c>
      <c r="CQ158" s="312" t="str">
        <f aca="false">IF($A158="N/A"," ",IF(VolType=1,CP158,CO158))</f>
        <v> </v>
      </c>
      <c r="CR158" s="312" t="str">
        <f aca="false">IF($A158="N/A"," ",(VLOOKUP($A158,GasVolTable,(IF(VolBMO=2,6,IF(VolBMO=1,7,5))),FALSE())))</f>
        <v> </v>
      </c>
      <c r="CS158" s="312" t="str">
        <f aca="false">IF($A158="N/A"," ",(VLOOKUP($A158,OmicronVol,(IF(VolBMO=2,3,IF(VolBMO=1,4,2))),FALSE())))</f>
        <v> </v>
      </c>
      <c r="CT158" s="312" t="str">
        <f aca="false">IF($A158="N/A"," ",(IF(DateToday&gt;$A158,$CS158,IF(VolType=1,((($CR158^2)*((($A158-1)-DateToday)/((EOMONTH($A158,0)+1)-DateToday-15)))+((($CS158)^2)*((15)/((EOMONTH($A158,0)+1)-DateToday-15))))^0.5,CR158))))</f>
        <v> </v>
      </c>
      <c r="CU158" s="312" t="str">
        <f aca="false">IF($A158="N/A"," ",IF('Pricing Inputs'!$AR$23=TRUE(),Inputs!$S$22,VLOOKUP($A158,CorrelationTable,2,FALSE())))</f>
        <v> </v>
      </c>
      <c r="CV158" s="313" t="str">
        <f aca="false">IF($A158="N/A"," ",F158+G158+(D158*('Pricing Inputs'!X193)))</f>
        <v> </v>
      </c>
      <c r="CW158" s="314" t="str">
        <f aca="false">IF($A158="N/A"," ",IF(PV=1,0,'Pricing Inputs'!Y193))</f>
        <v> </v>
      </c>
      <c r="CX158" s="315" t="str">
        <f aca="false">IF($A158="N/A"," ",(1+CW158/2)^(-2*((EOMONTH(A158,0)+20)-DateToday)/365.25))</f>
        <v> </v>
      </c>
      <c r="CY158" s="316" t="str">
        <f aca="false">IF($A158="N/A"," ",(IF(MONTH(A158)&gt;=4,IF(MONTH(A158)&lt;=10,Inputs!$S$26,Inputs!$S$27),Inputs!$S$27))*$CX158)</f>
        <v> </v>
      </c>
      <c r="CZ158" s="317" t="str">
        <f aca="false">IF($A158="N/A"," ",BK158+BL158+BN158+BO158+BQ158+BR158)</f>
        <v> </v>
      </c>
      <c r="DA158" s="318" t="str">
        <f aca="false">IF($A158="N/A"," ",BM158+BP158+BS158)</f>
        <v> </v>
      </c>
      <c r="DB158" s="319" t="str">
        <f aca="false">IF($A158="N/A"," ",BT158+BU158+BW158+BX158+BZ158+CA158)</f>
        <v> </v>
      </c>
      <c r="DC158" s="319" t="str">
        <f aca="false">IF($A158="N/A"," ",BV158+BY158+CB158)</f>
        <v> </v>
      </c>
      <c r="DD158" s="320" t="str">
        <f aca="false">IF($A158="N/A"," ",SUM(CC158:CK158))</f>
        <v> </v>
      </c>
      <c r="DE158" s="321" t="str">
        <f aca="false">IF($A158="N/A"," ",VLOOKUP($A158,NumberofDaysTable,2)*Availability)</f>
        <v> </v>
      </c>
      <c r="DF158" s="94" t="str">
        <f aca="false">IF($A158="N/A"," ",VLOOKUP($A158,NumberofDaysTable,3)*Availability)</f>
        <v> </v>
      </c>
      <c r="DG158" s="322" t="str">
        <f aca="false">IF($A158="N/A"," ",VLOOKUP($A158,NumberofDaysTable,4)*Availability)</f>
        <v> </v>
      </c>
      <c r="DH158" s="323" t="str">
        <f aca="false">IF($A158="N/A"," ",IF(Option=1,$D158*Inputs!$S$15*SUM(AS158:BA158),0))</f>
        <v> </v>
      </c>
      <c r="DI158" s="324" t="str">
        <f aca="false">IF($A158="N/A"," ",IF(Option=1,$D158*Inputs!$S$16*SUM(AS158:BA158),0))</f>
        <v> </v>
      </c>
      <c r="DJ158" s="325" t="str">
        <f aca="false">IF($A158="N/A"," ",SUM(AS158:AT158))</f>
        <v> </v>
      </c>
      <c r="DK158" s="325" t="str">
        <f aca="false">IF($A158="N/A"," ",SUM(AU158:BA158))</f>
        <v> </v>
      </c>
      <c r="DL158" s="325" t="str">
        <f aca="false">IF($A158="N/A"," ",SUM(BB158:BC158))</f>
        <v> </v>
      </c>
      <c r="DM158" s="325" t="str">
        <f aca="false">IF($A158="N/A"," ",SUM(BD158:BJ158))</f>
        <v> </v>
      </c>
    </row>
    <row r="159" customFormat="false" ht="12.75" hidden="false" customHeight="false" outlineLevel="0" collapsed="false">
      <c r="A159" s="282" t="str">
        <f aca="false">IF(A158="N/A","N/A",IF(EDATE(A158,1)&gt;Inputs!$S$5,"N/A",EDATE(A158,1)))</f>
        <v>N/A</v>
      </c>
      <c r="B159" s="283" t="str">
        <f aca="false">IF(A159="N/A"," ",YEAR(A159))</f>
        <v> </v>
      </c>
      <c r="C159" s="284" t="str">
        <f aca="false">IF(A159="N/A"," ",VLOOKUP(A159,ScaledPrice,14))</f>
        <v> </v>
      </c>
      <c r="D159" s="285" t="str">
        <f aca="false">IF(A159="N/A"," ",(VLOOKUP(MONTH($A159),Hrtable,2))/1000)</f>
        <v> </v>
      </c>
      <c r="E159" s="286" t="str">
        <f aca="false">IF($A159="N/A"," ",(C159)*D159)</f>
        <v> </v>
      </c>
      <c r="F159" s="287" t="str">
        <f aca="false">IF(A159="N/A"," ",VOM*(1+VOMesc)^(YEAR(A159)-YEAR(Today)))</f>
        <v> </v>
      </c>
      <c r="G159" s="287" t="str">
        <f aca="false">IF(A159="N/A"," ",Perstart/VLOOKUP(Dayrun,'Pricing Inputs'!$AQ$4:$AS$14,3)/(CY159/CX159))</f>
        <v> </v>
      </c>
      <c r="H159" s="288" t="str">
        <f aca="false">IF(A159="N/A"," ",SUM(E159:G159))</f>
        <v> </v>
      </c>
      <c r="I159" s="289" t="str">
        <f aca="false">VLOOKUP($A159,ScaledPrice,6)</f>
        <v> </v>
      </c>
      <c r="J159" s="290" t="str">
        <f aca="false">VLOOKUP($A159,ScaledPrice,10)</f>
        <v> </v>
      </c>
      <c r="K159" s="290" t="str">
        <f aca="false">VLOOKUP($A159,ScaledPrice,13)</f>
        <v> </v>
      </c>
      <c r="L159" s="290" t="str">
        <f aca="false">VLOOKUP($A159,ScaledPrice,7)</f>
        <v> </v>
      </c>
      <c r="M159" s="290" t="str">
        <f aca="false">VLOOKUP($A159,ScaledPrice,11)</f>
        <v> </v>
      </c>
      <c r="N159" s="290" t="str">
        <f aca="false">VLOOKUP($A159,ScaledPrice,13)</f>
        <v> </v>
      </c>
      <c r="O159" s="290" t="str">
        <f aca="false">VLOOKUP($A159,ScaledPrice,8)</f>
        <v> </v>
      </c>
      <c r="P159" s="290" t="str">
        <f aca="false">VLOOKUP($A159,ScaledPrice,12)</f>
        <v> </v>
      </c>
      <c r="Q159" s="291" t="str">
        <f aca="false">VLOOKUP($A159,ScaledPrice,13)</f>
        <v> </v>
      </c>
      <c r="R159" s="292" t="str">
        <f aca="false">IF($A159="N/A"," ",IF(Dayrun&gt;=3,IF(Option=1,MAX($I159-$H159,0),IF(Option=2,MAX($H159-$I159,0),0)),0))</f>
        <v> </v>
      </c>
      <c r="S159" s="286" t="str">
        <f aca="false">IF($A159="N/A"," ",IF(Dayrun&gt;=6,IF(Option=1,MAX($J159-H159,0),IF(Option=2,MAX(H159-$J159,0),0)),0))</f>
        <v> </v>
      </c>
      <c r="T159" s="286" t="str">
        <f aca="false">IF($A159="N/A"," ",IF(OR(Dayrun&lt;=2,Dayrun&gt;=9),IF(Option=1,MAX($K159-$H159,0),IF(Option=2,MAX($H159-$K159,0),0)),0))</f>
        <v> </v>
      </c>
      <c r="U159" s="286" t="str">
        <f aca="false">IF($A159="N/A"," ",IF(OR(Dayrun=1,Dayrun=4,Dayrun=5,Dayrun=7,Dayrun=8,Dayrun=10,Dayrun=11),IF(Option=1,MAX($L159-H159,0),IF(Option=2,MAX(H159-$L159,0),0)),0))</f>
        <v> </v>
      </c>
      <c r="V159" s="286" t="str">
        <f aca="false">IF($A159="N/A"," ",IF(OR(Dayrun=1,Dayrun=7,Dayrun=8,Dayrun=10,Dayrun=11),IF(Option=1,MAX($M159-H159,0),IF(Option=2,MAX(H159-$M159,0),0)),0))</f>
        <v> </v>
      </c>
      <c r="W159" s="286" t="str">
        <f aca="false">IF($A159="N/A"," ",IF(OR(Dayrun&lt;=2,Dayrun&gt;=10),IF(Option=1,MAX($N159-$H159,0),IF(Option=2,MAX($H159-$N159,0),0)),0))</f>
        <v> </v>
      </c>
      <c r="X159" s="286" t="str">
        <f aca="false">IF($A159="N/A"," ",IF(OR(Dayrun=1,Dayrun=5,Dayrun=8,Dayrun=11),IF(Option=1,MAX($O159-H159,0),IF(Option=2,MAX(H159-$O159,0),0)),0))</f>
        <v> </v>
      </c>
      <c r="Y159" s="286" t="str">
        <f aca="false">IF($A159="N/A"," ",IF(OR(Dayrun=1,Dayrun=8,Dayrun=11),IF(Option=1,MAX($P159-H159,0),IF(Option=2,MAX(H159-$P159,0),0)),0))</f>
        <v> </v>
      </c>
      <c r="Z159" s="293" t="str">
        <f aca="false">IF($A159="N/A"," ",IF(OR(Dayrun&lt;=2,Dayrun&gt;=11),IF(Option=1,MAX($Q159-$H159,0),IF(Option=2,MAX($H159-$Q159,0),0)),0))</f>
        <v> </v>
      </c>
      <c r="AA159" s="289" t="str">
        <f aca="false">IF($A159="N/A"," ",IF(Dayrun&gt;=3,(MAX(0,(xSPRDOPT(I159,($E159-'Pricing Inputs'!$X194*$D159),$CV159,0,($CN159+IF(Smile=TRUE(),VLOOKUP(MAX(-5,$H159-I159),Volsmile,2),0)),$CT159,$CU159,($A159-DateToday)+15,ABS(Option-2),0)-R159))),0))</f>
        <v> </v>
      </c>
      <c r="AB159" s="290" t="str">
        <f aca="false">IF($A159="N/A"," ",IF(Dayrun&gt;=6,MAX(0,(xSPRDOPT(J159,($E159-'Pricing Inputs'!$X194*$D159),$CV159,0,($CN159+IF(Smile=TRUE(),VLOOKUP(MAX(-5,$H159-J159),Volsmile,2),0)),$CT159,$CU159,($A159-DateToday)+15,ABS(Option-2),0)-S159)),0))</f>
        <v> </v>
      </c>
      <c r="AC159" s="290" t="str">
        <f aca="false">IF($A159="N/A"," ",IF(OR(Dayrun&lt;=2,Dayrun&gt;=9),IF(OffPeakEx=TRUE(),MAX(0,(xSPRDOPT(K159,($E159-'Pricing Inputs'!$X194*$D159),$CV159,0,($CQ159+IF(Smile=TRUE(),VLOOKUP(MAX(-5,$H159-K159),Volsmile,2),0)),$CT159,$CU159,($A159-DateToday)+15,ABS(Option-2),0)-T159)),0),0))</f>
        <v> </v>
      </c>
      <c r="AD159" s="290" t="str">
        <f aca="false">IF($A159="N/A"," ",IF(OR(Dayrun=1,Dayrun=4,Dayrun=5,Dayrun=7,Dayrun=8,Dayrun=10,Dayrun=11),MAX(0,(xSPRDOPT(L159,($E159-'Pricing Inputs'!$X194*$D159),$CV159,0,($CQ159+IF(Smile=TRUE(),VLOOKUP(MAX(-5,$H159-L159),Volsmile,2),0)),$CT159,$CU159,($A159-DateToday)+15,ABS(Option-2),0)-U159)),0))</f>
        <v> </v>
      </c>
      <c r="AE159" s="290" t="str">
        <f aca="false">IF($A159="N/A"," ",IF(OR(Dayrun=1,Dayrun=7,Dayrun=8,Dayrun=10,Dayrun=11),MAX(0,(xSPRDOPT(M159,($E159-'Pricing Inputs'!$X194*$D159),$CV159,0,($CQ159+IF(Smile=TRUE(),VLOOKUP(MAX(-5,$H159-M159),Volsmile,2),0)),$CT159,$CU159,($A159-DateToday)+15,ABS(Option-2),0)-V159)),0))</f>
        <v> </v>
      </c>
      <c r="AF159" s="290" t="str">
        <f aca="false">IF($A159="N/A"," ",IF(OR(Dayrun&lt;=2,Dayrun&gt;=10),IF(OffPeakEx=TRUE(),MAX(0,(xSPRDOPT(N159,($E159-'Pricing Inputs'!$X194*$D159),$CV159,0,($CQ159+IF(Smile=TRUE(),VLOOKUP(MAX(-5,$H159-N159),Volsmile,2),0)),$CT159,$CU159,($A159-DateToday)+15,ABS(Option-2),0)-W159)),0),0))</f>
        <v> </v>
      </c>
      <c r="AG159" s="290" t="str">
        <f aca="false">IF($A159="N/A"," ",IF(OR(Dayrun=1,Dayrun=5,Dayrun=8,Dayrun=11),MAX(0,(xSPRDOPT(O159,($E159-'Pricing Inputs'!$X194*$D159),$CV159,0,($CQ159+IF(Smile=TRUE(),VLOOKUP(MAX(-5,$H159-O159),Volsmile,2),0)),$CT159,$CU159,($A159-DateToday)+15,ABS(Option-2),0)-X159)),0))</f>
        <v> </v>
      </c>
      <c r="AH159" s="290" t="str">
        <f aca="false">IF($A159="N/A"," ",IF(OR(Dayrun=1,Dayrun=8,Dayrun=11),MAX(0,(xSPRDOPT(P159,($E159-'Pricing Inputs'!$X194*$D159),$CV159,0,($CQ159+IF(Smile=TRUE(),VLOOKUP(MAX(-5,$H159-P159),Volsmile,2),0)),$CT159,$CU159,($A159-DateToday)+15,ABS(Option-2),0)-Y159)),0))</f>
        <v> </v>
      </c>
      <c r="AI159" s="290" t="str">
        <f aca="false">IF($A159="N/A"," ",IF(OR(Dayrun&lt;=2,Dayrun&gt;=11),IF(OffPeakEx=TRUE(),MAX(0,(xSPRDOPT(Q159,($E159-'Pricing Inputs'!$X194*$D159),$CV159,0,($CQ159+IF(Smile=TRUE(),VLOOKUP(MAX(-5,$H159-Q159),Volsmile,2),0)),$CT159,$CU159,($A159-DateToday)+15,ABS(Option-2),0)-Z159)),0),0))</f>
        <v> </v>
      </c>
      <c r="AJ159" s="294" t="str">
        <f aca="false">IF($A159="N/A"," ",IF(Dayrun&gt;=3,IF(Option=1,$I159-$H159,IF(Option=2,$H159-$I159)),0))</f>
        <v> </v>
      </c>
      <c r="AK159" s="295" t="str">
        <f aca="false">IF($A159="N/A"," ",IF(Dayrun&gt;=6,IF(Option=1,$J159-H159,IF(Option=2,H159-$J159)),0))</f>
        <v> </v>
      </c>
      <c r="AL159" s="295" t="str">
        <f aca="false">IF($A159="N/A"," ",IF(OR(Dayrun&lt;=2,Dayrun&gt;=9),IF(Option=1,$K159-$H159,IF(Option=2,$H159-$K159)),0))</f>
        <v> </v>
      </c>
      <c r="AM159" s="295" t="str">
        <f aca="false">IF($A159="N/A"," ",IF(OR(Dayrun=1,Dayrun=4,Dayrun=5,Dayrun=7,Dayrun=8,Dayrun=10,Dayrun=11),IF(Option=1,$L159-H159,IF(Option=2,H159-$L159)),0))</f>
        <v> </v>
      </c>
      <c r="AN159" s="295" t="str">
        <f aca="false">IF($A159="N/A"," ",IF(OR(Dayrun=1,Dayrun=7,Dayrun=8,Dayrun=10,Dayrun=11),IF(Option=1,$M159-H159,IF(Option=2,H159-$M159)),0))</f>
        <v> </v>
      </c>
      <c r="AO159" s="295" t="str">
        <f aca="false">IF($A159="N/A"," ",IF(OR(Dayrun&lt;=2,Dayrun&gt;=9),IF(Option=1,$N159-$H159,IF(Option=2,$H159-$N159)),0))</f>
        <v> </v>
      </c>
      <c r="AP159" s="295" t="str">
        <f aca="false">IF($A159="N/A"," ",IF(OR(Dayrun=1,Dayrun=5,Dayrun=8,Dayrun=11),IF(Option=1,$O159-H159,IF(Option=2,H159-$O159)),0))</f>
        <v> </v>
      </c>
      <c r="AQ159" s="295" t="str">
        <f aca="false">IF($A159="N/A"," ",IF(OR(Dayrun=1,Dayrun=8,Dayrun=11),IF(Option=1,$P159-H159,IF(Option=2,H159-$P159)),0))</f>
        <v> </v>
      </c>
      <c r="AR159" s="296" t="str">
        <f aca="false">IF($A159="N/A"," ",IF(OR(Dayrun&lt;=2,Dayrun&gt;=9),IF(Option=1,$Q159-H159,IF(Option=2,H159-$Q159)),0))</f>
        <v> </v>
      </c>
      <c r="AS159" s="297" t="str">
        <f aca="false">IF($A159="N/A"," ",IF(VLOOKUP(MONTH($A159),ManualTable,2)=1,IF(Dayrun&gt;=3,$DE159*8*$CY159,0),0))</f>
        <v> </v>
      </c>
      <c r="AT159" s="297" t="str">
        <f aca="false">IF($A159="N/A"," ",IF(VLOOKUP(MONTH($A159),ManualTable,3)=1,IF(Dayrun&gt;=6,$DE159*8*$CY159,0),0))</f>
        <v> </v>
      </c>
      <c r="AU159" s="297" t="str">
        <f aca="false">IF($A159="N/A"," ",IF(VLOOKUP(MONTH($A159),ManualTable,4)=1,IF(OR(Dayrun&lt;=2,Dayrun&gt;=9),$DE159*8*$CY159,0),0))</f>
        <v> </v>
      </c>
      <c r="AV159" s="297" t="str">
        <f aca="false">IF($A159="N/A"," ",IF(VLOOKUP(MONTH($A159),ManualTable,5)=1,IF(OR(Dayrun=1,Dayrun=4,Dayrun=5,Dayrun=7,Dayrun=8,Dayrun=10,Dayrun=11),$DF159*8*$CY159,0),0))</f>
        <v> </v>
      </c>
      <c r="AW159" s="297" t="str">
        <f aca="false">IF($A159="N/A"," ",IF(VLOOKUP(MONTH($A159),ManualTable,6)=1,IF(OR(Dayrun=1,Dayrun=7,Dayrun=8,Dayrun=10,Dayrun=11),$DF159*8*$CY159,0),0))</f>
        <v> </v>
      </c>
      <c r="AX159" s="297" t="str">
        <f aca="false">IF($A159="N/A"," ",IF(VLOOKUP(MONTH($A159),ManualTable,7)=1,IF(OR(Dayrun&lt;=2,Dayrun&gt;=9),$DF159*8*$CY159,0),0))</f>
        <v> </v>
      </c>
      <c r="AY159" s="297" t="str">
        <f aca="false">IF($A159="N/A"," ",IF(VLOOKUP(MONTH($A159),ManualTable,8)=1,IF(OR(Dayrun=1,Dayrun=5,Dayrun=8,Dayrun=11),$DG159*8*$CY159,0),0))</f>
        <v> </v>
      </c>
      <c r="AZ159" s="297" t="str">
        <f aca="false">IF($A159="N/A"," ",IF(VLOOKUP(MONTH($A159),ManualTable,9)=1,IF(OR(Dayrun=1,Dayrun=8,Dayrun=11),$DG159*8*$CY159,0),0))</f>
        <v> </v>
      </c>
      <c r="BA159" s="298" t="str">
        <f aca="false">IF($A159="N/A"," ",IF(VLOOKUP(MONTH($A159),ManualTable,10)=1,IF(OR(Dayrun&lt;=2,Dayrun&gt;=9),$DG159*8*$CY159,0),0))</f>
        <v> </v>
      </c>
      <c r="BB159" s="299" t="str">
        <f aca="false">IF($A159="N/A"," ",IF(Dayrun&gt;=3,(MAX(0,(xSPRDOPT(I159,($E159-'Pricing Inputs'!$X194*$D159),$CV159,0,($CN159+IF(Smile=TRUE(),VLOOKUP(MAX(-5,$H159-I159),Volsmile,2),0)),$CT159,$CU159,($A159-DateToday)+15,ABS(Option-2),1)*DE159*8))),0))</f>
        <v> </v>
      </c>
      <c r="BC159" s="300" t="str">
        <f aca="false">IF($A159="N/A"," ",IF(Dayrun&gt;=6,MAX(0,(xSPRDOPT(J159,($E159-'Pricing Inputs'!$X194*$D159),$CV159,0,($CN159+IF(Smile=TRUE(),VLOOKUP(MAX(-5,$H159-J159),Volsmile,2),0)),$CT159,$CU159,($A159-DateToday)+15,ABS(Option-2),1)*DE159*8)),0))</f>
        <v> </v>
      </c>
      <c r="BD159" s="300" t="str">
        <f aca="false">IF($A159="N/A"," ",IF(OR(Dayrun&lt;=2,Dayrun&gt;=9),IF(OffPeakEx=TRUE(),MAX(0,(xSPRDOPT(K159,($E159-'Pricing Inputs'!$X194*$D159),$CV159,0,($CQ159+IF(Smile=TRUE(),VLOOKUP(MAX(-5,$H159-K159),Volsmile,2),0)),$CT159,$CU159,($A159-DateToday)+15,ABS(Option-2),1)*DE159*8)),0),0))</f>
        <v> </v>
      </c>
      <c r="BE159" s="300" t="str">
        <f aca="false">IF($A159="N/A"," ",IF(OR(Dayrun=1,Dayrun=4,Dayrun=5,Dayrun=7,Dayrun=8,Dayrun=10,Dayrun=11),MAX(0,(xSPRDOPT(L159,($E159-'Pricing Inputs'!$X194*$D159),$CV159,0,($CQ159+IF(Smile=TRUE(),VLOOKUP(MAX(-5,$H159-L159),Volsmile,2),0)),$CT159,$CU159,($A159-DateToday)+15,ABS(Option-2),1)*DF159*8)),0))</f>
        <v> </v>
      </c>
      <c r="BF159" s="300" t="str">
        <f aca="false">IF($A159="N/A"," ",IF(OR(Dayrun=1,Dayrun=7,Dayrun=8,Dayrun=10,Dayrun=11),MAX(0,(xSPRDOPT(M159,($E159-'Pricing Inputs'!$X194*$D159),$CV159,0,($CQ159+IF(Smile=TRUE(),VLOOKUP(MAX(-5,$H159-M159),Volsmile,2),0)),$CT159,$CU159,($A159-DateToday)+15,ABS(Option-2),1)*DF159*8)),0))</f>
        <v> </v>
      </c>
      <c r="BG159" s="300" t="str">
        <f aca="false">IF($A159="N/A"," ",IF(OR(Dayrun&lt;=2,Dayrun&gt;=10),IF(OffPeakEx=TRUE(),MAX(0,(xSPRDOPT(N159,($E159-'Pricing Inputs'!$X194*$D159),$CV159,0,($CQ159+IF(Smile=TRUE(),VLOOKUP(MAX(-5,$H159-N159),Volsmile,2),0)),$CT159,$CU159,($A159-DateToday)+15,ABS(Option-2),1)*DF159*8)),0),0))</f>
        <v> </v>
      </c>
      <c r="BH159" s="300" t="str">
        <f aca="false">IF($A159="N/A"," ",IF(OR(Dayrun=1,Dayrun=5,Dayrun=8,Dayrun=11),MAX(0,(xSPRDOPT(O159,($E159-'Pricing Inputs'!$X194*$D159),$CV159,0,($CQ159+IF(Smile=TRUE(),VLOOKUP(MAX(-5,$H159-O159),Volsmile,2),0)),$CT159,$CU159,($A159-DateToday)+15,ABS(Option-2),1)*DG159*8)),0))</f>
        <v> </v>
      </c>
      <c r="BI159" s="300" t="str">
        <f aca="false">IF($A159="N/A"," ",IF(OR(Dayrun=1,Dayrun=8,Dayrun=11),MAX(0,(xSPRDOPT(P159,($E159-'Pricing Inputs'!$X194*$D159),$CV159,0,($CQ159+IF(Smile=TRUE(),VLOOKUP(MAX(-5,$H159-P159),Volsmile,2),0)),$CT159,$CU159,($A159-DateToday)+15,ABS(Option-2),1)*DG159*8)),0))</f>
        <v> </v>
      </c>
      <c r="BJ159" s="301" t="str">
        <f aca="false">IF($A159="N/A"," ",IF(OR(Dayrun&lt;=2,Dayrun&gt;=11),IF(OffPeakEx=TRUE(),MAX(0,(xSPRDOPT(Q159,($E159-'Pricing Inputs'!$X194*$D159),$CV159,0,($CQ159+IF(Smile=TRUE(),VLOOKUP(MAX(-5,$H159-Q159),Volsmile,2),0)),$CT159,$CU159,($A159-DateToday)+15,ABS(Option-2),1)*DG159*8)),0),0))</f>
        <v> </v>
      </c>
      <c r="BK159" s="302" t="str">
        <f aca="false">IF($A159="N/A"," ",R159*$AS159)</f>
        <v> </v>
      </c>
      <c r="BL159" s="303" t="str">
        <f aca="false">IF($A159="N/A"," ",S159*$AT159)</f>
        <v> </v>
      </c>
      <c r="BM159" s="303" t="str">
        <f aca="false">IF($A159="N/A"," ",T159*$AU159)</f>
        <v> </v>
      </c>
      <c r="BN159" s="303" t="str">
        <f aca="false">IF($A159="N/A"," ",U159*$AV159)</f>
        <v> </v>
      </c>
      <c r="BO159" s="303" t="str">
        <f aca="false">IF($A159="N/A"," ",V159*$AW159)</f>
        <v> </v>
      </c>
      <c r="BP159" s="303" t="str">
        <f aca="false">IF($A159="N/A"," ",W159*$AX159)</f>
        <v> </v>
      </c>
      <c r="BQ159" s="303" t="str">
        <f aca="false">IF($A159="N/A"," ",X159*$AY159)</f>
        <v> </v>
      </c>
      <c r="BR159" s="303" t="str">
        <f aca="false">IF($A159="N/A"," ",Y159*$AZ159)</f>
        <v> </v>
      </c>
      <c r="BS159" s="304" t="str">
        <f aca="false">IF($A159="N/A"," ",Z159*$BA159)</f>
        <v> </v>
      </c>
      <c r="BT159" s="305" t="str">
        <f aca="false">IF($A159="N/A"," ",AA159*$AS159)</f>
        <v> </v>
      </c>
      <c r="BU159" s="306" t="str">
        <f aca="false">IF($A159="N/A"," ",AB159*$AT159)</f>
        <v> </v>
      </c>
      <c r="BV159" s="306" t="str">
        <f aca="false">IF($A159="N/A"," ",AC159*$AU159)</f>
        <v> </v>
      </c>
      <c r="BW159" s="306" t="str">
        <f aca="false">IF($A159="N/A"," ",AD159*$AV159)</f>
        <v> </v>
      </c>
      <c r="BX159" s="306" t="str">
        <f aca="false">IF($A159="N/A"," ",AE159*$AW159)</f>
        <v> </v>
      </c>
      <c r="BY159" s="306" t="str">
        <f aca="false">IF($A159="N/A"," ",AF159*$AX159)</f>
        <v> </v>
      </c>
      <c r="BZ159" s="306" t="str">
        <f aca="false">IF($A159="N/A"," ",AG159*$AY159)</f>
        <v> </v>
      </c>
      <c r="CA159" s="306" t="str">
        <f aca="false">IF($A159="N/A"," ",AH159*$AZ159)</f>
        <v> </v>
      </c>
      <c r="CB159" s="307" t="str">
        <f aca="false">IF($A159="N/A"," ",AI159*$BA159)</f>
        <v> </v>
      </c>
      <c r="CC159" s="308" t="str">
        <f aca="false">IF($A159="N/A"," ",AJ159*$AS159)</f>
        <v> </v>
      </c>
      <c r="CD159" s="309" t="str">
        <f aca="false">IF($A159="N/A"," ",AK159*$AT159)</f>
        <v> </v>
      </c>
      <c r="CE159" s="309" t="str">
        <f aca="false">IF($A159="N/A"," ",AL159*$AU159)</f>
        <v> </v>
      </c>
      <c r="CF159" s="309" t="str">
        <f aca="false">IF($A159="N/A"," ",AM159*$AV159)</f>
        <v> </v>
      </c>
      <c r="CG159" s="309" t="str">
        <f aca="false">IF($A159="N/A"," ",AN159*$AW159)</f>
        <v> </v>
      </c>
      <c r="CH159" s="309" t="str">
        <f aca="false">IF($A159="N/A"," ",AO159*$AX159)</f>
        <v> </v>
      </c>
      <c r="CI159" s="309" t="str">
        <f aca="false">IF($A159="N/A"," ",AP159*$AY159)</f>
        <v> </v>
      </c>
      <c r="CJ159" s="309" t="str">
        <f aca="false">IF($A159="N/A"," ",AQ159*$AZ159)</f>
        <v> </v>
      </c>
      <c r="CK159" s="310" t="str">
        <f aca="false">IF($A159="N/A"," ",AR159*$BA159)</f>
        <v> </v>
      </c>
      <c r="CL159" s="311" t="str">
        <f aca="false">IF(A159="N/A"," ",(VLOOKUP(A159,PowerVolTable,(IF(VolBMO=2,7,IF(VolBMO=1,6,8))),FALSE())))</f>
        <v> </v>
      </c>
      <c r="CM159" s="312" t="str">
        <f aca="false">IF(A159="N/A"," ",(VLOOKUP(A159,IntraPowerVol,(IF(VolBMO=2,3,IF(VolBMO=1,2,4))),FALSE())*VLOOKUP(MONTH($A159),Volscale,2)))</f>
        <v> </v>
      </c>
      <c r="CN159" s="312" t="str">
        <f aca="false">IF($A159="N/A"," ",IF(VolType=1,CM159,CL159))</f>
        <v> </v>
      </c>
      <c r="CO159" s="312" t="str">
        <f aca="false">IF($A159="N/A"," ",(VLOOKUP($A159,OffPeakVol,(IF(VolBMO=2,7,IF(VolBMO=1,6,8))),FALSE())))</f>
        <v> </v>
      </c>
      <c r="CP159" s="312" t="str">
        <f aca="false">IF($A159="N/A"," ",(VLOOKUP($A159,OffPeakVol,(IF(VolBMO=2,3,IF(VolBMO=1,2,4))),FALSE())*VLOOKUP(MONTH($A159),Volscale,2)))</f>
        <v> </v>
      </c>
      <c r="CQ159" s="312" t="str">
        <f aca="false">IF($A159="N/A"," ",IF(VolType=1,CP159,CO159))</f>
        <v> </v>
      </c>
      <c r="CR159" s="312" t="str">
        <f aca="false">IF($A159="N/A"," ",(VLOOKUP($A159,GasVolTable,(IF(VolBMO=2,6,IF(VolBMO=1,7,5))),FALSE())))</f>
        <v> </v>
      </c>
      <c r="CS159" s="312" t="str">
        <f aca="false">IF($A159="N/A"," ",(VLOOKUP($A159,OmicronVol,(IF(VolBMO=2,3,IF(VolBMO=1,4,2))),FALSE())))</f>
        <v> </v>
      </c>
      <c r="CT159" s="312" t="str">
        <f aca="false">IF($A159="N/A"," ",(IF(DateToday&gt;$A159,$CS159,IF(VolType=1,((($CR159^2)*((($A159-1)-DateToday)/((EOMONTH($A159,0)+1)-DateToday-15)))+((($CS159)^2)*((15)/((EOMONTH($A159,0)+1)-DateToday-15))))^0.5,CR159))))</f>
        <v> </v>
      </c>
      <c r="CU159" s="312" t="str">
        <f aca="false">IF($A159="N/A"," ",IF('Pricing Inputs'!$AR$23=TRUE(),Inputs!$S$22,VLOOKUP($A159,CorrelationTable,2,FALSE())))</f>
        <v> </v>
      </c>
      <c r="CV159" s="313" t="str">
        <f aca="false">IF($A159="N/A"," ",F159+G159+(D159*('Pricing Inputs'!X194)))</f>
        <v> </v>
      </c>
      <c r="CW159" s="314" t="str">
        <f aca="false">IF($A159="N/A"," ",IF(PV=1,0,'Pricing Inputs'!Y194))</f>
        <v> </v>
      </c>
      <c r="CX159" s="315" t="str">
        <f aca="false">IF($A159="N/A"," ",(1+CW159/2)^(-2*((EOMONTH(A159,0)+20)-DateToday)/365.25))</f>
        <v> </v>
      </c>
      <c r="CY159" s="316" t="str">
        <f aca="false">IF($A159="N/A"," ",(IF(MONTH(A159)&gt;=4,IF(MONTH(A159)&lt;=10,Inputs!$S$26,Inputs!$S$27),Inputs!$S$27))*$CX159)</f>
        <v> </v>
      </c>
      <c r="CZ159" s="317" t="str">
        <f aca="false">IF($A159="N/A"," ",BK159+BL159+BN159+BO159+BQ159+BR159)</f>
        <v> </v>
      </c>
      <c r="DA159" s="318" t="str">
        <f aca="false">IF($A159="N/A"," ",BM159+BP159+BS159)</f>
        <v> </v>
      </c>
      <c r="DB159" s="319" t="str">
        <f aca="false">IF($A159="N/A"," ",BT159+BU159+BW159+BX159+BZ159+CA159)</f>
        <v> </v>
      </c>
      <c r="DC159" s="319" t="str">
        <f aca="false">IF($A159="N/A"," ",BV159+BY159+CB159)</f>
        <v> </v>
      </c>
      <c r="DD159" s="320" t="str">
        <f aca="false">IF($A159="N/A"," ",SUM(CC159:CK159))</f>
        <v> </v>
      </c>
      <c r="DE159" s="321" t="str">
        <f aca="false">IF($A159="N/A"," ",VLOOKUP($A159,NumberofDaysTable,2)*Availability)</f>
        <v> </v>
      </c>
      <c r="DF159" s="94" t="str">
        <f aca="false">IF($A159="N/A"," ",VLOOKUP($A159,NumberofDaysTable,3)*Availability)</f>
        <v> </v>
      </c>
      <c r="DG159" s="322" t="str">
        <f aca="false">IF($A159="N/A"," ",VLOOKUP($A159,NumberofDaysTable,4)*Availability)</f>
        <v> </v>
      </c>
      <c r="DH159" s="323" t="str">
        <f aca="false">IF($A159="N/A"," ",IF(Option=1,$D159*Inputs!$S$15*SUM(AS159:BA159),0))</f>
        <v> </v>
      </c>
      <c r="DI159" s="324" t="str">
        <f aca="false">IF($A159="N/A"," ",IF(Option=1,$D159*Inputs!$S$16*SUM(AS159:BA159),0))</f>
        <v> </v>
      </c>
      <c r="DJ159" s="325" t="str">
        <f aca="false">IF($A159="N/A"," ",SUM(AS159:AT159))</f>
        <v> </v>
      </c>
      <c r="DK159" s="325" t="str">
        <f aca="false">IF($A159="N/A"," ",SUM(AU159:BA159))</f>
        <v> </v>
      </c>
      <c r="DL159" s="325" t="str">
        <f aca="false">IF($A159="N/A"," ",SUM(BB159:BC159))</f>
        <v> </v>
      </c>
      <c r="DM159" s="325" t="str">
        <f aca="false">IF($A159="N/A"," ",SUM(BD159:BJ159))</f>
        <v> </v>
      </c>
    </row>
    <row r="160" customFormat="false" ht="12.75" hidden="false" customHeight="false" outlineLevel="0" collapsed="false">
      <c r="A160" s="282" t="str">
        <f aca="false">IF(A159="N/A","N/A",IF(EDATE(A159,1)&gt;Inputs!$S$5,"N/A",EDATE(A159,1)))</f>
        <v>N/A</v>
      </c>
      <c r="B160" s="283" t="str">
        <f aca="false">IF(A160="N/A"," ",YEAR(A160))</f>
        <v> </v>
      </c>
      <c r="C160" s="284" t="str">
        <f aca="false">IF(A160="N/A"," ",VLOOKUP(A160,ScaledPrice,14))</f>
        <v> </v>
      </c>
      <c r="D160" s="285" t="str">
        <f aca="false">IF(A160="N/A"," ",(VLOOKUP(MONTH($A160),Hrtable,2))/1000)</f>
        <v> </v>
      </c>
      <c r="E160" s="286" t="str">
        <f aca="false">IF($A160="N/A"," ",(C160)*D160)</f>
        <v> </v>
      </c>
      <c r="F160" s="287" t="str">
        <f aca="false">IF(A160="N/A"," ",VOM*(1+VOMesc)^(YEAR(A160)-YEAR(Today)))</f>
        <v> </v>
      </c>
      <c r="G160" s="287" t="str">
        <f aca="false">IF(A160="N/A"," ",Perstart/VLOOKUP(Dayrun,'Pricing Inputs'!$AQ$4:$AS$14,3)/(CY160/CX160))</f>
        <v> </v>
      </c>
      <c r="H160" s="288" t="str">
        <f aca="false">IF(A160="N/A"," ",SUM(E160:G160))</f>
        <v> </v>
      </c>
      <c r="I160" s="289" t="str">
        <f aca="false">VLOOKUP($A160,ScaledPrice,6)</f>
        <v> </v>
      </c>
      <c r="J160" s="290" t="str">
        <f aca="false">VLOOKUP($A160,ScaledPrice,10)</f>
        <v> </v>
      </c>
      <c r="K160" s="290" t="str">
        <f aca="false">VLOOKUP($A160,ScaledPrice,13)</f>
        <v> </v>
      </c>
      <c r="L160" s="290" t="str">
        <f aca="false">VLOOKUP($A160,ScaledPrice,7)</f>
        <v> </v>
      </c>
      <c r="M160" s="290" t="str">
        <f aca="false">VLOOKUP($A160,ScaledPrice,11)</f>
        <v> </v>
      </c>
      <c r="N160" s="290" t="str">
        <f aca="false">VLOOKUP($A160,ScaledPrice,13)</f>
        <v> </v>
      </c>
      <c r="O160" s="290" t="str">
        <f aca="false">VLOOKUP($A160,ScaledPrice,8)</f>
        <v> </v>
      </c>
      <c r="P160" s="290" t="str">
        <f aca="false">VLOOKUP($A160,ScaledPrice,12)</f>
        <v> </v>
      </c>
      <c r="Q160" s="291" t="str">
        <f aca="false">VLOOKUP($A160,ScaledPrice,13)</f>
        <v> </v>
      </c>
      <c r="R160" s="292" t="str">
        <f aca="false">IF($A160="N/A"," ",IF(Dayrun&gt;=3,IF(Option=1,MAX($I160-$H160,0),IF(Option=2,MAX($H160-$I160,0),0)),0))</f>
        <v> </v>
      </c>
      <c r="S160" s="286" t="str">
        <f aca="false">IF($A160="N/A"," ",IF(Dayrun&gt;=6,IF(Option=1,MAX($J160-H160,0),IF(Option=2,MAX(H160-$J160,0),0)),0))</f>
        <v> </v>
      </c>
      <c r="T160" s="286" t="str">
        <f aca="false">IF($A160="N/A"," ",IF(OR(Dayrun&lt;=2,Dayrun&gt;=9),IF(Option=1,MAX($K160-$H160,0),IF(Option=2,MAX($H160-$K160,0),0)),0))</f>
        <v> </v>
      </c>
      <c r="U160" s="286" t="str">
        <f aca="false">IF($A160="N/A"," ",IF(OR(Dayrun=1,Dayrun=4,Dayrun=5,Dayrun=7,Dayrun=8,Dayrun=10,Dayrun=11),IF(Option=1,MAX($L160-H160,0),IF(Option=2,MAX(H160-$L160,0),0)),0))</f>
        <v> </v>
      </c>
      <c r="V160" s="286" t="str">
        <f aca="false">IF($A160="N/A"," ",IF(OR(Dayrun=1,Dayrun=7,Dayrun=8,Dayrun=10,Dayrun=11),IF(Option=1,MAX($M160-H160,0),IF(Option=2,MAX(H160-$M160,0),0)),0))</f>
        <v> </v>
      </c>
      <c r="W160" s="286" t="str">
        <f aca="false">IF($A160="N/A"," ",IF(OR(Dayrun&lt;=2,Dayrun&gt;=10),IF(Option=1,MAX($N160-$H160,0),IF(Option=2,MAX($H160-$N160,0),0)),0))</f>
        <v> </v>
      </c>
      <c r="X160" s="286" t="str">
        <f aca="false">IF($A160="N/A"," ",IF(OR(Dayrun=1,Dayrun=5,Dayrun=8,Dayrun=11),IF(Option=1,MAX($O160-H160,0),IF(Option=2,MAX(H160-$O160,0),0)),0))</f>
        <v> </v>
      </c>
      <c r="Y160" s="286" t="str">
        <f aca="false">IF($A160="N/A"," ",IF(OR(Dayrun=1,Dayrun=8,Dayrun=11),IF(Option=1,MAX($P160-H160,0),IF(Option=2,MAX(H160-$P160,0),0)),0))</f>
        <v> </v>
      </c>
      <c r="Z160" s="293" t="str">
        <f aca="false">IF($A160="N/A"," ",IF(OR(Dayrun&lt;=2,Dayrun&gt;=11),IF(Option=1,MAX($Q160-$H160,0),IF(Option=2,MAX($H160-$Q160,0),0)),0))</f>
        <v> </v>
      </c>
      <c r="AA160" s="289" t="str">
        <f aca="false">IF($A160="N/A"," ",IF(Dayrun&gt;=3,(MAX(0,(xSPRDOPT(I160,($E160-'Pricing Inputs'!$X195*$D160),$CV160,0,($CN160+IF(Smile=TRUE(),VLOOKUP(MAX(-5,$H160-I160),Volsmile,2),0)),$CT160,$CU160,($A160-DateToday)+15,ABS(Option-2),0)-R160))),0))</f>
        <v> </v>
      </c>
      <c r="AB160" s="290" t="str">
        <f aca="false">IF($A160="N/A"," ",IF(Dayrun&gt;=6,MAX(0,(xSPRDOPT(J160,($E160-'Pricing Inputs'!$X195*$D160),$CV160,0,($CN160+IF(Smile=TRUE(),VLOOKUP(MAX(-5,$H160-J160),Volsmile,2),0)),$CT160,$CU160,($A160-DateToday)+15,ABS(Option-2),0)-S160)),0))</f>
        <v> </v>
      </c>
      <c r="AC160" s="290" t="str">
        <f aca="false">IF($A160="N/A"," ",IF(OR(Dayrun&lt;=2,Dayrun&gt;=9),IF(OffPeakEx=TRUE(),MAX(0,(xSPRDOPT(K160,($E160-'Pricing Inputs'!$X195*$D160),$CV160,0,($CQ160+IF(Smile=TRUE(),VLOOKUP(MAX(-5,$H160-K160),Volsmile,2),0)),$CT160,$CU160,($A160-DateToday)+15,ABS(Option-2),0)-T160)),0),0))</f>
        <v> </v>
      </c>
      <c r="AD160" s="290" t="str">
        <f aca="false">IF($A160="N/A"," ",IF(OR(Dayrun=1,Dayrun=4,Dayrun=5,Dayrun=7,Dayrun=8,Dayrun=10,Dayrun=11),MAX(0,(xSPRDOPT(L160,($E160-'Pricing Inputs'!$X195*$D160),$CV160,0,($CQ160+IF(Smile=TRUE(),VLOOKUP(MAX(-5,$H160-L160),Volsmile,2),0)),$CT160,$CU160,($A160-DateToday)+15,ABS(Option-2),0)-U160)),0))</f>
        <v> </v>
      </c>
      <c r="AE160" s="290" t="str">
        <f aca="false">IF($A160="N/A"," ",IF(OR(Dayrun=1,Dayrun=7,Dayrun=8,Dayrun=10,Dayrun=11),MAX(0,(xSPRDOPT(M160,($E160-'Pricing Inputs'!$X195*$D160),$CV160,0,($CQ160+IF(Smile=TRUE(),VLOOKUP(MAX(-5,$H160-M160),Volsmile,2),0)),$CT160,$CU160,($A160-DateToday)+15,ABS(Option-2),0)-V160)),0))</f>
        <v> </v>
      </c>
      <c r="AF160" s="290" t="str">
        <f aca="false">IF($A160="N/A"," ",IF(OR(Dayrun&lt;=2,Dayrun&gt;=10),IF(OffPeakEx=TRUE(),MAX(0,(xSPRDOPT(N160,($E160-'Pricing Inputs'!$X195*$D160),$CV160,0,($CQ160+IF(Smile=TRUE(),VLOOKUP(MAX(-5,$H160-N160),Volsmile,2),0)),$CT160,$CU160,($A160-DateToday)+15,ABS(Option-2),0)-W160)),0),0))</f>
        <v> </v>
      </c>
      <c r="AG160" s="290" t="str">
        <f aca="false">IF($A160="N/A"," ",IF(OR(Dayrun=1,Dayrun=5,Dayrun=8,Dayrun=11),MAX(0,(xSPRDOPT(O160,($E160-'Pricing Inputs'!$X195*$D160),$CV160,0,($CQ160+IF(Smile=TRUE(),VLOOKUP(MAX(-5,$H160-O160),Volsmile,2),0)),$CT160,$CU160,($A160-DateToday)+15,ABS(Option-2),0)-X160)),0))</f>
        <v> </v>
      </c>
      <c r="AH160" s="290" t="str">
        <f aca="false">IF($A160="N/A"," ",IF(OR(Dayrun=1,Dayrun=8,Dayrun=11),MAX(0,(xSPRDOPT(P160,($E160-'Pricing Inputs'!$X195*$D160),$CV160,0,($CQ160+IF(Smile=TRUE(),VLOOKUP(MAX(-5,$H160-P160),Volsmile,2),0)),$CT160,$CU160,($A160-DateToday)+15,ABS(Option-2),0)-Y160)),0))</f>
        <v> </v>
      </c>
      <c r="AI160" s="290" t="str">
        <f aca="false">IF($A160="N/A"," ",IF(OR(Dayrun&lt;=2,Dayrun&gt;=11),IF(OffPeakEx=TRUE(),MAX(0,(xSPRDOPT(Q160,($E160-'Pricing Inputs'!$X195*$D160),$CV160,0,($CQ160+IF(Smile=TRUE(),VLOOKUP(MAX(-5,$H160-Q160),Volsmile,2),0)),$CT160,$CU160,($A160-DateToday)+15,ABS(Option-2),0)-Z160)),0),0))</f>
        <v> </v>
      </c>
      <c r="AJ160" s="294" t="str">
        <f aca="false">IF($A160="N/A"," ",IF(Dayrun&gt;=3,IF(Option=1,$I160-$H160,IF(Option=2,$H160-$I160)),0))</f>
        <v> </v>
      </c>
      <c r="AK160" s="295" t="str">
        <f aca="false">IF($A160="N/A"," ",IF(Dayrun&gt;=6,IF(Option=1,$J160-H160,IF(Option=2,H160-$J160)),0))</f>
        <v> </v>
      </c>
      <c r="AL160" s="295" t="str">
        <f aca="false">IF($A160="N/A"," ",IF(OR(Dayrun&lt;=2,Dayrun&gt;=9),IF(Option=1,$K160-$H160,IF(Option=2,$H160-$K160)),0))</f>
        <v> </v>
      </c>
      <c r="AM160" s="295" t="str">
        <f aca="false">IF($A160="N/A"," ",IF(OR(Dayrun=1,Dayrun=4,Dayrun=5,Dayrun=7,Dayrun=8,Dayrun=10,Dayrun=11),IF(Option=1,$L160-H160,IF(Option=2,H160-$L160)),0))</f>
        <v> </v>
      </c>
      <c r="AN160" s="295" t="str">
        <f aca="false">IF($A160="N/A"," ",IF(OR(Dayrun=1,Dayrun=7,Dayrun=8,Dayrun=10,Dayrun=11),IF(Option=1,$M160-H160,IF(Option=2,H160-$M160)),0))</f>
        <v> </v>
      </c>
      <c r="AO160" s="295" t="str">
        <f aca="false">IF($A160="N/A"," ",IF(OR(Dayrun&lt;=2,Dayrun&gt;=9),IF(Option=1,$N160-$H160,IF(Option=2,$H160-$N160)),0))</f>
        <v> </v>
      </c>
      <c r="AP160" s="295" t="str">
        <f aca="false">IF($A160="N/A"," ",IF(OR(Dayrun=1,Dayrun=5,Dayrun=8,Dayrun=11),IF(Option=1,$O160-H160,IF(Option=2,H160-$O160)),0))</f>
        <v> </v>
      </c>
      <c r="AQ160" s="295" t="str">
        <f aca="false">IF($A160="N/A"," ",IF(OR(Dayrun=1,Dayrun=8,Dayrun=11),IF(Option=1,$P160-H160,IF(Option=2,H160-$P160)),0))</f>
        <v> </v>
      </c>
      <c r="AR160" s="296" t="str">
        <f aca="false">IF($A160="N/A"," ",IF(OR(Dayrun&lt;=2,Dayrun&gt;=9),IF(Option=1,$Q160-H160,IF(Option=2,H160-$Q160)),0))</f>
        <v> </v>
      </c>
      <c r="AS160" s="297" t="str">
        <f aca="false">IF($A160="N/A"," ",IF(VLOOKUP(MONTH($A160),ManualTable,2)=1,IF(Dayrun&gt;=3,$DE160*8*$CY160,0),0))</f>
        <v> </v>
      </c>
      <c r="AT160" s="297" t="str">
        <f aca="false">IF($A160="N/A"," ",IF(VLOOKUP(MONTH($A160),ManualTable,3)=1,IF(Dayrun&gt;=6,$DE160*8*$CY160,0),0))</f>
        <v> </v>
      </c>
      <c r="AU160" s="297" t="str">
        <f aca="false">IF($A160="N/A"," ",IF(VLOOKUP(MONTH($A160),ManualTable,4)=1,IF(OR(Dayrun&lt;=2,Dayrun&gt;=9),$DE160*8*$CY160,0),0))</f>
        <v> </v>
      </c>
      <c r="AV160" s="297" t="str">
        <f aca="false">IF($A160="N/A"," ",IF(VLOOKUP(MONTH($A160),ManualTable,5)=1,IF(OR(Dayrun=1,Dayrun=4,Dayrun=5,Dayrun=7,Dayrun=8,Dayrun=10,Dayrun=11),$DF160*8*$CY160,0),0))</f>
        <v> </v>
      </c>
      <c r="AW160" s="297" t="str">
        <f aca="false">IF($A160="N/A"," ",IF(VLOOKUP(MONTH($A160),ManualTable,6)=1,IF(OR(Dayrun=1,Dayrun=7,Dayrun=8,Dayrun=10,Dayrun=11),$DF160*8*$CY160,0),0))</f>
        <v> </v>
      </c>
      <c r="AX160" s="297" t="str">
        <f aca="false">IF($A160="N/A"," ",IF(VLOOKUP(MONTH($A160),ManualTable,7)=1,IF(OR(Dayrun&lt;=2,Dayrun&gt;=9),$DF160*8*$CY160,0),0))</f>
        <v> </v>
      </c>
      <c r="AY160" s="297" t="str">
        <f aca="false">IF($A160="N/A"," ",IF(VLOOKUP(MONTH($A160),ManualTable,8)=1,IF(OR(Dayrun=1,Dayrun=5,Dayrun=8,Dayrun=11),$DG160*8*$CY160,0),0))</f>
        <v> </v>
      </c>
      <c r="AZ160" s="297" t="str">
        <f aca="false">IF($A160="N/A"," ",IF(VLOOKUP(MONTH($A160),ManualTable,9)=1,IF(OR(Dayrun=1,Dayrun=8,Dayrun=11),$DG160*8*$CY160,0),0))</f>
        <v> </v>
      </c>
      <c r="BA160" s="298" t="str">
        <f aca="false">IF($A160="N/A"," ",IF(VLOOKUP(MONTH($A160),ManualTable,10)=1,IF(OR(Dayrun&lt;=2,Dayrun&gt;=9),$DG160*8*$CY160,0),0))</f>
        <v> </v>
      </c>
      <c r="BB160" s="299" t="str">
        <f aca="false">IF($A160="N/A"," ",IF(Dayrun&gt;=3,(MAX(0,(xSPRDOPT(I160,($E160-'Pricing Inputs'!$X195*$D160),$CV160,0,($CN160+IF(Smile=TRUE(),VLOOKUP(MAX(-5,$H160-I160),Volsmile,2),0)),$CT160,$CU160,($A160-DateToday)+15,ABS(Option-2),1)*DE160*8))),0))</f>
        <v> </v>
      </c>
      <c r="BC160" s="300" t="str">
        <f aca="false">IF($A160="N/A"," ",IF(Dayrun&gt;=6,MAX(0,(xSPRDOPT(J160,($E160-'Pricing Inputs'!$X195*$D160),$CV160,0,($CN160+IF(Smile=TRUE(),VLOOKUP(MAX(-5,$H160-J160),Volsmile,2),0)),$CT160,$CU160,($A160-DateToday)+15,ABS(Option-2),1)*DE160*8)),0))</f>
        <v> </v>
      </c>
      <c r="BD160" s="300" t="str">
        <f aca="false">IF($A160="N/A"," ",IF(OR(Dayrun&lt;=2,Dayrun&gt;=9),IF(OffPeakEx=TRUE(),MAX(0,(xSPRDOPT(K160,($E160-'Pricing Inputs'!$X195*$D160),$CV160,0,($CQ160+IF(Smile=TRUE(),VLOOKUP(MAX(-5,$H160-K160),Volsmile,2),0)),$CT160,$CU160,($A160-DateToday)+15,ABS(Option-2),1)*DE160*8)),0),0))</f>
        <v> </v>
      </c>
      <c r="BE160" s="300" t="str">
        <f aca="false">IF($A160="N/A"," ",IF(OR(Dayrun=1,Dayrun=4,Dayrun=5,Dayrun=7,Dayrun=8,Dayrun=10,Dayrun=11),MAX(0,(xSPRDOPT(L160,($E160-'Pricing Inputs'!$X195*$D160),$CV160,0,($CQ160+IF(Smile=TRUE(),VLOOKUP(MAX(-5,$H160-L160),Volsmile,2),0)),$CT160,$CU160,($A160-DateToday)+15,ABS(Option-2),1)*DF160*8)),0))</f>
        <v> </v>
      </c>
      <c r="BF160" s="300" t="str">
        <f aca="false">IF($A160="N/A"," ",IF(OR(Dayrun=1,Dayrun=7,Dayrun=8,Dayrun=10,Dayrun=11),MAX(0,(xSPRDOPT(M160,($E160-'Pricing Inputs'!$X195*$D160),$CV160,0,($CQ160+IF(Smile=TRUE(),VLOOKUP(MAX(-5,$H160-M160),Volsmile,2),0)),$CT160,$CU160,($A160-DateToday)+15,ABS(Option-2),1)*DF160*8)),0))</f>
        <v> </v>
      </c>
      <c r="BG160" s="300" t="str">
        <f aca="false">IF($A160="N/A"," ",IF(OR(Dayrun&lt;=2,Dayrun&gt;=10),IF(OffPeakEx=TRUE(),MAX(0,(xSPRDOPT(N160,($E160-'Pricing Inputs'!$X195*$D160),$CV160,0,($CQ160+IF(Smile=TRUE(),VLOOKUP(MAX(-5,$H160-N160),Volsmile,2),0)),$CT160,$CU160,($A160-DateToday)+15,ABS(Option-2),1)*DF160*8)),0),0))</f>
        <v> </v>
      </c>
      <c r="BH160" s="300" t="str">
        <f aca="false">IF($A160="N/A"," ",IF(OR(Dayrun=1,Dayrun=5,Dayrun=8,Dayrun=11),MAX(0,(xSPRDOPT(O160,($E160-'Pricing Inputs'!$X195*$D160),$CV160,0,($CQ160+IF(Smile=TRUE(),VLOOKUP(MAX(-5,$H160-O160),Volsmile,2),0)),$CT160,$CU160,($A160-DateToday)+15,ABS(Option-2),1)*DG160*8)),0))</f>
        <v> </v>
      </c>
      <c r="BI160" s="300" t="str">
        <f aca="false">IF($A160="N/A"," ",IF(OR(Dayrun=1,Dayrun=8,Dayrun=11),MAX(0,(xSPRDOPT(P160,($E160-'Pricing Inputs'!$X195*$D160),$CV160,0,($CQ160+IF(Smile=TRUE(),VLOOKUP(MAX(-5,$H160-P160),Volsmile,2),0)),$CT160,$CU160,($A160-DateToday)+15,ABS(Option-2),1)*DG160*8)),0))</f>
        <v> </v>
      </c>
      <c r="BJ160" s="301" t="str">
        <f aca="false">IF($A160="N/A"," ",IF(OR(Dayrun&lt;=2,Dayrun&gt;=11),IF(OffPeakEx=TRUE(),MAX(0,(xSPRDOPT(Q160,($E160-'Pricing Inputs'!$X195*$D160),$CV160,0,($CQ160+IF(Smile=TRUE(),VLOOKUP(MAX(-5,$H160-Q160),Volsmile,2),0)),$CT160,$CU160,($A160-DateToday)+15,ABS(Option-2),1)*DG160*8)),0),0))</f>
        <v> </v>
      </c>
      <c r="BK160" s="302" t="str">
        <f aca="false">IF($A160="N/A"," ",R160*$AS160)</f>
        <v> </v>
      </c>
      <c r="BL160" s="303" t="str">
        <f aca="false">IF($A160="N/A"," ",S160*$AT160)</f>
        <v> </v>
      </c>
      <c r="BM160" s="303" t="str">
        <f aca="false">IF($A160="N/A"," ",T160*$AU160)</f>
        <v> </v>
      </c>
      <c r="BN160" s="303" t="str">
        <f aca="false">IF($A160="N/A"," ",U160*$AV160)</f>
        <v> </v>
      </c>
      <c r="BO160" s="303" t="str">
        <f aca="false">IF($A160="N/A"," ",V160*$AW160)</f>
        <v> </v>
      </c>
      <c r="BP160" s="303" t="str">
        <f aca="false">IF($A160="N/A"," ",W160*$AX160)</f>
        <v> </v>
      </c>
      <c r="BQ160" s="303" t="str">
        <f aca="false">IF($A160="N/A"," ",X160*$AY160)</f>
        <v> </v>
      </c>
      <c r="BR160" s="303" t="str">
        <f aca="false">IF($A160="N/A"," ",Y160*$AZ160)</f>
        <v> </v>
      </c>
      <c r="BS160" s="304" t="str">
        <f aca="false">IF($A160="N/A"," ",Z160*$BA160)</f>
        <v> </v>
      </c>
      <c r="BT160" s="305" t="str">
        <f aca="false">IF($A160="N/A"," ",AA160*$AS160)</f>
        <v> </v>
      </c>
      <c r="BU160" s="306" t="str">
        <f aca="false">IF($A160="N/A"," ",AB160*$AT160)</f>
        <v> </v>
      </c>
      <c r="BV160" s="306" t="str">
        <f aca="false">IF($A160="N/A"," ",AC160*$AU160)</f>
        <v> </v>
      </c>
      <c r="BW160" s="306" t="str">
        <f aca="false">IF($A160="N/A"," ",AD160*$AV160)</f>
        <v> </v>
      </c>
      <c r="BX160" s="306" t="str">
        <f aca="false">IF($A160="N/A"," ",AE160*$AW160)</f>
        <v> </v>
      </c>
      <c r="BY160" s="306" t="str">
        <f aca="false">IF($A160="N/A"," ",AF160*$AX160)</f>
        <v> </v>
      </c>
      <c r="BZ160" s="306" t="str">
        <f aca="false">IF($A160="N/A"," ",AG160*$AY160)</f>
        <v> </v>
      </c>
      <c r="CA160" s="306" t="str">
        <f aca="false">IF($A160="N/A"," ",AH160*$AZ160)</f>
        <v> </v>
      </c>
      <c r="CB160" s="307" t="str">
        <f aca="false">IF($A160="N/A"," ",AI160*$BA160)</f>
        <v> </v>
      </c>
      <c r="CC160" s="308" t="str">
        <f aca="false">IF($A160="N/A"," ",AJ160*$AS160)</f>
        <v> </v>
      </c>
      <c r="CD160" s="309" t="str">
        <f aca="false">IF($A160="N/A"," ",AK160*$AT160)</f>
        <v> </v>
      </c>
      <c r="CE160" s="309" t="str">
        <f aca="false">IF($A160="N/A"," ",AL160*$AU160)</f>
        <v> </v>
      </c>
      <c r="CF160" s="309" t="str">
        <f aca="false">IF($A160="N/A"," ",AM160*$AV160)</f>
        <v> </v>
      </c>
      <c r="CG160" s="309" t="str">
        <f aca="false">IF($A160="N/A"," ",AN160*$AW160)</f>
        <v> </v>
      </c>
      <c r="CH160" s="309" t="str">
        <f aca="false">IF($A160="N/A"," ",AO160*$AX160)</f>
        <v> </v>
      </c>
      <c r="CI160" s="309" t="str">
        <f aca="false">IF($A160="N/A"," ",AP160*$AY160)</f>
        <v> </v>
      </c>
      <c r="CJ160" s="309" t="str">
        <f aca="false">IF($A160="N/A"," ",AQ160*$AZ160)</f>
        <v> </v>
      </c>
      <c r="CK160" s="310" t="str">
        <f aca="false">IF($A160="N/A"," ",AR160*$BA160)</f>
        <v> </v>
      </c>
      <c r="CL160" s="311" t="str">
        <f aca="false">IF(A160="N/A"," ",(VLOOKUP(A160,PowerVolTable,(IF(VolBMO=2,7,IF(VolBMO=1,6,8))),FALSE())))</f>
        <v> </v>
      </c>
      <c r="CM160" s="312" t="str">
        <f aca="false">IF(A160="N/A"," ",(VLOOKUP(A160,IntraPowerVol,(IF(VolBMO=2,3,IF(VolBMO=1,2,4))),FALSE())*VLOOKUP(MONTH($A160),Volscale,2)))</f>
        <v> </v>
      </c>
      <c r="CN160" s="312" t="str">
        <f aca="false">IF($A160="N/A"," ",IF(VolType=1,CM160,CL160))</f>
        <v> </v>
      </c>
      <c r="CO160" s="312" t="str">
        <f aca="false">IF($A160="N/A"," ",(VLOOKUP($A160,OffPeakVol,(IF(VolBMO=2,7,IF(VolBMO=1,6,8))),FALSE())))</f>
        <v> </v>
      </c>
      <c r="CP160" s="312" t="str">
        <f aca="false">IF($A160="N/A"," ",(VLOOKUP($A160,OffPeakVol,(IF(VolBMO=2,3,IF(VolBMO=1,2,4))),FALSE())*VLOOKUP(MONTH($A160),Volscale,2)))</f>
        <v> </v>
      </c>
      <c r="CQ160" s="312" t="str">
        <f aca="false">IF($A160="N/A"," ",IF(VolType=1,CP160,CO160))</f>
        <v> </v>
      </c>
      <c r="CR160" s="312" t="str">
        <f aca="false">IF($A160="N/A"," ",(VLOOKUP($A160,GasVolTable,(IF(VolBMO=2,6,IF(VolBMO=1,7,5))),FALSE())))</f>
        <v> </v>
      </c>
      <c r="CS160" s="312" t="str">
        <f aca="false">IF($A160="N/A"," ",(VLOOKUP($A160,OmicronVol,(IF(VolBMO=2,3,IF(VolBMO=1,4,2))),FALSE())))</f>
        <v> </v>
      </c>
      <c r="CT160" s="312" t="str">
        <f aca="false">IF($A160="N/A"," ",(IF(DateToday&gt;$A160,$CS160,IF(VolType=1,((($CR160^2)*((($A160-1)-DateToday)/((EOMONTH($A160,0)+1)-DateToday-15)))+((($CS160)^2)*((15)/((EOMONTH($A160,0)+1)-DateToday-15))))^0.5,CR160))))</f>
        <v> </v>
      </c>
      <c r="CU160" s="312" t="str">
        <f aca="false">IF($A160="N/A"," ",IF('Pricing Inputs'!$AR$23=TRUE(),Inputs!$S$22,VLOOKUP($A160,CorrelationTable,2,FALSE())))</f>
        <v> </v>
      </c>
      <c r="CV160" s="313" t="str">
        <f aca="false">IF($A160="N/A"," ",F160+G160+(D160*('Pricing Inputs'!X195)))</f>
        <v> </v>
      </c>
      <c r="CW160" s="314" t="str">
        <f aca="false">IF($A160="N/A"," ",IF(PV=1,0,'Pricing Inputs'!Y195))</f>
        <v> </v>
      </c>
      <c r="CX160" s="315" t="str">
        <f aca="false">IF($A160="N/A"," ",(1+CW160/2)^(-2*((EOMONTH(A160,0)+20)-DateToday)/365.25))</f>
        <v> </v>
      </c>
      <c r="CY160" s="316" t="str">
        <f aca="false">IF($A160="N/A"," ",(IF(MONTH(A160)&gt;=4,IF(MONTH(A160)&lt;=10,Inputs!$S$26,Inputs!$S$27),Inputs!$S$27))*$CX160)</f>
        <v> </v>
      </c>
      <c r="CZ160" s="317" t="str">
        <f aca="false">IF($A160="N/A"," ",BK160+BL160+BN160+BO160+BQ160+BR160)</f>
        <v> </v>
      </c>
      <c r="DA160" s="318" t="str">
        <f aca="false">IF($A160="N/A"," ",BM160+BP160+BS160)</f>
        <v> </v>
      </c>
      <c r="DB160" s="319" t="str">
        <f aca="false">IF($A160="N/A"," ",BT160+BU160+BW160+BX160+BZ160+CA160)</f>
        <v> </v>
      </c>
      <c r="DC160" s="319" t="str">
        <f aca="false">IF($A160="N/A"," ",BV160+BY160+CB160)</f>
        <v> </v>
      </c>
      <c r="DD160" s="320" t="str">
        <f aca="false">IF($A160="N/A"," ",SUM(CC160:CK160))</f>
        <v> </v>
      </c>
      <c r="DE160" s="321" t="str">
        <f aca="false">IF($A160="N/A"," ",VLOOKUP($A160,NumberofDaysTable,2)*Availability)</f>
        <v> </v>
      </c>
      <c r="DF160" s="94" t="str">
        <f aca="false">IF($A160="N/A"," ",VLOOKUP($A160,NumberofDaysTable,3)*Availability)</f>
        <v> </v>
      </c>
      <c r="DG160" s="322" t="str">
        <f aca="false">IF($A160="N/A"," ",VLOOKUP($A160,NumberofDaysTable,4)*Availability)</f>
        <v> </v>
      </c>
      <c r="DH160" s="323" t="str">
        <f aca="false">IF($A160="N/A"," ",IF(Option=1,$D160*Inputs!$S$15*SUM(AS160:BA160),0))</f>
        <v> </v>
      </c>
      <c r="DI160" s="324" t="str">
        <f aca="false">IF($A160="N/A"," ",IF(Option=1,$D160*Inputs!$S$16*SUM(AS160:BA160),0))</f>
        <v> </v>
      </c>
      <c r="DJ160" s="325" t="str">
        <f aca="false">IF($A160="N/A"," ",SUM(AS160:AT160))</f>
        <v> </v>
      </c>
      <c r="DK160" s="325" t="str">
        <f aca="false">IF($A160="N/A"," ",SUM(AU160:BA160))</f>
        <v> </v>
      </c>
      <c r="DL160" s="325" t="str">
        <f aca="false">IF($A160="N/A"," ",SUM(BB160:BC160))</f>
        <v> </v>
      </c>
      <c r="DM160" s="325" t="str">
        <f aca="false">IF($A160="N/A"," ",SUM(BD160:BJ160))</f>
        <v> </v>
      </c>
    </row>
    <row r="161" customFormat="false" ht="12.75" hidden="false" customHeight="false" outlineLevel="0" collapsed="false">
      <c r="A161" s="282" t="str">
        <f aca="false">IF(A160="N/A","N/A",IF(EDATE(A160,1)&gt;Inputs!$S$5,"N/A",EDATE(A160,1)))</f>
        <v>N/A</v>
      </c>
      <c r="B161" s="283" t="str">
        <f aca="false">IF(A161="N/A"," ",YEAR(A161))</f>
        <v> </v>
      </c>
      <c r="C161" s="284" t="str">
        <f aca="false">IF(A161="N/A"," ",VLOOKUP(A161,ScaledPrice,14))</f>
        <v> </v>
      </c>
      <c r="D161" s="285" t="str">
        <f aca="false">IF(A161="N/A"," ",(VLOOKUP(MONTH($A161),Hrtable,2))/1000)</f>
        <v> </v>
      </c>
      <c r="E161" s="286" t="str">
        <f aca="false">IF($A161="N/A"," ",(C161)*D161)</f>
        <v> </v>
      </c>
      <c r="F161" s="287" t="str">
        <f aca="false">IF(A161="N/A"," ",VOM*(1+VOMesc)^(YEAR(A161)-YEAR(Today)))</f>
        <v> </v>
      </c>
      <c r="G161" s="287" t="str">
        <f aca="false">IF(A161="N/A"," ",Perstart/VLOOKUP(Dayrun,'Pricing Inputs'!$AQ$4:$AS$14,3)/(CY161/CX161))</f>
        <v> </v>
      </c>
      <c r="H161" s="288" t="str">
        <f aca="false">IF(A161="N/A"," ",SUM(E161:G161))</f>
        <v> </v>
      </c>
      <c r="I161" s="289" t="str">
        <f aca="false">VLOOKUP($A161,ScaledPrice,6)</f>
        <v> </v>
      </c>
      <c r="J161" s="290" t="str">
        <f aca="false">VLOOKUP($A161,ScaledPrice,10)</f>
        <v> </v>
      </c>
      <c r="K161" s="290" t="str">
        <f aca="false">VLOOKUP($A161,ScaledPrice,13)</f>
        <v> </v>
      </c>
      <c r="L161" s="290" t="str">
        <f aca="false">VLOOKUP($A161,ScaledPrice,7)</f>
        <v> </v>
      </c>
      <c r="M161" s="290" t="str">
        <f aca="false">VLOOKUP($A161,ScaledPrice,11)</f>
        <v> </v>
      </c>
      <c r="N161" s="290" t="str">
        <f aca="false">VLOOKUP($A161,ScaledPrice,13)</f>
        <v> </v>
      </c>
      <c r="O161" s="290" t="str">
        <f aca="false">VLOOKUP($A161,ScaledPrice,8)</f>
        <v> </v>
      </c>
      <c r="P161" s="290" t="str">
        <f aca="false">VLOOKUP($A161,ScaledPrice,12)</f>
        <v> </v>
      </c>
      <c r="Q161" s="291" t="str">
        <f aca="false">VLOOKUP($A161,ScaledPrice,13)</f>
        <v> </v>
      </c>
      <c r="R161" s="292" t="str">
        <f aca="false">IF($A161="N/A"," ",IF(Dayrun&gt;=3,IF(Option=1,MAX($I161-$H161,0),IF(Option=2,MAX($H161-$I161,0),0)),0))</f>
        <v> </v>
      </c>
      <c r="S161" s="286" t="str">
        <f aca="false">IF($A161="N/A"," ",IF(Dayrun&gt;=6,IF(Option=1,MAX($J161-H161,0),IF(Option=2,MAX(H161-$J161,0),0)),0))</f>
        <v> </v>
      </c>
      <c r="T161" s="286" t="str">
        <f aca="false">IF($A161="N/A"," ",IF(OR(Dayrun&lt;=2,Dayrun&gt;=9),IF(Option=1,MAX($K161-$H161,0),IF(Option=2,MAX($H161-$K161,0),0)),0))</f>
        <v> </v>
      </c>
      <c r="U161" s="286" t="str">
        <f aca="false">IF($A161="N/A"," ",IF(OR(Dayrun=1,Dayrun=4,Dayrun=5,Dayrun=7,Dayrun=8,Dayrun=10,Dayrun=11),IF(Option=1,MAX($L161-H161,0),IF(Option=2,MAX(H161-$L161,0),0)),0))</f>
        <v> </v>
      </c>
      <c r="V161" s="286" t="str">
        <f aca="false">IF($A161="N/A"," ",IF(OR(Dayrun=1,Dayrun=7,Dayrun=8,Dayrun=10,Dayrun=11),IF(Option=1,MAX($M161-H161,0),IF(Option=2,MAX(H161-$M161,0),0)),0))</f>
        <v> </v>
      </c>
      <c r="W161" s="286" t="str">
        <f aca="false">IF($A161="N/A"," ",IF(OR(Dayrun&lt;=2,Dayrun&gt;=10),IF(Option=1,MAX($N161-$H161,0),IF(Option=2,MAX($H161-$N161,0),0)),0))</f>
        <v> </v>
      </c>
      <c r="X161" s="286" t="str">
        <f aca="false">IF($A161="N/A"," ",IF(OR(Dayrun=1,Dayrun=5,Dayrun=8,Dayrun=11),IF(Option=1,MAX($O161-H161,0),IF(Option=2,MAX(H161-$O161,0),0)),0))</f>
        <v> </v>
      </c>
      <c r="Y161" s="286" t="str">
        <f aca="false">IF($A161="N/A"," ",IF(OR(Dayrun=1,Dayrun=8,Dayrun=11),IF(Option=1,MAX($P161-H161,0),IF(Option=2,MAX(H161-$P161,0),0)),0))</f>
        <v> </v>
      </c>
      <c r="Z161" s="293" t="str">
        <f aca="false">IF($A161="N/A"," ",IF(OR(Dayrun&lt;=2,Dayrun&gt;=11),IF(Option=1,MAX($Q161-$H161,0),IF(Option=2,MAX($H161-$Q161,0),0)),0))</f>
        <v> </v>
      </c>
      <c r="AA161" s="289" t="str">
        <f aca="false">IF($A161="N/A"," ",IF(Dayrun&gt;=3,(MAX(0,(xSPRDOPT(I161,($E161-'Pricing Inputs'!$X196*$D161),$CV161,0,($CN161+IF(Smile=TRUE(),VLOOKUP(MAX(-5,$H161-I161),Volsmile,2),0)),$CT161,$CU161,($A161-DateToday)+15,ABS(Option-2),0)-R161))),0))</f>
        <v> </v>
      </c>
      <c r="AB161" s="290" t="str">
        <f aca="false">IF($A161="N/A"," ",IF(Dayrun&gt;=6,MAX(0,(xSPRDOPT(J161,($E161-'Pricing Inputs'!$X196*$D161),$CV161,0,($CN161+IF(Smile=TRUE(),VLOOKUP(MAX(-5,$H161-J161),Volsmile,2),0)),$CT161,$CU161,($A161-DateToday)+15,ABS(Option-2),0)-S161)),0))</f>
        <v> </v>
      </c>
      <c r="AC161" s="290" t="str">
        <f aca="false">IF($A161="N/A"," ",IF(OR(Dayrun&lt;=2,Dayrun&gt;=9),IF(OffPeakEx=TRUE(),MAX(0,(xSPRDOPT(K161,($E161-'Pricing Inputs'!$X196*$D161),$CV161,0,($CQ161+IF(Smile=TRUE(),VLOOKUP(MAX(-5,$H161-K161),Volsmile,2),0)),$CT161,$CU161,($A161-DateToday)+15,ABS(Option-2),0)-T161)),0),0))</f>
        <v> </v>
      </c>
      <c r="AD161" s="290" t="str">
        <f aca="false">IF($A161="N/A"," ",IF(OR(Dayrun=1,Dayrun=4,Dayrun=5,Dayrun=7,Dayrun=8,Dayrun=10,Dayrun=11),MAX(0,(xSPRDOPT(L161,($E161-'Pricing Inputs'!$X196*$D161),$CV161,0,($CQ161+IF(Smile=TRUE(),VLOOKUP(MAX(-5,$H161-L161),Volsmile,2),0)),$CT161,$CU161,($A161-DateToday)+15,ABS(Option-2),0)-U161)),0))</f>
        <v> </v>
      </c>
      <c r="AE161" s="290" t="str">
        <f aca="false">IF($A161="N/A"," ",IF(OR(Dayrun=1,Dayrun=7,Dayrun=8,Dayrun=10,Dayrun=11),MAX(0,(xSPRDOPT(M161,($E161-'Pricing Inputs'!$X196*$D161),$CV161,0,($CQ161+IF(Smile=TRUE(),VLOOKUP(MAX(-5,$H161-M161),Volsmile,2),0)),$CT161,$CU161,($A161-DateToday)+15,ABS(Option-2),0)-V161)),0))</f>
        <v> </v>
      </c>
      <c r="AF161" s="290" t="str">
        <f aca="false">IF($A161="N/A"," ",IF(OR(Dayrun&lt;=2,Dayrun&gt;=10),IF(OffPeakEx=TRUE(),MAX(0,(xSPRDOPT(N161,($E161-'Pricing Inputs'!$X196*$D161),$CV161,0,($CQ161+IF(Smile=TRUE(),VLOOKUP(MAX(-5,$H161-N161),Volsmile,2),0)),$CT161,$CU161,($A161-DateToday)+15,ABS(Option-2),0)-W161)),0),0))</f>
        <v> </v>
      </c>
      <c r="AG161" s="290" t="str">
        <f aca="false">IF($A161="N/A"," ",IF(OR(Dayrun=1,Dayrun=5,Dayrun=8,Dayrun=11),MAX(0,(xSPRDOPT(O161,($E161-'Pricing Inputs'!$X196*$D161),$CV161,0,($CQ161+IF(Smile=TRUE(),VLOOKUP(MAX(-5,$H161-O161),Volsmile,2),0)),$CT161,$CU161,($A161-DateToday)+15,ABS(Option-2),0)-X161)),0))</f>
        <v> </v>
      </c>
      <c r="AH161" s="290" t="str">
        <f aca="false">IF($A161="N/A"," ",IF(OR(Dayrun=1,Dayrun=8,Dayrun=11),MAX(0,(xSPRDOPT(P161,($E161-'Pricing Inputs'!$X196*$D161),$CV161,0,($CQ161+IF(Smile=TRUE(),VLOOKUP(MAX(-5,$H161-P161),Volsmile,2),0)),$CT161,$CU161,($A161-DateToday)+15,ABS(Option-2),0)-Y161)),0))</f>
        <v> </v>
      </c>
      <c r="AI161" s="290" t="str">
        <f aca="false">IF($A161="N/A"," ",IF(OR(Dayrun&lt;=2,Dayrun&gt;=11),IF(OffPeakEx=TRUE(),MAX(0,(xSPRDOPT(Q161,($E161-'Pricing Inputs'!$X196*$D161),$CV161,0,($CQ161+IF(Smile=TRUE(),VLOOKUP(MAX(-5,$H161-Q161),Volsmile,2),0)),$CT161,$CU161,($A161-DateToday)+15,ABS(Option-2),0)-Z161)),0),0))</f>
        <v> </v>
      </c>
      <c r="AJ161" s="294" t="str">
        <f aca="false">IF($A161="N/A"," ",IF(Dayrun&gt;=3,IF(Option=1,$I161-$H161,IF(Option=2,$H161-$I161)),0))</f>
        <v> </v>
      </c>
      <c r="AK161" s="295" t="str">
        <f aca="false">IF($A161="N/A"," ",IF(Dayrun&gt;=6,IF(Option=1,$J161-H161,IF(Option=2,H161-$J161)),0))</f>
        <v> </v>
      </c>
      <c r="AL161" s="295" t="str">
        <f aca="false">IF($A161="N/A"," ",IF(OR(Dayrun&lt;=2,Dayrun&gt;=9),IF(Option=1,$K161-$H161,IF(Option=2,$H161-$K161)),0))</f>
        <v> </v>
      </c>
      <c r="AM161" s="295" t="str">
        <f aca="false">IF($A161="N/A"," ",IF(OR(Dayrun=1,Dayrun=4,Dayrun=5,Dayrun=7,Dayrun=8,Dayrun=10,Dayrun=11),IF(Option=1,$L161-H161,IF(Option=2,H161-$L161)),0))</f>
        <v> </v>
      </c>
      <c r="AN161" s="295" t="str">
        <f aca="false">IF($A161="N/A"," ",IF(OR(Dayrun=1,Dayrun=7,Dayrun=8,Dayrun=10,Dayrun=11),IF(Option=1,$M161-H161,IF(Option=2,H161-$M161)),0))</f>
        <v> </v>
      </c>
      <c r="AO161" s="295" t="str">
        <f aca="false">IF($A161="N/A"," ",IF(OR(Dayrun&lt;=2,Dayrun&gt;=9),IF(Option=1,$N161-$H161,IF(Option=2,$H161-$N161)),0))</f>
        <v> </v>
      </c>
      <c r="AP161" s="295" t="str">
        <f aca="false">IF($A161="N/A"," ",IF(OR(Dayrun=1,Dayrun=5,Dayrun=8,Dayrun=11),IF(Option=1,$O161-H161,IF(Option=2,H161-$O161)),0))</f>
        <v> </v>
      </c>
      <c r="AQ161" s="295" t="str">
        <f aca="false">IF($A161="N/A"," ",IF(OR(Dayrun=1,Dayrun=8,Dayrun=11),IF(Option=1,$P161-H161,IF(Option=2,H161-$P161)),0))</f>
        <v> </v>
      </c>
      <c r="AR161" s="296" t="str">
        <f aca="false">IF($A161="N/A"," ",IF(OR(Dayrun&lt;=2,Dayrun&gt;=9),IF(Option=1,$Q161-H161,IF(Option=2,H161-$Q161)),0))</f>
        <v> </v>
      </c>
      <c r="AS161" s="297" t="str">
        <f aca="false">IF($A161="N/A"," ",IF(VLOOKUP(MONTH($A161),ManualTable,2)=1,IF(Dayrun&gt;=3,$DE161*8*$CY161,0),0))</f>
        <v> </v>
      </c>
      <c r="AT161" s="297" t="str">
        <f aca="false">IF($A161="N/A"," ",IF(VLOOKUP(MONTH($A161),ManualTable,3)=1,IF(Dayrun&gt;=6,$DE161*8*$CY161,0),0))</f>
        <v> </v>
      </c>
      <c r="AU161" s="297" t="str">
        <f aca="false">IF($A161="N/A"," ",IF(VLOOKUP(MONTH($A161),ManualTable,4)=1,IF(OR(Dayrun&lt;=2,Dayrun&gt;=9),$DE161*8*$CY161,0),0))</f>
        <v> </v>
      </c>
      <c r="AV161" s="297" t="str">
        <f aca="false">IF($A161="N/A"," ",IF(VLOOKUP(MONTH($A161),ManualTable,5)=1,IF(OR(Dayrun=1,Dayrun=4,Dayrun=5,Dayrun=7,Dayrun=8,Dayrun=10,Dayrun=11),$DF161*8*$CY161,0),0))</f>
        <v> </v>
      </c>
      <c r="AW161" s="297" t="str">
        <f aca="false">IF($A161="N/A"," ",IF(VLOOKUP(MONTH($A161),ManualTable,6)=1,IF(OR(Dayrun=1,Dayrun=7,Dayrun=8,Dayrun=10,Dayrun=11),$DF161*8*$CY161,0),0))</f>
        <v> </v>
      </c>
      <c r="AX161" s="297" t="str">
        <f aca="false">IF($A161="N/A"," ",IF(VLOOKUP(MONTH($A161),ManualTable,7)=1,IF(OR(Dayrun&lt;=2,Dayrun&gt;=9),$DF161*8*$CY161,0),0))</f>
        <v> </v>
      </c>
      <c r="AY161" s="297" t="str">
        <f aca="false">IF($A161="N/A"," ",IF(VLOOKUP(MONTH($A161),ManualTable,8)=1,IF(OR(Dayrun=1,Dayrun=5,Dayrun=8,Dayrun=11),$DG161*8*$CY161,0),0))</f>
        <v> </v>
      </c>
      <c r="AZ161" s="297" t="str">
        <f aca="false">IF($A161="N/A"," ",IF(VLOOKUP(MONTH($A161),ManualTable,9)=1,IF(OR(Dayrun=1,Dayrun=8,Dayrun=11),$DG161*8*$CY161,0),0))</f>
        <v> </v>
      </c>
      <c r="BA161" s="298" t="str">
        <f aca="false">IF($A161="N/A"," ",IF(VLOOKUP(MONTH($A161),ManualTable,10)=1,IF(OR(Dayrun&lt;=2,Dayrun&gt;=9),$DG161*8*$CY161,0),0))</f>
        <v> </v>
      </c>
      <c r="BB161" s="299" t="str">
        <f aca="false">IF($A161="N/A"," ",IF(Dayrun&gt;=3,(MAX(0,(xSPRDOPT(I161,($E161-'Pricing Inputs'!$X196*$D161),$CV161,0,($CN161+IF(Smile=TRUE(),VLOOKUP(MAX(-5,$H161-I161),Volsmile,2),0)),$CT161,$CU161,($A161-DateToday)+15,ABS(Option-2),1)*DE161*8))),0))</f>
        <v> </v>
      </c>
      <c r="BC161" s="300" t="str">
        <f aca="false">IF($A161="N/A"," ",IF(Dayrun&gt;=6,MAX(0,(xSPRDOPT(J161,($E161-'Pricing Inputs'!$X196*$D161),$CV161,0,($CN161+IF(Smile=TRUE(),VLOOKUP(MAX(-5,$H161-J161),Volsmile,2),0)),$CT161,$CU161,($A161-DateToday)+15,ABS(Option-2),1)*DE161*8)),0))</f>
        <v> </v>
      </c>
      <c r="BD161" s="300" t="str">
        <f aca="false">IF($A161="N/A"," ",IF(OR(Dayrun&lt;=2,Dayrun&gt;=9),IF(OffPeakEx=TRUE(),MAX(0,(xSPRDOPT(K161,($E161-'Pricing Inputs'!$X196*$D161),$CV161,0,($CQ161+IF(Smile=TRUE(),VLOOKUP(MAX(-5,$H161-K161),Volsmile,2),0)),$CT161,$CU161,($A161-DateToday)+15,ABS(Option-2),1)*DE161*8)),0),0))</f>
        <v> </v>
      </c>
      <c r="BE161" s="300" t="str">
        <f aca="false">IF($A161="N/A"," ",IF(OR(Dayrun=1,Dayrun=4,Dayrun=5,Dayrun=7,Dayrun=8,Dayrun=10,Dayrun=11),MAX(0,(xSPRDOPT(L161,($E161-'Pricing Inputs'!$X196*$D161),$CV161,0,($CQ161+IF(Smile=TRUE(),VLOOKUP(MAX(-5,$H161-L161),Volsmile,2),0)),$CT161,$CU161,($A161-DateToday)+15,ABS(Option-2),1)*DF161*8)),0))</f>
        <v> </v>
      </c>
      <c r="BF161" s="300" t="str">
        <f aca="false">IF($A161="N/A"," ",IF(OR(Dayrun=1,Dayrun=7,Dayrun=8,Dayrun=10,Dayrun=11),MAX(0,(xSPRDOPT(M161,($E161-'Pricing Inputs'!$X196*$D161),$CV161,0,($CQ161+IF(Smile=TRUE(),VLOOKUP(MAX(-5,$H161-M161),Volsmile,2),0)),$CT161,$CU161,($A161-DateToday)+15,ABS(Option-2),1)*DF161*8)),0))</f>
        <v> </v>
      </c>
      <c r="BG161" s="300" t="str">
        <f aca="false">IF($A161="N/A"," ",IF(OR(Dayrun&lt;=2,Dayrun&gt;=10),IF(OffPeakEx=TRUE(),MAX(0,(xSPRDOPT(N161,($E161-'Pricing Inputs'!$X196*$D161),$CV161,0,($CQ161+IF(Smile=TRUE(),VLOOKUP(MAX(-5,$H161-N161),Volsmile,2),0)),$CT161,$CU161,($A161-DateToday)+15,ABS(Option-2),1)*DF161*8)),0),0))</f>
        <v> </v>
      </c>
      <c r="BH161" s="300" t="str">
        <f aca="false">IF($A161="N/A"," ",IF(OR(Dayrun=1,Dayrun=5,Dayrun=8,Dayrun=11),MAX(0,(xSPRDOPT(O161,($E161-'Pricing Inputs'!$X196*$D161),$CV161,0,($CQ161+IF(Smile=TRUE(),VLOOKUP(MAX(-5,$H161-O161),Volsmile,2),0)),$CT161,$CU161,($A161-DateToday)+15,ABS(Option-2),1)*DG161*8)),0))</f>
        <v> </v>
      </c>
      <c r="BI161" s="300" t="str">
        <f aca="false">IF($A161="N/A"," ",IF(OR(Dayrun=1,Dayrun=8,Dayrun=11),MAX(0,(xSPRDOPT(P161,($E161-'Pricing Inputs'!$X196*$D161),$CV161,0,($CQ161+IF(Smile=TRUE(),VLOOKUP(MAX(-5,$H161-P161),Volsmile,2),0)),$CT161,$CU161,($A161-DateToday)+15,ABS(Option-2),1)*DG161*8)),0))</f>
        <v> </v>
      </c>
      <c r="BJ161" s="301" t="str">
        <f aca="false">IF($A161="N/A"," ",IF(OR(Dayrun&lt;=2,Dayrun&gt;=11),IF(OffPeakEx=TRUE(),MAX(0,(xSPRDOPT(Q161,($E161-'Pricing Inputs'!$X196*$D161),$CV161,0,($CQ161+IF(Smile=TRUE(),VLOOKUP(MAX(-5,$H161-Q161),Volsmile,2),0)),$CT161,$CU161,($A161-DateToday)+15,ABS(Option-2),1)*DG161*8)),0),0))</f>
        <v> </v>
      </c>
      <c r="BK161" s="302" t="str">
        <f aca="false">IF($A161="N/A"," ",R161*$AS161)</f>
        <v> </v>
      </c>
      <c r="BL161" s="303" t="str">
        <f aca="false">IF($A161="N/A"," ",S161*$AT161)</f>
        <v> </v>
      </c>
      <c r="BM161" s="303" t="str">
        <f aca="false">IF($A161="N/A"," ",T161*$AU161)</f>
        <v> </v>
      </c>
      <c r="BN161" s="303" t="str">
        <f aca="false">IF($A161="N/A"," ",U161*$AV161)</f>
        <v> </v>
      </c>
      <c r="BO161" s="303" t="str">
        <f aca="false">IF($A161="N/A"," ",V161*$AW161)</f>
        <v> </v>
      </c>
      <c r="BP161" s="303" t="str">
        <f aca="false">IF($A161="N/A"," ",W161*$AX161)</f>
        <v> </v>
      </c>
      <c r="BQ161" s="303" t="str">
        <f aca="false">IF($A161="N/A"," ",X161*$AY161)</f>
        <v> </v>
      </c>
      <c r="BR161" s="303" t="str">
        <f aca="false">IF($A161="N/A"," ",Y161*$AZ161)</f>
        <v> </v>
      </c>
      <c r="BS161" s="304" t="str">
        <f aca="false">IF($A161="N/A"," ",Z161*$BA161)</f>
        <v> </v>
      </c>
      <c r="BT161" s="305" t="str">
        <f aca="false">IF($A161="N/A"," ",AA161*$AS161)</f>
        <v> </v>
      </c>
      <c r="BU161" s="306" t="str">
        <f aca="false">IF($A161="N/A"," ",AB161*$AT161)</f>
        <v> </v>
      </c>
      <c r="BV161" s="306" t="str">
        <f aca="false">IF($A161="N/A"," ",AC161*$AU161)</f>
        <v> </v>
      </c>
      <c r="BW161" s="306" t="str">
        <f aca="false">IF($A161="N/A"," ",AD161*$AV161)</f>
        <v> </v>
      </c>
      <c r="BX161" s="306" t="str">
        <f aca="false">IF($A161="N/A"," ",AE161*$AW161)</f>
        <v> </v>
      </c>
      <c r="BY161" s="306" t="str">
        <f aca="false">IF($A161="N/A"," ",AF161*$AX161)</f>
        <v> </v>
      </c>
      <c r="BZ161" s="306" t="str">
        <f aca="false">IF($A161="N/A"," ",AG161*$AY161)</f>
        <v> </v>
      </c>
      <c r="CA161" s="306" t="str">
        <f aca="false">IF($A161="N/A"," ",AH161*$AZ161)</f>
        <v> </v>
      </c>
      <c r="CB161" s="307" t="str">
        <f aca="false">IF($A161="N/A"," ",AI161*$BA161)</f>
        <v> </v>
      </c>
      <c r="CC161" s="308" t="str">
        <f aca="false">IF($A161="N/A"," ",AJ161*$AS161)</f>
        <v> </v>
      </c>
      <c r="CD161" s="309" t="str">
        <f aca="false">IF($A161="N/A"," ",AK161*$AT161)</f>
        <v> </v>
      </c>
      <c r="CE161" s="309" t="str">
        <f aca="false">IF($A161="N/A"," ",AL161*$AU161)</f>
        <v> </v>
      </c>
      <c r="CF161" s="309" t="str">
        <f aca="false">IF($A161="N/A"," ",AM161*$AV161)</f>
        <v> </v>
      </c>
      <c r="CG161" s="309" t="str">
        <f aca="false">IF($A161="N/A"," ",AN161*$AW161)</f>
        <v> </v>
      </c>
      <c r="CH161" s="309" t="str">
        <f aca="false">IF($A161="N/A"," ",AO161*$AX161)</f>
        <v> </v>
      </c>
      <c r="CI161" s="309" t="str">
        <f aca="false">IF($A161="N/A"," ",AP161*$AY161)</f>
        <v> </v>
      </c>
      <c r="CJ161" s="309" t="str">
        <f aca="false">IF($A161="N/A"," ",AQ161*$AZ161)</f>
        <v> </v>
      </c>
      <c r="CK161" s="310" t="str">
        <f aca="false">IF($A161="N/A"," ",AR161*$BA161)</f>
        <v> </v>
      </c>
      <c r="CL161" s="311" t="str">
        <f aca="false">IF(A161="N/A"," ",(VLOOKUP(A161,PowerVolTable,(IF(VolBMO=2,7,IF(VolBMO=1,6,8))),FALSE())))</f>
        <v> </v>
      </c>
      <c r="CM161" s="312" t="str">
        <f aca="false">IF(A161="N/A"," ",(VLOOKUP(A161,IntraPowerVol,(IF(VolBMO=2,3,IF(VolBMO=1,2,4))),FALSE())*VLOOKUP(MONTH($A161),Volscale,2)))</f>
        <v> </v>
      </c>
      <c r="CN161" s="312" t="str">
        <f aca="false">IF($A161="N/A"," ",IF(VolType=1,CM161,CL161))</f>
        <v> </v>
      </c>
      <c r="CO161" s="312" t="str">
        <f aca="false">IF($A161="N/A"," ",(VLOOKUP($A161,OffPeakVol,(IF(VolBMO=2,7,IF(VolBMO=1,6,8))),FALSE())))</f>
        <v> </v>
      </c>
      <c r="CP161" s="312" t="str">
        <f aca="false">IF($A161="N/A"," ",(VLOOKUP($A161,OffPeakVol,(IF(VolBMO=2,3,IF(VolBMO=1,2,4))),FALSE())*VLOOKUP(MONTH($A161),Volscale,2)))</f>
        <v> </v>
      </c>
      <c r="CQ161" s="312" t="str">
        <f aca="false">IF($A161="N/A"," ",IF(VolType=1,CP161,CO161))</f>
        <v> </v>
      </c>
      <c r="CR161" s="312" t="str">
        <f aca="false">IF($A161="N/A"," ",(VLOOKUP($A161,GasVolTable,(IF(VolBMO=2,6,IF(VolBMO=1,7,5))),FALSE())))</f>
        <v> </v>
      </c>
      <c r="CS161" s="312" t="str">
        <f aca="false">IF($A161="N/A"," ",(VLOOKUP($A161,OmicronVol,(IF(VolBMO=2,3,IF(VolBMO=1,4,2))),FALSE())))</f>
        <v> </v>
      </c>
      <c r="CT161" s="312" t="str">
        <f aca="false">IF($A161="N/A"," ",(IF(DateToday&gt;$A161,$CS161,IF(VolType=1,((($CR161^2)*((($A161-1)-DateToday)/((EOMONTH($A161,0)+1)-DateToday-15)))+((($CS161)^2)*((15)/((EOMONTH($A161,0)+1)-DateToday-15))))^0.5,CR161))))</f>
        <v> </v>
      </c>
      <c r="CU161" s="312" t="str">
        <f aca="false">IF($A161="N/A"," ",IF('Pricing Inputs'!$AR$23=TRUE(),Inputs!$S$22,VLOOKUP($A161,CorrelationTable,2,FALSE())))</f>
        <v> </v>
      </c>
      <c r="CV161" s="313" t="str">
        <f aca="false">IF($A161="N/A"," ",F161+G161+(D161*('Pricing Inputs'!X196)))</f>
        <v> </v>
      </c>
      <c r="CW161" s="314" t="str">
        <f aca="false">IF($A161="N/A"," ",IF(PV=1,0,'Pricing Inputs'!Y196))</f>
        <v> </v>
      </c>
      <c r="CX161" s="315" t="str">
        <f aca="false">IF($A161="N/A"," ",(1+CW161/2)^(-2*((EOMONTH(A161,0)+20)-DateToday)/365.25))</f>
        <v> </v>
      </c>
      <c r="CY161" s="316" t="str">
        <f aca="false">IF($A161="N/A"," ",(IF(MONTH(A161)&gt;=4,IF(MONTH(A161)&lt;=10,Inputs!$S$26,Inputs!$S$27),Inputs!$S$27))*$CX161)</f>
        <v> </v>
      </c>
      <c r="CZ161" s="317" t="str">
        <f aca="false">IF($A161="N/A"," ",BK161+BL161+BN161+BO161+BQ161+BR161)</f>
        <v> </v>
      </c>
      <c r="DA161" s="318" t="str">
        <f aca="false">IF($A161="N/A"," ",BM161+BP161+BS161)</f>
        <v> </v>
      </c>
      <c r="DB161" s="319" t="str">
        <f aca="false">IF($A161="N/A"," ",BT161+BU161+BW161+BX161+BZ161+CA161)</f>
        <v> </v>
      </c>
      <c r="DC161" s="319" t="str">
        <f aca="false">IF($A161="N/A"," ",BV161+BY161+CB161)</f>
        <v> </v>
      </c>
      <c r="DD161" s="320" t="str">
        <f aca="false">IF($A161="N/A"," ",SUM(CC161:CK161))</f>
        <v> </v>
      </c>
      <c r="DE161" s="321" t="str">
        <f aca="false">IF($A161="N/A"," ",VLOOKUP($A161,NumberofDaysTable,2)*Availability)</f>
        <v> </v>
      </c>
      <c r="DF161" s="94" t="str">
        <f aca="false">IF($A161="N/A"," ",VLOOKUP($A161,NumberofDaysTable,3)*Availability)</f>
        <v> </v>
      </c>
      <c r="DG161" s="322" t="str">
        <f aca="false">IF($A161="N/A"," ",VLOOKUP($A161,NumberofDaysTable,4)*Availability)</f>
        <v> </v>
      </c>
      <c r="DH161" s="323" t="str">
        <f aca="false">IF($A161="N/A"," ",IF(Option=1,$D161*Inputs!$S$15*SUM(AS161:BA161),0))</f>
        <v> </v>
      </c>
      <c r="DI161" s="324" t="str">
        <f aca="false">IF($A161="N/A"," ",IF(Option=1,$D161*Inputs!$S$16*SUM(AS161:BA161),0))</f>
        <v> </v>
      </c>
      <c r="DJ161" s="325" t="str">
        <f aca="false">IF($A161="N/A"," ",SUM(AS161:AT161))</f>
        <v> </v>
      </c>
      <c r="DK161" s="325" t="str">
        <f aca="false">IF($A161="N/A"," ",SUM(AU161:BA161))</f>
        <v> </v>
      </c>
      <c r="DL161" s="325" t="str">
        <f aca="false">IF($A161="N/A"," ",SUM(BB161:BC161))</f>
        <v> </v>
      </c>
      <c r="DM161" s="325" t="str">
        <f aca="false">IF($A161="N/A"," ",SUM(BD161:BJ161))</f>
        <v> </v>
      </c>
    </row>
    <row r="162" customFormat="false" ht="12.75" hidden="false" customHeight="false" outlineLevel="0" collapsed="false">
      <c r="A162" s="282" t="str">
        <f aca="false">IF(A161="N/A","N/A",IF(EDATE(A161,1)&gt;Inputs!$S$5,"N/A",EDATE(A161,1)))</f>
        <v>N/A</v>
      </c>
      <c r="B162" s="283" t="str">
        <f aca="false">IF(A162="N/A"," ",YEAR(A162))</f>
        <v> </v>
      </c>
      <c r="C162" s="284" t="str">
        <f aca="false">IF(A162="N/A"," ",VLOOKUP(A162,ScaledPrice,14))</f>
        <v> </v>
      </c>
      <c r="D162" s="285" t="str">
        <f aca="false">IF(A162="N/A"," ",(VLOOKUP(MONTH($A162),Hrtable,2))/1000)</f>
        <v> </v>
      </c>
      <c r="E162" s="286" t="str">
        <f aca="false">IF($A162="N/A"," ",(C162)*D162)</f>
        <v> </v>
      </c>
      <c r="F162" s="287" t="str">
        <f aca="false">IF(A162="N/A"," ",VOM*(1+VOMesc)^(YEAR(A162)-YEAR(Today)))</f>
        <v> </v>
      </c>
      <c r="G162" s="287" t="str">
        <f aca="false">IF(A162="N/A"," ",Perstart/VLOOKUP(Dayrun,'Pricing Inputs'!$AQ$4:$AS$14,3)/(CY162/CX162))</f>
        <v> </v>
      </c>
      <c r="H162" s="288" t="str">
        <f aca="false">IF(A162="N/A"," ",SUM(E162:G162))</f>
        <v> </v>
      </c>
      <c r="I162" s="289" t="str">
        <f aca="false">VLOOKUP($A162,ScaledPrice,6)</f>
        <v> </v>
      </c>
      <c r="J162" s="290" t="str">
        <f aca="false">VLOOKUP($A162,ScaledPrice,10)</f>
        <v> </v>
      </c>
      <c r="K162" s="290" t="str">
        <f aca="false">VLOOKUP($A162,ScaledPrice,13)</f>
        <v> </v>
      </c>
      <c r="L162" s="290" t="str">
        <f aca="false">VLOOKUP($A162,ScaledPrice,7)</f>
        <v> </v>
      </c>
      <c r="M162" s="290" t="str">
        <f aca="false">VLOOKUP($A162,ScaledPrice,11)</f>
        <v> </v>
      </c>
      <c r="N162" s="290" t="str">
        <f aca="false">VLOOKUP($A162,ScaledPrice,13)</f>
        <v> </v>
      </c>
      <c r="O162" s="290" t="str">
        <f aca="false">VLOOKUP($A162,ScaledPrice,8)</f>
        <v> </v>
      </c>
      <c r="P162" s="290" t="str">
        <f aca="false">VLOOKUP($A162,ScaledPrice,12)</f>
        <v> </v>
      </c>
      <c r="Q162" s="291" t="str">
        <f aca="false">VLOOKUP($A162,ScaledPrice,13)</f>
        <v> </v>
      </c>
      <c r="R162" s="292" t="str">
        <f aca="false">IF($A162="N/A"," ",IF(Dayrun&gt;=3,IF(Option=1,MAX($I162-$H162,0),IF(Option=2,MAX($H162-$I162,0),0)),0))</f>
        <v> </v>
      </c>
      <c r="S162" s="286" t="str">
        <f aca="false">IF($A162="N/A"," ",IF(Dayrun&gt;=6,IF(Option=1,MAX($J162-H162,0),IF(Option=2,MAX(H162-$J162,0),0)),0))</f>
        <v> </v>
      </c>
      <c r="T162" s="286" t="str">
        <f aca="false">IF($A162="N/A"," ",IF(OR(Dayrun&lt;=2,Dayrun&gt;=9),IF(Option=1,MAX($K162-$H162,0),IF(Option=2,MAX($H162-$K162,0),0)),0))</f>
        <v> </v>
      </c>
      <c r="U162" s="286" t="str">
        <f aca="false">IF($A162="N/A"," ",IF(OR(Dayrun=1,Dayrun=4,Dayrun=5,Dayrun=7,Dayrun=8,Dayrun=10,Dayrun=11),IF(Option=1,MAX($L162-H162,0),IF(Option=2,MAX(H162-$L162,0),0)),0))</f>
        <v> </v>
      </c>
      <c r="V162" s="286" t="str">
        <f aca="false">IF($A162="N/A"," ",IF(OR(Dayrun=1,Dayrun=7,Dayrun=8,Dayrun=10,Dayrun=11),IF(Option=1,MAX($M162-H162,0),IF(Option=2,MAX(H162-$M162,0),0)),0))</f>
        <v> </v>
      </c>
      <c r="W162" s="286" t="str">
        <f aca="false">IF($A162="N/A"," ",IF(OR(Dayrun&lt;=2,Dayrun&gt;=10),IF(Option=1,MAX($N162-$H162,0),IF(Option=2,MAX($H162-$N162,0),0)),0))</f>
        <v> </v>
      </c>
      <c r="X162" s="286" t="str">
        <f aca="false">IF($A162="N/A"," ",IF(OR(Dayrun=1,Dayrun=5,Dayrun=8,Dayrun=11),IF(Option=1,MAX($O162-H162,0),IF(Option=2,MAX(H162-$O162,0),0)),0))</f>
        <v> </v>
      </c>
      <c r="Y162" s="286" t="str">
        <f aca="false">IF($A162="N/A"," ",IF(OR(Dayrun=1,Dayrun=8,Dayrun=11),IF(Option=1,MAX($P162-H162,0),IF(Option=2,MAX(H162-$P162,0),0)),0))</f>
        <v> </v>
      </c>
      <c r="Z162" s="293" t="str">
        <f aca="false">IF($A162="N/A"," ",IF(OR(Dayrun&lt;=2,Dayrun&gt;=11),IF(Option=1,MAX($Q162-$H162,0),IF(Option=2,MAX($H162-$Q162,0),0)),0))</f>
        <v> </v>
      </c>
      <c r="AA162" s="289" t="str">
        <f aca="false">IF($A162="N/A"," ",IF(Dayrun&gt;=3,(MAX(0,(xSPRDOPT(I162,($E162-'Pricing Inputs'!$X197*$D162),$CV162,0,($CN162+IF(Smile=TRUE(),VLOOKUP(MAX(-5,$H162-I162),Volsmile,2),0)),$CT162,$CU162,($A162-DateToday)+15,ABS(Option-2),0)-R162))),0))</f>
        <v> </v>
      </c>
      <c r="AB162" s="290" t="str">
        <f aca="false">IF($A162="N/A"," ",IF(Dayrun&gt;=6,MAX(0,(xSPRDOPT(J162,($E162-'Pricing Inputs'!$X197*$D162),$CV162,0,($CN162+IF(Smile=TRUE(),VLOOKUP(MAX(-5,$H162-J162),Volsmile,2),0)),$CT162,$CU162,($A162-DateToday)+15,ABS(Option-2),0)-S162)),0))</f>
        <v> </v>
      </c>
      <c r="AC162" s="290" t="str">
        <f aca="false">IF($A162="N/A"," ",IF(OR(Dayrun&lt;=2,Dayrun&gt;=9),IF(OffPeakEx=TRUE(),MAX(0,(xSPRDOPT(K162,($E162-'Pricing Inputs'!$X197*$D162),$CV162,0,($CQ162+IF(Smile=TRUE(),VLOOKUP(MAX(-5,$H162-K162),Volsmile,2),0)),$CT162,$CU162,($A162-DateToday)+15,ABS(Option-2),0)-T162)),0),0))</f>
        <v> </v>
      </c>
      <c r="AD162" s="290" t="str">
        <f aca="false">IF($A162="N/A"," ",IF(OR(Dayrun=1,Dayrun=4,Dayrun=5,Dayrun=7,Dayrun=8,Dayrun=10,Dayrun=11),MAX(0,(xSPRDOPT(L162,($E162-'Pricing Inputs'!$X197*$D162),$CV162,0,($CQ162+IF(Smile=TRUE(),VLOOKUP(MAX(-5,$H162-L162),Volsmile,2),0)),$CT162,$CU162,($A162-DateToday)+15,ABS(Option-2),0)-U162)),0))</f>
        <v> </v>
      </c>
      <c r="AE162" s="290" t="str">
        <f aca="false">IF($A162="N/A"," ",IF(OR(Dayrun=1,Dayrun=7,Dayrun=8,Dayrun=10,Dayrun=11),MAX(0,(xSPRDOPT(M162,($E162-'Pricing Inputs'!$X197*$D162),$CV162,0,($CQ162+IF(Smile=TRUE(),VLOOKUP(MAX(-5,$H162-M162),Volsmile,2),0)),$CT162,$CU162,($A162-DateToday)+15,ABS(Option-2),0)-V162)),0))</f>
        <v> </v>
      </c>
      <c r="AF162" s="290" t="str">
        <f aca="false">IF($A162="N/A"," ",IF(OR(Dayrun&lt;=2,Dayrun&gt;=10),IF(OffPeakEx=TRUE(),MAX(0,(xSPRDOPT(N162,($E162-'Pricing Inputs'!$X197*$D162),$CV162,0,($CQ162+IF(Smile=TRUE(),VLOOKUP(MAX(-5,$H162-N162),Volsmile,2),0)),$CT162,$CU162,($A162-DateToday)+15,ABS(Option-2),0)-W162)),0),0))</f>
        <v> </v>
      </c>
      <c r="AG162" s="290" t="str">
        <f aca="false">IF($A162="N/A"," ",IF(OR(Dayrun=1,Dayrun=5,Dayrun=8,Dayrun=11),MAX(0,(xSPRDOPT(O162,($E162-'Pricing Inputs'!$X197*$D162),$CV162,0,($CQ162+IF(Smile=TRUE(),VLOOKUP(MAX(-5,$H162-O162),Volsmile,2),0)),$CT162,$CU162,($A162-DateToday)+15,ABS(Option-2),0)-X162)),0))</f>
        <v> </v>
      </c>
      <c r="AH162" s="290" t="str">
        <f aca="false">IF($A162="N/A"," ",IF(OR(Dayrun=1,Dayrun=8,Dayrun=11),MAX(0,(xSPRDOPT(P162,($E162-'Pricing Inputs'!$X197*$D162),$CV162,0,($CQ162+IF(Smile=TRUE(),VLOOKUP(MAX(-5,$H162-P162),Volsmile,2),0)),$CT162,$CU162,($A162-DateToday)+15,ABS(Option-2),0)-Y162)),0))</f>
        <v> </v>
      </c>
      <c r="AI162" s="290" t="str">
        <f aca="false">IF($A162="N/A"," ",IF(OR(Dayrun&lt;=2,Dayrun&gt;=11),IF(OffPeakEx=TRUE(),MAX(0,(xSPRDOPT(Q162,($E162-'Pricing Inputs'!$X197*$D162),$CV162,0,($CQ162+IF(Smile=TRUE(),VLOOKUP(MAX(-5,$H162-Q162),Volsmile,2),0)),$CT162,$CU162,($A162-DateToday)+15,ABS(Option-2),0)-Z162)),0),0))</f>
        <v> </v>
      </c>
      <c r="AJ162" s="294" t="str">
        <f aca="false">IF($A162="N/A"," ",IF(Dayrun&gt;=3,IF(Option=1,$I162-$H162,IF(Option=2,$H162-$I162)),0))</f>
        <v> </v>
      </c>
      <c r="AK162" s="295" t="str">
        <f aca="false">IF($A162="N/A"," ",IF(Dayrun&gt;=6,IF(Option=1,$J162-H162,IF(Option=2,H162-$J162)),0))</f>
        <v> </v>
      </c>
      <c r="AL162" s="295" t="str">
        <f aca="false">IF($A162="N/A"," ",IF(OR(Dayrun&lt;=2,Dayrun&gt;=9),IF(Option=1,$K162-$H162,IF(Option=2,$H162-$K162)),0))</f>
        <v> </v>
      </c>
      <c r="AM162" s="295" t="str">
        <f aca="false">IF($A162="N/A"," ",IF(OR(Dayrun=1,Dayrun=4,Dayrun=5,Dayrun=7,Dayrun=8,Dayrun=10,Dayrun=11),IF(Option=1,$L162-H162,IF(Option=2,H162-$L162)),0))</f>
        <v> </v>
      </c>
      <c r="AN162" s="295" t="str">
        <f aca="false">IF($A162="N/A"," ",IF(OR(Dayrun=1,Dayrun=7,Dayrun=8,Dayrun=10,Dayrun=11),IF(Option=1,$M162-H162,IF(Option=2,H162-$M162)),0))</f>
        <v> </v>
      </c>
      <c r="AO162" s="295" t="str">
        <f aca="false">IF($A162="N/A"," ",IF(OR(Dayrun&lt;=2,Dayrun&gt;=9),IF(Option=1,$N162-$H162,IF(Option=2,$H162-$N162)),0))</f>
        <v> </v>
      </c>
      <c r="AP162" s="295" t="str">
        <f aca="false">IF($A162="N/A"," ",IF(OR(Dayrun=1,Dayrun=5,Dayrun=8,Dayrun=11),IF(Option=1,$O162-H162,IF(Option=2,H162-$O162)),0))</f>
        <v> </v>
      </c>
      <c r="AQ162" s="295" t="str">
        <f aca="false">IF($A162="N/A"," ",IF(OR(Dayrun=1,Dayrun=8,Dayrun=11),IF(Option=1,$P162-H162,IF(Option=2,H162-$P162)),0))</f>
        <v> </v>
      </c>
      <c r="AR162" s="296" t="str">
        <f aca="false">IF($A162="N/A"," ",IF(OR(Dayrun&lt;=2,Dayrun&gt;=9),IF(Option=1,$Q162-H162,IF(Option=2,H162-$Q162)),0))</f>
        <v> </v>
      </c>
      <c r="AS162" s="297" t="str">
        <f aca="false">IF($A162="N/A"," ",IF(VLOOKUP(MONTH($A162),ManualTable,2)=1,IF(Dayrun&gt;=3,$DE162*8*$CY162,0),0))</f>
        <v> </v>
      </c>
      <c r="AT162" s="297" t="str">
        <f aca="false">IF($A162="N/A"," ",IF(VLOOKUP(MONTH($A162),ManualTable,3)=1,IF(Dayrun&gt;=6,$DE162*8*$CY162,0),0))</f>
        <v> </v>
      </c>
      <c r="AU162" s="297" t="str">
        <f aca="false">IF($A162="N/A"," ",IF(VLOOKUP(MONTH($A162),ManualTable,4)=1,IF(OR(Dayrun&lt;=2,Dayrun&gt;=9),$DE162*8*$CY162,0),0))</f>
        <v> </v>
      </c>
      <c r="AV162" s="297" t="str">
        <f aca="false">IF($A162="N/A"," ",IF(VLOOKUP(MONTH($A162),ManualTable,5)=1,IF(OR(Dayrun=1,Dayrun=4,Dayrun=5,Dayrun=7,Dayrun=8,Dayrun=10,Dayrun=11),$DF162*8*$CY162,0),0))</f>
        <v> </v>
      </c>
      <c r="AW162" s="297" t="str">
        <f aca="false">IF($A162="N/A"," ",IF(VLOOKUP(MONTH($A162),ManualTable,6)=1,IF(OR(Dayrun=1,Dayrun=7,Dayrun=8,Dayrun=10,Dayrun=11),$DF162*8*$CY162,0),0))</f>
        <v> </v>
      </c>
      <c r="AX162" s="297" t="str">
        <f aca="false">IF($A162="N/A"," ",IF(VLOOKUP(MONTH($A162),ManualTable,7)=1,IF(OR(Dayrun&lt;=2,Dayrun&gt;=9),$DF162*8*$CY162,0),0))</f>
        <v> </v>
      </c>
      <c r="AY162" s="297" t="str">
        <f aca="false">IF($A162="N/A"," ",IF(VLOOKUP(MONTH($A162),ManualTable,8)=1,IF(OR(Dayrun=1,Dayrun=5,Dayrun=8,Dayrun=11),$DG162*8*$CY162,0),0))</f>
        <v> </v>
      </c>
      <c r="AZ162" s="297" t="str">
        <f aca="false">IF($A162="N/A"," ",IF(VLOOKUP(MONTH($A162),ManualTable,9)=1,IF(OR(Dayrun=1,Dayrun=8,Dayrun=11),$DG162*8*$CY162,0),0))</f>
        <v> </v>
      </c>
      <c r="BA162" s="298" t="str">
        <f aca="false">IF($A162="N/A"," ",IF(VLOOKUP(MONTH($A162),ManualTable,10)=1,IF(OR(Dayrun&lt;=2,Dayrun&gt;=9),$DG162*8*$CY162,0),0))</f>
        <v> </v>
      </c>
      <c r="BB162" s="299" t="str">
        <f aca="false">IF($A162="N/A"," ",IF(Dayrun&gt;=3,(MAX(0,(xSPRDOPT(I162,($E162-'Pricing Inputs'!$X197*$D162),$CV162,0,($CN162+IF(Smile=TRUE(),VLOOKUP(MAX(-5,$H162-I162),Volsmile,2),0)),$CT162,$CU162,($A162-DateToday)+15,ABS(Option-2),1)*DE162*8))),0))</f>
        <v> </v>
      </c>
      <c r="BC162" s="300" t="str">
        <f aca="false">IF($A162="N/A"," ",IF(Dayrun&gt;=6,MAX(0,(xSPRDOPT(J162,($E162-'Pricing Inputs'!$X197*$D162),$CV162,0,($CN162+IF(Smile=TRUE(),VLOOKUP(MAX(-5,$H162-J162),Volsmile,2),0)),$CT162,$CU162,($A162-DateToday)+15,ABS(Option-2),1)*DE162*8)),0))</f>
        <v> </v>
      </c>
      <c r="BD162" s="300" t="str">
        <f aca="false">IF($A162="N/A"," ",IF(OR(Dayrun&lt;=2,Dayrun&gt;=9),IF(OffPeakEx=TRUE(),MAX(0,(xSPRDOPT(K162,($E162-'Pricing Inputs'!$X197*$D162),$CV162,0,($CQ162+IF(Smile=TRUE(),VLOOKUP(MAX(-5,$H162-K162),Volsmile,2),0)),$CT162,$CU162,($A162-DateToday)+15,ABS(Option-2),1)*DE162*8)),0),0))</f>
        <v> </v>
      </c>
      <c r="BE162" s="300" t="str">
        <f aca="false">IF($A162="N/A"," ",IF(OR(Dayrun=1,Dayrun=4,Dayrun=5,Dayrun=7,Dayrun=8,Dayrun=10,Dayrun=11),MAX(0,(xSPRDOPT(L162,($E162-'Pricing Inputs'!$X197*$D162),$CV162,0,($CQ162+IF(Smile=TRUE(),VLOOKUP(MAX(-5,$H162-L162),Volsmile,2),0)),$CT162,$CU162,($A162-DateToday)+15,ABS(Option-2),1)*DF162*8)),0))</f>
        <v> </v>
      </c>
      <c r="BF162" s="300" t="str">
        <f aca="false">IF($A162="N/A"," ",IF(OR(Dayrun=1,Dayrun=7,Dayrun=8,Dayrun=10,Dayrun=11),MAX(0,(xSPRDOPT(M162,($E162-'Pricing Inputs'!$X197*$D162),$CV162,0,($CQ162+IF(Smile=TRUE(),VLOOKUP(MAX(-5,$H162-M162),Volsmile,2),0)),$CT162,$CU162,($A162-DateToday)+15,ABS(Option-2),1)*DF162*8)),0))</f>
        <v> </v>
      </c>
      <c r="BG162" s="300" t="str">
        <f aca="false">IF($A162="N/A"," ",IF(OR(Dayrun&lt;=2,Dayrun&gt;=10),IF(OffPeakEx=TRUE(),MAX(0,(xSPRDOPT(N162,($E162-'Pricing Inputs'!$X197*$D162),$CV162,0,($CQ162+IF(Smile=TRUE(),VLOOKUP(MAX(-5,$H162-N162),Volsmile,2),0)),$CT162,$CU162,($A162-DateToday)+15,ABS(Option-2),1)*DF162*8)),0),0))</f>
        <v> </v>
      </c>
      <c r="BH162" s="300" t="str">
        <f aca="false">IF($A162="N/A"," ",IF(OR(Dayrun=1,Dayrun=5,Dayrun=8,Dayrun=11),MAX(0,(xSPRDOPT(O162,($E162-'Pricing Inputs'!$X197*$D162),$CV162,0,($CQ162+IF(Smile=TRUE(),VLOOKUP(MAX(-5,$H162-O162),Volsmile,2),0)),$CT162,$CU162,($A162-DateToday)+15,ABS(Option-2),1)*DG162*8)),0))</f>
        <v> </v>
      </c>
      <c r="BI162" s="300" t="str">
        <f aca="false">IF($A162="N/A"," ",IF(OR(Dayrun=1,Dayrun=8,Dayrun=11),MAX(0,(xSPRDOPT(P162,($E162-'Pricing Inputs'!$X197*$D162),$CV162,0,($CQ162+IF(Smile=TRUE(),VLOOKUP(MAX(-5,$H162-P162),Volsmile,2),0)),$CT162,$CU162,($A162-DateToday)+15,ABS(Option-2),1)*DG162*8)),0))</f>
        <v> </v>
      </c>
      <c r="BJ162" s="301" t="str">
        <f aca="false">IF($A162="N/A"," ",IF(OR(Dayrun&lt;=2,Dayrun&gt;=11),IF(OffPeakEx=TRUE(),MAX(0,(xSPRDOPT(Q162,($E162-'Pricing Inputs'!$X197*$D162),$CV162,0,($CQ162+IF(Smile=TRUE(),VLOOKUP(MAX(-5,$H162-Q162),Volsmile,2),0)),$CT162,$CU162,($A162-DateToday)+15,ABS(Option-2),1)*DG162*8)),0),0))</f>
        <v> </v>
      </c>
      <c r="BK162" s="302" t="str">
        <f aca="false">IF($A162="N/A"," ",R162*$AS162)</f>
        <v> </v>
      </c>
      <c r="BL162" s="303" t="str">
        <f aca="false">IF($A162="N/A"," ",S162*$AT162)</f>
        <v> </v>
      </c>
      <c r="BM162" s="303" t="str">
        <f aca="false">IF($A162="N/A"," ",T162*$AU162)</f>
        <v> </v>
      </c>
      <c r="BN162" s="303" t="str">
        <f aca="false">IF($A162="N/A"," ",U162*$AV162)</f>
        <v> </v>
      </c>
      <c r="BO162" s="303" t="str">
        <f aca="false">IF($A162="N/A"," ",V162*$AW162)</f>
        <v> </v>
      </c>
      <c r="BP162" s="303" t="str">
        <f aca="false">IF($A162="N/A"," ",W162*$AX162)</f>
        <v> </v>
      </c>
      <c r="BQ162" s="303" t="str">
        <f aca="false">IF($A162="N/A"," ",X162*$AY162)</f>
        <v> </v>
      </c>
      <c r="BR162" s="303" t="str">
        <f aca="false">IF($A162="N/A"," ",Y162*$AZ162)</f>
        <v> </v>
      </c>
      <c r="BS162" s="304" t="str">
        <f aca="false">IF($A162="N/A"," ",Z162*$BA162)</f>
        <v> </v>
      </c>
      <c r="BT162" s="305" t="str">
        <f aca="false">IF($A162="N/A"," ",AA162*$AS162)</f>
        <v> </v>
      </c>
      <c r="BU162" s="306" t="str">
        <f aca="false">IF($A162="N/A"," ",AB162*$AT162)</f>
        <v> </v>
      </c>
      <c r="BV162" s="306" t="str">
        <f aca="false">IF($A162="N/A"," ",AC162*$AU162)</f>
        <v> </v>
      </c>
      <c r="BW162" s="306" t="str">
        <f aca="false">IF($A162="N/A"," ",AD162*$AV162)</f>
        <v> </v>
      </c>
      <c r="BX162" s="306" t="str">
        <f aca="false">IF($A162="N/A"," ",AE162*$AW162)</f>
        <v> </v>
      </c>
      <c r="BY162" s="306" t="str">
        <f aca="false">IF($A162="N/A"," ",AF162*$AX162)</f>
        <v> </v>
      </c>
      <c r="BZ162" s="306" t="str">
        <f aca="false">IF($A162="N/A"," ",AG162*$AY162)</f>
        <v> </v>
      </c>
      <c r="CA162" s="306" t="str">
        <f aca="false">IF($A162="N/A"," ",AH162*$AZ162)</f>
        <v> </v>
      </c>
      <c r="CB162" s="307" t="str">
        <f aca="false">IF($A162="N/A"," ",AI162*$BA162)</f>
        <v> </v>
      </c>
      <c r="CC162" s="308" t="str">
        <f aca="false">IF($A162="N/A"," ",AJ162*$AS162)</f>
        <v> </v>
      </c>
      <c r="CD162" s="309" t="str">
        <f aca="false">IF($A162="N/A"," ",AK162*$AT162)</f>
        <v> </v>
      </c>
      <c r="CE162" s="309" t="str">
        <f aca="false">IF($A162="N/A"," ",AL162*$AU162)</f>
        <v> </v>
      </c>
      <c r="CF162" s="309" t="str">
        <f aca="false">IF($A162="N/A"," ",AM162*$AV162)</f>
        <v> </v>
      </c>
      <c r="CG162" s="309" t="str">
        <f aca="false">IF($A162="N/A"," ",AN162*$AW162)</f>
        <v> </v>
      </c>
      <c r="CH162" s="309" t="str">
        <f aca="false">IF($A162="N/A"," ",AO162*$AX162)</f>
        <v> </v>
      </c>
      <c r="CI162" s="309" t="str">
        <f aca="false">IF($A162="N/A"," ",AP162*$AY162)</f>
        <v> </v>
      </c>
      <c r="CJ162" s="309" t="str">
        <f aca="false">IF($A162="N/A"," ",AQ162*$AZ162)</f>
        <v> </v>
      </c>
      <c r="CK162" s="310" t="str">
        <f aca="false">IF($A162="N/A"," ",AR162*$BA162)</f>
        <v> </v>
      </c>
      <c r="CL162" s="311" t="str">
        <f aca="false">IF(A162="N/A"," ",(VLOOKUP(A162,PowerVolTable,(IF(VolBMO=2,7,IF(VolBMO=1,6,8))),FALSE())))</f>
        <v> </v>
      </c>
      <c r="CM162" s="312" t="str">
        <f aca="false">IF(A162="N/A"," ",(VLOOKUP(A162,IntraPowerVol,(IF(VolBMO=2,3,IF(VolBMO=1,2,4))),FALSE())*VLOOKUP(MONTH($A162),Volscale,2)))</f>
        <v> </v>
      </c>
      <c r="CN162" s="312" t="str">
        <f aca="false">IF($A162="N/A"," ",IF(VolType=1,CM162,CL162))</f>
        <v> </v>
      </c>
      <c r="CO162" s="312" t="str">
        <f aca="false">IF($A162="N/A"," ",(VLOOKUP($A162,OffPeakVol,(IF(VolBMO=2,7,IF(VolBMO=1,6,8))),FALSE())))</f>
        <v> </v>
      </c>
      <c r="CP162" s="312" t="str">
        <f aca="false">IF($A162="N/A"," ",(VLOOKUP($A162,OffPeakVol,(IF(VolBMO=2,3,IF(VolBMO=1,2,4))),FALSE())*VLOOKUP(MONTH($A162),Volscale,2)))</f>
        <v> </v>
      </c>
      <c r="CQ162" s="312" t="str">
        <f aca="false">IF($A162="N/A"," ",IF(VolType=1,CP162,CO162))</f>
        <v> </v>
      </c>
      <c r="CR162" s="312" t="str">
        <f aca="false">IF($A162="N/A"," ",(VLOOKUP($A162,GasVolTable,(IF(VolBMO=2,6,IF(VolBMO=1,7,5))),FALSE())))</f>
        <v> </v>
      </c>
      <c r="CS162" s="312" t="str">
        <f aca="false">IF($A162="N/A"," ",(VLOOKUP($A162,OmicronVol,(IF(VolBMO=2,3,IF(VolBMO=1,4,2))),FALSE())))</f>
        <v> </v>
      </c>
      <c r="CT162" s="312" t="str">
        <f aca="false">IF($A162="N/A"," ",(IF(DateToday&gt;$A162,$CS162,IF(VolType=1,((($CR162^2)*((($A162-1)-DateToday)/((EOMONTH($A162,0)+1)-DateToday-15)))+((($CS162)^2)*((15)/((EOMONTH($A162,0)+1)-DateToday-15))))^0.5,CR162))))</f>
        <v> </v>
      </c>
      <c r="CU162" s="312" t="str">
        <f aca="false">IF($A162="N/A"," ",IF('Pricing Inputs'!$AR$23=TRUE(),Inputs!$S$22,VLOOKUP($A162,CorrelationTable,2,FALSE())))</f>
        <v> </v>
      </c>
      <c r="CV162" s="313" t="str">
        <f aca="false">IF($A162="N/A"," ",F162+G162+(D162*('Pricing Inputs'!X197)))</f>
        <v> </v>
      </c>
      <c r="CW162" s="314" t="str">
        <f aca="false">IF($A162="N/A"," ",IF(PV=1,0,'Pricing Inputs'!Y197))</f>
        <v> </v>
      </c>
      <c r="CX162" s="315" t="str">
        <f aca="false">IF($A162="N/A"," ",(1+CW162/2)^(-2*((EOMONTH(A162,0)+20)-DateToday)/365.25))</f>
        <v> </v>
      </c>
      <c r="CY162" s="316" t="str">
        <f aca="false">IF($A162="N/A"," ",(IF(MONTH(A162)&gt;=4,IF(MONTH(A162)&lt;=10,Inputs!$S$26,Inputs!$S$27),Inputs!$S$27))*$CX162)</f>
        <v> </v>
      </c>
      <c r="CZ162" s="317" t="str">
        <f aca="false">IF($A162="N/A"," ",BK162+BL162+BN162+BO162+BQ162+BR162)</f>
        <v> </v>
      </c>
      <c r="DA162" s="318" t="str">
        <f aca="false">IF($A162="N/A"," ",BM162+BP162+BS162)</f>
        <v> </v>
      </c>
      <c r="DB162" s="319" t="str">
        <f aca="false">IF($A162="N/A"," ",BT162+BU162+BW162+BX162+BZ162+CA162)</f>
        <v> </v>
      </c>
      <c r="DC162" s="319" t="str">
        <f aca="false">IF($A162="N/A"," ",BV162+BY162+CB162)</f>
        <v> </v>
      </c>
      <c r="DD162" s="320" t="str">
        <f aca="false">IF($A162="N/A"," ",SUM(CC162:CK162))</f>
        <v> </v>
      </c>
      <c r="DE162" s="321" t="str">
        <f aca="false">IF($A162="N/A"," ",VLOOKUP($A162,NumberofDaysTable,2)*Availability)</f>
        <v> </v>
      </c>
      <c r="DF162" s="94" t="str">
        <f aca="false">IF($A162="N/A"," ",VLOOKUP($A162,NumberofDaysTable,3)*Availability)</f>
        <v> </v>
      </c>
      <c r="DG162" s="322" t="str">
        <f aca="false">IF($A162="N/A"," ",VLOOKUP($A162,NumberofDaysTable,4)*Availability)</f>
        <v> </v>
      </c>
      <c r="DH162" s="323" t="str">
        <f aca="false">IF($A162="N/A"," ",IF(Option=1,$D162*Inputs!$S$15*SUM(AS162:BA162),0))</f>
        <v> </v>
      </c>
      <c r="DI162" s="324" t="str">
        <f aca="false">IF($A162="N/A"," ",IF(Option=1,$D162*Inputs!$S$16*SUM(AS162:BA162),0))</f>
        <v> </v>
      </c>
      <c r="DJ162" s="325" t="str">
        <f aca="false">IF($A162="N/A"," ",SUM(AS162:AT162))</f>
        <v> </v>
      </c>
      <c r="DK162" s="325" t="str">
        <f aca="false">IF($A162="N/A"," ",SUM(AU162:BA162))</f>
        <v> </v>
      </c>
      <c r="DL162" s="325" t="str">
        <f aca="false">IF($A162="N/A"," ",SUM(BB162:BC162))</f>
        <v> </v>
      </c>
      <c r="DM162" s="325" t="str">
        <f aca="false">IF($A162="N/A"," ",SUM(BD162:BJ162))</f>
        <v> </v>
      </c>
    </row>
    <row r="163" customFormat="false" ht="12.75" hidden="false" customHeight="false" outlineLevel="0" collapsed="false">
      <c r="A163" s="282" t="str">
        <f aca="false">IF(A162="N/A","N/A",IF(EDATE(A162,1)&gt;Inputs!$S$5,"N/A",EDATE(A162,1)))</f>
        <v>N/A</v>
      </c>
      <c r="B163" s="283" t="str">
        <f aca="false">IF(A163="N/A"," ",YEAR(A163))</f>
        <v> </v>
      </c>
      <c r="C163" s="284" t="str">
        <f aca="false">IF(A163="N/A"," ",VLOOKUP(A163,ScaledPrice,14))</f>
        <v> </v>
      </c>
      <c r="D163" s="285" t="str">
        <f aca="false">IF(A163="N/A"," ",(VLOOKUP(MONTH($A163),Hrtable,2))/1000)</f>
        <v> </v>
      </c>
      <c r="E163" s="286" t="str">
        <f aca="false">IF($A163="N/A"," ",(C163)*D163)</f>
        <v> </v>
      </c>
      <c r="F163" s="287" t="str">
        <f aca="false">IF(A163="N/A"," ",VOM*(1+VOMesc)^(YEAR(A163)-YEAR(Today)))</f>
        <v> </v>
      </c>
      <c r="G163" s="287" t="str">
        <f aca="false">IF(A163="N/A"," ",Perstart/VLOOKUP(Dayrun,'Pricing Inputs'!$AQ$4:$AS$14,3)/(CY163/CX163))</f>
        <v> </v>
      </c>
      <c r="H163" s="288" t="str">
        <f aca="false">IF(A163="N/A"," ",SUM(E163:G163))</f>
        <v> </v>
      </c>
      <c r="I163" s="289" t="str">
        <f aca="false">VLOOKUP($A163,ScaledPrice,6)</f>
        <v> </v>
      </c>
      <c r="J163" s="290" t="str">
        <f aca="false">VLOOKUP($A163,ScaledPrice,10)</f>
        <v> </v>
      </c>
      <c r="K163" s="290" t="str">
        <f aca="false">VLOOKUP($A163,ScaledPrice,13)</f>
        <v> </v>
      </c>
      <c r="L163" s="290" t="str">
        <f aca="false">VLOOKUP($A163,ScaledPrice,7)</f>
        <v> </v>
      </c>
      <c r="M163" s="290" t="str">
        <f aca="false">VLOOKUP($A163,ScaledPrice,11)</f>
        <v> </v>
      </c>
      <c r="N163" s="290" t="str">
        <f aca="false">VLOOKUP($A163,ScaledPrice,13)</f>
        <v> </v>
      </c>
      <c r="O163" s="290" t="str">
        <f aca="false">VLOOKUP($A163,ScaledPrice,8)</f>
        <v> </v>
      </c>
      <c r="P163" s="290" t="str">
        <f aca="false">VLOOKUP($A163,ScaledPrice,12)</f>
        <v> </v>
      </c>
      <c r="Q163" s="291" t="str">
        <f aca="false">VLOOKUP($A163,ScaledPrice,13)</f>
        <v> </v>
      </c>
      <c r="R163" s="292" t="str">
        <f aca="false">IF($A163="N/A"," ",IF(Dayrun&gt;=3,IF(Option=1,MAX($I163-$H163,0),IF(Option=2,MAX($H163-$I163,0),0)),0))</f>
        <v> </v>
      </c>
      <c r="S163" s="286" t="str">
        <f aca="false">IF($A163="N/A"," ",IF(Dayrun&gt;=6,IF(Option=1,MAX($J163-H163,0),IF(Option=2,MAX(H163-$J163,0),0)),0))</f>
        <v> </v>
      </c>
      <c r="T163" s="286" t="str">
        <f aca="false">IF($A163="N/A"," ",IF(OR(Dayrun&lt;=2,Dayrun&gt;=9),IF(Option=1,MAX($K163-$H163,0),IF(Option=2,MAX($H163-$K163,0),0)),0))</f>
        <v> </v>
      </c>
      <c r="U163" s="286" t="str">
        <f aca="false">IF($A163="N/A"," ",IF(OR(Dayrun=1,Dayrun=4,Dayrun=5,Dayrun=7,Dayrun=8,Dayrun=10,Dayrun=11),IF(Option=1,MAX($L163-H163,0),IF(Option=2,MAX(H163-$L163,0),0)),0))</f>
        <v> </v>
      </c>
      <c r="V163" s="286" t="str">
        <f aca="false">IF($A163="N/A"," ",IF(OR(Dayrun=1,Dayrun=7,Dayrun=8,Dayrun=10,Dayrun=11),IF(Option=1,MAX($M163-H163,0),IF(Option=2,MAX(H163-$M163,0),0)),0))</f>
        <v> </v>
      </c>
      <c r="W163" s="286" t="str">
        <f aca="false">IF($A163="N/A"," ",IF(OR(Dayrun&lt;=2,Dayrun&gt;=10),IF(Option=1,MAX($N163-$H163,0),IF(Option=2,MAX($H163-$N163,0),0)),0))</f>
        <v> </v>
      </c>
      <c r="X163" s="286" t="str">
        <f aca="false">IF($A163="N/A"," ",IF(OR(Dayrun=1,Dayrun=5,Dayrun=8,Dayrun=11),IF(Option=1,MAX($O163-H163,0),IF(Option=2,MAX(H163-$O163,0),0)),0))</f>
        <v> </v>
      </c>
      <c r="Y163" s="286" t="str">
        <f aca="false">IF($A163="N/A"," ",IF(OR(Dayrun=1,Dayrun=8,Dayrun=11),IF(Option=1,MAX($P163-H163,0),IF(Option=2,MAX(H163-$P163,0),0)),0))</f>
        <v> </v>
      </c>
      <c r="Z163" s="293" t="str">
        <f aca="false">IF($A163="N/A"," ",IF(OR(Dayrun&lt;=2,Dayrun&gt;=11),IF(Option=1,MAX($Q163-$H163,0),IF(Option=2,MAX($H163-$Q163,0),0)),0))</f>
        <v> </v>
      </c>
      <c r="AA163" s="289" t="str">
        <f aca="false">IF($A163="N/A"," ",IF(Dayrun&gt;=3,(MAX(0,(xSPRDOPT(I163,($E163-'Pricing Inputs'!$X198*$D163),$CV163,0,($CN163+IF(Smile=TRUE(),VLOOKUP(MAX(-5,$H163-I163),Volsmile,2),0)),$CT163,$CU163,($A163-DateToday)+15,ABS(Option-2),0)-R163))),0))</f>
        <v> </v>
      </c>
      <c r="AB163" s="290" t="str">
        <f aca="false">IF($A163="N/A"," ",IF(Dayrun&gt;=6,MAX(0,(xSPRDOPT(J163,($E163-'Pricing Inputs'!$X198*$D163),$CV163,0,($CN163+IF(Smile=TRUE(),VLOOKUP(MAX(-5,$H163-J163),Volsmile,2),0)),$CT163,$CU163,($A163-DateToday)+15,ABS(Option-2),0)-S163)),0))</f>
        <v> </v>
      </c>
      <c r="AC163" s="290" t="str">
        <f aca="false">IF($A163="N/A"," ",IF(OR(Dayrun&lt;=2,Dayrun&gt;=9),IF(OffPeakEx=TRUE(),MAX(0,(xSPRDOPT(K163,($E163-'Pricing Inputs'!$X198*$D163),$CV163,0,($CQ163+IF(Smile=TRUE(),VLOOKUP(MAX(-5,$H163-K163),Volsmile,2),0)),$CT163,$CU163,($A163-DateToday)+15,ABS(Option-2),0)-T163)),0),0))</f>
        <v> </v>
      </c>
      <c r="AD163" s="290" t="str">
        <f aca="false">IF($A163="N/A"," ",IF(OR(Dayrun=1,Dayrun=4,Dayrun=5,Dayrun=7,Dayrun=8,Dayrun=10,Dayrun=11),MAX(0,(xSPRDOPT(L163,($E163-'Pricing Inputs'!$X198*$D163),$CV163,0,($CQ163+IF(Smile=TRUE(),VLOOKUP(MAX(-5,$H163-L163),Volsmile,2),0)),$CT163,$CU163,($A163-DateToday)+15,ABS(Option-2),0)-U163)),0))</f>
        <v> </v>
      </c>
      <c r="AE163" s="290" t="str">
        <f aca="false">IF($A163="N/A"," ",IF(OR(Dayrun=1,Dayrun=7,Dayrun=8,Dayrun=10,Dayrun=11),MAX(0,(xSPRDOPT(M163,($E163-'Pricing Inputs'!$X198*$D163),$CV163,0,($CQ163+IF(Smile=TRUE(),VLOOKUP(MAX(-5,$H163-M163),Volsmile,2),0)),$CT163,$CU163,($A163-DateToday)+15,ABS(Option-2),0)-V163)),0))</f>
        <v> </v>
      </c>
      <c r="AF163" s="290" t="str">
        <f aca="false">IF($A163="N/A"," ",IF(OR(Dayrun&lt;=2,Dayrun&gt;=10),IF(OffPeakEx=TRUE(),MAX(0,(xSPRDOPT(N163,($E163-'Pricing Inputs'!$X198*$D163),$CV163,0,($CQ163+IF(Smile=TRUE(),VLOOKUP(MAX(-5,$H163-N163),Volsmile,2),0)),$CT163,$CU163,($A163-DateToday)+15,ABS(Option-2),0)-W163)),0),0))</f>
        <v> </v>
      </c>
      <c r="AG163" s="290" t="str">
        <f aca="false">IF($A163="N/A"," ",IF(OR(Dayrun=1,Dayrun=5,Dayrun=8,Dayrun=11),MAX(0,(xSPRDOPT(O163,($E163-'Pricing Inputs'!$X198*$D163),$CV163,0,($CQ163+IF(Smile=TRUE(),VLOOKUP(MAX(-5,$H163-O163),Volsmile,2),0)),$CT163,$CU163,($A163-DateToday)+15,ABS(Option-2),0)-X163)),0))</f>
        <v> </v>
      </c>
      <c r="AH163" s="290" t="str">
        <f aca="false">IF($A163="N/A"," ",IF(OR(Dayrun=1,Dayrun=8,Dayrun=11),MAX(0,(xSPRDOPT(P163,($E163-'Pricing Inputs'!$X198*$D163),$CV163,0,($CQ163+IF(Smile=TRUE(),VLOOKUP(MAX(-5,$H163-P163),Volsmile,2),0)),$CT163,$CU163,($A163-DateToday)+15,ABS(Option-2),0)-Y163)),0))</f>
        <v> </v>
      </c>
      <c r="AI163" s="290" t="str">
        <f aca="false">IF($A163="N/A"," ",IF(OR(Dayrun&lt;=2,Dayrun&gt;=11),IF(OffPeakEx=TRUE(),MAX(0,(xSPRDOPT(Q163,($E163-'Pricing Inputs'!$X198*$D163),$CV163,0,($CQ163+IF(Smile=TRUE(),VLOOKUP(MAX(-5,$H163-Q163),Volsmile,2),0)),$CT163,$CU163,($A163-DateToday)+15,ABS(Option-2),0)-Z163)),0),0))</f>
        <v> </v>
      </c>
      <c r="AJ163" s="294" t="str">
        <f aca="false">IF($A163="N/A"," ",IF(Dayrun&gt;=3,IF(Option=1,$I163-$H163,IF(Option=2,$H163-$I163)),0))</f>
        <v> </v>
      </c>
      <c r="AK163" s="295" t="str">
        <f aca="false">IF($A163="N/A"," ",IF(Dayrun&gt;=6,IF(Option=1,$J163-H163,IF(Option=2,H163-$J163)),0))</f>
        <v> </v>
      </c>
      <c r="AL163" s="295" t="str">
        <f aca="false">IF($A163="N/A"," ",IF(OR(Dayrun&lt;=2,Dayrun&gt;=9),IF(Option=1,$K163-$H163,IF(Option=2,$H163-$K163)),0))</f>
        <v> </v>
      </c>
      <c r="AM163" s="295" t="str">
        <f aca="false">IF($A163="N/A"," ",IF(OR(Dayrun=1,Dayrun=4,Dayrun=5,Dayrun=7,Dayrun=8,Dayrun=10,Dayrun=11),IF(Option=1,$L163-H163,IF(Option=2,H163-$L163)),0))</f>
        <v> </v>
      </c>
      <c r="AN163" s="295" t="str">
        <f aca="false">IF($A163="N/A"," ",IF(OR(Dayrun=1,Dayrun=7,Dayrun=8,Dayrun=10,Dayrun=11),IF(Option=1,$M163-H163,IF(Option=2,H163-$M163)),0))</f>
        <v> </v>
      </c>
      <c r="AO163" s="295" t="str">
        <f aca="false">IF($A163="N/A"," ",IF(OR(Dayrun&lt;=2,Dayrun&gt;=9),IF(Option=1,$N163-$H163,IF(Option=2,$H163-$N163)),0))</f>
        <v> </v>
      </c>
      <c r="AP163" s="295" t="str">
        <f aca="false">IF($A163="N/A"," ",IF(OR(Dayrun=1,Dayrun=5,Dayrun=8,Dayrun=11),IF(Option=1,$O163-H163,IF(Option=2,H163-$O163)),0))</f>
        <v> </v>
      </c>
      <c r="AQ163" s="295" t="str">
        <f aca="false">IF($A163="N/A"," ",IF(OR(Dayrun=1,Dayrun=8,Dayrun=11),IF(Option=1,$P163-H163,IF(Option=2,H163-$P163)),0))</f>
        <v> </v>
      </c>
      <c r="AR163" s="296" t="str">
        <f aca="false">IF($A163="N/A"," ",IF(OR(Dayrun&lt;=2,Dayrun&gt;=9),IF(Option=1,$Q163-H163,IF(Option=2,H163-$Q163)),0))</f>
        <v> </v>
      </c>
      <c r="AS163" s="297" t="str">
        <f aca="false">IF($A163="N/A"," ",IF(VLOOKUP(MONTH($A163),ManualTable,2)=1,IF(Dayrun&gt;=3,$DE163*8*$CY163,0),0))</f>
        <v> </v>
      </c>
      <c r="AT163" s="297" t="str">
        <f aca="false">IF($A163="N/A"," ",IF(VLOOKUP(MONTH($A163),ManualTable,3)=1,IF(Dayrun&gt;=6,$DE163*8*$CY163,0),0))</f>
        <v> </v>
      </c>
      <c r="AU163" s="297" t="str">
        <f aca="false">IF($A163="N/A"," ",IF(VLOOKUP(MONTH($A163),ManualTable,4)=1,IF(OR(Dayrun&lt;=2,Dayrun&gt;=9),$DE163*8*$CY163,0),0))</f>
        <v> </v>
      </c>
      <c r="AV163" s="297" t="str">
        <f aca="false">IF($A163="N/A"," ",IF(VLOOKUP(MONTH($A163),ManualTable,5)=1,IF(OR(Dayrun=1,Dayrun=4,Dayrun=5,Dayrun=7,Dayrun=8,Dayrun=10,Dayrun=11),$DF163*8*$CY163,0),0))</f>
        <v> </v>
      </c>
      <c r="AW163" s="297" t="str">
        <f aca="false">IF($A163="N/A"," ",IF(VLOOKUP(MONTH($A163),ManualTable,6)=1,IF(OR(Dayrun=1,Dayrun=7,Dayrun=8,Dayrun=10,Dayrun=11),$DF163*8*$CY163,0),0))</f>
        <v> </v>
      </c>
      <c r="AX163" s="297" t="str">
        <f aca="false">IF($A163="N/A"," ",IF(VLOOKUP(MONTH($A163),ManualTable,7)=1,IF(OR(Dayrun&lt;=2,Dayrun&gt;=9),$DF163*8*$CY163,0),0))</f>
        <v> </v>
      </c>
      <c r="AY163" s="297" t="str">
        <f aca="false">IF($A163="N/A"," ",IF(VLOOKUP(MONTH($A163),ManualTable,8)=1,IF(OR(Dayrun=1,Dayrun=5,Dayrun=8,Dayrun=11),$DG163*8*$CY163,0),0))</f>
        <v> </v>
      </c>
      <c r="AZ163" s="297" t="str">
        <f aca="false">IF($A163="N/A"," ",IF(VLOOKUP(MONTH($A163),ManualTable,9)=1,IF(OR(Dayrun=1,Dayrun=8,Dayrun=11),$DG163*8*$CY163,0),0))</f>
        <v> </v>
      </c>
      <c r="BA163" s="298" t="str">
        <f aca="false">IF($A163="N/A"," ",IF(VLOOKUP(MONTH($A163),ManualTable,10)=1,IF(OR(Dayrun&lt;=2,Dayrun&gt;=9),$DG163*8*$CY163,0),0))</f>
        <v> </v>
      </c>
      <c r="BB163" s="299" t="str">
        <f aca="false">IF($A163="N/A"," ",IF(Dayrun&gt;=3,(MAX(0,(xSPRDOPT(I163,($E163-'Pricing Inputs'!$X198*$D163),$CV163,0,($CN163+IF(Smile=TRUE(),VLOOKUP(MAX(-5,$H163-I163),Volsmile,2),0)),$CT163,$CU163,($A163-DateToday)+15,ABS(Option-2),1)*DE163*8))),0))</f>
        <v> </v>
      </c>
      <c r="BC163" s="300" t="str">
        <f aca="false">IF($A163="N/A"," ",IF(Dayrun&gt;=6,MAX(0,(xSPRDOPT(J163,($E163-'Pricing Inputs'!$X198*$D163),$CV163,0,($CN163+IF(Smile=TRUE(),VLOOKUP(MAX(-5,$H163-J163),Volsmile,2),0)),$CT163,$CU163,($A163-DateToday)+15,ABS(Option-2),1)*DE163*8)),0))</f>
        <v> </v>
      </c>
      <c r="BD163" s="300" t="str">
        <f aca="false">IF($A163="N/A"," ",IF(OR(Dayrun&lt;=2,Dayrun&gt;=9),IF(OffPeakEx=TRUE(),MAX(0,(xSPRDOPT(K163,($E163-'Pricing Inputs'!$X198*$D163),$CV163,0,($CQ163+IF(Smile=TRUE(),VLOOKUP(MAX(-5,$H163-K163),Volsmile,2),0)),$CT163,$CU163,($A163-DateToday)+15,ABS(Option-2),1)*DE163*8)),0),0))</f>
        <v> </v>
      </c>
      <c r="BE163" s="300" t="str">
        <f aca="false">IF($A163="N/A"," ",IF(OR(Dayrun=1,Dayrun=4,Dayrun=5,Dayrun=7,Dayrun=8,Dayrun=10,Dayrun=11),MAX(0,(xSPRDOPT(L163,($E163-'Pricing Inputs'!$X198*$D163),$CV163,0,($CQ163+IF(Smile=TRUE(),VLOOKUP(MAX(-5,$H163-L163),Volsmile,2),0)),$CT163,$CU163,($A163-DateToday)+15,ABS(Option-2),1)*DF163*8)),0))</f>
        <v> </v>
      </c>
      <c r="BF163" s="300" t="str">
        <f aca="false">IF($A163="N/A"," ",IF(OR(Dayrun=1,Dayrun=7,Dayrun=8,Dayrun=10,Dayrun=11),MAX(0,(xSPRDOPT(M163,($E163-'Pricing Inputs'!$X198*$D163),$CV163,0,($CQ163+IF(Smile=TRUE(),VLOOKUP(MAX(-5,$H163-M163),Volsmile,2),0)),$CT163,$CU163,($A163-DateToday)+15,ABS(Option-2),1)*DF163*8)),0))</f>
        <v> </v>
      </c>
      <c r="BG163" s="300" t="str">
        <f aca="false">IF($A163="N/A"," ",IF(OR(Dayrun&lt;=2,Dayrun&gt;=10),IF(OffPeakEx=TRUE(),MAX(0,(xSPRDOPT(N163,($E163-'Pricing Inputs'!$X198*$D163),$CV163,0,($CQ163+IF(Smile=TRUE(),VLOOKUP(MAX(-5,$H163-N163),Volsmile,2),0)),$CT163,$CU163,($A163-DateToday)+15,ABS(Option-2),1)*DF163*8)),0),0))</f>
        <v> </v>
      </c>
      <c r="BH163" s="300" t="str">
        <f aca="false">IF($A163="N/A"," ",IF(OR(Dayrun=1,Dayrun=5,Dayrun=8,Dayrun=11),MAX(0,(xSPRDOPT(O163,($E163-'Pricing Inputs'!$X198*$D163),$CV163,0,($CQ163+IF(Smile=TRUE(),VLOOKUP(MAX(-5,$H163-O163),Volsmile,2),0)),$CT163,$CU163,($A163-DateToday)+15,ABS(Option-2),1)*DG163*8)),0))</f>
        <v> </v>
      </c>
      <c r="BI163" s="300" t="str">
        <f aca="false">IF($A163="N/A"," ",IF(OR(Dayrun=1,Dayrun=8,Dayrun=11),MAX(0,(xSPRDOPT(P163,($E163-'Pricing Inputs'!$X198*$D163),$CV163,0,($CQ163+IF(Smile=TRUE(),VLOOKUP(MAX(-5,$H163-P163),Volsmile,2),0)),$CT163,$CU163,($A163-DateToday)+15,ABS(Option-2),1)*DG163*8)),0))</f>
        <v> </v>
      </c>
      <c r="BJ163" s="301" t="str">
        <f aca="false">IF($A163="N/A"," ",IF(OR(Dayrun&lt;=2,Dayrun&gt;=11),IF(OffPeakEx=TRUE(),MAX(0,(xSPRDOPT(Q163,($E163-'Pricing Inputs'!$X198*$D163),$CV163,0,($CQ163+IF(Smile=TRUE(),VLOOKUP(MAX(-5,$H163-Q163),Volsmile,2),0)),$CT163,$CU163,($A163-DateToday)+15,ABS(Option-2),1)*DG163*8)),0),0))</f>
        <v> </v>
      </c>
      <c r="BK163" s="302" t="str">
        <f aca="false">IF($A163="N/A"," ",R163*$AS163)</f>
        <v> </v>
      </c>
      <c r="BL163" s="303" t="str">
        <f aca="false">IF($A163="N/A"," ",S163*$AT163)</f>
        <v> </v>
      </c>
      <c r="BM163" s="303" t="str">
        <f aca="false">IF($A163="N/A"," ",T163*$AU163)</f>
        <v> </v>
      </c>
      <c r="BN163" s="303" t="str">
        <f aca="false">IF($A163="N/A"," ",U163*$AV163)</f>
        <v> </v>
      </c>
      <c r="BO163" s="303" t="str">
        <f aca="false">IF($A163="N/A"," ",V163*$AW163)</f>
        <v> </v>
      </c>
      <c r="BP163" s="303" t="str">
        <f aca="false">IF($A163="N/A"," ",W163*$AX163)</f>
        <v> </v>
      </c>
      <c r="BQ163" s="303" t="str">
        <f aca="false">IF($A163="N/A"," ",X163*$AY163)</f>
        <v> </v>
      </c>
      <c r="BR163" s="303" t="str">
        <f aca="false">IF($A163="N/A"," ",Y163*$AZ163)</f>
        <v> </v>
      </c>
      <c r="BS163" s="304" t="str">
        <f aca="false">IF($A163="N/A"," ",Z163*$BA163)</f>
        <v> </v>
      </c>
      <c r="BT163" s="305" t="str">
        <f aca="false">IF($A163="N/A"," ",AA163*$AS163)</f>
        <v> </v>
      </c>
      <c r="BU163" s="306" t="str">
        <f aca="false">IF($A163="N/A"," ",AB163*$AT163)</f>
        <v> </v>
      </c>
      <c r="BV163" s="306" t="str">
        <f aca="false">IF($A163="N/A"," ",AC163*$AU163)</f>
        <v> </v>
      </c>
      <c r="BW163" s="306" t="str">
        <f aca="false">IF($A163="N/A"," ",AD163*$AV163)</f>
        <v> </v>
      </c>
      <c r="BX163" s="306" t="str">
        <f aca="false">IF($A163="N/A"," ",AE163*$AW163)</f>
        <v> </v>
      </c>
      <c r="BY163" s="306" t="str">
        <f aca="false">IF($A163="N/A"," ",AF163*$AX163)</f>
        <v> </v>
      </c>
      <c r="BZ163" s="306" t="str">
        <f aca="false">IF($A163="N/A"," ",AG163*$AY163)</f>
        <v> </v>
      </c>
      <c r="CA163" s="306" t="str">
        <f aca="false">IF($A163="N/A"," ",AH163*$AZ163)</f>
        <v> </v>
      </c>
      <c r="CB163" s="307" t="str">
        <f aca="false">IF($A163="N/A"," ",AI163*$BA163)</f>
        <v> </v>
      </c>
      <c r="CC163" s="308" t="str">
        <f aca="false">IF($A163="N/A"," ",AJ163*$AS163)</f>
        <v> </v>
      </c>
      <c r="CD163" s="309" t="str">
        <f aca="false">IF($A163="N/A"," ",AK163*$AT163)</f>
        <v> </v>
      </c>
      <c r="CE163" s="309" t="str">
        <f aca="false">IF($A163="N/A"," ",AL163*$AU163)</f>
        <v> </v>
      </c>
      <c r="CF163" s="309" t="str">
        <f aca="false">IF($A163="N/A"," ",AM163*$AV163)</f>
        <v> </v>
      </c>
      <c r="CG163" s="309" t="str">
        <f aca="false">IF($A163="N/A"," ",AN163*$AW163)</f>
        <v> </v>
      </c>
      <c r="CH163" s="309" t="str">
        <f aca="false">IF($A163="N/A"," ",AO163*$AX163)</f>
        <v> </v>
      </c>
      <c r="CI163" s="309" t="str">
        <f aca="false">IF($A163="N/A"," ",AP163*$AY163)</f>
        <v> </v>
      </c>
      <c r="CJ163" s="309" t="str">
        <f aca="false">IF($A163="N/A"," ",AQ163*$AZ163)</f>
        <v> </v>
      </c>
      <c r="CK163" s="310" t="str">
        <f aca="false">IF($A163="N/A"," ",AR163*$BA163)</f>
        <v> </v>
      </c>
      <c r="CL163" s="311" t="str">
        <f aca="false">IF(A163="N/A"," ",(VLOOKUP(A163,PowerVolTable,(IF(VolBMO=2,7,IF(VolBMO=1,6,8))),FALSE())))</f>
        <v> </v>
      </c>
      <c r="CM163" s="312" t="str">
        <f aca="false">IF(A163="N/A"," ",(VLOOKUP(A163,IntraPowerVol,(IF(VolBMO=2,3,IF(VolBMO=1,2,4))),FALSE())*VLOOKUP(MONTH($A163),Volscale,2)))</f>
        <v> </v>
      </c>
      <c r="CN163" s="312" t="str">
        <f aca="false">IF($A163="N/A"," ",IF(VolType=1,CM163,CL163))</f>
        <v> </v>
      </c>
      <c r="CO163" s="312" t="str">
        <f aca="false">IF($A163="N/A"," ",(VLOOKUP($A163,OffPeakVol,(IF(VolBMO=2,7,IF(VolBMO=1,6,8))),FALSE())))</f>
        <v> </v>
      </c>
      <c r="CP163" s="312" t="str">
        <f aca="false">IF($A163="N/A"," ",(VLOOKUP($A163,OffPeakVol,(IF(VolBMO=2,3,IF(VolBMO=1,2,4))),FALSE())*VLOOKUP(MONTH($A163),Volscale,2)))</f>
        <v> </v>
      </c>
      <c r="CQ163" s="312" t="str">
        <f aca="false">IF($A163="N/A"," ",IF(VolType=1,CP163,CO163))</f>
        <v> </v>
      </c>
      <c r="CR163" s="312" t="str">
        <f aca="false">IF($A163="N/A"," ",(VLOOKUP($A163,GasVolTable,(IF(VolBMO=2,6,IF(VolBMO=1,7,5))),FALSE())))</f>
        <v> </v>
      </c>
      <c r="CS163" s="312" t="str">
        <f aca="false">IF($A163="N/A"," ",(VLOOKUP($A163,OmicronVol,(IF(VolBMO=2,3,IF(VolBMO=1,4,2))),FALSE())))</f>
        <v> </v>
      </c>
      <c r="CT163" s="312" t="str">
        <f aca="false">IF($A163="N/A"," ",(IF(DateToday&gt;$A163,$CS163,IF(VolType=1,((($CR163^2)*((($A163-1)-DateToday)/((EOMONTH($A163,0)+1)-DateToday-15)))+((($CS163)^2)*((15)/((EOMONTH($A163,0)+1)-DateToday-15))))^0.5,CR163))))</f>
        <v> </v>
      </c>
      <c r="CU163" s="312" t="str">
        <f aca="false">IF($A163="N/A"," ",IF('Pricing Inputs'!$AR$23=TRUE(),Inputs!$S$22,VLOOKUP($A163,CorrelationTable,2,FALSE())))</f>
        <v> </v>
      </c>
      <c r="CV163" s="313" t="str">
        <f aca="false">IF($A163="N/A"," ",F163+G163+(D163*('Pricing Inputs'!X198)))</f>
        <v> </v>
      </c>
      <c r="CW163" s="314" t="str">
        <f aca="false">IF($A163="N/A"," ",IF(PV=1,0,'Pricing Inputs'!Y198))</f>
        <v> </v>
      </c>
      <c r="CX163" s="315" t="str">
        <f aca="false">IF($A163="N/A"," ",(1+CW163/2)^(-2*((EOMONTH(A163,0)+20)-DateToday)/365.25))</f>
        <v> </v>
      </c>
      <c r="CY163" s="316" t="str">
        <f aca="false">IF($A163="N/A"," ",(IF(MONTH(A163)&gt;=4,IF(MONTH(A163)&lt;=10,Inputs!$S$26,Inputs!$S$27),Inputs!$S$27))*$CX163)</f>
        <v> </v>
      </c>
      <c r="CZ163" s="317" t="str">
        <f aca="false">IF($A163="N/A"," ",BK163+BL163+BN163+BO163+BQ163+BR163)</f>
        <v> </v>
      </c>
      <c r="DA163" s="318" t="str">
        <f aca="false">IF($A163="N/A"," ",BM163+BP163+BS163)</f>
        <v> </v>
      </c>
      <c r="DB163" s="319" t="str">
        <f aca="false">IF($A163="N/A"," ",BT163+BU163+BW163+BX163+BZ163+CA163)</f>
        <v> </v>
      </c>
      <c r="DC163" s="319" t="str">
        <f aca="false">IF($A163="N/A"," ",BV163+BY163+CB163)</f>
        <v> </v>
      </c>
      <c r="DD163" s="320" t="str">
        <f aca="false">IF($A163="N/A"," ",SUM(CC163:CK163))</f>
        <v> </v>
      </c>
      <c r="DE163" s="321" t="str">
        <f aca="false">IF($A163="N/A"," ",VLOOKUP($A163,NumberofDaysTable,2)*Availability)</f>
        <v> </v>
      </c>
      <c r="DF163" s="94" t="str">
        <f aca="false">IF($A163="N/A"," ",VLOOKUP($A163,NumberofDaysTable,3)*Availability)</f>
        <v> </v>
      </c>
      <c r="DG163" s="322" t="str">
        <f aca="false">IF($A163="N/A"," ",VLOOKUP($A163,NumberofDaysTable,4)*Availability)</f>
        <v> </v>
      </c>
      <c r="DH163" s="323" t="str">
        <f aca="false">IF($A163="N/A"," ",IF(Option=1,$D163*Inputs!$S$15*SUM(AS163:BA163),0))</f>
        <v> </v>
      </c>
      <c r="DI163" s="324" t="str">
        <f aca="false">IF($A163="N/A"," ",IF(Option=1,$D163*Inputs!$S$16*SUM(AS163:BA163),0))</f>
        <v> </v>
      </c>
      <c r="DJ163" s="325" t="str">
        <f aca="false">IF($A163="N/A"," ",SUM(AS163:AT163))</f>
        <v> </v>
      </c>
      <c r="DK163" s="325" t="str">
        <f aca="false">IF($A163="N/A"," ",SUM(AU163:BA163))</f>
        <v> </v>
      </c>
      <c r="DL163" s="325" t="str">
        <f aca="false">IF($A163="N/A"," ",SUM(BB163:BC163))</f>
        <v> </v>
      </c>
      <c r="DM163" s="325" t="str">
        <f aca="false">IF($A163="N/A"," ",SUM(BD163:BJ163))</f>
        <v> </v>
      </c>
    </row>
    <row r="164" customFormat="false" ht="12.75" hidden="false" customHeight="false" outlineLevel="0" collapsed="false">
      <c r="A164" s="282" t="str">
        <f aca="false">IF(A163="N/A","N/A",IF(EDATE(A163,1)&gt;Inputs!$S$5,"N/A",EDATE(A163,1)))</f>
        <v>N/A</v>
      </c>
      <c r="B164" s="283" t="str">
        <f aca="false">IF(A164="N/A"," ",YEAR(A164))</f>
        <v> </v>
      </c>
      <c r="C164" s="284" t="str">
        <f aca="false">IF(A164="N/A"," ",VLOOKUP(A164,ScaledPrice,14))</f>
        <v> </v>
      </c>
      <c r="D164" s="285" t="str">
        <f aca="false">IF(A164="N/A"," ",(VLOOKUP(MONTH($A164),Hrtable,2))/1000)</f>
        <v> </v>
      </c>
      <c r="E164" s="286" t="str">
        <f aca="false">IF($A164="N/A"," ",(C164)*D164)</f>
        <v> </v>
      </c>
      <c r="F164" s="287" t="str">
        <f aca="false">IF(A164="N/A"," ",VOM*(1+VOMesc)^(YEAR(A164)-YEAR(Today)))</f>
        <v> </v>
      </c>
      <c r="G164" s="287" t="str">
        <f aca="false">IF(A164="N/A"," ",Perstart/VLOOKUP(Dayrun,'Pricing Inputs'!$AQ$4:$AS$14,3)/(CY164/CX164))</f>
        <v> </v>
      </c>
      <c r="H164" s="288" t="str">
        <f aca="false">IF(A164="N/A"," ",SUM(E164:G164))</f>
        <v> </v>
      </c>
      <c r="I164" s="289" t="str">
        <f aca="false">VLOOKUP($A164,ScaledPrice,6)</f>
        <v> </v>
      </c>
      <c r="J164" s="290" t="str">
        <f aca="false">VLOOKUP($A164,ScaledPrice,10)</f>
        <v> </v>
      </c>
      <c r="K164" s="290" t="str">
        <f aca="false">VLOOKUP($A164,ScaledPrice,13)</f>
        <v> </v>
      </c>
      <c r="L164" s="290" t="str">
        <f aca="false">VLOOKUP($A164,ScaledPrice,7)</f>
        <v> </v>
      </c>
      <c r="M164" s="290" t="str">
        <f aca="false">VLOOKUP($A164,ScaledPrice,11)</f>
        <v> </v>
      </c>
      <c r="N164" s="290" t="str">
        <f aca="false">VLOOKUP($A164,ScaledPrice,13)</f>
        <v> </v>
      </c>
      <c r="O164" s="290" t="str">
        <f aca="false">VLOOKUP($A164,ScaledPrice,8)</f>
        <v> </v>
      </c>
      <c r="P164" s="290" t="str">
        <f aca="false">VLOOKUP($A164,ScaledPrice,12)</f>
        <v> </v>
      </c>
      <c r="Q164" s="291" t="str">
        <f aca="false">VLOOKUP($A164,ScaledPrice,13)</f>
        <v> </v>
      </c>
      <c r="R164" s="292" t="str">
        <f aca="false">IF($A164="N/A"," ",IF(Dayrun&gt;=3,IF(Option=1,MAX($I164-$H164,0),IF(Option=2,MAX($H164-$I164,0),0)),0))</f>
        <v> </v>
      </c>
      <c r="S164" s="286" t="str">
        <f aca="false">IF($A164="N/A"," ",IF(Dayrun&gt;=6,IF(Option=1,MAX($J164-H164,0),IF(Option=2,MAX(H164-$J164,0),0)),0))</f>
        <v> </v>
      </c>
      <c r="T164" s="286" t="str">
        <f aca="false">IF($A164="N/A"," ",IF(OR(Dayrun&lt;=2,Dayrun&gt;=9),IF(Option=1,MAX($K164-$H164,0),IF(Option=2,MAX($H164-$K164,0),0)),0))</f>
        <v> </v>
      </c>
      <c r="U164" s="286" t="str">
        <f aca="false">IF($A164="N/A"," ",IF(OR(Dayrun=1,Dayrun=4,Dayrun=5,Dayrun=7,Dayrun=8,Dayrun=10,Dayrun=11),IF(Option=1,MAX($L164-H164,0),IF(Option=2,MAX(H164-$L164,0),0)),0))</f>
        <v> </v>
      </c>
      <c r="V164" s="286" t="str">
        <f aca="false">IF($A164="N/A"," ",IF(OR(Dayrun=1,Dayrun=7,Dayrun=8,Dayrun=10,Dayrun=11),IF(Option=1,MAX($M164-H164,0),IF(Option=2,MAX(H164-$M164,0),0)),0))</f>
        <v> </v>
      </c>
      <c r="W164" s="286" t="str">
        <f aca="false">IF($A164="N/A"," ",IF(OR(Dayrun&lt;=2,Dayrun&gt;=10),IF(Option=1,MAX($N164-$H164,0),IF(Option=2,MAX($H164-$N164,0),0)),0))</f>
        <v> </v>
      </c>
      <c r="X164" s="286" t="str">
        <f aca="false">IF($A164="N/A"," ",IF(OR(Dayrun=1,Dayrun=5,Dayrun=8,Dayrun=11),IF(Option=1,MAX($O164-H164,0),IF(Option=2,MAX(H164-$O164,0),0)),0))</f>
        <v> </v>
      </c>
      <c r="Y164" s="286" t="str">
        <f aca="false">IF($A164="N/A"," ",IF(OR(Dayrun=1,Dayrun=8,Dayrun=11),IF(Option=1,MAX($P164-H164,0),IF(Option=2,MAX(H164-$P164,0),0)),0))</f>
        <v> </v>
      </c>
      <c r="Z164" s="293" t="str">
        <f aca="false">IF($A164="N/A"," ",IF(OR(Dayrun&lt;=2,Dayrun&gt;=11),IF(Option=1,MAX($Q164-$H164,0),IF(Option=2,MAX($H164-$Q164,0),0)),0))</f>
        <v> </v>
      </c>
      <c r="AA164" s="289" t="str">
        <f aca="false">IF($A164="N/A"," ",IF(Dayrun&gt;=3,(MAX(0,(xSPRDOPT(I164,($E164-'Pricing Inputs'!$X199*$D164),$CV164,0,($CN164+IF(Smile=TRUE(),VLOOKUP(MAX(-5,$H164-I164),Volsmile,2),0)),$CT164,$CU164,($A164-DateToday)+15,ABS(Option-2),0)-R164))),0))</f>
        <v> </v>
      </c>
      <c r="AB164" s="290" t="str">
        <f aca="false">IF($A164="N/A"," ",IF(Dayrun&gt;=6,MAX(0,(xSPRDOPT(J164,($E164-'Pricing Inputs'!$X199*$D164),$CV164,0,($CN164+IF(Smile=TRUE(),VLOOKUP(MAX(-5,$H164-J164),Volsmile,2),0)),$CT164,$CU164,($A164-DateToday)+15,ABS(Option-2),0)-S164)),0))</f>
        <v> </v>
      </c>
      <c r="AC164" s="290" t="str">
        <f aca="false">IF($A164="N/A"," ",IF(OR(Dayrun&lt;=2,Dayrun&gt;=9),IF(OffPeakEx=TRUE(),MAX(0,(xSPRDOPT(K164,($E164-'Pricing Inputs'!$X199*$D164),$CV164,0,($CQ164+IF(Smile=TRUE(),VLOOKUP(MAX(-5,$H164-K164),Volsmile,2),0)),$CT164,$CU164,($A164-DateToday)+15,ABS(Option-2),0)-T164)),0),0))</f>
        <v> </v>
      </c>
      <c r="AD164" s="290" t="str">
        <f aca="false">IF($A164="N/A"," ",IF(OR(Dayrun=1,Dayrun=4,Dayrun=5,Dayrun=7,Dayrun=8,Dayrun=10,Dayrun=11),MAX(0,(xSPRDOPT(L164,($E164-'Pricing Inputs'!$X199*$D164),$CV164,0,($CQ164+IF(Smile=TRUE(),VLOOKUP(MAX(-5,$H164-L164),Volsmile,2),0)),$CT164,$CU164,($A164-DateToday)+15,ABS(Option-2),0)-U164)),0))</f>
        <v> </v>
      </c>
      <c r="AE164" s="290" t="str">
        <f aca="false">IF($A164="N/A"," ",IF(OR(Dayrun=1,Dayrun=7,Dayrun=8,Dayrun=10,Dayrun=11),MAX(0,(xSPRDOPT(M164,($E164-'Pricing Inputs'!$X199*$D164),$CV164,0,($CQ164+IF(Smile=TRUE(),VLOOKUP(MAX(-5,$H164-M164),Volsmile,2),0)),$CT164,$CU164,($A164-DateToday)+15,ABS(Option-2),0)-V164)),0))</f>
        <v> </v>
      </c>
      <c r="AF164" s="290" t="str">
        <f aca="false">IF($A164="N/A"," ",IF(OR(Dayrun&lt;=2,Dayrun&gt;=10),IF(OffPeakEx=TRUE(),MAX(0,(xSPRDOPT(N164,($E164-'Pricing Inputs'!$X199*$D164),$CV164,0,($CQ164+IF(Smile=TRUE(),VLOOKUP(MAX(-5,$H164-N164),Volsmile,2),0)),$CT164,$CU164,($A164-DateToday)+15,ABS(Option-2),0)-W164)),0),0))</f>
        <v> </v>
      </c>
      <c r="AG164" s="290" t="str">
        <f aca="false">IF($A164="N/A"," ",IF(OR(Dayrun=1,Dayrun=5,Dayrun=8,Dayrun=11),MAX(0,(xSPRDOPT(O164,($E164-'Pricing Inputs'!$X199*$D164),$CV164,0,($CQ164+IF(Smile=TRUE(),VLOOKUP(MAX(-5,$H164-O164),Volsmile,2),0)),$CT164,$CU164,($A164-DateToday)+15,ABS(Option-2),0)-X164)),0))</f>
        <v> </v>
      </c>
      <c r="AH164" s="290" t="str">
        <f aca="false">IF($A164="N/A"," ",IF(OR(Dayrun=1,Dayrun=8,Dayrun=11),MAX(0,(xSPRDOPT(P164,($E164-'Pricing Inputs'!$X199*$D164),$CV164,0,($CQ164+IF(Smile=TRUE(),VLOOKUP(MAX(-5,$H164-P164),Volsmile,2),0)),$CT164,$CU164,($A164-DateToday)+15,ABS(Option-2),0)-Y164)),0))</f>
        <v> </v>
      </c>
      <c r="AI164" s="290" t="str">
        <f aca="false">IF($A164="N/A"," ",IF(OR(Dayrun&lt;=2,Dayrun&gt;=11),IF(OffPeakEx=TRUE(),MAX(0,(xSPRDOPT(Q164,($E164-'Pricing Inputs'!$X199*$D164),$CV164,0,($CQ164+IF(Smile=TRUE(),VLOOKUP(MAX(-5,$H164-Q164),Volsmile,2),0)),$CT164,$CU164,($A164-DateToday)+15,ABS(Option-2),0)-Z164)),0),0))</f>
        <v> </v>
      </c>
      <c r="AJ164" s="294" t="str">
        <f aca="false">IF($A164="N/A"," ",IF(Dayrun&gt;=3,IF(Option=1,$I164-$H164,IF(Option=2,$H164-$I164)),0))</f>
        <v> </v>
      </c>
      <c r="AK164" s="295" t="str">
        <f aca="false">IF($A164="N/A"," ",IF(Dayrun&gt;=6,IF(Option=1,$J164-H164,IF(Option=2,H164-$J164)),0))</f>
        <v> </v>
      </c>
      <c r="AL164" s="295" t="str">
        <f aca="false">IF($A164="N/A"," ",IF(OR(Dayrun&lt;=2,Dayrun&gt;=9),IF(Option=1,$K164-$H164,IF(Option=2,$H164-$K164)),0))</f>
        <v> </v>
      </c>
      <c r="AM164" s="295" t="str">
        <f aca="false">IF($A164="N/A"," ",IF(OR(Dayrun=1,Dayrun=4,Dayrun=5,Dayrun=7,Dayrun=8,Dayrun=10,Dayrun=11),IF(Option=1,$L164-H164,IF(Option=2,H164-$L164)),0))</f>
        <v> </v>
      </c>
      <c r="AN164" s="295" t="str">
        <f aca="false">IF($A164="N/A"," ",IF(OR(Dayrun=1,Dayrun=7,Dayrun=8,Dayrun=10,Dayrun=11),IF(Option=1,$M164-H164,IF(Option=2,H164-$M164)),0))</f>
        <v> </v>
      </c>
      <c r="AO164" s="295" t="str">
        <f aca="false">IF($A164="N/A"," ",IF(OR(Dayrun&lt;=2,Dayrun&gt;=9),IF(Option=1,$N164-$H164,IF(Option=2,$H164-$N164)),0))</f>
        <v> </v>
      </c>
      <c r="AP164" s="295" t="str">
        <f aca="false">IF($A164="N/A"," ",IF(OR(Dayrun=1,Dayrun=5,Dayrun=8,Dayrun=11),IF(Option=1,$O164-H164,IF(Option=2,H164-$O164)),0))</f>
        <v> </v>
      </c>
      <c r="AQ164" s="295" t="str">
        <f aca="false">IF($A164="N/A"," ",IF(OR(Dayrun=1,Dayrun=8,Dayrun=11),IF(Option=1,$P164-H164,IF(Option=2,H164-$P164)),0))</f>
        <v> </v>
      </c>
      <c r="AR164" s="296" t="str">
        <f aca="false">IF($A164="N/A"," ",IF(OR(Dayrun&lt;=2,Dayrun&gt;=9),IF(Option=1,$Q164-H164,IF(Option=2,H164-$Q164)),0))</f>
        <v> </v>
      </c>
      <c r="AS164" s="297" t="str">
        <f aca="false">IF($A164="N/A"," ",IF(VLOOKUP(MONTH($A164),ManualTable,2)=1,IF(Dayrun&gt;=3,$DE164*8*$CY164,0),0))</f>
        <v> </v>
      </c>
      <c r="AT164" s="297" t="str">
        <f aca="false">IF($A164="N/A"," ",IF(VLOOKUP(MONTH($A164),ManualTable,3)=1,IF(Dayrun&gt;=6,$DE164*8*$CY164,0),0))</f>
        <v> </v>
      </c>
      <c r="AU164" s="297" t="str">
        <f aca="false">IF($A164="N/A"," ",IF(VLOOKUP(MONTH($A164),ManualTable,4)=1,IF(OR(Dayrun&lt;=2,Dayrun&gt;=9),$DE164*8*$CY164,0),0))</f>
        <v> </v>
      </c>
      <c r="AV164" s="297" t="str">
        <f aca="false">IF($A164="N/A"," ",IF(VLOOKUP(MONTH($A164),ManualTable,5)=1,IF(OR(Dayrun=1,Dayrun=4,Dayrun=5,Dayrun=7,Dayrun=8,Dayrun=10,Dayrun=11),$DF164*8*$CY164,0),0))</f>
        <v> </v>
      </c>
      <c r="AW164" s="297" t="str">
        <f aca="false">IF($A164="N/A"," ",IF(VLOOKUP(MONTH($A164),ManualTable,6)=1,IF(OR(Dayrun=1,Dayrun=7,Dayrun=8,Dayrun=10,Dayrun=11),$DF164*8*$CY164,0),0))</f>
        <v> </v>
      </c>
      <c r="AX164" s="297" t="str">
        <f aca="false">IF($A164="N/A"," ",IF(VLOOKUP(MONTH($A164),ManualTable,7)=1,IF(OR(Dayrun&lt;=2,Dayrun&gt;=9),$DF164*8*$CY164,0),0))</f>
        <v> </v>
      </c>
      <c r="AY164" s="297" t="str">
        <f aca="false">IF($A164="N/A"," ",IF(VLOOKUP(MONTH($A164),ManualTable,8)=1,IF(OR(Dayrun=1,Dayrun=5,Dayrun=8,Dayrun=11),$DG164*8*$CY164,0),0))</f>
        <v> </v>
      </c>
      <c r="AZ164" s="297" t="str">
        <f aca="false">IF($A164="N/A"," ",IF(VLOOKUP(MONTH($A164),ManualTable,9)=1,IF(OR(Dayrun=1,Dayrun=8,Dayrun=11),$DG164*8*$CY164,0),0))</f>
        <v> </v>
      </c>
      <c r="BA164" s="298" t="str">
        <f aca="false">IF($A164="N/A"," ",IF(VLOOKUP(MONTH($A164),ManualTable,10)=1,IF(OR(Dayrun&lt;=2,Dayrun&gt;=9),$DG164*8*$CY164,0),0))</f>
        <v> </v>
      </c>
      <c r="BB164" s="299" t="str">
        <f aca="false">IF($A164="N/A"," ",IF(Dayrun&gt;=3,(MAX(0,(xSPRDOPT(I164,($E164-'Pricing Inputs'!$X199*$D164),$CV164,0,($CN164+IF(Smile=TRUE(),VLOOKUP(MAX(-5,$H164-I164),Volsmile,2),0)),$CT164,$CU164,($A164-DateToday)+15,ABS(Option-2),1)*DE164*8))),0))</f>
        <v> </v>
      </c>
      <c r="BC164" s="300" t="str">
        <f aca="false">IF($A164="N/A"," ",IF(Dayrun&gt;=6,MAX(0,(xSPRDOPT(J164,($E164-'Pricing Inputs'!$X199*$D164),$CV164,0,($CN164+IF(Smile=TRUE(),VLOOKUP(MAX(-5,$H164-J164),Volsmile,2),0)),$CT164,$CU164,($A164-DateToday)+15,ABS(Option-2),1)*DE164*8)),0))</f>
        <v> </v>
      </c>
      <c r="BD164" s="300" t="str">
        <f aca="false">IF($A164="N/A"," ",IF(OR(Dayrun&lt;=2,Dayrun&gt;=9),IF(OffPeakEx=TRUE(),MAX(0,(xSPRDOPT(K164,($E164-'Pricing Inputs'!$X199*$D164),$CV164,0,($CQ164+IF(Smile=TRUE(),VLOOKUP(MAX(-5,$H164-K164),Volsmile,2),0)),$CT164,$CU164,($A164-DateToday)+15,ABS(Option-2),1)*DE164*8)),0),0))</f>
        <v> </v>
      </c>
      <c r="BE164" s="300" t="str">
        <f aca="false">IF($A164="N/A"," ",IF(OR(Dayrun=1,Dayrun=4,Dayrun=5,Dayrun=7,Dayrun=8,Dayrun=10,Dayrun=11),MAX(0,(xSPRDOPT(L164,($E164-'Pricing Inputs'!$X199*$D164),$CV164,0,($CQ164+IF(Smile=TRUE(),VLOOKUP(MAX(-5,$H164-L164),Volsmile,2),0)),$CT164,$CU164,($A164-DateToday)+15,ABS(Option-2),1)*DF164*8)),0))</f>
        <v> </v>
      </c>
      <c r="BF164" s="300" t="str">
        <f aca="false">IF($A164="N/A"," ",IF(OR(Dayrun=1,Dayrun=7,Dayrun=8,Dayrun=10,Dayrun=11),MAX(0,(xSPRDOPT(M164,($E164-'Pricing Inputs'!$X199*$D164),$CV164,0,($CQ164+IF(Smile=TRUE(),VLOOKUP(MAX(-5,$H164-M164),Volsmile,2),0)),$CT164,$CU164,($A164-DateToday)+15,ABS(Option-2),1)*DF164*8)),0))</f>
        <v> </v>
      </c>
      <c r="BG164" s="300" t="str">
        <f aca="false">IF($A164="N/A"," ",IF(OR(Dayrun&lt;=2,Dayrun&gt;=10),IF(OffPeakEx=TRUE(),MAX(0,(xSPRDOPT(N164,($E164-'Pricing Inputs'!$X199*$D164),$CV164,0,($CQ164+IF(Smile=TRUE(),VLOOKUP(MAX(-5,$H164-N164),Volsmile,2),0)),$CT164,$CU164,($A164-DateToday)+15,ABS(Option-2),1)*DF164*8)),0),0))</f>
        <v> </v>
      </c>
      <c r="BH164" s="300" t="str">
        <f aca="false">IF($A164="N/A"," ",IF(OR(Dayrun=1,Dayrun=5,Dayrun=8,Dayrun=11),MAX(0,(xSPRDOPT(O164,($E164-'Pricing Inputs'!$X199*$D164),$CV164,0,($CQ164+IF(Smile=TRUE(),VLOOKUP(MAX(-5,$H164-O164),Volsmile,2),0)),$CT164,$CU164,($A164-DateToday)+15,ABS(Option-2),1)*DG164*8)),0))</f>
        <v> </v>
      </c>
      <c r="BI164" s="300" t="str">
        <f aca="false">IF($A164="N/A"," ",IF(OR(Dayrun=1,Dayrun=8,Dayrun=11),MAX(0,(xSPRDOPT(P164,($E164-'Pricing Inputs'!$X199*$D164),$CV164,0,($CQ164+IF(Smile=TRUE(),VLOOKUP(MAX(-5,$H164-P164),Volsmile,2),0)),$CT164,$CU164,($A164-DateToday)+15,ABS(Option-2),1)*DG164*8)),0))</f>
        <v> </v>
      </c>
      <c r="BJ164" s="301" t="str">
        <f aca="false">IF($A164="N/A"," ",IF(OR(Dayrun&lt;=2,Dayrun&gt;=11),IF(OffPeakEx=TRUE(),MAX(0,(xSPRDOPT(Q164,($E164-'Pricing Inputs'!$X199*$D164),$CV164,0,($CQ164+IF(Smile=TRUE(),VLOOKUP(MAX(-5,$H164-Q164),Volsmile,2),0)),$CT164,$CU164,($A164-DateToday)+15,ABS(Option-2),1)*DG164*8)),0),0))</f>
        <v> </v>
      </c>
      <c r="BK164" s="302" t="str">
        <f aca="false">IF($A164="N/A"," ",R164*$AS164)</f>
        <v> </v>
      </c>
      <c r="BL164" s="303" t="str">
        <f aca="false">IF($A164="N/A"," ",S164*$AT164)</f>
        <v> </v>
      </c>
      <c r="BM164" s="303" t="str">
        <f aca="false">IF($A164="N/A"," ",T164*$AU164)</f>
        <v> </v>
      </c>
      <c r="BN164" s="303" t="str">
        <f aca="false">IF($A164="N/A"," ",U164*$AV164)</f>
        <v> </v>
      </c>
      <c r="BO164" s="303" t="str">
        <f aca="false">IF($A164="N/A"," ",V164*$AW164)</f>
        <v> </v>
      </c>
      <c r="BP164" s="303" t="str">
        <f aca="false">IF($A164="N/A"," ",W164*$AX164)</f>
        <v> </v>
      </c>
      <c r="BQ164" s="303" t="str">
        <f aca="false">IF($A164="N/A"," ",X164*$AY164)</f>
        <v> </v>
      </c>
      <c r="BR164" s="303" t="str">
        <f aca="false">IF($A164="N/A"," ",Y164*$AZ164)</f>
        <v> </v>
      </c>
      <c r="BS164" s="304" t="str">
        <f aca="false">IF($A164="N/A"," ",Z164*$BA164)</f>
        <v> </v>
      </c>
      <c r="BT164" s="305" t="str">
        <f aca="false">IF($A164="N/A"," ",AA164*$AS164)</f>
        <v> </v>
      </c>
      <c r="BU164" s="306" t="str">
        <f aca="false">IF($A164="N/A"," ",AB164*$AT164)</f>
        <v> </v>
      </c>
      <c r="BV164" s="306" t="str">
        <f aca="false">IF($A164="N/A"," ",AC164*$AU164)</f>
        <v> </v>
      </c>
      <c r="BW164" s="306" t="str">
        <f aca="false">IF($A164="N/A"," ",AD164*$AV164)</f>
        <v> </v>
      </c>
      <c r="BX164" s="306" t="str">
        <f aca="false">IF($A164="N/A"," ",AE164*$AW164)</f>
        <v> </v>
      </c>
      <c r="BY164" s="306" t="str">
        <f aca="false">IF($A164="N/A"," ",AF164*$AX164)</f>
        <v> </v>
      </c>
      <c r="BZ164" s="306" t="str">
        <f aca="false">IF($A164="N/A"," ",AG164*$AY164)</f>
        <v> </v>
      </c>
      <c r="CA164" s="306" t="str">
        <f aca="false">IF($A164="N/A"," ",AH164*$AZ164)</f>
        <v> </v>
      </c>
      <c r="CB164" s="307" t="str">
        <f aca="false">IF($A164="N/A"," ",AI164*$BA164)</f>
        <v> </v>
      </c>
      <c r="CC164" s="308" t="str">
        <f aca="false">IF($A164="N/A"," ",AJ164*$AS164)</f>
        <v> </v>
      </c>
      <c r="CD164" s="309" t="str">
        <f aca="false">IF($A164="N/A"," ",AK164*$AT164)</f>
        <v> </v>
      </c>
      <c r="CE164" s="309" t="str">
        <f aca="false">IF($A164="N/A"," ",AL164*$AU164)</f>
        <v> </v>
      </c>
      <c r="CF164" s="309" t="str">
        <f aca="false">IF($A164="N/A"," ",AM164*$AV164)</f>
        <v> </v>
      </c>
      <c r="CG164" s="309" t="str">
        <f aca="false">IF($A164="N/A"," ",AN164*$AW164)</f>
        <v> </v>
      </c>
      <c r="CH164" s="309" t="str">
        <f aca="false">IF($A164="N/A"," ",AO164*$AX164)</f>
        <v> </v>
      </c>
      <c r="CI164" s="309" t="str">
        <f aca="false">IF($A164="N/A"," ",AP164*$AY164)</f>
        <v> </v>
      </c>
      <c r="CJ164" s="309" t="str">
        <f aca="false">IF($A164="N/A"," ",AQ164*$AZ164)</f>
        <v> </v>
      </c>
      <c r="CK164" s="310" t="str">
        <f aca="false">IF($A164="N/A"," ",AR164*$BA164)</f>
        <v> </v>
      </c>
      <c r="CL164" s="311" t="str">
        <f aca="false">IF(A164="N/A"," ",(VLOOKUP(A164,PowerVolTable,(IF(VolBMO=2,7,IF(VolBMO=1,6,8))),FALSE())))</f>
        <v> </v>
      </c>
      <c r="CM164" s="312" t="str">
        <f aca="false">IF(A164="N/A"," ",(VLOOKUP(A164,IntraPowerVol,(IF(VolBMO=2,3,IF(VolBMO=1,2,4))),FALSE())*VLOOKUP(MONTH($A164),Volscale,2)))</f>
        <v> </v>
      </c>
      <c r="CN164" s="312" t="str">
        <f aca="false">IF($A164="N/A"," ",IF(VolType=1,CM164,CL164))</f>
        <v> </v>
      </c>
      <c r="CO164" s="312" t="str">
        <f aca="false">IF($A164="N/A"," ",(VLOOKUP($A164,OffPeakVol,(IF(VolBMO=2,7,IF(VolBMO=1,6,8))),FALSE())))</f>
        <v> </v>
      </c>
      <c r="CP164" s="312" t="str">
        <f aca="false">IF($A164="N/A"," ",(VLOOKUP($A164,OffPeakVol,(IF(VolBMO=2,3,IF(VolBMO=1,2,4))),FALSE())*VLOOKUP(MONTH($A164),Volscale,2)))</f>
        <v> </v>
      </c>
      <c r="CQ164" s="312" t="str">
        <f aca="false">IF($A164="N/A"," ",IF(VolType=1,CP164,CO164))</f>
        <v> </v>
      </c>
      <c r="CR164" s="312" t="str">
        <f aca="false">IF($A164="N/A"," ",(VLOOKUP($A164,GasVolTable,(IF(VolBMO=2,6,IF(VolBMO=1,7,5))),FALSE())))</f>
        <v> </v>
      </c>
      <c r="CS164" s="312" t="str">
        <f aca="false">IF($A164="N/A"," ",(VLOOKUP($A164,OmicronVol,(IF(VolBMO=2,3,IF(VolBMO=1,4,2))),FALSE())))</f>
        <v> </v>
      </c>
      <c r="CT164" s="312" t="str">
        <f aca="false">IF($A164="N/A"," ",(IF(DateToday&gt;$A164,$CS164,IF(VolType=1,((($CR164^2)*((($A164-1)-DateToday)/((EOMONTH($A164,0)+1)-DateToday-15)))+((($CS164)^2)*((15)/((EOMONTH($A164,0)+1)-DateToday-15))))^0.5,CR164))))</f>
        <v> </v>
      </c>
      <c r="CU164" s="312" t="str">
        <f aca="false">IF($A164="N/A"," ",IF('Pricing Inputs'!$AR$23=TRUE(),Inputs!$S$22,VLOOKUP($A164,CorrelationTable,2,FALSE())))</f>
        <v> </v>
      </c>
      <c r="CV164" s="313" t="str">
        <f aca="false">IF($A164="N/A"," ",F164+G164+(D164*('Pricing Inputs'!X199)))</f>
        <v> </v>
      </c>
      <c r="CW164" s="314" t="str">
        <f aca="false">IF($A164="N/A"," ",IF(PV=1,0,'Pricing Inputs'!Y199))</f>
        <v> </v>
      </c>
      <c r="CX164" s="315" t="str">
        <f aca="false">IF($A164="N/A"," ",(1+CW164/2)^(-2*((EOMONTH(A164,0)+20)-DateToday)/365.25))</f>
        <v> </v>
      </c>
      <c r="CY164" s="316" t="str">
        <f aca="false">IF($A164="N/A"," ",(IF(MONTH(A164)&gt;=4,IF(MONTH(A164)&lt;=10,Inputs!$S$26,Inputs!$S$27),Inputs!$S$27))*$CX164)</f>
        <v> </v>
      </c>
      <c r="CZ164" s="317" t="str">
        <f aca="false">IF($A164="N/A"," ",BK164+BL164+BN164+BO164+BQ164+BR164)</f>
        <v> </v>
      </c>
      <c r="DA164" s="318" t="str">
        <f aca="false">IF($A164="N/A"," ",BM164+BP164+BS164)</f>
        <v> </v>
      </c>
      <c r="DB164" s="319" t="str">
        <f aca="false">IF($A164="N/A"," ",BT164+BU164+BW164+BX164+BZ164+CA164)</f>
        <v> </v>
      </c>
      <c r="DC164" s="319" t="str">
        <f aca="false">IF($A164="N/A"," ",BV164+BY164+CB164)</f>
        <v> </v>
      </c>
      <c r="DD164" s="320" t="str">
        <f aca="false">IF($A164="N/A"," ",SUM(CC164:CK164))</f>
        <v> </v>
      </c>
      <c r="DE164" s="321" t="str">
        <f aca="false">IF($A164="N/A"," ",VLOOKUP($A164,NumberofDaysTable,2)*Availability)</f>
        <v> </v>
      </c>
      <c r="DF164" s="94" t="str">
        <f aca="false">IF($A164="N/A"," ",VLOOKUP($A164,NumberofDaysTable,3)*Availability)</f>
        <v> </v>
      </c>
      <c r="DG164" s="322" t="str">
        <f aca="false">IF($A164="N/A"," ",VLOOKUP($A164,NumberofDaysTable,4)*Availability)</f>
        <v> </v>
      </c>
      <c r="DH164" s="323" t="str">
        <f aca="false">IF($A164="N/A"," ",IF(Option=1,$D164*Inputs!$S$15*SUM(AS164:BA164),0))</f>
        <v> </v>
      </c>
      <c r="DI164" s="324" t="str">
        <f aca="false">IF($A164="N/A"," ",IF(Option=1,$D164*Inputs!$S$16*SUM(AS164:BA164),0))</f>
        <v> </v>
      </c>
      <c r="DJ164" s="325" t="str">
        <f aca="false">IF($A164="N/A"," ",SUM(AS164:AT164))</f>
        <v> </v>
      </c>
      <c r="DK164" s="325" t="str">
        <f aca="false">IF($A164="N/A"," ",SUM(AU164:BA164))</f>
        <v> </v>
      </c>
      <c r="DL164" s="325" t="str">
        <f aca="false">IF($A164="N/A"," ",SUM(BB164:BC164))</f>
        <v> </v>
      </c>
      <c r="DM164" s="325" t="str">
        <f aca="false">IF($A164="N/A"," ",SUM(BD164:BJ164))</f>
        <v> </v>
      </c>
    </row>
    <row r="165" customFormat="false" ht="12.75" hidden="false" customHeight="false" outlineLevel="0" collapsed="false">
      <c r="A165" s="282" t="str">
        <f aca="false">IF(A164="N/A","N/A",IF(EDATE(A164,1)&gt;Inputs!$S$5,"N/A",EDATE(A164,1)))</f>
        <v>N/A</v>
      </c>
      <c r="B165" s="283" t="str">
        <f aca="false">IF(A165="N/A"," ",YEAR(A165))</f>
        <v> </v>
      </c>
      <c r="C165" s="284" t="str">
        <f aca="false">IF(A165="N/A"," ",VLOOKUP(A165,ScaledPrice,14))</f>
        <v> </v>
      </c>
      <c r="D165" s="285" t="str">
        <f aca="false">IF(A165="N/A"," ",(VLOOKUP(MONTH($A165),Hrtable,2))/1000)</f>
        <v> </v>
      </c>
      <c r="E165" s="286" t="str">
        <f aca="false">IF($A165="N/A"," ",(C165)*D165)</f>
        <v> </v>
      </c>
      <c r="F165" s="287" t="str">
        <f aca="false">IF(A165="N/A"," ",VOM*(1+VOMesc)^(YEAR(A165)-YEAR(Today)))</f>
        <v> </v>
      </c>
      <c r="G165" s="287" t="str">
        <f aca="false">IF(A165="N/A"," ",Perstart/VLOOKUP(Dayrun,'Pricing Inputs'!$AQ$4:$AS$14,3)/(CY165/CX165))</f>
        <v> </v>
      </c>
      <c r="H165" s="288" t="str">
        <f aca="false">IF(A165="N/A"," ",SUM(E165:G165))</f>
        <v> </v>
      </c>
      <c r="I165" s="289" t="str">
        <f aca="false">VLOOKUP($A165,ScaledPrice,6)</f>
        <v> </v>
      </c>
      <c r="J165" s="290" t="str">
        <f aca="false">VLOOKUP($A165,ScaledPrice,10)</f>
        <v> </v>
      </c>
      <c r="K165" s="290" t="str">
        <f aca="false">VLOOKUP($A165,ScaledPrice,13)</f>
        <v> </v>
      </c>
      <c r="L165" s="290" t="str">
        <f aca="false">VLOOKUP($A165,ScaledPrice,7)</f>
        <v> </v>
      </c>
      <c r="M165" s="290" t="str">
        <f aca="false">VLOOKUP($A165,ScaledPrice,11)</f>
        <v> </v>
      </c>
      <c r="N165" s="290" t="str">
        <f aca="false">VLOOKUP($A165,ScaledPrice,13)</f>
        <v> </v>
      </c>
      <c r="O165" s="290" t="str">
        <f aca="false">VLOOKUP($A165,ScaledPrice,8)</f>
        <v> </v>
      </c>
      <c r="P165" s="290" t="str">
        <f aca="false">VLOOKUP($A165,ScaledPrice,12)</f>
        <v> </v>
      </c>
      <c r="Q165" s="291" t="str">
        <f aca="false">VLOOKUP($A165,ScaledPrice,13)</f>
        <v> </v>
      </c>
      <c r="R165" s="292" t="str">
        <f aca="false">IF($A165="N/A"," ",IF(Dayrun&gt;=3,IF(Option=1,MAX($I165-$H165,0),IF(Option=2,MAX($H165-$I165,0),0)),0))</f>
        <v> </v>
      </c>
      <c r="S165" s="286" t="str">
        <f aca="false">IF($A165="N/A"," ",IF(Dayrun&gt;=6,IF(Option=1,MAX($J165-H165,0),IF(Option=2,MAX(H165-$J165,0),0)),0))</f>
        <v> </v>
      </c>
      <c r="T165" s="286" t="str">
        <f aca="false">IF($A165="N/A"," ",IF(OR(Dayrun&lt;=2,Dayrun&gt;=9),IF(Option=1,MAX($K165-$H165,0),IF(Option=2,MAX($H165-$K165,0),0)),0))</f>
        <v> </v>
      </c>
      <c r="U165" s="286" t="str">
        <f aca="false">IF($A165="N/A"," ",IF(OR(Dayrun=1,Dayrun=4,Dayrun=5,Dayrun=7,Dayrun=8,Dayrun=10,Dayrun=11),IF(Option=1,MAX($L165-H165,0),IF(Option=2,MAX(H165-$L165,0),0)),0))</f>
        <v> </v>
      </c>
      <c r="V165" s="286" t="str">
        <f aca="false">IF($A165="N/A"," ",IF(OR(Dayrun=1,Dayrun=7,Dayrun=8,Dayrun=10,Dayrun=11),IF(Option=1,MAX($M165-H165,0),IF(Option=2,MAX(H165-$M165,0),0)),0))</f>
        <v> </v>
      </c>
      <c r="W165" s="286" t="str">
        <f aca="false">IF($A165="N/A"," ",IF(OR(Dayrun&lt;=2,Dayrun&gt;=10),IF(Option=1,MAX($N165-$H165,0),IF(Option=2,MAX($H165-$N165,0),0)),0))</f>
        <v> </v>
      </c>
      <c r="X165" s="286" t="str">
        <f aca="false">IF($A165="N/A"," ",IF(OR(Dayrun=1,Dayrun=5,Dayrun=8,Dayrun=11),IF(Option=1,MAX($O165-H165,0),IF(Option=2,MAX(H165-$O165,0),0)),0))</f>
        <v> </v>
      </c>
      <c r="Y165" s="286" t="str">
        <f aca="false">IF($A165="N/A"," ",IF(OR(Dayrun=1,Dayrun=8,Dayrun=11),IF(Option=1,MAX($P165-H165,0),IF(Option=2,MAX(H165-$P165,0),0)),0))</f>
        <v> </v>
      </c>
      <c r="Z165" s="293" t="str">
        <f aca="false">IF($A165="N/A"," ",IF(OR(Dayrun&lt;=2,Dayrun&gt;=11),IF(Option=1,MAX($Q165-$H165,0),IF(Option=2,MAX($H165-$Q165,0),0)),0))</f>
        <v> </v>
      </c>
      <c r="AA165" s="289" t="str">
        <f aca="false">IF($A165="N/A"," ",IF(Dayrun&gt;=3,(MAX(0,(xSPRDOPT(I165,($E165-'Pricing Inputs'!$X200*$D165),$CV165,0,($CN165+IF(Smile=TRUE(),VLOOKUP(MAX(-5,$H165-I165),Volsmile,2),0)),$CT165,$CU165,($A165-DateToday)+15,ABS(Option-2),0)-R165))),0))</f>
        <v> </v>
      </c>
      <c r="AB165" s="290" t="str">
        <f aca="false">IF($A165="N/A"," ",IF(Dayrun&gt;=6,MAX(0,(xSPRDOPT(J165,($E165-'Pricing Inputs'!$X200*$D165),$CV165,0,($CN165+IF(Smile=TRUE(),VLOOKUP(MAX(-5,$H165-J165),Volsmile,2),0)),$CT165,$CU165,($A165-DateToday)+15,ABS(Option-2),0)-S165)),0))</f>
        <v> </v>
      </c>
      <c r="AC165" s="290" t="str">
        <f aca="false">IF($A165="N/A"," ",IF(OR(Dayrun&lt;=2,Dayrun&gt;=9),IF(OffPeakEx=TRUE(),MAX(0,(xSPRDOPT(K165,($E165-'Pricing Inputs'!$X200*$D165),$CV165,0,($CQ165+IF(Smile=TRUE(),VLOOKUP(MAX(-5,$H165-K165),Volsmile,2),0)),$CT165,$CU165,($A165-DateToday)+15,ABS(Option-2),0)-T165)),0),0))</f>
        <v> </v>
      </c>
      <c r="AD165" s="290" t="str">
        <f aca="false">IF($A165="N/A"," ",IF(OR(Dayrun=1,Dayrun=4,Dayrun=5,Dayrun=7,Dayrun=8,Dayrun=10,Dayrun=11),MAX(0,(xSPRDOPT(L165,($E165-'Pricing Inputs'!$X200*$D165),$CV165,0,($CQ165+IF(Smile=TRUE(),VLOOKUP(MAX(-5,$H165-L165),Volsmile,2),0)),$CT165,$CU165,($A165-DateToday)+15,ABS(Option-2),0)-U165)),0))</f>
        <v> </v>
      </c>
      <c r="AE165" s="290" t="str">
        <f aca="false">IF($A165="N/A"," ",IF(OR(Dayrun=1,Dayrun=7,Dayrun=8,Dayrun=10,Dayrun=11),MAX(0,(xSPRDOPT(M165,($E165-'Pricing Inputs'!$X200*$D165),$CV165,0,($CQ165+IF(Smile=TRUE(),VLOOKUP(MAX(-5,$H165-M165),Volsmile,2),0)),$CT165,$CU165,($A165-DateToday)+15,ABS(Option-2),0)-V165)),0))</f>
        <v> </v>
      </c>
      <c r="AF165" s="290" t="str">
        <f aca="false">IF($A165="N/A"," ",IF(OR(Dayrun&lt;=2,Dayrun&gt;=10),IF(OffPeakEx=TRUE(),MAX(0,(xSPRDOPT(N165,($E165-'Pricing Inputs'!$X200*$D165),$CV165,0,($CQ165+IF(Smile=TRUE(),VLOOKUP(MAX(-5,$H165-N165),Volsmile,2),0)),$CT165,$CU165,($A165-DateToday)+15,ABS(Option-2),0)-W165)),0),0))</f>
        <v> </v>
      </c>
      <c r="AG165" s="290" t="str">
        <f aca="false">IF($A165="N/A"," ",IF(OR(Dayrun=1,Dayrun=5,Dayrun=8,Dayrun=11),MAX(0,(xSPRDOPT(O165,($E165-'Pricing Inputs'!$X200*$D165),$CV165,0,($CQ165+IF(Smile=TRUE(),VLOOKUP(MAX(-5,$H165-O165),Volsmile,2),0)),$CT165,$CU165,($A165-DateToday)+15,ABS(Option-2),0)-X165)),0))</f>
        <v> </v>
      </c>
      <c r="AH165" s="290" t="str">
        <f aca="false">IF($A165="N/A"," ",IF(OR(Dayrun=1,Dayrun=8,Dayrun=11),MAX(0,(xSPRDOPT(P165,($E165-'Pricing Inputs'!$X200*$D165),$CV165,0,($CQ165+IF(Smile=TRUE(),VLOOKUP(MAX(-5,$H165-P165),Volsmile,2),0)),$CT165,$CU165,($A165-DateToday)+15,ABS(Option-2),0)-Y165)),0))</f>
        <v> </v>
      </c>
      <c r="AI165" s="290" t="str">
        <f aca="false">IF($A165="N/A"," ",IF(OR(Dayrun&lt;=2,Dayrun&gt;=11),IF(OffPeakEx=TRUE(),MAX(0,(xSPRDOPT(Q165,($E165-'Pricing Inputs'!$X200*$D165),$CV165,0,($CQ165+IF(Smile=TRUE(),VLOOKUP(MAX(-5,$H165-Q165),Volsmile,2),0)),$CT165,$CU165,($A165-DateToday)+15,ABS(Option-2),0)-Z165)),0),0))</f>
        <v> </v>
      </c>
      <c r="AJ165" s="294" t="str">
        <f aca="false">IF($A165="N/A"," ",IF(Dayrun&gt;=3,IF(Option=1,$I165-$H165,IF(Option=2,$H165-$I165)),0))</f>
        <v> </v>
      </c>
      <c r="AK165" s="295" t="str">
        <f aca="false">IF($A165="N/A"," ",IF(Dayrun&gt;=6,IF(Option=1,$J165-H165,IF(Option=2,H165-$J165)),0))</f>
        <v> </v>
      </c>
      <c r="AL165" s="295" t="str">
        <f aca="false">IF($A165="N/A"," ",IF(OR(Dayrun&lt;=2,Dayrun&gt;=9),IF(Option=1,$K165-$H165,IF(Option=2,$H165-$K165)),0))</f>
        <v> </v>
      </c>
      <c r="AM165" s="295" t="str">
        <f aca="false">IF($A165="N/A"," ",IF(OR(Dayrun=1,Dayrun=4,Dayrun=5,Dayrun=7,Dayrun=8,Dayrun=10,Dayrun=11),IF(Option=1,$L165-H165,IF(Option=2,H165-$L165)),0))</f>
        <v> </v>
      </c>
      <c r="AN165" s="295" t="str">
        <f aca="false">IF($A165="N/A"," ",IF(OR(Dayrun=1,Dayrun=7,Dayrun=8,Dayrun=10,Dayrun=11),IF(Option=1,$M165-H165,IF(Option=2,H165-$M165)),0))</f>
        <v> </v>
      </c>
      <c r="AO165" s="295" t="str">
        <f aca="false">IF($A165="N/A"," ",IF(OR(Dayrun&lt;=2,Dayrun&gt;=9),IF(Option=1,$N165-$H165,IF(Option=2,$H165-$N165)),0))</f>
        <v> </v>
      </c>
      <c r="AP165" s="295" t="str">
        <f aca="false">IF($A165="N/A"," ",IF(OR(Dayrun=1,Dayrun=5,Dayrun=8,Dayrun=11),IF(Option=1,$O165-H165,IF(Option=2,H165-$O165)),0))</f>
        <v> </v>
      </c>
      <c r="AQ165" s="295" t="str">
        <f aca="false">IF($A165="N/A"," ",IF(OR(Dayrun=1,Dayrun=8,Dayrun=11),IF(Option=1,$P165-H165,IF(Option=2,H165-$P165)),0))</f>
        <v> </v>
      </c>
      <c r="AR165" s="296" t="str">
        <f aca="false">IF($A165="N/A"," ",IF(OR(Dayrun&lt;=2,Dayrun&gt;=9),IF(Option=1,$Q165-H165,IF(Option=2,H165-$Q165)),0))</f>
        <v> </v>
      </c>
      <c r="AS165" s="297" t="str">
        <f aca="false">IF($A165="N/A"," ",IF(VLOOKUP(MONTH($A165),ManualTable,2)=1,IF(Dayrun&gt;=3,$DE165*8*$CY165,0),0))</f>
        <v> </v>
      </c>
      <c r="AT165" s="297" t="str">
        <f aca="false">IF($A165="N/A"," ",IF(VLOOKUP(MONTH($A165),ManualTable,3)=1,IF(Dayrun&gt;=6,$DE165*8*$CY165,0),0))</f>
        <v> </v>
      </c>
      <c r="AU165" s="297" t="str">
        <f aca="false">IF($A165="N/A"," ",IF(VLOOKUP(MONTH($A165),ManualTable,4)=1,IF(OR(Dayrun&lt;=2,Dayrun&gt;=9),$DE165*8*$CY165,0),0))</f>
        <v> </v>
      </c>
      <c r="AV165" s="297" t="str">
        <f aca="false">IF($A165="N/A"," ",IF(VLOOKUP(MONTH($A165),ManualTable,5)=1,IF(OR(Dayrun=1,Dayrun=4,Dayrun=5,Dayrun=7,Dayrun=8,Dayrun=10,Dayrun=11),$DF165*8*$CY165,0),0))</f>
        <v> </v>
      </c>
      <c r="AW165" s="297" t="str">
        <f aca="false">IF($A165="N/A"," ",IF(VLOOKUP(MONTH($A165),ManualTable,6)=1,IF(OR(Dayrun=1,Dayrun=7,Dayrun=8,Dayrun=10,Dayrun=11),$DF165*8*$CY165,0),0))</f>
        <v> </v>
      </c>
      <c r="AX165" s="297" t="str">
        <f aca="false">IF($A165="N/A"," ",IF(VLOOKUP(MONTH($A165),ManualTable,7)=1,IF(OR(Dayrun&lt;=2,Dayrun&gt;=9),$DF165*8*$CY165,0),0))</f>
        <v> </v>
      </c>
      <c r="AY165" s="297" t="str">
        <f aca="false">IF($A165="N/A"," ",IF(VLOOKUP(MONTH($A165),ManualTable,8)=1,IF(OR(Dayrun=1,Dayrun=5,Dayrun=8,Dayrun=11),$DG165*8*$CY165,0),0))</f>
        <v> </v>
      </c>
      <c r="AZ165" s="297" t="str">
        <f aca="false">IF($A165="N/A"," ",IF(VLOOKUP(MONTH($A165),ManualTable,9)=1,IF(OR(Dayrun=1,Dayrun=8,Dayrun=11),$DG165*8*$CY165,0),0))</f>
        <v> </v>
      </c>
      <c r="BA165" s="298" t="str">
        <f aca="false">IF($A165="N/A"," ",IF(VLOOKUP(MONTH($A165),ManualTable,10)=1,IF(OR(Dayrun&lt;=2,Dayrun&gt;=9),$DG165*8*$CY165,0),0))</f>
        <v> </v>
      </c>
      <c r="BB165" s="299" t="str">
        <f aca="false">IF($A165="N/A"," ",IF(Dayrun&gt;=3,(MAX(0,(xSPRDOPT(I165,($E165-'Pricing Inputs'!$X200*$D165),$CV165,0,($CN165+IF(Smile=TRUE(),VLOOKUP(MAX(-5,$H165-I165),Volsmile,2),0)),$CT165,$CU165,($A165-DateToday)+15,ABS(Option-2),1)*DE165*8))),0))</f>
        <v> </v>
      </c>
      <c r="BC165" s="300" t="str">
        <f aca="false">IF($A165="N/A"," ",IF(Dayrun&gt;=6,MAX(0,(xSPRDOPT(J165,($E165-'Pricing Inputs'!$X200*$D165),$CV165,0,($CN165+IF(Smile=TRUE(),VLOOKUP(MAX(-5,$H165-J165),Volsmile,2),0)),$CT165,$CU165,($A165-DateToday)+15,ABS(Option-2),1)*DE165*8)),0))</f>
        <v> </v>
      </c>
      <c r="BD165" s="300" t="str">
        <f aca="false">IF($A165="N/A"," ",IF(OR(Dayrun&lt;=2,Dayrun&gt;=9),IF(OffPeakEx=TRUE(),MAX(0,(xSPRDOPT(K165,($E165-'Pricing Inputs'!$X200*$D165),$CV165,0,($CQ165+IF(Smile=TRUE(),VLOOKUP(MAX(-5,$H165-K165),Volsmile,2),0)),$CT165,$CU165,($A165-DateToday)+15,ABS(Option-2),1)*DE165*8)),0),0))</f>
        <v> </v>
      </c>
      <c r="BE165" s="300" t="str">
        <f aca="false">IF($A165="N/A"," ",IF(OR(Dayrun=1,Dayrun=4,Dayrun=5,Dayrun=7,Dayrun=8,Dayrun=10,Dayrun=11),MAX(0,(xSPRDOPT(L165,($E165-'Pricing Inputs'!$X200*$D165),$CV165,0,($CQ165+IF(Smile=TRUE(),VLOOKUP(MAX(-5,$H165-L165),Volsmile,2),0)),$CT165,$CU165,($A165-DateToday)+15,ABS(Option-2),1)*DF165*8)),0))</f>
        <v> </v>
      </c>
      <c r="BF165" s="300" t="str">
        <f aca="false">IF($A165="N/A"," ",IF(OR(Dayrun=1,Dayrun=7,Dayrun=8,Dayrun=10,Dayrun=11),MAX(0,(xSPRDOPT(M165,($E165-'Pricing Inputs'!$X200*$D165),$CV165,0,($CQ165+IF(Smile=TRUE(),VLOOKUP(MAX(-5,$H165-M165),Volsmile,2),0)),$CT165,$CU165,($A165-DateToday)+15,ABS(Option-2),1)*DF165*8)),0))</f>
        <v> </v>
      </c>
      <c r="BG165" s="300" t="str">
        <f aca="false">IF($A165="N/A"," ",IF(OR(Dayrun&lt;=2,Dayrun&gt;=10),IF(OffPeakEx=TRUE(),MAX(0,(xSPRDOPT(N165,($E165-'Pricing Inputs'!$X200*$D165),$CV165,0,($CQ165+IF(Smile=TRUE(),VLOOKUP(MAX(-5,$H165-N165),Volsmile,2),0)),$CT165,$CU165,($A165-DateToday)+15,ABS(Option-2),1)*DF165*8)),0),0))</f>
        <v> </v>
      </c>
      <c r="BH165" s="300" t="str">
        <f aca="false">IF($A165="N/A"," ",IF(OR(Dayrun=1,Dayrun=5,Dayrun=8,Dayrun=11),MAX(0,(xSPRDOPT(O165,($E165-'Pricing Inputs'!$X200*$D165),$CV165,0,($CQ165+IF(Smile=TRUE(),VLOOKUP(MAX(-5,$H165-O165),Volsmile,2),0)),$CT165,$CU165,($A165-DateToday)+15,ABS(Option-2),1)*DG165*8)),0))</f>
        <v> </v>
      </c>
      <c r="BI165" s="300" t="str">
        <f aca="false">IF($A165="N/A"," ",IF(OR(Dayrun=1,Dayrun=8,Dayrun=11),MAX(0,(xSPRDOPT(P165,($E165-'Pricing Inputs'!$X200*$D165),$CV165,0,($CQ165+IF(Smile=TRUE(),VLOOKUP(MAX(-5,$H165-P165),Volsmile,2),0)),$CT165,$CU165,($A165-DateToday)+15,ABS(Option-2),1)*DG165*8)),0))</f>
        <v> </v>
      </c>
      <c r="BJ165" s="301" t="str">
        <f aca="false">IF($A165="N/A"," ",IF(OR(Dayrun&lt;=2,Dayrun&gt;=11),IF(OffPeakEx=TRUE(),MAX(0,(xSPRDOPT(Q165,($E165-'Pricing Inputs'!$X200*$D165),$CV165,0,($CQ165+IF(Smile=TRUE(),VLOOKUP(MAX(-5,$H165-Q165),Volsmile,2),0)),$CT165,$CU165,($A165-DateToday)+15,ABS(Option-2),1)*DG165*8)),0),0))</f>
        <v> </v>
      </c>
      <c r="BK165" s="302" t="str">
        <f aca="false">IF($A165="N/A"," ",R165*$AS165)</f>
        <v> </v>
      </c>
      <c r="BL165" s="303" t="str">
        <f aca="false">IF($A165="N/A"," ",S165*$AT165)</f>
        <v> </v>
      </c>
      <c r="BM165" s="303" t="str">
        <f aca="false">IF($A165="N/A"," ",T165*$AU165)</f>
        <v> </v>
      </c>
      <c r="BN165" s="303" t="str">
        <f aca="false">IF($A165="N/A"," ",U165*$AV165)</f>
        <v> </v>
      </c>
      <c r="BO165" s="303" t="str">
        <f aca="false">IF($A165="N/A"," ",V165*$AW165)</f>
        <v> </v>
      </c>
      <c r="BP165" s="303" t="str">
        <f aca="false">IF($A165="N/A"," ",W165*$AX165)</f>
        <v> </v>
      </c>
      <c r="BQ165" s="303" t="str">
        <f aca="false">IF($A165="N/A"," ",X165*$AY165)</f>
        <v> </v>
      </c>
      <c r="BR165" s="303" t="str">
        <f aca="false">IF($A165="N/A"," ",Y165*$AZ165)</f>
        <v> </v>
      </c>
      <c r="BS165" s="304" t="str">
        <f aca="false">IF($A165="N/A"," ",Z165*$BA165)</f>
        <v> </v>
      </c>
      <c r="BT165" s="305" t="str">
        <f aca="false">IF($A165="N/A"," ",AA165*$AS165)</f>
        <v> </v>
      </c>
      <c r="BU165" s="306" t="str">
        <f aca="false">IF($A165="N/A"," ",AB165*$AT165)</f>
        <v> </v>
      </c>
      <c r="BV165" s="306" t="str">
        <f aca="false">IF($A165="N/A"," ",AC165*$AU165)</f>
        <v> </v>
      </c>
      <c r="BW165" s="306" t="str">
        <f aca="false">IF($A165="N/A"," ",AD165*$AV165)</f>
        <v> </v>
      </c>
      <c r="BX165" s="306" t="str">
        <f aca="false">IF($A165="N/A"," ",AE165*$AW165)</f>
        <v> </v>
      </c>
      <c r="BY165" s="306" t="str">
        <f aca="false">IF($A165="N/A"," ",AF165*$AX165)</f>
        <v> </v>
      </c>
      <c r="BZ165" s="306" t="str">
        <f aca="false">IF($A165="N/A"," ",AG165*$AY165)</f>
        <v> </v>
      </c>
      <c r="CA165" s="306" t="str">
        <f aca="false">IF($A165="N/A"," ",AH165*$AZ165)</f>
        <v> </v>
      </c>
      <c r="CB165" s="307" t="str">
        <f aca="false">IF($A165="N/A"," ",AI165*$BA165)</f>
        <v> </v>
      </c>
      <c r="CC165" s="308" t="str">
        <f aca="false">IF($A165="N/A"," ",AJ165*$AS165)</f>
        <v> </v>
      </c>
      <c r="CD165" s="309" t="str">
        <f aca="false">IF($A165="N/A"," ",AK165*$AT165)</f>
        <v> </v>
      </c>
      <c r="CE165" s="309" t="str">
        <f aca="false">IF($A165="N/A"," ",AL165*$AU165)</f>
        <v> </v>
      </c>
      <c r="CF165" s="309" t="str">
        <f aca="false">IF($A165="N/A"," ",AM165*$AV165)</f>
        <v> </v>
      </c>
      <c r="CG165" s="309" t="str">
        <f aca="false">IF($A165="N/A"," ",AN165*$AW165)</f>
        <v> </v>
      </c>
      <c r="CH165" s="309" t="str">
        <f aca="false">IF($A165="N/A"," ",AO165*$AX165)</f>
        <v> </v>
      </c>
      <c r="CI165" s="309" t="str">
        <f aca="false">IF($A165="N/A"," ",AP165*$AY165)</f>
        <v> </v>
      </c>
      <c r="CJ165" s="309" t="str">
        <f aca="false">IF($A165="N/A"," ",AQ165*$AZ165)</f>
        <v> </v>
      </c>
      <c r="CK165" s="310" t="str">
        <f aca="false">IF($A165="N/A"," ",AR165*$BA165)</f>
        <v> </v>
      </c>
      <c r="CL165" s="311" t="str">
        <f aca="false">IF(A165="N/A"," ",(VLOOKUP(A165,PowerVolTable,(IF(VolBMO=2,7,IF(VolBMO=1,6,8))),FALSE())))</f>
        <v> </v>
      </c>
      <c r="CM165" s="312" t="str">
        <f aca="false">IF(A165="N/A"," ",(VLOOKUP(A165,IntraPowerVol,(IF(VolBMO=2,3,IF(VolBMO=1,2,4))),FALSE())*VLOOKUP(MONTH($A165),Volscale,2)))</f>
        <v> </v>
      </c>
      <c r="CN165" s="312" t="str">
        <f aca="false">IF($A165="N/A"," ",IF(VolType=1,CM165,CL165))</f>
        <v> </v>
      </c>
      <c r="CO165" s="312" t="str">
        <f aca="false">IF($A165="N/A"," ",(VLOOKUP($A165,OffPeakVol,(IF(VolBMO=2,7,IF(VolBMO=1,6,8))),FALSE())))</f>
        <v> </v>
      </c>
      <c r="CP165" s="312" t="str">
        <f aca="false">IF($A165="N/A"," ",(VLOOKUP($A165,OffPeakVol,(IF(VolBMO=2,3,IF(VolBMO=1,2,4))),FALSE())*VLOOKUP(MONTH($A165),Volscale,2)))</f>
        <v> </v>
      </c>
      <c r="CQ165" s="312" t="str">
        <f aca="false">IF($A165="N/A"," ",IF(VolType=1,CP165,CO165))</f>
        <v> </v>
      </c>
      <c r="CR165" s="312" t="str">
        <f aca="false">IF($A165="N/A"," ",(VLOOKUP($A165,GasVolTable,(IF(VolBMO=2,6,IF(VolBMO=1,7,5))),FALSE())))</f>
        <v> </v>
      </c>
      <c r="CS165" s="312" t="str">
        <f aca="false">IF($A165="N/A"," ",(VLOOKUP($A165,OmicronVol,(IF(VolBMO=2,3,IF(VolBMO=1,4,2))),FALSE())))</f>
        <v> </v>
      </c>
      <c r="CT165" s="312" t="str">
        <f aca="false">IF($A165="N/A"," ",(IF(DateToday&gt;$A165,$CS165,IF(VolType=1,((($CR165^2)*((($A165-1)-DateToday)/((EOMONTH($A165,0)+1)-DateToday-15)))+((($CS165)^2)*((15)/((EOMONTH($A165,0)+1)-DateToday-15))))^0.5,CR165))))</f>
        <v> </v>
      </c>
      <c r="CU165" s="312" t="str">
        <f aca="false">IF($A165="N/A"," ",IF('Pricing Inputs'!$AR$23=TRUE(),Inputs!$S$22,VLOOKUP($A165,CorrelationTable,2,FALSE())))</f>
        <v> </v>
      </c>
      <c r="CV165" s="313" t="str">
        <f aca="false">IF($A165="N/A"," ",F165+G165+(D165*('Pricing Inputs'!X200)))</f>
        <v> </v>
      </c>
      <c r="CW165" s="314" t="str">
        <f aca="false">IF($A165="N/A"," ",IF(PV=1,0,'Pricing Inputs'!Y200))</f>
        <v> </v>
      </c>
      <c r="CX165" s="315" t="str">
        <f aca="false">IF($A165="N/A"," ",(1+CW165/2)^(-2*((EOMONTH(A165,0)+20)-DateToday)/365.25))</f>
        <v> </v>
      </c>
      <c r="CY165" s="316" t="str">
        <f aca="false">IF($A165="N/A"," ",(IF(MONTH(A165)&gt;=4,IF(MONTH(A165)&lt;=10,Inputs!$S$26,Inputs!$S$27),Inputs!$S$27))*$CX165)</f>
        <v> </v>
      </c>
      <c r="CZ165" s="317" t="str">
        <f aca="false">IF($A165="N/A"," ",BK165+BL165+BN165+BO165+BQ165+BR165)</f>
        <v> </v>
      </c>
      <c r="DA165" s="318" t="str">
        <f aca="false">IF($A165="N/A"," ",BM165+BP165+BS165)</f>
        <v> </v>
      </c>
      <c r="DB165" s="319" t="str">
        <f aca="false">IF($A165="N/A"," ",BT165+BU165+BW165+BX165+BZ165+CA165)</f>
        <v> </v>
      </c>
      <c r="DC165" s="319" t="str">
        <f aca="false">IF($A165="N/A"," ",BV165+BY165+CB165)</f>
        <v> </v>
      </c>
      <c r="DD165" s="320" t="str">
        <f aca="false">IF($A165="N/A"," ",SUM(CC165:CK165))</f>
        <v> </v>
      </c>
      <c r="DE165" s="321" t="str">
        <f aca="false">IF($A165="N/A"," ",VLOOKUP($A165,NumberofDaysTable,2)*Availability)</f>
        <v> </v>
      </c>
      <c r="DF165" s="94" t="str">
        <f aca="false">IF($A165="N/A"," ",VLOOKUP($A165,NumberofDaysTable,3)*Availability)</f>
        <v> </v>
      </c>
      <c r="DG165" s="322" t="str">
        <f aca="false">IF($A165="N/A"," ",VLOOKUP($A165,NumberofDaysTable,4)*Availability)</f>
        <v> </v>
      </c>
      <c r="DH165" s="323" t="str">
        <f aca="false">IF($A165="N/A"," ",IF(Option=1,$D165*Inputs!$S$15*SUM(AS165:BA165),0))</f>
        <v> </v>
      </c>
      <c r="DI165" s="324" t="str">
        <f aca="false">IF($A165="N/A"," ",IF(Option=1,$D165*Inputs!$S$16*SUM(AS165:BA165),0))</f>
        <v> </v>
      </c>
      <c r="DJ165" s="325" t="str">
        <f aca="false">IF($A165="N/A"," ",SUM(AS165:AT165))</f>
        <v> </v>
      </c>
      <c r="DK165" s="325" t="str">
        <f aca="false">IF($A165="N/A"," ",SUM(AU165:BA165))</f>
        <v> </v>
      </c>
      <c r="DL165" s="325" t="str">
        <f aca="false">IF($A165="N/A"," ",SUM(BB165:BC165))</f>
        <v> </v>
      </c>
      <c r="DM165" s="325" t="str">
        <f aca="false">IF($A165="N/A"," ",SUM(BD165:BJ165))</f>
        <v> </v>
      </c>
    </row>
    <row r="166" customFormat="false" ht="12.75" hidden="false" customHeight="false" outlineLevel="0" collapsed="false">
      <c r="A166" s="282" t="str">
        <f aca="false">IF(A165="N/A","N/A",IF(EDATE(A165,1)&gt;Inputs!$S$5,"N/A",EDATE(A165,1)))</f>
        <v>N/A</v>
      </c>
      <c r="B166" s="283" t="str">
        <f aca="false">IF(A166="N/A"," ",YEAR(A166))</f>
        <v> </v>
      </c>
      <c r="C166" s="284" t="str">
        <f aca="false">IF(A166="N/A"," ",VLOOKUP(A166,ScaledPrice,14))</f>
        <v> </v>
      </c>
      <c r="D166" s="285" t="str">
        <f aca="false">IF(A166="N/A"," ",(VLOOKUP(MONTH($A166),Hrtable,2))/1000)</f>
        <v> </v>
      </c>
      <c r="E166" s="286" t="str">
        <f aca="false">IF($A166="N/A"," ",(C166)*D166)</f>
        <v> </v>
      </c>
      <c r="F166" s="287" t="str">
        <f aca="false">IF(A166="N/A"," ",VOM*(1+VOMesc)^(YEAR(A166)-YEAR(Today)))</f>
        <v> </v>
      </c>
      <c r="G166" s="287" t="str">
        <f aca="false">IF(A166="N/A"," ",Perstart/VLOOKUP(Dayrun,'Pricing Inputs'!$AQ$4:$AS$14,3)/(CY166/CX166))</f>
        <v> </v>
      </c>
      <c r="H166" s="288" t="str">
        <f aca="false">IF(A166="N/A"," ",SUM(E166:G166))</f>
        <v> </v>
      </c>
      <c r="I166" s="289" t="str">
        <f aca="false">VLOOKUP($A166,ScaledPrice,6)</f>
        <v> </v>
      </c>
      <c r="J166" s="290" t="str">
        <f aca="false">VLOOKUP($A166,ScaledPrice,10)</f>
        <v> </v>
      </c>
      <c r="K166" s="290" t="str">
        <f aca="false">VLOOKUP($A166,ScaledPrice,13)</f>
        <v> </v>
      </c>
      <c r="L166" s="290" t="str">
        <f aca="false">VLOOKUP($A166,ScaledPrice,7)</f>
        <v> </v>
      </c>
      <c r="M166" s="290" t="str">
        <f aca="false">VLOOKUP($A166,ScaledPrice,11)</f>
        <v> </v>
      </c>
      <c r="N166" s="290" t="str">
        <f aca="false">VLOOKUP($A166,ScaledPrice,13)</f>
        <v> </v>
      </c>
      <c r="O166" s="290" t="str">
        <f aca="false">VLOOKUP($A166,ScaledPrice,8)</f>
        <v> </v>
      </c>
      <c r="P166" s="290" t="str">
        <f aca="false">VLOOKUP($A166,ScaledPrice,12)</f>
        <v> </v>
      </c>
      <c r="Q166" s="291" t="str">
        <f aca="false">VLOOKUP($A166,ScaledPrice,13)</f>
        <v> </v>
      </c>
      <c r="R166" s="292" t="str">
        <f aca="false">IF($A166="N/A"," ",IF(Dayrun&gt;=3,IF(Option=1,MAX($I166-$H166,0),IF(Option=2,MAX($H166-$I166,0),0)),0))</f>
        <v> </v>
      </c>
      <c r="S166" s="286" t="str">
        <f aca="false">IF($A166="N/A"," ",IF(Dayrun&gt;=6,IF(Option=1,MAX($J166-H166,0),IF(Option=2,MAX(H166-$J166,0),0)),0))</f>
        <v> </v>
      </c>
      <c r="T166" s="286" t="str">
        <f aca="false">IF($A166="N/A"," ",IF(OR(Dayrun&lt;=2,Dayrun&gt;=9),IF(Option=1,MAX($K166-$H166,0),IF(Option=2,MAX($H166-$K166,0),0)),0))</f>
        <v> </v>
      </c>
      <c r="U166" s="286" t="str">
        <f aca="false">IF($A166="N/A"," ",IF(OR(Dayrun=1,Dayrun=4,Dayrun=5,Dayrun=7,Dayrun=8,Dayrun=10,Dayrun=11),IF(Option=1,MAX($L166-H166,0),IF(Option=2,MAX(H166-$L166,0),0)),0))</f>
        <v> </v>
      </c>
      <c r="V166" s="286" t="str">
        <f aca="false">IF($A166="N/A"," ",IF(OR(Dayrun=1,Dayrun=7,Dayrun=8,Dayrun=10,Dayrun=11),IF(Option=1,MAX($M166-H166,0),IF(Option=2,MAX(H166-$M166,0),0)),0))</f>
        <v> </v>
      </c>
      <c r="W166" s="286" t="str">
        <f aca="false">IF($A166="N/A"," ",IF(OR(Dayrun&lt;=2,Dayrun&gt;=10),IF(Option=1,MAX($N166-$H166,0),IF(Option=2,MAX($H166-$N166,0),0)),0))</f>
        <v> </v>
      </c>
      <c r="X166" s="286" t="str">
        <f aca="false">IF($A166="N/A"," ",IF(OR(Dayrun=1,Dayrun=5,Dayrun=8,Dayrun=11),IF(Option=1,MAX($O166-H166,0),IF(Option=2,MAX(H166-$O166,0),0)),0))</f>
        <v> </v>
      </c>
      <c r="Y166" s="286" t="str">
        <f aca="false">IF($A166="N/A"," ",IF(OR(Dayrun=1,Dayrun=8,Dayrun=11),IF(Option=1,MAX($P166-H166,0),IF(Option=2,MAX(H166-$P166,0),0)),0))</f>
        <v> </v>
      </c>
      <c r="Z166" s="293" t="str">
        <f aca="false">IF($A166="N/A"," ",IF(OR(Dayrun&lt;=2,Dayrun&gt;=11),IF(Option=1,MAX($Q166-$H166,0),IF(Option=2,MAX($H166-$Q166,0),0)),0))</f>
        <v> </v>
      </c>
      <c r="AA166" s="289" t="str">
        <f aca="false">IF($A166="N/A"," ",IF(Dayrun&gt;=3,(MAX(0,(xSPRDOPT(I166,($E166-'Pricing Inputs'!$X201*$D166),$CV166,0,($CN166+IF(Smile=TRUE(),VLOOKUP(MAX(-5,$H166-I166),Volsmile,2),0)),$CT166,$CU166,($A166-DateToday)+15,ABS(Option-2),0)-R166))),0))</f>
        <v> </v>
      </c>
      <c r="AB166" s="290" t="str">
        <f aca="false">IF($A166="N/A"," ",IF(Dayrun&gt;=6,MAX(0,(xSPRDOPT(J166,($E166-'Pricing Inputs'!$X201*$D166),$CV166,0,($CN166+IF(Smile=TRUE(),VLOOKUP(MAX(-5,$H166-J166),Volsmile,2),0)),$CT166,$CU166,($A166-DateToday)+15,ABS(Option-2),0)-S166)),0))</f>
        <v> </v>
      </c>
      <c r="AC166" s="290" t="str">
        <f aca="false">IF($A166="N/A"," ",IF(OR(Dayrun&lt;=2,Dayrun&gt;=9),IF(OffPeakEx=TRUE(),MAX(0,(xSPRDOPT(K166,($E166-'Pricing Inputs'!$X201*$D166),$CV166,0,($CQ166+IF(Smile=TRUE(),VLOOKUP(MAX(-5,$H166-K166),Volsmile,2),0)),$CT166,$CU166,($A166-DateToday)+15,ABS(Option-2),0)-T166)),0),0))</f>
        <v> </v>
      </c>
      <c r="AD166" s="290" t="str">
        <f aca="false">IF($A166="N/A"," ",IF(OR(Dayrun=1,Dayrun=4,Dayrun=5,Dayrun=7,Dayrun=8,Dayrun=10,Dayrun=11),MAX(0,(xSPRDOPT(L166,($E166-'Pricing Inputs'!$X201*$D166),$CV166,0,($CQ166+IF(Smile=TRUE(),VLOOKUP(MAX(-5,$H166-L166),Volsmile,2),0)),$CT166,$CU166,($A166-DateToday)+15,ABS(Option-2),0)-U166)),0))</f>
        <v> </v>
      </c>
      <c r="AE166" s="290" t="str">
        <f aca="false">IF($A166="N/A"," ",IF(OR(Dayrun=1,Dayrun=7,Dayrun=8,Dayrun=10,Dayrun=11),MAX(0,(xSPRDOPT(M166,($E166-'Pricing Inputs'!$X201*$D166),$CV166,0,($CQ166+IF(Smile=TRUE(),VLOOKUP(MAX(-5,$H166-M166),Volsmile,2),0)),$CT166,$CU166,($A166-DateToday)+15,ABS(Option-2),0)-V166)),0))</f>
        <v> </v>
      </c>
      <c r="AF166" s="290" t="str">
        <f aca="false">IF($A166="N/A"," ",IF(OR(Dayrun&lt;=2,Dayrun&gt;=10),IF(OffPeakEx=TRUE(),MAX(0,(xSPRDOPT(N166,($E166-'Pricing Inputs'!$X201*$D166),$CV166,0,($CQ166+IF(Smile=TRUE(),VLOOKUP(MAX(-5,$H166-N166),Volsmile,2),0)),$CT166,$CU166,($A166-DateToday)+15,ABS(Option-2),0)-W166)),0),0))</f>
        <v> </v>
      </c>
      <c r="AG166" s="290" t="str">
        <f aca="false">IF($A166="N/A"," ",IF(OR(Dayrun=1,Dayrun=5,Dayrun=8,Dayrun=11),MAX(0,(xSPRDOPT(O166,($E166-'Pricing Inputs'!$X201*$D166),$CV166,0,($CQ166+IF(Smile=TRUE(),VLOOKUP(MAX(-5,$H166-O166),Volsmile,2),0)),$CT166,$CU166,($A166-DateToday)+15,ABS(Option-2),0)-X166)),0))</f>
        <v> </v>
      </c>
      <c r="AH166" s="290" t="str">
        <f aca="false">IF($A166="N/A"," ",IF(OR(Dayrun=1,Dayrun=8,Dayrun=11),MAX(0,(xSPRDOPT(P166,($E166-'Pricing Inputs'!$X201*$D166),$CV166,0,($CQ166+IF(Smile=TRUE(),VLOOKUP(MAX(-5,$H166-P166),Volsmile,2),0)),$CT166,$CU166,($A166-DateToday)+15,ABS(Option-2),0)-Y166)),0))</f>
        <v> </v>
      </c>
      <c r="AI166" s="290" t="str">
        <f aca="false">IF($A166="N/A"," ",IF(OR(Dayrun&lt;=2,Dayrun&gt;=11),IF(OffPeakEx=TRUE(),MAX(0,(xSPRDOPT(Q166,($E166-'Pricing Inputs'!$X201*$D166),$CV166,0,($CQ166+IF(Smile=TRUE(),VLOOKUP(MAX(-5,$H166-Q166),Volsmile,2),0)),$CT166,$CU166,($A166-DateToday)+15,ABS(Option-2),0)-Z166)),0),0))</f>
        <v> </v>
      </c>
      <c r="AJ166" s="294" t="str">
        <f aca="false">IF($A166="N/A"," ",IF(Dayrun&gt;=3,IF(Option=1,$I166-$H166,IF(Option=2,$H166-$I166)),0))</f>
        <v> </v>
      </c>
      <c r="AK166" s="295" t="str">
        <f aca="false">IF($A166="N/A"," ",IF(Dayrun&gt;=6,IF(Option=1,$J166-H166,IF(Option=2,H166-$J166)),0))</f>
        <v> </v>
      </c>
      <c r="AL166" s="295" t="str">
        <f aca="false">IF($A166="N/A"," ",IF(OR(Dayrun&lt;=2,Dayrun&gt;=9),IF(Option=1,$K166-$H166,IF(Option=2,$H166-$K166)),0))</f>
        <v> </v>
      </c>
      <c r="AM166" s="295" t="str">
        <f aca="false">IF($A166="N/A"," ",IF(OR(Dayrun=1,Dayrun=4,Dayrun=5,Dayrun=7,Dayrun=8,Dayrun=10,Dayrun=11),IF(Option=1,$L166-H166,IF(Option=2,H166-$L166)),0))</f>
        <v> </v>
      </c>
      <c r="AN166" s="295" t="str">
        <f aca="false">IF($A166="N/A"," ",IF(OR(Dayrun=1,Dayrun=7,Dayrun=8,Dayrun=10,Dayrun=11),IF(Option=1,$M166-H166,IF(Option=2,H166-$M166)),0))</f>
        <v> </v>
      </c>
      <c r="AO166" s="295" t="str">
        <f aca="false">IF($A166="N/A"," ",IF(OR(Dayrun&lt;=2,Dayrun&gt;=9),IF(Option=1,$N166-$H166,IF(Option=2,$H166-$N166)),0))</f>
        <v> </v>
      </c>
      <c r="AP166" s="295" t="str">
        <f aca="false">IF($A166="N/A"," ",IF(OR(Dayrun=1,Dayrun=5,Dayrun=8,Dayrun=11),IF(Option=1,$O166-H166,IF(Option=2,H166-$O166)),0))</f>
        <v> </v>
      </c>
      <c r="AQ166" s="295" t="str">
        <f aca="false">IF($A166="N/A"," ",IF(OR(Dayrun=1,Dayrun=8,Dayrun=11),IF(Option=1,$P166-H166,IF(Option=2,H166-$P166)),0))</f>
        <v> </v>
      </c>
      <c r="AR166" s="296" t="str">
        <f aca="false">IF($A166="N/A"," ",IF(OR(Dayrun&lt;=2,Dayrun&gt;=9),IF(Option=1,$Q166-H166,IF(Option=2,H166-$Q166)),0))</f>
        <v> </v>
      </c>
      <c r="AS166" s="297" t="str">
        <f aca="false">IF($A166="N/A"," ",IF(VLOOKUP(MONTH($A166),ManualTable,2)=1,IF(Dayrun&gt;=3,$DE166*8*$CY166,0),0))</f>
        <v> </v>
      </c>
      <c r="AT166" s="297" t="str">
        <f aca="false">IF($A166="N/A"," ",IF(VLOOKUP(MONTH($A166),ManualTable,3)=1,IF(Dayrun&gt;=6,$DE166*8*$CY166,0),0))</f>
        <v> </v>
      </c>
      <c r="AU166" s="297" t="str">
        <f aca="false">IF($A166="N/A"," ",IF(VLOOKUP(MONTH($A166),ManualTable,4)=1,IF(OR(Dayrun&lt;=2,Dayrun&gt;=9),$DE166*8*$CY166,0),0))</f>
        <v> </v>
      </c>
      <c r="AV166" s="297" t="str">
        <f aca="false">IF($A166="N/A"," ",IF(VLOOKUP(MONTH($A166),ManualTable,5)=1,IF(OR(Dayrun=1,Dayrun=4,Dayrun=5,Dayrun=7,Dayrun=8,Dayrun=10,Dayrun=11),$DF166*8*$CY166,0),0))</f>
        <v> </v>
      </c>
      <c r="AW166" s="297" t="str">
        <f aca="false">IF($A166="N/A"," ",IF(VLOOKUP(MONTH($A166),ManualTable,6)=1,IF(OR(Dayrun=1,Dayrun=7,Dayrun=8,Dayrun=10,Dayrun=11),$DF166*8*$CY166,0),0))</f>
        <v> </v>
      </c>
      <c r="AX166" s="297" t="str">
        <f aca="false">IF($A166="N/A"," ",IF(VLOOKUP(MONTH($A166),ManualTable,7)=1,IF(OR(Dayrun&lt;=2,Dayrun&gt;=9),$DF166*8*$CY166,0),0))</f>
        <v> </v>
      </c>
      <c r="AY166" s="297" t="str">
        <f aca="false">IF($A166="N/A"," ",IF(VLOOKUP(MONTH($A166),ManualTable,8)=1,IF(OR(Dayrun=1,Dayrun=5,Dayrun=8,Dayrun=11),$DG166*8*$CY166,0),0))</f>
        <v> </v>
      </c>
      <c r="AZ166" s="297" t="str">
        <f aca="false">IF($A166="N/A"," ",IF(VLOOKUP(MONTH($A166),ManualTable,9)=1,IF(OR(Dayrun=1,Dayrun=8,Dayrun=11),$DG166*8*$CY166,0),0))</f>
        <v> </v>
      </c>
      <c r="BA166" s="298" t="str">
        <f aca="false">IF($A166="N/A"," ",IF(VLOOKUP(MONTH($A166),ManualTable,10)=1,IF(OR(Dayrun&lt;=2,Dayrun&gt;=9),$DG166*8*$CY166,0),0))</f>
        <v> </v>
      </c>
      <c r="BB166" s="299" t="str">
        <f aca="false">IF($A166="N/A"," ",IF(Dayrun&gt;=3,(MAX(0,(xSPRDOPT(I166,($E166-'Pricing Inputs'!$X201*$D166),$CV166,0,($CN166+IF(Smile=TRUE(),VLOOKUP(MAX(-5,$H166-I166),Volsmile,2),0)),$CT166,$CU166,($A166-DateToday)+15,ABS(Option-2),1)*DE166*8))),0))</f>
        <v> </v>
      </c>
      <c r="BC166" s="300" t="str">
        <f aca="false">IF($A166="N/A"," ",IF(Dayrun&gt;=6,MAX(0,(xSPRDOPT(J166,($E166-'Pricing Inputs'!$X201*$D166),$CV166,0,($CN166+IF(Smile=TRUE(),VLOOKUP(MAX(-5,$H166-J166),Volsmile,2),0)),$CT166,$CU166,($A166-DateToday)+15,ABS(Option-2),1)*DE166*8)),0))</f>
        <v> </v>
      </c>
      <c r="BD166" s="300" t="str">
        <f aca="false">IF($A166="N/A"," ",IF(OR(Dayrun&lt;=2,Dayrun&gt;=9),IF(OffPeakEx=TRUE(),MAX(0,(xSPRDOPT(K166,($E166-'Pricing Inputs'!$X201*$D166),$CV166,0,($CQ166+IF(Smile=TRUE(),VLOOKUP(MAX(-5,$H166-K166),Volsmile,2),0)),$CT166,$CU166,($A166-DateToday)+15,ABS(Option-2),1)*DE166*8)),0),0))</f>
        <v> </v>
      </c>
      <c r="BE166" s="300" t="str">
        <f aca="false">IF($A166="N/A"," ",IF(OR(Dayrun=1,Dayrun=4,Dayrun=5,Dayrun=7,Dayrun=8,Dayrun=10,Dayrun=11),MAX(0,(xSPRDOPT(L166,($E166-'Pricing Inputs'!$X201*$D166),$CV166,0,($CQ166+IF(Smile=TRUE(),VLOOKUP(MAX(-5,$H166-L166),Volsmile,2),0)),$CT166,$CU166,($A166-DateToday)+15,ABS(Option-2),1)*DF166*8)),0))</f>
        <v> </v>
      </c>
      <c r="BF166" s="300" t="str">
        <f aca="false">IF($A166="N/A"," ",IF(OR(Dayrun=1,Dayrun=7,Dayrun=8,Dayrun=10,Dayrun=11),MAX(0,(xSPRDOPT(M166,($E166-'Pricing Inputs'!$X201*$D166),$CV166,0,($CQ166+IF(Smile=TRUE(),VLOOKUP(MAX(-5,$H166-M166),Volsmile,2),0)),$CT166,$CU166,($A166-DateToday)+15,ABS(Option-2),1)*DF166*8)),0))</f>
        <v> </v>
      </c>
      <c r="BG166" s="300" t="str">
        <f aca="false">IF($A166="N/A"," ",IF(OR(Dayrun&lt;=2,Dayrun&gt;=10),IF(OffPeakEx=TRUE(),MAX(0,(xSPRDOPT(N166,($E166-'Pricing Inputs'!$X201*$D166),$CV166,0,($CQ166+IF(Smile=TRUE(),VLOOKUP(MAX(-5,$H166-N166),Volsmile,2),0)),$CT166,$CU166,($A166-DateToday)+15,ABS(Option-2),1)*DF166*8)),0),0))</f>
        <v> </v>
      </c>
      <c r="BH166" s="300" t="str">
        <f aca="false">IF($A166="N/A"," ",IF(OR(Dayrun=1,Dayrun=5,Dayrun=8,Dayrun=11),MAX(0,(xSPRDOPT(O166,($E166-'Pricing Inputs'!$X201*$D166),$CV166,0,($CQ166+IF(Smile=TRUE(),VLOOKUP(MAX(-5,$H166-O166),Volsmile,2),0)),$CT166,$CU166,($A166-DateToday)+15,ABS(Option-2),1)*DG166*8)),0))</f>
        <v> </v>
      </c>
      <c r="BI166" s="300" t="str">
        <f aca="false">IF($A166="N/A"," ",IF(OR(Dayrun=1,Dayrun=8,Dayrun=11),MAX(0,(xSPRDOPT(P166,($E166-'Pricing Inputs'!$X201*$D166),$CV166,0,($CQ166+IF(Smile=TRUE(),VLOOKUP(MAX(-5,$H166-P166),Volsmile,2),0)),$CT166,$CU166,($A166-DateToday)+15,ABS(Option-2),1)*DG166*8)),0))</f>
        <v> </v>
      </c>
      <c r="BJ166" s="301" t="str">
        <f aca="false">IF($A166="N/A"," ",IF(OR(Dayrun&lt;=2,Dayrun&gt;=11),IF(OffPeakEx=TRUE(),MAX(0,(xSPRDOPT(Q166,($E166-'Pricing Inputs'!$X201*$D166),$CV166,0,($CQ166+IF(Smile=TRUE(),VLOOKUP(MAX(-5,$H166-Q166),Volsmile,2),0)),$CT166,$CU166,($A166-DateToday)+15,ABS(Option-2),1)*DG166*8)),0),0))</f>
        <v> </v>
      </c>
      <c r="BK166" s="302" t="str">
        <f aca="false">IF($A166="N/A"," ",R166*$AS166)</f>
        <v> </v>
      </c>
      <c r="BL166" s="303" t="str">
        <f aca="false">IF($A166="N/A"," ",S166*$AT166)</f>
        <v> </v>
      </c>
      <c r="BM166" s="303" t="str">
        <f aca="false">IF($A166="N/A"," ",T166*$AU166)</f>
        <v> </v>
      </c>
      <c r="BN166" s="303" t="str">
        <f aca="false">IF($A166="N/A"," ",U166*$AV166)</f>
        <v> </v>
      </c>
      <c r="BO166" s="303" t="str">
        <f aca="false">IF($A166="N/A"," ",V166*$AW166)</f>
        <v> </v>
      </c>
      <c r="BP166" s="303" t="str">
        <f aca="false">IF($A166="N/A"," ",W166*$AX166)</f>
        <v> </v>
      </c>
      <c r="BQ166" s="303" t="str">
        <f aca="false">IF($A166="N/A"," ",X166*$AY166)</f>
        <v> </v>
      </c>
      <c r="BR166" s="303" t="str">
        <f aca="false">IF($A166="N/A"," ",Y166*$AZ166)</f>
        <v> </v>
      </c>
      <c r="BS166" s="304" t="str">
        <f aca="false">IF($A166="N/A"," ",Z166*$BA166)</f>
        <v> </v>
      </c>
      <c r="BT166" s="305" t="str">
        <f aca="false">IF($A166="N/A"," ",AA166*$AS166)</f>
        <v> </v>
      </c>
      <c r="BU166" s="306" t="str">
        <f aca="false">IF($A166="N/A"," ",AB166*$AT166)</f>
        <v> </v>
      </c>
      <c r="BV166" s="306" t="str">
        <f aca="false">IF($A166="N/A"," ",AC166*$AU166)</f>
        <v> </v>
      </c>
      <c r="BW166" s="306" t="str">
        <f aca="false">IF($A166="N/A"," ",AD166*$AV166)</f>
        <v> </v>
      </c>
      <c r="BX166" s="306" t="str">
        <f aca="false">IF($A166="N/A"," ",AE166*$AW166)</f>
        <v> </v>
      </c>
      <c r="BY166" s="306" t="str">
        <f aca="false">IF($A166="N/A"," ",AF166*$AX166)</f>
        <v> </v>
      </c>
      <c r="BZ166" s="306" t="str">
        <f aca="false">IF($A166="N/A"," ",AG166*$AY166)</f>
        <v> </v>
      </c>
      <c r="CA166" s="306" t="str">
        <f aca="false">IF($A166="N/A"," ",AH166*$AZ166)</f>
        <v> </v>
      </c>
      <c r="CB166" s="307" t="str">
        <f aca="false">IF($A166="N/A"," ",AI166*$BA166)</f>
        <v> </v>
      </c>
      <c r="CC166" s="308" t="str">
        <f aca="false">IF($A166="N/A"," ",AJ166*$AS166)</f>
        <v> </v>
      </c>
      <c r="CD166" s="309" t="str">
        <f aca="false">IF($A166="N/A"," ",AK166*$AT166)</f>
        <v> </v>
      </c>
      <c r="CE166" s="309" t="str">
        <f aca="false">IF($A166="N/A"," ",AL166*$AU166)</f>
        <v> </v>
      </c>
      <c r="CF166" s="309" t="str">
        <f aca="false">IF($A166="N/A"," ",AM166*$AV166)</f>
        <v> </v>
      </c>
      <c r="CG166" s="309" t="str">
        <f aca="false">IF($A166="N/A"," ",AN166*$AW166)</f>
        <v> </v>
      </c>
      <c r="CH166" s="309" t="str">
        <f aca="false">IF($A166="N/A"," ",AO166*$AX166)</f>
        <v> </v>
      </c>
      <c r="CI166" s="309" t="str">
        <f aca="false">IF($A166="N/A"," ",AP166*$AY166)</f>
        <v> </v>
      </c>
      <c r="CJ166" s="309" t="str">
        <f aca="false">IF($A166="N/A"," ",AQ166*$AZ166)</f>
        <v> </v>
      </c>
      <c r="CK166" s="310" t="str">
        <f aca="false">IF($A166="N/A"," ",AR166*$BA166)</f>
        <v> </v>
      </c>
      <c r="CL166" s="311" t="str">
        <f aca="false">IF(A166="N/A"," ",(VLOOKUP(A166,PowerVolTable,(IF(VolBMO=2,7,IF(VolBMO=1,6,8))),FALSE())))</f>
        <v> </v>
      </c>
      <c r="CM166" s="312" t="str">
        <f aca="false">IF(A166="N/A"," ",(VLOOKUP(A166,IntraPowerVol,(IF(VolBMO=2,3,IF(VolBMO=1,2,4))),FALSE())*VLOOKUP(MONTH($A166),Volscale,2)))</f>
        <v> </v>
      </c>
      <c r="CN166" s="312" t="str">
        <f aca="false">IF($A166="N/A"," ",IF(VolType=1,CM166,CL166))</f>
        <v> </v>
      </c>
      <c r="CO166" s="312" t="str">
        <f aca="false">IF($A166="N/A"," ",(VLOOKUP($A166,OffPeakVol,(IF(VolBMO=2,7,IF(VolBMO=1,6,8))),FALSE())))</f>
        <v> </v>
      </c>
      <c r="CP166" s="312" t="str">
        <f aca="false">IF($A166="N/A"," ",(VLOOKUP($A166,OffPeakVol,(IF(VolBMO=2,3,IF(VolBMO=1,2,4))),FALSE())*VLOOKUP(MONTH($A166),Volscale,2)))</f>
        <v> </v>
      </c>
      <c r="CQ166" s="312" t="str">
        <f aca="false">IF($A166="N/A"," ",IF(VolType=1,CP166,CO166))</f>
        <v> </v>
      </c>
      <c r="CR166" s="312" t="str">
        <f aca="false">IF($A166="N/A"," ",(VLOOKUP($A166,GasVolTable,(IF(VolBMO=2,6,IF(VolBMO=1,7,5))),FALSE())))</f>
        <v> </v>
      </c>
      <c r="CS166" s="312" t="str">
        <f aca="false">IF($A166="N/A"," ",(VLOOKUP($A166,OmicronVol,(IF(VolBMO=2,3,IF(VolBMO=1,4,2))),FALSE())))</f>
        <v> </v>
      </c>
      <c r="CT166" s="312" t="str">
        <f aca="false">IF($A166="N/A"," ",(IF(DateToday&gt;$A166,$CS166,IF(VolType=1,((($CR166^2)*((($A166-1)-DateToday)/((EOMONTH($A166,0)+1)-DateToday-15)))+((($CS166)^2)*((15)/((EOMONTH($A166,0)+1)-DateToday-15))))^0.5,CR166))))</f>
        <v> </v>
      </c>
      <c r="CU166" s="312" t="str">
        <f aca="false">IF($A166="N/A"," ",IF('Pricing Inputs'!$AR$23=TRUE(),Inputs!$S$22,VLOOKUP($A166,CorrelationTable,2,FALSE())))</f>
        <v> </v>
      </c>
      <c r="CV166" s="313" t="str">
        <f aca="false">IF($A166="N/A"," ",F166+G166+(D166*('Pricing Inputs'!X201)))</f>
        <v> </v>
      </c>
      <c r="CW166" s="314" t="str">
        <f aca="false">IF($A166="N/A"," ",IF(PV=1,0,'Pricing Inputs'!Y201))</f>
        <v> </v>
      </c>
      <c r="CX166" s="315" t="str">
        <f aca="false">IF($A166="N/A"," ",(1+CW166/2)^(-2*((EOMONTH(A166,0)+20)-DateToday)/365.25))</f>
        <v> </v>
      </c>
      <c r="CY166" s="316" t="str">
        <f aca="false">IF($A166="N/A"," ",(IF(MONTH(A166)&gt;=4,IF(MONTH(A166)&lt;=10,Inputs!$S$26,Inputs!$S$27),Inputs!$S$27))*$CX166)</f>
        <v> </v>
      </c>
      <c r="CZ166" s="317" t="str">
        <f aca="false">IF($A166="N/A"," ",BK166+BL166+BN166+BO166+BQ166+BR166)</f>
        <v> </v>
      </c>
      <c r="DA166" s="318" t="str">
        <f aca="false">IF($A166="N/A"," ",BM166+BP166+BS166)</f>
        <v> </v>
      </c>
      <c r="DB166" s="319" t="str">
        <f aca="false">IF($A166="N/A"," ",BT166+BU166+BW166+BX166+BZ166+CA166)</f>
        <v> </v>
      </c>
      <c r="DC166" s="319" t="str">
        <f aca="false">IF($A166="N/A"," ",BV166+BY166+CB166)</f>
        <v> </v>
      </c>
      <c r="DD166" s="320" t="str">
        <f aca="false">IF($A166="N/A"," ",SUM(CC166:CK166))</f>
        <v> </v>
      </c>
      <c r="DE166" s="321" t="str">
        <f aca="false">IF($A166="N/A"," ",VLOOKUP($A166,NumberofDaysTable,2)*Availability)</f>
        <v> </v>
      </c>
      <c r="DF166" s="94" t="str">
        <f aca="false">IF($A166="N/A"," ",VLOOKUP($A166,NumberofDaysTable,3)*Availability)</f>
        <v> </v>
      </c>
      <c r="DG166" s="322" t="str">
        <f aca="false">IF($A166="N/A"," ",VLOOKUP($A166,NumberofDaysTable,4)*Availability)</f>
        <v> </v>
      </c>
      <c r="DH166" s="323" t="str">
        <f aca="false">IF($A166="N/A"," ",IF(Option=1,$D166*Inputs!$S$15*SUM(AS166:BA166),0))</f>
        <v> </v>
      </c>
      <c r="DI166" s="324" t="str">
        <f aca="false">IF($A166="N/A"," ",IF(Option=1,$D166*Inputs!$S$16*SUM(AS166:BA166),0))</f>
        <v> </v>
      </c>
      <c r="DJ166" s="325" t="str">
        <f aca="false">IF($A166="N/A"," ",SUM(AS166:AT166))</f>
        <v> </v>
      </c>
      <c r="DK166" s="325" t="str">
        <f aca="false">IF($A166="N/A"," ",SUM(AU166:BA166))</f>
        <v> </v>
      </c>
      <c r="DL166" s="325" t="str">
        <f aca="false">IF($A166="N/A"," ",SUM(BB166:BC166))</f>
        <v> </v>
      </c>
      <c r="DM166" s="325" t="str">
        <f aca="false">IF($A166="N/A"," ",SUM(BD166:BJ166))</f>
        <v> </v>
      </c>
    </row>
    <row r="167" customFormat="false" ht="12.75" hidden="false" customHeight="false" outlineLevel="0" collapsed="false">
      <c r="A167" s="282" t="str">
        <f aca="false">IF(A166="N/A","N/A",IF(EDATE(A166,1)&gt;Inputs!$S$5,"N/A",EDATE(A166,1)))</f>
        <v>N/A</v>
      </c>
      <c r="B167" s="283" t="str">
        <f aca="false">IF(A167="N/A"," ",YEAR(A167))</f>
        <v> </v>
      </c>
      <c r="C167" s="284" t="str">
        <f aca="false">IF(A167="N/A"," ",VLOOKUP(A167,ScaledPrice,14))</f>
        <v> </v>
      </c>
      <c r="D167" s="285" t="str">
        <f aca="false">IF(A167="N/A"," ",(VLOOKUP(MONTH($A167),Hrtable,2))/1000)</f>
        <v> </v>
      </c>
      <c r="E167" s="286" t="str">
        <f aca="false">IF($A167="N/A"," ",(C167)*D167)</f>
        <v> </v>
      </c>
      <c r="F167" s="287" t="str">
        <f aca="false">IF(A167="N/A"," ",VOM*(1+VOMesc)^(YEAR(A167)-YEAR(Today)))</f>
        <v> </v>
      </c>
      <c r="G167" s="287" t="str">
        <f aca="false">IF(A167="N/A"," ",Perstart/VLOOKUP(Dayrun,'Pricing Inputs'!$AQ$4:$AS$14,3)/(CY167/CX167))</f>
        <v> </v>
      </c>
      <c r="H167" s="288" t="str">
        <f aca="false">IF(A167="N/A"," ",SUM(E167:G167))</f>
        <v> </v>
      </c>
      <c r="I167" s="289" t="str">
        <f aca="false">VLOOKUP($A167,ScaledPrice,6)</f>
        <v> </v>
      </c>
      <c r="J167" s="290" t="str">
        <f aca="false">VLOOKUP($A167,ScaledPrice,10)</f>
        <v> </v>
      </c>
      <c r="K167" s="290" t="str">
        <f aca="false">VLOOKUP($A167,ScaledPrice,13)</f>
        <v> </v>
      </c>
      <c r="L167" s="290" t="str">
        <f aca="false">VLOOKUP($A167,ScaledPrice,7)</f>
        <v> </v>
      </c>
      <c r="M167" s="290" t="str">
        <f aca="false">VLOOKUP($A167,ScaledPrice,11)</f>
        <v> </v>
      </c>
      <c r="N167" s="290" t="str">
        <f aca="false">VLOOKUP($A167,ScaledPrice,13)</f>
        <v> </v>
      </c>
      <c r="O167" s="290" t="str">
        <f aca="false">VLOOKUP($A167,ScaledPrice,8)</f>
        <v> </v>
      </c>
      <c r="P167" s="290" t="str">
        <f aca="false">VLOOKUP($A167,ScaledPrice,12)</f>
        <v> </v>
      </c>
      <c r="Q167" s="291" t="str">
        <f aca="false">VLOOKUP($A167,ScaledPrice,13)</f>
        <v> </v>
      </c>
      <c r="R167" s="292" t="str">
        <f aca="false">IF($A167="N/A"," ",IF(Dayrun&gt;=3,IF(Option=1,MAX($I167-$H167,0),IF(Option=2,MAX($H167-$I167,0),0)),0))</f>
        <v> </v>
      </c>
      <c r="S167" s="286" t="str">
        <f aca="false">IF($A167="N/A"," ",IF(Dayrun&gt;=6,IF(Option=1,MAX($J167-H167,0),IF(Option=2,MAX(H167-$J167,0),0)),0))</f>
        <v> </v>
      </c>
      <c r="T167" s="286" t="str">
        <f aca="false">IF($A167="N/A"," ",IF(OR(Dayrun&lt;=2,Dayrun&gt;=9),IF(Option=1,MAX($K167-$H167,0),IF(Option=2,MAX($H167-$K167,0),0)),0))</f>
        <v> </v>
      </c>
      <c r="U167" s="286" t="str">
        <f aca="false">IF($A167="N/A"," ",IF(OR(Dayrun=1,Dayrun=4,Dayrun=5,Dayrun=7,Dayrun=8,Dayrun=10,Dayrun=11),IF(Option=1,MAX($L167-H167,0),IF(Option=2,MAX(H167-$L167,0),0)),0))</f>
        <v> </v>
      </c>
      <c r="V167" s="286" t="str">
        <f aca="false">IF($A167="N/A"," ",IF(OR(Dayrun=1,Dayrun=7,Dayrun=8,Dayrun=10,Dayrun=11),IF(Option=1,MAX($M167-H167,0),IF(Option=2,MAX(H167-$M167,0),0)),0))</f>
        <v> </v>
      </c>
      <c r="W167" s="286" t="str">
        <f aca="false">IF($A167="N/A"," ",IF(OR(Dayrun&lt;=2,Dayrun&gt;=10),IF(Option=1,MAX($N167-$H167,0),IF(Option=2,MAX($H167-$N167,0),0)),0))</f>
        <v> </v>
      </c>
      <c r="X167" s="286" t="str">
        <f aca="false">IF($A167="N/A"," ",IF(OR(Dayrun=1,Dayrun=5,Dayrun=8,Dayrun=11),IF(Option=1,MAX($O167-H167,0),IF(Option=2,MAX(H167-$O167,0),0)),0))</f>
        <v> </v>
      </c>
      <c r="Y167" s="286" t="str">
        <f aca="false">IF($A167="N/A"," ",IF(OR(Dayrun=1,Dayrun=8,Dayrun=11),IF(Option=1,MAX($P167-H167,0),IF(Option=2,MAX(H167-$P167,0),0)),0))</f>
        <v> </v>
      </c>
      <c r="Z167" s="293" t="str">
        <f aca="false">IF($A167="N/A"," ",IF(OR(Dayrun&lt;=2,Dayrun&gt;=11),IF(Option=1,MAX($Q167-$H167,0),IF(Option=2,MAX($H167-$Q167,0),0)),0))</f>
        <v> </v>
      </c>
      <c r="AA167" s="289" t="str">
        <f aca="false">IF($A167="N/A"," ",IF(Dayrun&gt;=3,(MAX(0,(xSPRDOPT(I167,($E167-'Pricing Inputs'!$X202*$D167),$CV167,0,($CN167+IF(Smile=TRUE(),VLOOKUP(MAX(-5,$H167-I167),Volsmile,2),0)),$CT167,$CU167,($A167-DateToday)+15,ABS(Option-2),0)-R167))),0))</f>
        <v> </v>
      </c>
      <c r="AB167" s="290" t="str">
        <f aca="false">IF($A167="N/A"," ",IF(Dayrun&gt;=6,MAX(0,(xSPRDOPT(J167,($E167-'Pricing Inputs'!$X202*$D167),$CV167,0,($CN167+IF(Smile=TRUE(),VLOOKUP(MAX(-5,$H167-J167),Volsmile,2),0)),$CT167,$CU167,($A167-DateToday)+15,ABS(Option-2),0)-S167)),0))</f>
        <v> </v>
      </c>
      <c r="AC167" s="290" t="str">
        <f aca="false">IF($A167="N/A"," ",IF(OR(Dayrun&lt;=2,Dayrun&gt;=9),IF(OffPeakEx=TRUE(),MAX(0,(xSPRDOPT(K167,($E167-'Pricing Inputs'!$X202*$D167),$CV167,0,($CQ167+IF(Smile=TRUE(),VLOOKUP(MAX(-5,$H167-K167),Volsmile,2),0)),$CT167,$CU167,($A167-DateToday)+15,ABS(Option-2),0)-T167)),0),0))</f>
        <v> </v>
      </c>
      <c r="AD167" s="290" t="str">
        <f aca="false">IF($A167="N/A"," ",IF(OR(Dayrun=1,Dayrun=4,Dayrun=5,Dayrun=7,Dayrun=8,Dayrun=10,Dayrun=11),MAX(0,(xSPRDOPT(L167,($E167-'Pricing Inputs'!$X202*$D167),$CV167,0,($CQ167+IF(Smile=TRUE(),VLOOKUP(MAX(-5,$H167-L167),Volsmile,2),0)),$CT167,$CU167,($A167-DateToday)+15,ABS(Option-2),0)-U167)),0))</f>
        <v> </v>
      </c>
      <c r="AE167" s="290" t="str">
        <f aca="false">IF($A167="N/A"," ",IF(OR(Dayrun=1,Dayrun=7,Dayrun=8,Dayrun=10,Dayrun=11),MAX(0,(xSPRDOPT(M167,($E167-'Pricing Inputs'!$X202*$D167),$CV167,0,($CQ167+IF(Smile=TRUE(),VLOOKUP(MAX(-5,$H167-M167),Volsmile,2),0)),$CT167,$CU167,($A167-DateToday)+15,ABS(Option-2),0)-V167)),0))</f>
        <v> </v>
      </c>
      <c r="AF167" s="290" t="str">
        <f aca="false">IF($A167="N/A"," ",IF(OR(Dayrun&lt;=2,Dayrun&gt;=10),IF(OffPeakEx=TRUE(),MAX(0,(xSPRDOPT(N167,($E167-'Pricing Inputs'!$X202*$D167),$CV167,0,($CQ167+IF(Smile=TRUE(),VLOOKUP(MAX(-5,$H167-N167),Volsmile,2),0)),$CT167,$CU167,($A167-DateToday)+15,ABS(Option-2),0)-W167)),0),0))</f>
        <v> </v>
      </c>
      <c r="AG167" s="290" t="str">
        <f aca="false">IF($A167="N/A"," ",IF(OR(Dayrun=1,Dayrun=5,Dayrun=8,Dayrun=11),MAX(0,(xSPRDOPT(O167,($E167-'Pricing Inputs'!$X202*$D167),$CV167,0,($CQ167+IF(Smile=TRUE(),VLOOKUP(MAX(-5,$H167-O167),Volsmile,2),0)),$CT167,$CU167,($A167-DateToday)+15,ABS(Option-2),0)-X167)),0))</f>
        <v> </v>
      </c>
      <c r="AH167" s="290" t="str">
        <f aca="false">IF($A167="N/A"," ",IF(OR(Dayrun=1,Dayrun=8,Dayrun=11),MAX(0,(xSPRDOPT(P167,($E167-'Pricing Inputs'!$X202*$D167),$CV167,0,($CQ167+IF(Smile=TRUE(),VLOOKUP(MAX(-5,$H167-P167),Volsmile,2),0)),$CT167,$CU167,($A167-DateToday)+15,ABS(Option-2),0)-Y167)),0))</f>
        <v> </v>
      </c>
      <c r="AI167" s="290" t="str">
        <f aca="false">IF($A167="N/A"," ",IF(OR(Dayrun&lt;=2,Dayrun&gt;=11),IF(OffPeakEx=TRUE(),MAX(0,(xSPRDOPT(Q167,($E167-'Pricing Inputs'!$X202*$D167),$CV167,0,($CQ167+IF(Smile=TRUE(),VLOOKUP(MAX(-5,$H167-Q167),Volsmile,2),0)),$CT167,$CU167,($A167-DateToday)+15,ABS(Option-2),0)-Z167)),0),0))</f>
        <v> </v>
      </c>
      <c r="AJ167" s="294" t="str">
        <f aca="false">IF($A167="N/A"," ",IF(Dayrun&gt;=3,IF(Option=1,$I167-$H167,IF(Option=2,$H167-$I167)),0))</f>
        <v> </v>
      </c>
      <c r="AK167" s="295" t="str">
        <f aca="false">IF($A167="N/A"," ",IF(Dayrun&gt;=6,IF(Option=1,$J167-H167,IF(Option=2,H167-$J167)),0))</f>
        <v> </v>
      </c>
      <c r="AL167" s="295" t="str">
        <f aca="false">IF($A167="N/A"," ",IF(OR(Dayrun&lt;=2,Dayrun&gt;=9),IF(Option=1,$K167-$H167,IF(Option=2,$H167-$K167)),0))</f>
        <v> </v>
      </c>
      <c r="AM167" s="295" t="str">
        <f aca="false">IF($A167="N/A"," ",IF(OR(Dayrun=1,Dayrun=4,Dayrun=5,Dayrun=7,Dayrun=8,Dayrun=10,Dayrun=11),IF(Option=1,$L167-H167,IF(Option=2,H167-$L167)),0))</f>
        <v> </v>
      </c>
      <c r="AN167" s="295" t="str">
        <f aca="false">IF($A167="N/A"," ",IF(OR(Dayrun=1,Dayrun=7,Dayrun=8,Dayrun=10,Dayrun=11),IF(Option=1,$M167-H167,IF(Option=2,H167-$M167)),0))</f>
        <v> </v>
      </c>
      <c r="AO167" s="295" t="str">
        <f aca="false">IF($A167="N/A"," ",IF(OR(Dayrun&lt;=2,Dayrun&gt;=9),IF(Option=1,$N167-$H167,IF(Option=2,$H167-$N167)),0))</f>
        <v> </v>
      </c>
      <c r="AP167" s="295" t="str">
        <f aca="false">IF($A167="N/A"," ",IF(OR(Dayrun=1,Dayrun=5,Dayrun=8,Dayrun=11),IF(Option=1,$O167-H167,IF(Option=2,H167-$O167)),0))</f>
        <v> </v>
      </c>
      <c r="AQ167" s="295" t="str">
        <f aca="false">IF($A167="N/A"," ",IF(OR(Dayrun=1,Dayrun=8,Dayrun=11),IF(Option=1,$P167-H167,IF(Option=2,H167-$P167)),0))</f>
        <v> </v>
      </c>
      <c r="AR167" s="296" t="str">
        <f aca="false">IF($A167="N/A"," ",IF(OR(Dayrun&lt;=2,Dayrun&gt;=9),IF(Option=1,$Q167-H167,IF(Option=2,H167-$Q167)),0))</f>
        <v> </v>
      </c>
      <c r="AS167" s="297" t="str">
        <f aca="false">IF($A167="N/A"," ",IF(VLOOKUP(MONTH($A167),ManualTable,2)=1,IF(Dayrun&gt;=3,$DE167*8*$CY167,0),0))</f>
        <v> </v>
      </c>
      <c r="AT167" s="297" t="str">
        <f aca="false">IF($A167="N/A"," ",IF(VLOOKUP(MONTH($A167),ManualTable,3)=1,IF(Dayrun&gt;=6,$DE167*8*$CY167,0),0))</f>
        <v> </v>
      </c>
      <c r="AU167" s="297" t="str">
        <f aca="false">IF($A167="N/A"," ",IF(VLOOKUP(MONTH($A167),ManualTable,4)=1,IF(OR(Dayrun&lt;=2,Dayrun&gt;=9),$DE167*8*$CY167,0),0))</f>
        <v> </v>
      </c>
      <c r="AV167" s="297" t="str">
        <f aca="false">IF($A167="N/A"," ",IF(VLOOKUP(MONTH($A167),ManualTable,5)=1,IF(OR(Dayrun=1,Dayrun=4,Dayrun=5,Dayrun=7,Dayrun=8,Dayrun=10,Dayrun=11),$DF167*8*$CY167,0),0))</f>
        <v> </v>
      </c>
      <c r="AW167" s="297" t="str">
        <f aca="false">IF($A167="N/A"," ",IF(VLOOKUP(MONTH($A167),ManualTable,6)=1,IF(OR(Dayrun=1,Dayrun=7,Dayrun=8,Dayrun=10,Dayrun=11),$DF167*8*$CY167,0),0))</f>
        <v> </v>
      </c>
      <c r="AX167" s="297" t="str">
        <f aca="false">IF($A167="N/A"," ",IF(VLOOKUP(MONTH($A167),ManualTable,7)=1,IF(OR(Dayrun&lt;=2,Dayrun&gt;=9),$DF167*8*$CY167,0),0))</f>
        <v> </v>
      </c>
      <c r="AY167" s="297" t="str">
        <f aca="false">IF($A167="N/A"," ",IF(VLOOKUP(MONTH($A167),ManualTable,8)=1,IF(OR(Dayrun=1,Dayrun=5,Dayrun=8,Dayrun=11),$DG167*8*$CY167,0),0))</f>
        <v> </v>
      </c>
      <c r="AZ167" s="297" t="str">
        <f aca="false">IF($A167="N/A"," ",IF(VLOOKUP(MONTH($A167),ManualTable,9)=1,IF(OR(Dayrun=1,Dayrun=8,Dayrun=11),$DG167*8*$CY167,0),0))</f>
        <v> </v>
      </c>
      <c r="BA167" s="298" t="str">
        <f aca="false">IF($A167="N/A"," ",IF(VLOOKUP(MONTH($A167),ManualTable,10)=1,IF(OR(Dayrun&lt;=2,Dayrun&gt;=9),$DG167*8*$CY167,0),0))</f>
        <v> </v>
      </c>
      <c r="BB167" s="299" t="str">
        <f aca="false">IF($A167="N/A"," ",IF(Dayrun&gt;=3,(MAX(0,(xSPRDOPT(I167,($E167-'Pricing Inputs'!$X202*$D167),$CV167,0,($CN167+IF(Smile=TRUE(),VLOOKUP(MAX(-5,$H167-I167),Volsmile,2),0)),$CT167,$CU167,($A167-DateToday)+15,ABS(Option-2),1)*DE167*8))),0))</f>
        <v> </v>
      </c>
      <c r="BC167" s="300" t="str">
        <f aca="false">IF($A167="N/A"," ",IF(Dayrun&gt;=6,MAX(0,(xSPRDOPT(J167,($E167-'Pricing Inputs'!$X202*$D167),$CV167,0,($CN167+IF(Smile=TRUE(),VLOOKUP(MAX(-5,$H167-J167),Volsmile,2),0)),$CT167,$CU167,($A167-DateToday)+15,ABS(Option-2),1)*DE167*8)),0))</f>
        <v> </v>
      </c>
      <c r="BD167" s="300" t="str">
        <f aca="false">IF($A167="N/A"," ",IF(OR(Dayrun&lt;=2,Dayrun&gt;=9),IF(OffPeakEx=TRUE(),MAX(0,(xSPRDOPT(K167,($E167-'Pricing Inputs'!$X202*$D167),$CV167,0,($CQ167+IF(Smile=TRUE(),VLOOKUP(MAX(-5,$H167-K167),Volsmile,2),0)),$CT167,$CU167,($A167-DateToday)+15,ABS(Option-2),1)*DE167*8)),0),0))</f>
        <v> </v>
      </c>
      <c r="BE167" s="300" t="str">
        <f aca="false">IF($A167="N/A"," ",IF(OR(Dayrun=1,Dayrun=4,Dayrun=5,Dayrun=7,Dayrun=8,Dayrun=10,Dayrun=11),MAX(0,(xSPRDOPT(L167,($E167-'Pricing Inputs'!$X202*$D167),$CV167,0,($CQ167+IF(Smile=TRUE(),VLOOKUP(MAX(-5,$H167-L167),Volsmile,2),0)),$CT167,$CU167,($A167-DateToday)+15,ABS(Option-2),1)*DF167*8)),0))</f>
        <v> </v>
      </c>
      <c r="BF167" s="300" t="str">
        <f aca="false">IF($A167="N/A"," ",IF(OR(Dayrun=1,Dayrun=7,Dayrun=8,Dayrun=10,Dayrun=11),MAX(0,(xSPRDOPT(M167,($E167-'Pricing Inputs'!$X202*$D167),$CV167,0,($CQ167+IF(Smile=TRUE(),VLOOKUP(MAX(-5,$H167-M167),Volsmile,2),0)),$CT167,$CU167,($A167-DateToday)+15,ABS(Option-2),1)*DF167*8)),0))</f>
        <v> </v>
      </c>
      <c r="BG167" s="300" t="str">
        <f aca="false">IF($A167="N/A"," ",IF(OR(Dayrun&lt;=2,Dayrun&gt;=10),IF(OffPeakEx=TRUE(),MAX(0,(xSPRDOPT(N167,($E167-'Pricing Inputs'!$X202*$D167),$CV167,0,($CQ167+IF(Smile=TRUE(),VLOOKUP(MAX(-5,$H167-N167),Volsmile,2),0)),$CT167,$CU167,($A167-DateToday)+15,ABS(Option-2),1)*DF167*8)),0),0))</f>
        <v> </v>
      </c>
      <c r="BH167" s="300" t="str">
        <f aca="false">IF($A167="N/A"," ",IF(OR(Dayrun=1,Dayrun=5,Dayrun=8,Dayrun=11),MAX(0,(xSPRDOPT(O167,($E167-'Pricing Inputs'!$X202*$D167),$CV167,0,($CQ167+IF(Smile=TRUE(),VLOOKUP(MAX(-5,$H167-O167),Volsmile,2),0)),$CT167,$CU167,($A167-DateToday)+15,ABS(Option-2),1)*DG167*8)),0))</f>
        <v> </v>
      </c>
      <c r="BI167" s="300" t="str">
        <f aca="false">IF($A167="N/A"," ",IF(OR(Dayrun=1,Dayrun=8,Dayrun=11),MAX(0,(xSPRDOPT(P167,($E167-'Pricing Inputs'!$X202*$D167),$CV167,0,($CQ167+IF(Smile=TRUE(),VLOOKUP(MAX(-5,$H167-P167),Volsmile,2),0)),$CT167,$CU167,($A167-DateToday)+15,ABS(Option-2),1)*DG167*8)),0))</f>
        <v> </v>
      </c>
      <c r="BJ167" s="301" t="str">
        <f aca="false">IF($A167="N/A"," ",IF(OR(Dayrun&lt;=2,Dayrun&gt;=11),IF(OffPeakEx=TRUE(),MAX(0,(xSPRDOPT(Q167,($E167-'Pricing Inputs'!$X202*$D167),$CV167,0,($CQ167+IF(Smile=TRUE(),VLOOKUP(MAX(-5,$H167-Q167),Volsmile,2),0)),$CT167,$CU167,($A167-DateToday)+15,ABS(Option-2),1)*DG167*8)),0),0))</f>
        <v> </v>
      </c>
      <c r="BK167" s="302" t="str">
        <f aca="false">IF($A167="N/A"," ",R167*$AS167)</f>
        <v> </v>
      </c>
      <c r="BL167" s="303" t="str">
        <f aca="false">IF($A167="N/A"," ",S167*$AT167)</f>
        <v> </v>
      </c>
      <c r="BM167" s="303" t="str">
        <f aca="false">IF($A167="N/A"," ",T167*$AU167)</f>
        <v> </v>
      </c>
      <c r="BN167" s="303" t="str">
        <f aca="false">IF($A167="N/A"," ",U167*$AV167)</f>
        <v> </v>
      </c>
      <c r="BO167" s="303" t="str">
        <f aca="false">IF($A167="N/A"," ",V167*$AW167)</f>
        <v> </v>
      </c>
      <c r="BP167" s="303" t="str">
        <f aca="false">IF($A167="N/A"," ",W167*$AX167)</f>
        <v> </v>
      </c>
      <c r="BQ167" s="303" t="str">
        <f aca="false">IF($A167="N/A"," ",X167*$AY167)</f>
        <v> </v>
      </c>
      <c r="BR167" s="303" t="str">
        <f aca="false">IF($A167="N/A"," ",Y167*$AZ167)</f>
        <v> </v>
      </c>
      <c r="BS167" s="304" t="str">
        <f aca="false">IF($A167="N/A"," ",Z167*$BA167)</f>
        <v> </v>
      </c>
      <c r="BT167" s="305" t="str">
        <f aca="false">IF($A167="N/A"," ",AA167*$AS167)</f>
        <v> </v>
      </c>
      <c r="BU167" s="306" t="str">
        <f aca="false">IF($A167="N/A"," ",AB167*$AT167)</f>
        <v> </v>
      </c>
      <c r="BV167" s="306" t="str">
        <f aca="false">IF($A167="N/A"," ",AC167*$AU167)</f>
        <v> </v>
      </c>
      <c r="BW167" s="306" t="str">
        <f aca="false">IF($A167="N/A"," ",AD167*$AV167)</f>
        <v> </v>
      </c>
      <c r="BX167" s="306" t="str">
        <f aca="false">IF($A167="N/A"," ",AE167*$AW167)</f>
        <v> </v>
      </c>
      <c r="BY167" s="306" t="str">
        <f aca="false">IF($A167="N/A"," ",AF167*$AX167)</f>
        <v> </v>
      </c>
      <c r="BZ167" s="306" t="str">
        <f aca="false">IF($A167="N/A"," ",AG167*$AY167)</f>
        <v> </v>
      </c>
      <c r="CA167" s="306" t="str">
        <f aca="false">IF($A167="N/A"," ",AH167*$AZ167)</f>
        <v> </v>
      </c>
      <c r="CB167" s="307" t="str">
        <f aca="false">IF($A167="N/A"," ",AI167*$BA167)</f>
        <v> </v>
      </c>
      <c r="CC167" s="308" t="str">
        <f aca="false">IF($A167="N/A"," ",AJ167*$AS167)</f>
        <v> </v>
      </c>
      <c r="CD167" s="309" t="str">
        <f aca="false">IF($A167="N/A"," ",AK167*$AT167)</f>
        <v> </v>
      </c>
      <c r="CE167" s="309" t="str">
        <f aca="false">IF($A167="N/A"," ",AL167*$AU167)</f>
        <v> </v>
      </c>
      <c r="CF167" s="309" t="str">
        <f aca="false">IF($A167="N/A"," ",AM167*$AV167)</f>
        <v> </v>
      </c>
      <c r="CG167" s="309" t="str">
        <f aca="false">IF($A167="N/A"," ",AN167*$AW167)</f>
        <v> </v>
      </c>
      <c r="CH167" s="309" t="str">
        <f aca="false">IF($A167="N/A"," ",AO167*$AX167)</f>
        <v> </v>
      </c>
      <c r="CI167" s="309" t="str">
        <f aca="false">IF($A167="N/A"," ",AP167*$AY167)</f>
        <v> </v>
      </c>
      <c r="CJ167" s="309" t="str">
        <f aca="false">IF($A167="N/A"," ",AQ167*$AZ167)</f>
        <v> </v>
      </c>
      <c r="CK167" s="310" t="str">
        <f aca="false">IF($A167="N/A"," ",AR167*$BA167)</f>
        <v> </v>
      </c>
      <c r="CL167" s="311" t="str">
        <f aca="false">IF(A167="N/A"," ",(VLOOKUP(A167,PowerVolTable,(IF(VolBMO=2,7,IF(VolBMO=1,6,8))),FALSE())))</f>
        <v> </v>
      </c>
      <c r="CM167" s="312" t="str">
        <f aca="false">IF(A167="N/A"," ",(VLOOKUP(A167,IntraPowerVol,(IF(VolBMO=2,3,IF(VolBMO=1,2,4))),FALSE())*VLOOKUP(MONTH($A167),Volscale,2)))</f>
        <v> </v>
      </c>
      <c r="CN167" s="312" t="str">
        <f aca="false">IF($A167="N/A"," ",IF(VolType=1,CM167,CL167))</f>
        <v> </v>
      </c>
      <c r="CO167" s="312" t="str">
        <f aca="false">IF($A167="N/A"," ",(VLOOKUP($A167,OffPeakVol,(IF(VolBMO=2,7,IF(VolBMO=1,6,8))),FALSE())))</f>
        <v> </v>
      </c>
      <c r="CP167" s="312" t="str">
        <f aca="false">IF($A167="N/A"," ",(VLOOKUP($A167,OffPeakVol,(IF(VolBMO=2,3,IF(VolBMO=1,2,4))),FALSE())*VLOOKUP(MONTH($A167),Volscale,2)))</f>
        <v> </v>
      </c>
      <c r="CQ167" s="312" t="str">
        <f aca="false">IF($A167="N/A"," ",IF(VolType=1,CP167,CO167))</f>
        <v> </v>
      </c>
      <c r="CR167" s="312" t="str">
        <f aca="false">IF($A167="N/A"," ",(VLOOKUP($A167,GasVolTable,(IF(VolBMO=2,6,IF(VolBMO=1,7,5))),FALSE())))</f>
        <v> </v>
      </c>
      <c r="CS167" s="312" t="str">
        <f aca="false">IF($A167="N/A"," ",(VLOOKUP($A167,OmicronVol,(IF(VolBMO=2,3,IF(VolBMO=1,4,2))),FALSE())))</f>
        <v> </v>
      </c>
      <c r="CT167" s="312" t="str">
        <f aca="false">IF($A167="N/A"," ",(IF(DateToday&gt;$A167,$CS167,IF(VolType=1,((($CR167^2)*((($A167-1)-DateToday)/((EOMONTH($A167,0)+1)-DateToday-15)))+((($CS167)^2)*((15)/((EOMONTH($A167,0)+1)-DateToday-15))))^0.5,CR167))))</f>
        <v> </v>
      </c>
      <c r="CU167" s="312" t="str">
        <f aca="false">IF($A167="N/A"," ",IF('Pricing Inputs'!$AR$23=TRUE(),Inputs!$S$22,VLOOKUP($A167,CorrelationTable,2,FALSE())))</f>
        <v> </v>
      </c>
      <c r="CV167" s="313" t="str">
        <f aca="false">IF($A167="N/A"," ",F167+G167+(D167*('Pricing Inputs'!X202)))</f>
        <v> </v>
      </c>
      <c r="CW167" s="314" t="str">
        <f aca="false">IF($A167="N/A"," ",IF(PV=1,0,'Pricing Inputs'!Y202))</f>
        <v> </v>
      </c>
      <c r="CX167" s="315" t="str">
        <f aca="false">IF($A167="N/A"," ",(1+CW167/2)^(-2*((EOMONTH(A167,0)+20)-DateToday)/365.25))</f>
        <v> </v>
      </c>
      <c r="CY167" s="316" t="str">
        <f aca="false">IF($A167="N/A"," ",(IF(MONTH(A167)&gt;=4,IF(MONTH(A167)&lt;=10,Inputs!$S$26,Inputs!$S$27),Inputs!$S$27))*$CX167)</f>
        <v> </v>
      </c>
      <c r="CZ167" s="317" t="str">
        <f aca="false">IF($A167="N/A"," ",BK167+BL167+BN167+BO167+BQ167+BR167)</f>
        <v> </v>
      </c>
      <c r="DA167" s="318" t="str">
        <f aca="false">IF($A167="N/A"," ",BM167+BP167+BS167)</f>
        <v> </v>
      </c>
      <c r="DB167" s="319" t="str">
        <f aca="false">IF($A167="N/A"," ",BT167+BU167+BW167+BX167+BZ167+CA167)</f>
        <v> </v>
      </c>
      <c r="DC167" s="319" t="str">
        <f aca="false">IF($A167="N/A"," ",BV167+BY167+CB167)</f>
        <v> </v>
      </c>
      <c r="DD167" s="320" t="str">
        <f aca="false">IF($A167="N/A"," ",SUM(CC167:CK167))</f>
        <v> </v>
      </c>
      <c r="DE167" s="321" t="str">
        <f aca="false">IF($A167="N/A"," ",VLOOKUP($A167,NumberofDaysTable,2)*Availability)</f>
        <v> </v>
      </c>
      <c r="DF167" s="94" t="str">
        <f aca="false">IF($A167="N/A"," ",VLOOKUP($A167,NumberofDaysTable,3)*Availability)</f>
        <v> </v>
      </c>
      <c r="DG167" s="322" t="str">
        <f aca="false">IF($A167="N/A"," ",VLOOKUP($A167,NumberofDaysTable,4)*Availability)</f>
        <v> </v>
      </c>
      <c r="DH167" s="323" t="str">
        <f aca="false">IF($A167="N/A"," ",IF(Option=1,$D167*Inputs!$S$15*SUM(AS167:BA167),0))</f>
        <v> </v>
      </c>
      <c r="DI167" s="324" t="str">
        <f aca="false">IF($A167="N/A"," ",IF(Option=1,$D167*Inputs!$S$16*SUM(AS167:BA167),0))</f>
        <v> </v>
      </c>
      <c r="DJ167" s="325" t="str">
        <f aca="false">IF($A167="N/A"," ",SUM(AS167:AT167))</f>
        <v> </v>
      </c>
      <c r="DK167" s="325" t="str">
        <f aca="false">IF($A167="N/A"," ",SUM(AU167:BA167))</f>
        <v> </v>
      </c>
      <c r="DL167" s="325" t="str">
        <f aca="false">IF($A167="N/A"," ",SUM(BB167:BC167))</f>
        <v> </v>
      </c>
      <c r="DM167" s="325" t="str">
        <f aca="false">IF($A167="N/A"," ",SUM(BD167:BJ167))</f>
        <v> </v>
      </c>
    </row>
    <row r="168" customFormat="false" ht="12.75" hidden="false" customHeight="false" outlineLevel="0" collapsed="false">
      <c r="A168" s="282" t="str">
        <f aca="false">IF(A167="N/A","N/A",IF(EDATE(A167,1)&gt;Inputs!$S$5,"N/A",EDATE(A167,1)))</f>
        <v>N/A</v>
      </c>
      <c r="B168" s="283" t="str">
        <f aca="false">IF(A168="N/A"," ",YEAR(A168))</f>
        <v> </v>
      </c>
      <c r="C168" s="284" t="str">
        <f aca="false">IF(A168="N/A"," ",VLOOKUP(A168,ScaledPrice,14))</f>
        <v> </v>
      </c>
      <c r="D168" s="285" t="str">
        <f aca="false">IF(A168="N/A"," ",(VLOOKUP(MONTH($A168),Hrtable,2))/1000)</f>
        <v> </v>
      </c>
      <c r="E168" s="286" t="str">
        <f aca="false">IF($A168="N/A"," ",(C168)*D168)</f>
        <v> </v>
      </c>
      <c r="F168" s="287" t="str">
        <f aca="false">IF(A168="N/A"," ",VOM*(1+VOMesc)^(YEAR(A168)-YEAR(Today)))</f>
        <v> </v>
      </c>
      <c r="G168" s="287" t="str">
        <f aca="false">IF(A168="N/A"," ",Perstart/VLOOKUP(Dayrun,'Pricing Inputs'!$AQ$4:$AS$14,3)/(CY168/CX168))</f>
        <v> </v>
      </c>
      <c r="H168" s="288" t="str">
        <f aca="false">IF(A168="N/A"," ",SUM(E168:G168))</f>
        <v> </v>
      </c>
      <c r="I168" s="289" t="str">
        <f aca="false">VLOOKUP($A168,ScaledPrice,6)</f>
        <v> </v>
      </c>
      <c r="J168" s="290" t="str">
        <f aca="false">VLOOKUP($A168,ScaledPrice,10)</f>
        <v> </v>
      </c>
      <c r="K168" s="290" t="str">
        <f aca="false">VLOOKUP($A168,ScaledPrice,13)</f>
        <v> </v>
      </c>
      <c r="L168" s="290" t="str">
        <f aca="false">VLOOKUP($A168,ScaledPrice,7)</f>
        <v> </v>
      </c>
      <c r="M168" s="290" t="str">
        <f aca="false">VLOOKUP($A168,ScaledPrice,11)</f>
        <v> </v>
      </c>
      <c r="N168" s="290" t="str">
        <f aca="false">VLOOKUP($A168,ScaledPrice,13)</f>
        <v> </v>
      </c>
      <c r="O168" s="290" t="str">
        <f aca="false">VLOOKUP($A168,ScaledPrice,8)</f>
        <v> </v>
      </c>
      <c r="P168" s="290" t="str">
        <f aca="false">VLOOKUP($A168,ScaledPrice,12)</f>
        <v> </v>
      </c>
      <c r="Q168" s="291" t="str">
        <f aca="false">VLOOKUP($A168,ScaledPrice,13)</f>
        <v> </v>
      </c>
      <c r="R168" s="292" t="str">
        <f aca="false">IF($A168="N/A"," ",IF(Dayrun&gt;=3,IF(Option=1,MAX($I168-$H168,0),IF(Option=2,MAX($H168-$I168,0),0)),0))</f>
        <v> </v>
      </c>
      <c r="S168" s="286" t="str">
        <f aca="false">IF($A168="N/A"," ",IF(Dayrun&gt;=6,IF(Option=1,MAX($J168-H168,0),IF(Option=2,MAX(H168-$J168,0),0)),0))</f>
        <v> </v>
      </c>
      <c r="T168" s="286" t="str">
        <f aca="false">IF($A168="N/A"," ",IF(OR(Dayrun&lt;=2,Dayrun&gt;=9),IF(Option=1,MAX($K168-$H168,0),IF(Option=2,MAX($H168-$K168,0),0)),0))</f>
        <v> </v>
      </c>
      <c r="U168" s="286" t="str">
        <f aca="false">IF($A168="N/A"," ",IF(OR(Dayrun=1,Dayrun=4,Dayrun=5,Dayrun=7,Dayrun=8,Dayrun=10,Dayrun=11),IF(Option=1,MAX($L168-H168,0),IF(Option=2,MAX(H168-$L168,0),0)),0))</f>
        <v> </v>
      </c>
      <c r="V168" s="286" t="str">
        <f aca="false">IF($A168="N/A"," ",IF(OR(Dayrun=1,Dayrun=7,Dayrun=8,Dayrun=10,Dayrun=11),IF(Option=1,MAX($M168-H168,0),IF(Option=2,MAX(H168-$M168,0),0)),0))</f>
        <v> </v>
      </c>
      <c r="W168" s="286" t="str">
        <f aca="false">IF($A168="N/A"," ",IF(OR(Dayrun&lt;=2,Dayrun&gt;=10),IF(Option=1,MAX($N168-$H168,0),IF(Option=2,MAX($H168-$N168,0),0)),0))</f>
        <v> </v>
      </c>
      <c r="X168" s="286" t="str">
        <f aca="false">IF($A168="N/A"," ",IF(OR(Dayrun=1,Dayrun=5,Dayrun=8,Dayrun=11),IF(Option=1,MAX($O168-H168,0),IF(Option=2,MAX(H168-$O168,0),0)),0))</f>
        <v> </v>
      </c>
      <c r="Y168" s="286" t="str">
        <f aca="false">IF($A168="N/A"," ",IF(OR(Dayrun=1,Dayrun=8,Dayrun=11),IF(Option=1,MAX($P168-H168,0),IF(Option=2,MAX(H168-$P168,0),0)),0))</f>
        <v> </v>
      </c>
      <c r="Z168" s="293" t="str">
        <f aca="false">IF($A168="N/A"," ",IF(OR(Dayrun&lt;=2,Dayrun&gt;=11),IF(Option=1,MAX($Q168-$H168,0),IF(Option=2,MAX($H168-$Q168,0),0)),0))</f>
        <v> </v>
      </c>
      <c r="AA168" s="289" t="str">
        <f aca="false">IF($A168="N/A"," ",IF(Dayrun&gt;=3,(MAX(0,(xSPRDOPT(I168,($E168-'Pricing Inputs'!$X203*$D168),$CV168,0,($CN168+IF(Smile=TRUE(),VLOOKUP(MAX(-5,$H168-I168),Volsmile,2),0)),$CT168,$CU168,($A168-DateToday)+15,ABS(Option-2),0)-R168))),0))</f>
        <v> </v>
      </c>
      <c r="AB168" s="290" t="str">
        <f aca="false">IF($A168="N/A"," ",IF(Dayrun&gt;=6,MAX(0,(xSPRDOPT(J168,($E168-'Pricing Inputs'!$X203*$D168),$CV168,0,($CN168+IF(Smile=TRUE(),VLOOKUP(MAX(-5,$H168-J168),Volsmile,2),0)),$CT168,$CU168,($A168-DateToday)+15,ABS(Option-2),0)-S168)),0))</f>
        <v> </v>
      </c>
      <c r="AC168" s="290" t="str">
        <f aca="false">IF($A168="N/A"," ",IF(OR(Dayrun&lt;=2,Dayrun&gt;=9),IF(OffPeakEx=TRUE(),MAX(0,(xSPRDOPT(K168,($E168-'Pricing Inputs'!$X203*$D168),$CV168,0,($CQ168+IF(Smile=TRUE(),VLOOKUP(MAX(-5,$H168-K168),Volsmile,2),0)),$CT168,$CU168,($A168-DateToday)+15,ABS(Option-2),0)-T168)),0),0))</f>
        <v> </v>
      </c>
      <c r="AD168" s="290" t="str">
        <f aca="false">IF($A168="N/A"," ",IF(OR(Dayrun=1,Dayrun=4,Dayrun=5,Dayrun=7,Dayrun=8,Dayrun=10,Dayrun=11),MAX(0,(xSPRDOPT(L168,($E168-'Pricing Inputs'!$X203*$D168),$CV168,0,($CQ168+IF(Smile=TRUE(),VLOOKUP(MAX(-5,$H168-L168),Volsmile,2),0)),$CT168,$CU168,($A168-DateToday)+15,ABS(Option-2),0)-U168)),0))</f>
        <v> </v>
      </c>
      <c r="AE168" s="290" t="str">
        <f aca="false">IF($A168="N/A"," ",IF(OR(Dayrun=1,Dayrun=7,Dayrun=8,Dayrun=10,Dayrun=11),MAX(0,(xSPRDOPT(M168,($E168-'Pricing Inputs'!$X203*$D168),$CV168,0,($CQ168+IF(Smile=TRUE(),VLOOKUP(MAX(-5,$H168-M168),Volsmile,2),0)),$CT168,$CU168,($A168-DateToday)+15,ABS(Option-2),0)-V168)),0))</f>
        <v> </v>
      </c>
      <c r="AF168" s="290" t="str">
        <f aca="false">IF($A168="N/A"," ",IF(OR(Dayrun&lt;=2,Dayrun&gt;=10),IF(OffPeakEx=TRUE(),MAX(0,(xSPRDOPT(N168,($E168-'Pricing Inputs'!$X203*$D168),$CV168,0,($CQ168+IF(Smile=TRUE(),VLOOKUP(MAX(-5,$H168-N168),Volsmile,2),0)),$CT168,$CU168,($A168-DateToday)+15,ABS(Option-2),0)-W168)),0),0))</f>
        <v> </v>
      </c>
      <c r="AG168" s="290" t="str">
        <f aca="false">IF($A168="N/A"," ",IF(OR(Dayrun=1,Dayrun=5,Dayrun=8,Dayrun=11),MAX(0,(xSPRDOPT(O168,($E168-'Pricing Inputs'!$X203*$D168),$CV168,0,($CQ168+IF(Smile=TRUE(),VLOOKUP(MAX(-5,$H168-O168),Volsmile,2),0)),$CT168,$CU168,($A168-DateToday)+15,ABS(Option-2),0)-X168)),0))</f>
        <v> </v>
      </c>
      <c r="AH168" s="290" t="str">
        <f aca="false">IF($A168="N/A"," ",IF(OR(Dayrun=1,Dayrun=8,Dayrun=11),MAX(0,(xSPRDOPT(P168,($E168-'Pricing Inputs'!$X203*$D168),$CV168,0,($CQ168+IF(Smile=TRUE(),VLOOKUP(MAX(-5,$H168-P168),Volsmile,2),0)),$CT168,$CU168,($A168-DateToday)+15,ABS(Option-2),0)-Y168)),0))</f>
        <v> </v>
      </c>
      <c r="AI168" s="290" t="str">
        <f aca="false">IF($A168="N/A"," ",IF(OR(Dayrun&lt;=2,Dayrun&gt;=11),IF(OffPeakEx=TRUE(),MAX(0,(xSPRDOPT(Q168,($E168-'Pricing Inputs'!$X203*$D168),$CV168,0,($CQ168+IF(Smile=TRUE(),VLOOKUP(MAX(-5,$H168-Q168),Volsmile,2),0)),$CT168,$CU168,($A168-DateToday)+15,ABS(Option-2),0)-Z168)),0),0))</f>
        <v> </v>
      </c>
      <c r="AJ168" s="294" t="str">
        <f aca="false">IF($A168="N/A"," ",IF(Dayrun&gt;=3,IF(Option=1,$I168-$H168,IF(Option=2,$H168-$I168)),0))</f>
        <v> </v>
      </c>
      <c r="AK168" s="295" t="str">
        <f aca="false">IF($A168="N/A"," ",IF(Dayrun&gt;=6,IF(Option=1,$J168-H168,IF(Option=2,H168-$J168)),0))</f>
        <v> </v>
      </c>
      <c r="AL168" s="295" t="str">
        <f aca="false">IF($A168="N/A"," ",IF(OR(Dayrun&lt;=2,Dayrun&gt;=9),IF(Option=1,$K168-$H168,IF(Option=2,$H168-$K168)),0))</f>
        <v> </v>
      </c>
      <c r="AM168" s="295" t="str">
        <f aca="false">IF($A168="N/A"," ",IF(OR(Dayrun=1,Dayrun=4,Dayrun=5,Dayrun=7,Dayrun=8,Dayrun=10,Dayrun=11),IF(Option=1,$L168-H168,IF(Option=2,H168-$L168)),0))</f>
        <v> </v>
      </c>
      <c r="AN168" s="295" t="str">
        <f aca="false">IF($A168="N/A"," ",IF(OR(Dayrun=1,Dayrun=7,Dayrun=8,Dayrun=10,Dayrun=11),IF(Option=1,$M168-H168,IF(Option=2,H168-$M168)),0))</f>
        <v> </v>
      </c>
      <c r="AO168" s="295" t="str">
        <f aca="false">IF($A168="N/A"," ",IF(OR(Dayrun&lt;=2,Dayrun&gt;=9),IF(Option=1,$N168-$H168,IF(Option=2,$H168-$N168)),0))</f>
        <v> </v>
      </c>
      <c r="AP168" s="295" t="str">
        <f aca="false">IF($A168="N/A"," ",IF(OR(Dayrun=1,Dayrun=5,Dayrun=8,Dayrun=11),IF(Option=1,$O168-H168,IF(Option=2,H168-$O168)),0))</f>
        <v> </v>
      </c>
      <c r="AQ168" s="295" t="str">
        <f aca="false">IF($A168="N/A"," ",IF(OR(Dayrun=1,Dayrun=8,Dayrun=11),IF(Option=1,$P168-H168,IF(Option=2,H168-$P168)),0))</f>
        <v> </v>
      </c>
      <c r="AR168" s="296" t="str">
        <f aca="false">IF($A168="N/A"," ",IF(OR(Dayrun&lt;=2,Dayrun&gt;=9),IF(Option=1,$Q168-H168,IF(Option=2,H168-$Q168)),0))</f>
        <v> </v>
      </c>
      <c r="AS168" s="297" t="str">
        <f aca="false">IF($A168="N/A"," ",IF(VLOOKUP(MONTH($A168),ManualTable,2)=1,IF(Dayrun&gt;=3,$DE168*8*$CY168,0),0))</f>
        <v> </v>
      </c>
      <c r="AT168" s="297" t="str">
        <f aca="false">IF($A168="N/A"," ",IF(VLOOKUP(MONTH($A168),ManualTable,3)=1,IF(Dayrun&gt;=6,$DE168*8*$CY168,0),0))</f>
        <v> </v>
      </c>
      <c r="AU168" s="297" t="str">
        <f aca="false">IF($A168="N/A"," ",IF(VLOOKUP(MONTH($A168),ManualTable,4)=1,IF(OR(Dayrun&lt;=2,Dayrun&gt;=9),$DE168*8*$CY168,0),0))</f>
        <v> </v>
      </c>
      <c r="AV168" s="297" t="str">
        <f aca="false">IF($A168="N/A"," ",IF(VLOOKUP(MONTH($A168),ManualTable,5)=1,IF(OR(Dayrun=1,Dayrun=4,Dayrun=5,Dayrun=7,Dayrun=8,Dayrun=10,Dayrun=11),$DF168*8*$CY168,0),0))</f>
        <v> </v>
      </c>
      <c r="AW168" s="297" t="str">
        <f aca="false">IF($A168="N/A"," ",IF(VLOOKUP(MONTH($A168),ManualTable,6)=1,IF(OR(Dayrun=1,Dayrun=7,Dayrun=8,Dayrun=10,Dayrun=11),$DF168*8*$CY168,0),0))</f>
        <v> </v>
      </c>
      <c r="AX168" s="297" t="str">
        <f aca="false">IF($A168="N/A"," ",IF(VLOOKUP(MONTH($A168),ManualTable,7)=1,IF(OR(Dayrun&lt;=2,Dayrun&gt;=9),$DF168*8*$CY168,0),0))</f>
        <v> </v>
      </c>
      <c r="AY168" s="297" t="str">
        <f aca="false">IF($A168="N/A"," ",IF(VLOOKUP(MONTH($A168),ManualTable,8)=1,IF(OR(Dayrun=1,Dayrun=5,Dayrun=8,Dayrun=11),$DG168*8*$CY168,0),0))</f>
        <v> </v>
      </c>
      <c r="AZ168" s="297" t="str">
        <f aca="false">IF($A168="N/A"," ",IF(VLOOKUP(MONTH($A168),ManualTable,9)=1,IF(OR(Dayrun=1,Dayrun=8,Dayrun=11),$DG168*8*$CY168,0),0))</f>
        <v> </v>
      </c>
      <c r="BA168" s="298" t="str">
        <f aca="false">IF($A168="N/A"," ",IF(VLOOKUP(MONTH($A168),ManualTable,10)=1,IF(OR(Dayrun&lt;=2,Dayrun&gt;=9),$DG168*8*$CY168,0),0))</f>
        <v> </v>
      </c>
      <c r="BB168" s="299" t="str">
        <f aca="false">IF($A168="N/A"," ",IF(Dayrun&gt;=3,(MAX(0,(xSPRDOPT(I168,($E168-'Pricing Inputs'!$X203*$D168),$CV168,0,($CN168+IF(Smile=TRUE(),VLOOKUP(MAX(-5,$H168-I168),Volsmile,2),0)),$CT168,$CU168,($A168-DateToday)+15,ABS(Option-2),1)*DE168*8))),0))</f>
        <v> </v>
      </c>
      <c r="BC168" s="300" t="str">
        <f aca="false">IF($A168="N/A"," ",IF(Dayrun&gt;=6,MAX(0,(xSPRDOPT(J168,($E168-'Pricing Inputs'!$X203*$D168),$CV168,0,($CN168+IF(Smile=TRUE(),VLOOKUP(MAX(-5,$H168-J168),Volsmile,2),0)),$CT168,$CU168,($A168-DateToday)+15,ABS(Option-2),1)*DE168*8)),0))</f>
        <v> </v>
      </c>
      <c r="BD168" s="300" t="str">
        <f aca="false">IF($A168="N/A"," ",IF(OR(Dayrun&lt;=2,Dayrun&gt;=9),IF(OffPeakEx=TRUE(),MAX(0,(xSPRDOPT(K168,($E168-'Pricing Inputs'!$X203*$D168),$CV168,0,($CQ168+IF(Smile=TRUE(),VLOOKUP(MAX(-5,$H168-K168),Volsmile,2),0)),$CT168,$CU168,($A168-DateToday)+15,ABS(Option-2),1)*DE168*8)),0),0))</f>
        <v> </v>
      </c>
      <c r="BE168" s="300" t="str">
        <f aca="false">IF($A168="N/A"," ",IF(OR(Dayrun=1,Dayrun=4,Dayrun=5,Dayrun=7,Dayrun=8,Dayrun=10,Dayrun=11),MAX(0,(xSPRDOPT(L168,($E168-'Pricing Inputs'!$X203*$D168),$CV168,0,($CQ168+IF(Smile=TRUE(),VLOOKUP(MAX(-5,$H168-L168),Volsmile,2),0)),$CT168,$CU168,($A168-DateToday)+15,ABS(Option-2),1)*DF168*8)),0))</f>
        <v> </v>
      </c>
      <c r="BF168" s="300" t="str">
        <f aca="false">IF($A168="N/A"," ",IF(OR(Dayrun=1,Dayrun=7,Dayrun=8,Dayrun=10,Dayrun=11),MAX(0,(xSPRDOPT(M168,($E168-'Pricing Inputs'!$X203*$D168),$CV168,0,($CQ168+IF(Smile=TRUE(),VLOOKUP(MAX(-5,$H168-M168),Volsmile,2),0)),$CT168,$CU168,($A168-DateToday)+15,ABS(Option-2),1)*DF168*8)),0))</f>
        <v> </v>
      </c>
      <c r="BG168" s="300" t="str">
        <f aca="false">IF($A168="N/A"," ",IF(OR(Dayrun&lt;=2,Dayrun&gt;=10),IF(OffPeakEx=TRUE(),MAX(0,(xSPRDOPT(N168,($E168-'Pricing Inputs'!$X203*$D168),$CV168,0,($CQ168+IF(Smile=TRUE(),VLOOKUP(MAX(-5,$H168-N168),Volsmile,2),0)),$CT168,$CU168,($A168-DateToday)+15,ABS(Option-2),1)*DF168*8)),0),0))</f>
        <v> </v>
      </c>
      <c r="BH168" s="300" t="str">
        <f aca="false">IF($A168="N/A"," ",IF(OR(Dayrun=1,Dayrun=5,Dayrun=8,Dayrun=11),MAX(0,(xSPRDOPT(O168,($E168-'Pricing Inputs'!$X203*$D168),$CV168,0,($CQ168+IF(Smile=TRUE(),VLOOKUP(MAX(-5,$H168-O168),Volsmile,2),0)),$CT168,$CU168,($A168-DateToday)+15,ABS(Option-2),1)*DG168*8)),0))</f>
        <v> </v>
      </c>
      <c r="BI168" s="300" t="str">
        <f aca="false">IF($A168="N/A"," ",IF(OR(Dayrun=1,Dayrun=8,Dayrun=11),MAX(0,(xSPRDOPT(P168,($E168-'Pricing Inputs'!$X203*$D168),$CV168,0,($CQ168+IF(Smile=TRUE(),VLOOKUP(MAX(-5,$H168-P168),Volsmile,2),0)),$CT168,$CU168,($A168-DateToday)+15,ABS(Option-2),1)*DG168*8)),0))</f>
        <v> </v>
      </c>
      <c r="BJ168" s="301" t="str">
        <f aca="false">IF($A168="N/A"," ",IF(OR(Dayrun&lt;=2,Dayrun&gt;=11),IF(OffPeakEx=TRUE(),MAX(0,(xSPRDOPT(Q168,($E168-'Pricing Inputs'!$X203*$D168),$CV168,0,($CQ168+IF(Smile=TRUE(),VLOOKUP(MAX(-5,$H168-Q168),Volsmile,2),0)),$CT168,$CU168,($A168-DateToday)+15,ABS(Option-2),1)*DG168*8)),0),0))</f>
        <v> </v>
      </c>
      <c r="BK168" s="302" t="str">
        <f aca="false">IF($A168="N/A"," ",R168*$AS168)</f>
        <v> </v>
      </c>
      <c r="BL168" s="303" t="str">
        <f aca="false">IF($A168="N/A"," ",S168*$AT168)</f>
        <v> </v>
      </c>
      <c r="BM168" s="303" t="str">
        <f aca="false">IF($A168="N/A"," ",T168*$AU168)</f>
        <v> </v>
      </c>
      <c r="BN168" s="303" t="str">
        <f aca="false">IF($A168="N/A"," ",U168*$AV168)</f>
        <v> </v>
      </c>
      <c r="BO168" s="303" t="str">
        <f aca="false">IF($A168="N/A"," ",V168*$AW168)</f>
        <v> </v>
      </c>
      <c r="BP168" s="303" t="str">
        <f aca="false">IF($A168="N/A"," ",W168*$AX168)</f>
        <v> </v>
      </c>
      <c r="BQ168" s="303" t="str">
        <f aca="false">IF($A168="N/A"," ",X168*$AY168)</f>
        <v> </v>
      </c>
      <c r="BR168" s="303" t="str">
        <f aca="false">IF($A168="N/A"," ",Y168*$AZ168)</f>
        <v> </v>
      </c>
      <c r="BS168" s="304" t="str">
        <f aca="false">IF($A168="N/A"," ",Z168*$BA168)</f>
        <v> </v>
      </c>
      <c r="BT168" s="305" t="str">
        <f aca="false">IF($A168="N/A"," ",AA168*$AS168)</f>
        <v> </v>
      </c>
      <c r="BU168" s="306" t="str">
        <f aca="false">IF($A168="N/A"," ",AB168*$AT168)</f>
        <v> </v>
      </c>
      <c r="BV168" s="306" t="str">
        <f aca="false">IF($A168="N/A"," ",AC168*$AU168)</f>
        <v> </v>
      </c>
      <c r="BW168" s="306" t="str">
        <f aca="false">IF($A168="N/A"," ",AD168*$AV168)</f>
        <v> </v>
      </c>
      <c r="BX168" s="306" t="str">
        <f aca="false">IF($A168="N/A"," ",AE168*$AW168)</f>
        <v> </v>
      </c>
      <c r="BY168" s="306" t="str">
        <f aca="false">IF($A168="N/A"," ",AF168*$AX168)</f>
        <v> </v>
      </c>
      <c r="BZ168" s="306" t="str">
        <f aca="false">IF($A168="N/A"," ",AG168*$AY168)</f>
        <v> </v>
      </c>
      <c r="CA168" s="306" t="str">
        <f aca="false">IF($A168="N/A"," ",AH168*$AZ168)</f>
        <v> </v>
      </c>
      <c r="CB168" s="307" t="str">
        <f aca="false">IF($A168="N/A"," ",AI168*$BA168)</f>
        <v> </v>
      </c>
      <c r="CC168" s="308" t="str">
        <f aca="false">IF($A168="N/A"," ",AJ168*$AS168)</f>
        <v> </v>
      </c>
      <c r="CD168" s="309" t="str">
        <f aca="false">IF($A168="N/A"," ",AK168*$AT168)</f>
        <v> </v>
      </c>
      <c r="CE168" s="309" t="str">
        <f aca="false">IF($A168="N/A"," ",AL168*$AU168)</f>
        <v> </v>
      </c>
      <c r="CF168" s="309" t="str">
        <f aca="false">IF($A168="N/A"," ",AM168*$AV168)</f>
        <v> </v>
      </c>
      <c r="CG168" s="309" t="str">
        <f aca="false">IF($A168="N/A"," ",AN168*$AW168)</f>
        <v> </v>
      </c>
      <c r="CH168" s="309" t="str">
        <f aca="false">IF($A168="N/A"," ",AO168*$AX168)</f>
        <v> </v>
      </c>
      <c r="CI168" s="309" t="str">
        <f aca="false">IF($A168="N/A"," ",AP168*$AY168)</f>
        <v> </v>
      </c>
      <c r="CJ168" s="309" t="str">
        <f aca="false">IF($A168="N/A"," ",AQ168*$AZ168)</f>
        <v> </v>
      </c>
      <c r="CK168" s="310" t="str">
        <f aca="false">IF($A168="N/A"," ",AR168*$BA168)</f>
        <v> </v>
      </c>
      <c r="CL168" s="311" t="str">
        <f aca="false">IF(A168="N/A"," ",(VLOOKUP(A168,PowerVolTable,(IF(VolBMO=2,7,IF(VolBMO=1,6,8))),FALSE())))</f>
        <v> </v>
      </c>
      <c r="CM168" s="312" t="str">
        <f aca="false">IF(A168="N/A"," ",(VLOOKUP(A168,IntraPowerVol,(IF(VolBMO=2,3,IF(VolBMO=1,2,4))),FALSE())*VLOOKUP(MONTH($A168),Volscale,2)))</f>
        <v> </v>
      </c>
      <c r="CN168" s="312" t="str">
        <f aca="false">IF($A168="N/A"," ",IF(VolType=1,CM168,CL168))</f>
        <v> </v>
      </c>
      <c r="CO168" s="312" t="str">
        <f aca="false">IF($A168="N/A"," ",(VLOOKUP($A168,OffPeakVol,(IF(VolBMO=2,7,IF(VolBMO=1,6,8))),FALSE())))</f>
        <v> </v>
      </c>
      <c r="CP168" s="312" t="str">
        <f aca="false">IF($A168="N/A"," ",(VLOOKUP($A168,OffPeakVol,(IF(VolBMO=2,3,IF(VolBMO=1,2,4))),FALSE())*VLOOKUP(MONTH($A168),Volscale,2)))</f>
        <v> </v>
      </c>
      <c r="CQ168" s="312" t="str">
        <f aca="false">IF($A168="N/A"," ",IF(VolType=1,CP168,CO168))</f>
        <v> </v>
      </c>
      <c r="CR168" s="312" t="str">
        <f aca="false">IF($A168="N/A"," ",(VLOOKUP($A168,GasVolTable,(IF(VolBMO=2,6,IF(VolBMO=1,7,5))),FALSE())))</f>
        <v> </v>
      </c>
      <c r="CS168" s="312" t="str">
        <f aca="false">IF($A168="N/A"," ",(VLOOKUP($A168,OmicronVol,(IF(VolBMO=2,3,IF(VolBMO=1,4,2))),FALSE())))</f>
        <v> </v>
      </c>
      <c r="CT168" s="312" t="str">
        <f aca="false">IF($A168="N/A"," ",(IF(DateToday&gt;$A168,$CS168,IF(VolType=1,((($CR168^2)*((($A168-1)-DateToday)/((EOMONTH($A168,0)+1)-DateToday-15)))+((($CS168)^2)*((15)/((EOMONTH($A168,0)+1)-DateToday-15))))^0.5,CR168))))</f>
        <v> </v>
      </c>
      <c r="CU168" s="312" t="str">
        <f aca="false">IF($A168="N/A"," ",IF('Pricing Inputs'!$AR$23=TRUE(),Inputs!$S$22,VLOOKUP($A168,CorrelationTable,2,FALSE())))</f>
        <v> </v>
      </c>
      <c r="CV168" s="313" t="str">
        <f aca="false">IF($A168="N/A"," ",F168+G168+(D168*('Pricing Inputs'!X203)))</f>
        <v> </v>
      </c>
      <c r="CW168" s="314" t="str">
        <f aca="false">IF($A168="N/A"," ",IF(PV=1,0,'Pricing Inputs'!Y203))</f>
        <v> </v>
      </c>
      <c r="CX168" s="315" t="str">
        <f aca="false">IF($A168="N/A"," ",(1+CW168/2)^(-2*((EOMONTH(A168,0)+20)-DateToday)/365.25))</f>
        <v> </v>
      </c>
      <c r="CY168" s="316" t="str">
        <f aca="false">IF($A168="N/A"," ",(IF(MONTH(A168)&gt;=4,IF(MONTH(A168)&lt;=10,Inputs!$S$26,Inputs!$S$27),Inputs!$S$27))*$CX168)</f>
        <v> </v>
      </c>
      <c r="CZ168" s="317" t="str">
        <f aca="false">IF($A168="N/A"," ",BK168+BL168+BN168+BO168+BQ168+BR168)</f>
        <v> </v>
      </c>
      <c r="DA168" s="318" t="str">
        <f aca="false">IF($A168="N/A"," ",BM168+BP168+BS168)</f>
        <v> </v>
      </c>
      <c r="DB168" s="319" t="str">
        <f aca="false">IF($A168="N/A"," ",BT168+BU168+BW168+BX168+BZ168+CA168)</f>
        <v> </v>
      </c>
      <c r="DC168" s="319" t="str">
        <f aca="false">IF($A168="N/A"," ",BV168+BY168+CB168)</f>
        <v> </v>
      </c>
      <c r="DD168" s="320" t="str">
        <f aca="false">IF($A168="N/A"," ",SUM(CC168:CK168))</f>
        <v> </v>
      </c>
      <c r="DE168" s="321" t="str">
        <f aca="false">IF($A168="N/A"," ",VLOOKUP($A168,NumberofDaysTable,2)*Availability)</f>
        <v> </v>
      </c>
      <c r="DF168" s="94" t="str">
        <f aca="false">IF($A168="N/A"," ",VLOOKUP($A168,NumberofDaysTable,3)*Availability)</f>
        <v> </v>
      </c>
      <c r="DG168" s="322" t="str">
        <f aca="false">IF($A168="N/A"," ",VLOOKUP($A168,NumberofDaysTable,4)*Availability)</f>
        <v> </v>
      </c>
      <c r="DH168" s="323" t="str">
        <f aca="false">IF($A168="N/A"," ",IF(Option=1,$D168*Inputs!$S$15*SUM(AS168:BA168),0))</f>
        <v> </v>
      </c>
      <c r="DI168" s="324" t="str">
        <f aca="false">IF($A168="N/A"," ",IF(Option=1,$D168*Inputs!$S$16*SUM(AS168:BA168),0))</f>
        <v> </v>
      </c>
      <c r="DJ168" s="325" t="str">
        <f aca="false">IF($A168="N/A"," ",SUM(AS168:AT168))</f>
        <v> </v>
      </c>
      <c r="DK168" s="325" t="str">
        <f aca="false">IF($A168="N/A"," ",SUM(AU168:BA168))</f>
        <v> </v>
      </c>
      <c r="DL168" s="325" t="str">
        <f aca="false">IF($A168="N/A"," ",SUM(BB168:BC168))</f>
        <v> </v>
      </c>
      <c r="DM168" s="325" t="str">
        <f aca="false">IF($A168="N/A"," ",SUM(BD168:BJ168))</f>
        <v> </v>
      </c>
    </row>
    <row r="169" customFormat="false" ht="12.75" hidden="false" customHeight="false" outlineLevel="0" collapsed="false">
      <c r="A169" s="282" t="str">
        <f aca="false">IF(A168="N/A","N/A",IF(EDATE(A168,1)&gt;Inputs!$S$5,"N/A",EDATE(A168,1)))</f>
        <v>N/A</v>
      </c>
      <c r="B169" s="283" t="str">
        <f aca="false">IF(A169="N/A"," ",YEAR(A169))</f>
        <v> </v>
      </c>
      <c r="C169" s="284" t="str">
        <f aca="false">IF(A169="N/A"," ",VLOOKUP(A169,ScaledPrice,14))</f>
        <v> </v>
      </c>
      <c r="D169" s="285" t="str">
        <f aca="false">IF(A169="N/A"," ",(VLOOKUP(MONTH($A169),Hrtable,2))/1000)</f>
        <v> </v>
      </c>
      <c r="E169" s="286" t="str">
        <f aca="false">IF($A169="N/A"," ",(C169)*D169)</f>
        <v> </v>
      </c>
      <c r="F169" s="287" t="str">
        <f aca="false">IF(A169="N/A"," ",VOM*(1+VOMesc)^(YEAR(A169)-YEAR(Today)))</f>
        <v> </v>
      </c>
      <c r="G169" s="287" t="str">
        <f aca="false">IF(A169="N/A"," ",Perstart/VLOOKUP(Dayrun,'Pricing Inputs'!$AQ$4:$AS$14,3)/(CY169/CX169))</f>
        <v> </v>
      </c>
      <c r="H169" s="288" t="str">
        <f aca="false">IF(A169="N/A"," ",SUM(E169:G169))</f>
        <v> </v>
      </c>
      <c r="I169" s="289" t="str">
        <f aca="false">VLOOKUP($A169,ScaledPrice,6)</f>
        <v> </v>
      </c>
      <c r="J169" s="290" t="str">
        <f aca="false">VLOOKUP($A169,ScaledPrice,10)</f>
        <v> </v>
      </c>
      <c r="K169" s="290" t="str">
        <f aca="false">VLOOKUP($A169,ScaledPrice,13)</f>
        <v> </v>
      </c>
      <c r="L169" s="290" t="str">
        <f aca="false">VLOOKUP($A169,ScaledPrice,7)</f>
        <v> </v>
      </c>
      <c r="M169" s="290" t="str">
        <f aca="false">VLOOKUP($A169,ScaledPrice,11)</f>
        <v> </v>
      </c>
      <c r="N169" s="290" t="str">
        <f aca="false">VLOOKUP($A169,ScaledPrice,13)</f>
        <v> </v>
      </c>
      <c r="O169" s="290" t="str">
        <f aca="false">VLOOKUP($A169,ScaledPrice,8)</f>
        <v> </v>
      </c>
      <c r="P169" s="290" t="str">
        <f aca="false">VLOOKUP($A169,ScaledPrice,12)</f>
        <v> </v>
      </c>
      <c r="Q169" s="291" t="str">
        <f aca="false">VLOOKUP($A169,ScaledPrice,13)</f>
        <v> </v>
      </c>
      <c r="R169" s="292" t="str">
        <f aca="false">IF($A169="N/A"," ",IF(Dayrun&gt;=3,IF(Option=1,MAX($I169-$H169,0),IF(Option=2,MAX($H169-$I169,0),0)),0))</f>
        <v> </v>
      </c>
      <c r="S169" s="286" t="str">
        <f aca="false">IF($A169="N/A"," ",IF(Dayrun&gt;=6,IF(Option=1,MAX($J169-H169,0),IF(Option=2,MAX(H169-$J169,0),0)),0))</f>
        <v> </v>
      </c>
      <c r="T169" s="286" t="str">
        <f aca="false">IF($A169="N/A"," ",IF(OR(Dayrun&lt;=2,Dayrun&gt;=9),IF(Option=1,MAX($K169-$H169,0),IF(Option=2,MAX($H169-$K169,0),0)),0))</f>
        <v> </v>
      </c>
      <c r="U169" s="286" t="str">
        <f aca="false">IF($A169="N/A"," ",IF(OR(Dayrun=1,Dayrun=4,Dayrun=5,Dayrun=7,Dayrun=8,Dayrun=10,Dayrun=11),IF(Option=1,MAX($L169-H169,0),IF(Option=2,MAX(H169-$L169,0),0)),0))</f>
        <v> </v>
      </c>
      <c r="V169" s="286" t="str">
        <f aca="false">IF($A169="N/A"," ",IF(OR(Dayrun=1,Dayrun=7,Dayrun=8,Dayrun=10,Dayrun=11),IF(Option=1,MAX($M169-H169,0),IF(Option=2,MAX(H169-$M169,0),0)),0))</f>
        <v> </v>
      </c>
      <c r="W169" s="286" t="str">
        <f aca="false">IF($A169="N/A"," ",IF(OR(Dayrun&lt;=2,Dayrun&gt;=10),IF(Option=1,MAX($N169-$H169,0),IF(Option=2,MAX($H169-$N169,0),0)),0))</f>
        <v> </v>
      </c>
      <c r="X169" s="286" t="str">
        <f aca="false">IF($A169="N/A"," ",IF(OR(Dayrun=1,Dayrun=5,Dayrun=8,Dayrun=11),IF(Option=1,MAX($O169-H169,0),IF(Option=2,MAX(H169-$O169,0),0)),0))</f>
        <v> </v>
      </c>
      <c r="Y169" s="286" t="str">
        <f aca="false">IF($A169="N/A"," ",IF(OR(Dayrun=1,Dayrun=8,Dayrun=11),IF(Option=1,MAX($P169-H169,0),IF(Option=2,MAX(H169-$P169,0),0)),0))</f>
        <v> </v>
      </c>
      <c r="Z169" s="293" t="str">
        <f aca="false">IF($A169="N/A"," ",IF(OR(Dayrun&lt;=2,Dayrun&gt;=11),IF(Option=1,MAX($Q169-$H169,0),IF(Option=2,MAX($H169-$Q169,0),0)),0))</f>
        <v> </v>
      </c>
      <c r="AA169" s="289" t="str">
        <f aca="false">IF($A169="N/A"," ",IF(Dayrun&gt;=3,(MAX(0,(xSPRDOPT(I169,($E169-'Pricing Inputs'!$X204*$D169),$CV169,0,($CN169+IF(Smile=TRUE(),VLOOKUP(MAX(-5,$H169-I169),Volsmile,2),0)),$CT169,$CU169,($A169-DateToday)+15,ABS(Option-2),0)-R169))),0))</f>
        <v> </v>
      </c>
      <c r="AB169" s="290" t="str">
        <f aca="false">IF($A169="N/A"," ",IF(Dayrun&gt;=6,MAX(0,(xSPRDOPT(J169,($E169-'Pricing Inputs'!$X204*$D169),$CV169,0,($CN169+IF(Smile=TRUE(),VLOOKUP(MAX(-5,$H169-J169),Volsmile,2),0)),$CT169,$CU169,($A169-DateToday)+15,ABS(Option-2),0)-S169)),0))</f>
        <v> </v>
      </c>
      <c r="AC169" s="290" t="str">
        <f aca="false">IF($A169="N/A"," ",IF(OR(Dayrun&lt;=2,Dayrun&gt;=9),IF(OffPeakEx=TRUE(),MAX(0,(xSPRDOPT(K169,($E169-'Pricing Inputs'!$X204*$D169),$CV169,0,($CQ169+IF(Smile=TRUE(),VLOOKUP(MAX(-5,$H169-K169),Volsmile,2),0)),$CT169,$CU169,($A169-DateToday)+15,ABS(Option-2),0)-T169)),0),0))</f>
        <v> </v>
      </c>
      <c r="AD169" s="290" t="str">
        <f aca="false">IF($A169="N/A"," ",IF(OR(Dayrun=1,Dayrun=4,Dayrun=5,Dayrun=7,Dayrun=8,Dayrun=10,Dayrun=11),MAX(0,(xSPRDOPT(L169,($E169-'Pricing Inputs'!$X204*$D169),$CV169,0,($CQ169+IF(Smile=TRUE(),VLOOKUP(MAX(-5,$H169-L169),Volsmile,2),0)),$CT169,$CU169,($A169-DateToday)+15,ABS(Option-2),0)-U169)),0))</f>
        <v> </v>
      </c>
      <c r="AE169" s="290" t="str">
        <f aca="false">IF($A169="N/A"," ",IF(OR(Dayrun=1,Dayrun=7,Dayrun=8,Dayrun=10,Dayrun=11),MAX(0,(xSPRDOPT(M169,($E169-'Pricing Inputs'!$X204*$D169),$CV169,0,($CQ169+IF(Smile=TRUE(),VLOOKUP(MAX(-5,$H169-M169),Volsmile,2),0)),$CT169,$CU169,($A169-DateToday)+15,ABS(Option-2),0)-V169)),0))</f>
        <v> </v>
      </c>
      <c r="AF169" s="290" t="str">
        <f aca="false">IF($A169="N/A"," ",IF(OR(Dayrun&lt;=2,Dayrun&gt;=10),IF(OffPeakEx=TRUE(),MAX(0,(xSPRDOPT(N169,($E169-'Pricing Inputs'!$X204*$D169),$CV169,0,($CQ169+IF(Smile=TRUE(),VLOOKUP(MAX(-5,$H169-N169),Volsmile,2),0)),$CT169,$CU169,($A169-DateToday)+15,ABS(Option-2),0)-W169)),0),0))</f>
        <v> </v>
      </c>
      <c r="AG169" s="290" t="str">
        <f aca="false">IF($A169="N/A"," ",IF(OR(Dayrun=1,Dayrun=5,Dayrun=8,Dayrun=11),MAX(0,(xSPRDOPT(O169,($E169-'Pricing Inputs'!$X204*$D169),$CV169,0,($CQ169+IF(Smile=TRUE(),VLOOKUP(MAX(-5,$H169-O169),Volsmile,2),0)),$CT169,$CU169,($A169-DateToday)+15,ABS(Option-2),0)-X169)),0))</f>
        <v> </v>
      </c>
      <c r="AH169" s="290" t="str">
        <f aca="false">IF($A169="N/A"," ",IF(OR(Dayrun=1,Dayrun=8,Dayrun=11),MAX(0,(xSPRDOPT(P169,($E169-'Pricing Inputs'!$X204*$D169),$CV169,0,($CQ169+IF(Smile=TRUE(),VLOOKUP(MAX(-5,$H169-P169),Volsmile,2),0)),$CT169,$CU169,($A169-DateToday)+15,ABS(Option-2),0)-Y169)),0))</f>
        <v> </v>
      </c>
      <c r="AI169" s="290" t="str">
        <f aca="false">IF($A169="N/A"," ",IF(OR(Dayrun&lt;=2,Dayrun&gt;=11),IF(OffPeakEx=TRUE(),MAX(0,(xSPRDOPT(Q169,($E169-'Pricing Inputs'!$X204*$D169),$CV169,0,($CQ169+IF(Smile=TRUE(),VLOOKUP(MAX(-5,$H169-Q169),Volsmile,2),0)),$CT169,$CU169,($A169-DateToday)+15,ABS(Option-2),0)-Z169)),0),0))</f>
        <v> </v>
      </c>
      <c r="AJ169" s="294" t="str">
        <f aca="false">IF($A169="N/A"," ",IF(Dayrun&gt;=3,IF(Option=1,$I169-$H169,IF(Option=2,$H169-$I169)),0))</f>
        <v> </v>
      </c>
      <c r="AK169" s="295" t="str">
        <f aca="false">IF($A169="N/A"," ",IF(Dayrun&gt;=6,IF(Option=1,$J169-H169,IF(Option=2,H169-$J169)),0))</f>
        <v> </v>
      </c>
      <c r="AL169" s="295" t="str">
        <f aca="false">IF($A169="N/A"," ",IF(OR(Dayrun&lt;=2,Dayrun&gt;=9),IF(Option=1,$K169-$H169,IF(Option=2,$H169-$K169)),0))</f>
        <v> </v>
      </c>
      <c r="AM169" s="295" t="str">
        <f aca="false">IF($A169="N/A"," ",IF(OR(Dayrun=1,Dayrun=4,Dayrun=5,Dayrun=7,Dayrun=8,Dayrun=10,Dayrun=11),IF(Option=1,$L169-H169,IF(Option=2,H169-$L169)),0))</f>
        <v> </v>
      </c>
      <c r="AN169" s="295" t="str">
        <f aca="false">IF($A169="N/A"," ",IF(OR(Dayrun=1,Dayrun=7,Dayrun=8,Dayrun=10,Dayrun=11),IF(Option=1,$M169-H169,IF(Option=2,H169-$M169)),0))</f>
        <v> </v>
      </c>
      <c r="AO169" s="295" t="str">
        <f aca="false">IF($A169="N/A"," ",IF(OR(Dayrun&lt;=2,Dayrun&gt;=9),IF(Option=1,$N169-$H169,IF(Option=2,$H169-$N169)),0))</f>
        <v> </v>
      </c>
      <c r="AP169" s="295" t="str">
        <f aca="false">IF($A169="N/A"," ",IF(OR(Dayrun=1,Dayrun=5,Dayrun=8,Dayrun=11),IF(Option=1,$O169-H169,IF(Option=2,H169-$O169)),0))</f>
        <v> </v>
      </c>
      <c r="AQ169" s="295" t="str">
        <f aca="false">IF($A169="N/A"," ",IF(OR(Dayrun=1,Dayrun=8,Dayrun=11),IF(Option=1,$P169-H169,IF(Option=2,H169-$P169)),0))</f>
        <v> </v>
      </c>
      <c r="AR169" s="296" t="str">
        <f aca="false">IF($A169="N/A"," ",IF(OR(Dayrun&lt;=2,Dayrun&gt;=9),IF(Option=1,$Q169-H169,IF(Option=2,H169-$Q169)),0))</f>
        <v> </v>
      </c>
      <c r="AS169" s="297" t="str">
        <f aca="false">IF($A169="N/A"," ",IF(VLOOKUP(MONTH($A169),ManualTable,2)=1,IF(Dayrun&gt;=3,$DE169*8*$CY169,0),0))</f>
        <v> </v>
      </c>
      <c r="AT169" s="297" t="str">
        <f aca="false">IF($A169="N/A"," ",IF(VLOOKUP(MONTH($A169),ManualTable,3)=1,IF(Dayrun&gt;=6,$DE169*8*$CY169,0),0))</f>
        <v> </v>
      </c>
      <c r="AU169" s="297" t="str">
        <f aca="false">IF($A169="N/A"," ",IF(VLOOKUP(MONTH($A169),ManualTable,4)=1,IF(OR(Dayrun&lt;=2,Dayrun&gt;=9),$DE169*8*$CY169,0),0))</f>
        <v> </v>
      </c>
      <c r="AV169" s="297" t="str">
        <f aca="false">IF($A169="N/A"," ",IF(VLOOKUP(MONTH($A169),ManualTable,5)=1,IF(OR(Dayrun=1,Dayrun=4,Dayrun=5,Dayrun=7,Dayrun=8,Dayrun=10,Dayrun=11),$DF169*8*$CY169,0),0))</f>
        <v> </v>
      </c>
      <c r="AW169" s="297" t="str">
        <f aca="false">IF($A169="N/A"," ",IF(VLOOKUP(MONTH($A169),ManualTable,6)=1,IF(OR(Dayrun=1,Dayrun=7,Dayrun=8,Dayrun=10,Dayrun=11),$DF169*8*$CY169,0),0))</f>
        <v> </v>
      </c>
      <c r="AX169" s="297" t="str">
        <f aca="false">IF($A169="N/A"," ",IF(VLOOKUP(MONTH($A169),ManualTable,7)=1,IF(OR(Dayrun&lt;=2,Dayrun&gt;=9),$DF169*8*$CY169,0),0))</f>
        <v> </v>
      </c>
      <c r="AY169" s="297" t="str">
        <f aca="false">IF($A169="N/A"," ",IF(VLOOKUP(MONTH($A169),ManualTable,8)=1,IF(OR(Dayrun=1,Dayrun=5,Dayrun=8,Dayrun=11),$DG169*8*$CY169,0),0))</f>
        <v> </v>
      </c>
      <c r="AZ169" s="297" t="str">
        <f aca="false">IF($A169="N/A"," ",IF(VLOOKUP(MONTH($A169),ManualTable,9)=1,IF(OR(Dayrun=1,Dayrun=8,Dayrun=11),$DG169*8*$CY169,0),0))</f>
        <v> </v>
      </c>
      <c r="BA169" s="298" t="str">
        <f aca="false">IF($A169="N/A"," ",IF(VLOOKUP(MONTH($A169),ManualTable,10)=1,IF(OR(Dayrun&lt;=2,Dayrun&gt;=9),$DG169*8*$CY169,0),0))</f>
        <v> </v>
      </c>
      <c r="BB169" s="299" t="str">
        <f aca="false">IF($A169="N/A"," ",IF(Dayrun&gt;=3,(MAX(0,(xSPRDOPT(I169,($E169-'Pricing Inputs'!$X204*$D169),$CV169,0,($CN169+IF(Smile=TRUE(),VLOOKUP(MAX(-5,$H169-I169),Volsmile,2),0)),$CT169,$CU169,($A169-DateToday)+15,ABS(Option-2),1)*DE169*8))),0))</f>
        <v> </v>
      </c>
      <c r="BC169" s="300" t="str">
        <f aca="false">IF($A169="N/A"," ",IF(Dayrun&gt;=6,MAX(0,(xSPRDOPT(J169,($E169-'Pricing Inputs'!$X204*$D169),$CV169,0,($CN169+IF(Smile=TRUE(),VLOOKUP(MAX(-5,$H169-J169),Volsmile,2),0)),$CT169,$CU169,($A169-DateToday)+15,ABS(Option-2),1)*DE169*8)),0))</f>
        <v> </v>
      </c>
      <c r="BD169" s="300" t="str">
        <f aca="false">IF($A169="N/A"," ",IF(OR(Dayrun&lt;=2,Dayrun&gt;=9),IF(OffPeakEx=TRUE(),MAX(0,(xSPRDOPT(K169,($E169-'Pricing Inputs'!$X204*$D169),$CV169,0,($CQ169+IF(Smile=TRUE(),VLOOKUP(MAX(-5,$H169-K169),Volsmile,2),0)),$CT169,$CU169,($A169-DateToday)+15,ABS(Option-2),1)*DE169*8)),0),0))</f>
        <v> </v>
      </c>
      <c r="BE169" s="300" t="str">
        <f aca="false">IF($A169="N/A"," ",IF(OR(Dayrun=1,Dayrun=4,Dayrun=5,Dayrun=7,Dayrun=8,Dayrun=10,Dayrun=11),MAX(0,(xSPRDOPT(L169,($E169-'Pricing Inputs'!$X204*$D169),$CV169,0,($CQ169+IF(Smile=TRUE(),VLOOKUP(MAX(-5,$H169-L169),Volsmile,2),0)),$CT169,$CU169,($A169-DateToday)+15,ABS(Option-2),1)*DF169*8)),0))</f>
        <v> </v>
      </c>
      <c r="BF169" s="300" t="str">
        <f aca="false">IF($A169="N/A"," ",IF(OR(Dayrun=1,Dayrun=7,Dayrun=8,Dayrun=10,Dayrun=11),MAX(0,(xSPRDOPT(M169,($E169-'Pricing Inputs'!$X204*$D169),$CV169,0,($CQ169+IF(Smile=TRUE(),VLOOKUP(MAX(-5,$H169-M169),Volsmile,2),0)),$CT169,$CU169,($A169-DateToday)+15,ABS(Option-2),1)*DF169*8)),0))</f>
        <v> </v>
      </c>
      <c r="BG169" s="300" t="str">
        <f aca="false">IF($A169="N/A"," ",IF(OR(Dayrun&lt;=2,Dayrun&gt;=10),IF(OffPeakEx=TRUE(),MAX(0,(xSPRDOPT(N169,($E169-'Pricing Inputs'!$X204*$D169),$CV169,0,($CQ169+IF(Smile=TRUE(),VLOOKUP(MAX(-5,$H169-N169),Volsmile,2),0)),$CT169,$CU169,($A169-DateToday)+15,ABS(Option-2),1)*DF169*8)),0),0))</f>
        <v> </v>
      </c>
      <c r="BH169" s="300" t="str">
        <f aca="false">IF($A169="N/A"," ",IF(OR(Dayrun=1,Dayrun=5,Dayrun=8,Dayrun=11),MAX(0,(xSPRDOPT(O169,($E169-'Pricing Inputs'!$X204*$D169),$CV169,0,($CQ169+IF(Smile=TRUE(),VLOOKUP(MAX(-5,$H169-O169),Volsmile,2),0)),$CT169,$CU169,($A169-DateToday)+15,ABS(Option-2),1)*DG169*8)),0))</f>
        <v> </v>
      </c>
      <c r="BI169" s="300" t="str">
        <f aca="false">IF($A169="N/A"," ",IF(OR(Dayrun=1,Dayrun=8,Dayrun=11),MAX(0,(xSPRDOPT(P169,($E169-'Pricing Inputs'!$X204*$D169),$CV169,0,($CQ169+IF(Smile=TRUE(),VLOOKUP(MAX(-5,$H169-P169),Volsmile,2),0)),$CT169,$CU169,($A169-DateToday)+15,ABS(Option-2),1)*DG169*8)),0))</f>
        <v> </v>
      </c>
      <c r="BJ169" s="301" t="str">
        <f aca="false">IF($A169="N/A"," ",IF(OR(Dayrun&lt;=2,Dayrun&gt;=11),IF(OffPeakEx=TRUE(),MAX(0,(xSPRDOPT(Q169,($E169-'Pricing Inputs'!$X204*$D169),$CV169,0,($CQ169+IF(Smile=TRUE(),VLOOKUP(MAX(-5,$H169-Q169),Volsmile,2),0)),$CT169,$CU169,($A169-DateToday)+15,ABS(Option-2),1)*DG169*8)),0),0))</f>
        <v> </v>
      </c>
      <c r="BK169" s="302" t="str">
        <f aca="false">IF($A169="N/A"," ",R169*$AS169)</f>
        <v> </v>
      </c>
      <c r="BL169" s="303" t="str">
        <f aca="false">IF($A169="N/A"," ",S169*$AT169)</f>
        <v> </v>
      </c>
      <c r="BM169" s="303" t="str">
        <f aca="false">IF($A169="N/A"," ",T169*$AU169)</f>
        <v> </v>
      </c>
      <c r="BN169" s="303" t="str">
        <f aca="false">IF($A169="N/A"," ",U169*$AV169)</f>
        <v> </v>
      </c>
      <c r="BO169" s="303" t="str">
        <f aca="false">IF($A169="N/A"," ",V169*$AW169)</f>
        <v> </v>
      </c>
      <c r="BP169" s="303" t="str">
        <f aca="false">IF($A169="N/A"," ",W169*$AX169)</f>
        <v> </v>
      </c>
      <c r="BQ169" s="303" t="str">
        <f aca="false">IF($A169="N/A"," ",X169*$AY169)</f>
        <v> </v>
      </c>
      <c r="BR169" s="303" t="str">
        <f aca="false">IF($A169="N/A"," ",Y169*$AZ169)</f>
        <v> </v>
      </c>
      <c r="BS169" s="304" t="str">
        <f aca="false">IF($A169="N/A"," ",Z169*$BA169)</f>
        <v> </v>
      </c>
      <c r="BT169" s="305" t="str">
        <f aca="false">IF($A169="N/A"," ",AA169*$AS169)</f>
        <v> </v>
      </c>
      <c r="BU169" s="306" t="str">
        <f aca="false">IF($A169="N/A"," ",AB169*$AT169)</f>
        <v> </v>
      </c>
      <c r="BV169" s="306" t="str">
        <f aca="false">IF($A169="N/A"," ",AC169*$AU169)</f>
        <v> </v>
      </c>
      <c r="BW169" s="306" t="str">
        <f aca="false">IF($A169="N/A"," ",AD169*$AV169)</f>
        <v> </v>
      </c>
      <c r="BX169" s="306" t="str">
        <f aca="false">IF($A169="N/A"," ",AE169*$AW169)</f>
        <v> </v>
      </c>
      <c r="BY169" s="306" t="str">
        <f aca="false">IF($A169="N/A"," ",AF169*$AX169)</f>
        <v> </v>
      </c>
      <c r="BZ169" s="306" t="str">
        <f aca="false">IF($A169="N/A"," ",AG169*$AY169)</f>
        <v> </v>
      </c>
      <c r="CA169" s="306" t="str">
        <f aca="false">IF($A169="N/A"," ",AH169*$AZ169)</f>
        <v> </v>
      </c>
      <c r="CB169" s="307" t="str">
        <f aca="false">IF($A169="N/A"," ",AI169*$BA169)</f>
        <v> </v>
      </c>
      <c r="CC169" s="308" t="str">
        <f aca="false">IF($A169="N/A"," ",AJ169*$AS169)</f>
        <v> </v>
      </c>
      <c r="CD169" s="309" t="str">
        <f aca="false">IF($A169="N/A"," ",AK169*$AT169)</f>
        <v> </v>
      </c>
      <c r="CE169" s="309" t="str">
        <f aca="false">IF($A169="N/A"," ",AL169*$AU169)</f>
        <v> </v>
      </c>
      <c r="CF169" s="309" t="str">
        <f aca="false">IF($A169="N/A"," ",AM169*$AV169)</f>
        <v> </v>
      </c>
      <c r="CG169" s="309" t="str">
        <f aca="false">IF($A169="N/A"," ",AN169*$AW169)</f>
        <v> </v>
      </c>
      <c r="CH169" s="309" t="str">
        <f aca="false">IF($A169="N/A"," ",AO169*$AX169)</f>
        <v> </v>
      </c>
      <c r="CI169" s="309" t="str">
        <f aca="false">IF($A169="N/A"," ",AP169*$AY169)</f>
        <v> </v>
      </c>
      <c r="CJ169" s="309" t="str">
        <f aca="false">IF($A169="N/A"," ",AQ169*$AZ169)</f>
        <v> </v>
      </c>
      <c r="CK169" s="310" t="str">
        <f aca="false">IF($A169="N/A"," ",AR169*$BA169)</f>
        <v> </v>
      </c>
      <c r="CL169" s="311" t="str">
        <f aca="false">IF(A169="N/A"," ",(VLOOKUP(A169,PowerVolTable,(IF(VolBMO=2,7,IF(VolBMO=1,6,8))),FALSE())))</f>
        <v> </v>
      </c>
      <c r="CM169" s="312" t="str">
        <f aca="false">IF(A169="N/A"," ",(VLOOKUP(A169,IntraPowerVol,(IF(VolBMO=2,3,IF(VolBMO=1,2,4))),FALSE())*VLOOKUP(MONTH($A169),Volscale,2)))</f>
        <v> </v>
      </c>
      <c r="CN169" s="312" t="str">
        <f aca="false">IF($A169="N/A"," ",IF(VolType=1,CM169,CL169))</f>
        <v> </v>
      </c>
      <c r="CO169" s="312" t="str">
        <f aca="false">IF($A169="N/A"," ",(VLOOKUP($A169,OffPeakVol,(IF(VolBMO=2,7,IF(VolBMO=1,6,8))),FALSE())))</f>
        <v> </v>
      </c>
      <c r="CP169" s="312" t="str">
        <f aca="false">IF($A169="N/A"," ",(VLOOKUP($A169,OffPeakVol,(IF(VolBMO=2,3,IF(VolBMO=1,2,4))),FALSE())*VLOOKUP(MONTH($A169),Volscale,2)))</f>
        <v> </v>
      </c>
      <c r="CQ169" s="312" t="str">
        <f aca="false">IF($A169="N/A"," ",IF(VolType=1,CP169,CO169))</f>
        <v> </v>
      </c>
      <c r="CR169" s="312" t="str">
        <f aca="false">IF($A169="N/A"," ",(VLOOKUP($A169,GasVolTable,(IF(VolBMO=2,6,IF(VolBMO=1,7,5))),FALSE())))</f>
        <v> </v>
      </c>
      <c r="CS169" s="312" t="str">
        <f aca="false">IF($A169="N/A"," ",(VLOOKUP($A169,OmicronVol,(IF(VolBMO=2,3,IF(VolBMO=1,4,2))),FALSE())))</f>
        <v> </v>
      </c>
      <c r="CT169" s="312" t="str">
        <f aca="false">IF($A169="N/A"," ",(IF(DateToday&gt;$A169,$CS169,IF(VolType=1,((($CR169^2)*((($A169-1)-DateToday)/((EOMONTH($A169,0)+1)-DateToday-15)))+((($CS169)^2)*((15)/((EOMONTH($A169,0)+1)-DateToday-15))))^0.5,CR169))))</f>
        <v> </v>
      </c>
      <c r="CU169" s="312" t="str">
        <f aca="false">IF($A169="N/A"," ",IF('Pricing Inputs'!$AR$23=TRUE(),Inputs!$S$22,VLOOKUP($A169,CorrelationTable,2,FALSE())))</f>
        <v> </v>
      </c>
      <c r="CV169" s="313" t="str">
        <f aca="false">IF($A169="N/A"," ",F169+G169+(D169*('Pricing Inputs'!X204)))</f>
        <v> </v>
      </c>
      <c r="CW169" s="314" t="str">
        <f aca="false">IF($A169="N/A"," ",IF(PV=1,0,'Pricing Inputs'!Y204))</f>
        <v> </v>
      </c>
      <c r="CX169" s="315" t="str">
        <f aca="false">IF($A169="N/A"," ",(1+CW169/2)^(-2*((EOMONTH(A169,0)+20)-DateToday)/365.25))</f>
        <v> </v>
      </c>
      <c r="CY169" s="316" t="str">
        <f aca="false">IF($A169="N/A"," ",(IF(MONTH(A169)&gt;=4,IF(MONTH(A169)&lt;=10,Inputs!$S$26,Inputs!$S$27),Inputs!$S$27))*$CX169)</f>
        <v> </v>
      </c>
      <c r="CZ169" s="317" t="str">
        <f aca="false">IF($A169="N/A"," ",BK169+BL169+BN169+BO169+BQ169+BR169)</f>
        <v> </v>
      </c>
      <c r="DA169" s="318" t="str">
        <f aca="false">IF($A169="N/A"," ",BM169+BP169+BS169)</f>
        <v> </v>
      </c>
      <c r="DB169" s="319" t="str">
        <f aca="false">IF($A169="N/A"," ",BT169+BU169+BW169+BX169+BZ169+CA169)</f>
        <v> </v>
      </c>
      <c r="DC169" s="319" t="str">
        <f aca="false">IF($A169="N/A"," ",BV169+BY169+CB169)</f>
        <v> </v>
      </c>
      <c r="DD169" s="320" t="str">
        <f aca="false">IF($A169="N/A"," ",SUM(CC169:CK169))</f>
        <v> </v>
      </c>
      <c r="DE169" s="321" t="str">
        <f aca="false">IF($A169="N/A"," ",VLOOKUP($A169,NumberofDaysTable,2)*Availability)</f>
        <v> </v>
      </c>
      <c r="DF169" s="94" t="str">
        <f aca="false">IF($A169="N/A"," ",VLOOKUP($A169,NumberofDaysTable,3)*Availability)</f>
        <v> </v>
      </c>
      <c r="DG169" s="322" t="str">
        <f aca="false">IF($A169="N/A"," ",VLOOKUP($A169,NumberofDaysTable,4)*Availability)</f>
        <v> </v>
      </c>
      <c r="DH169" s="323" t="str">
        <f aca="false">IF($A169="N/A"," ",IF(Option=1,$D169*Inputs!$S$15*SUM(AS169:BA169),0))</f>
        <v> </v>
      </c>
      <c r="DI169" s="324" t="str">
        <f aca="false">IF($A169="N/A"," ",IF(Option=1,$D169*Inputs!$S$16*SUM(AS169:BA169),0))</f>
        <v> </v>
      </c>
      <c r="DJ169" s="325" t="str">
        <f aca="false">IF($A169="N/A"," ",SUM(AS169:AT169))</f>
        <v> </v>
      </c>
      <c r="DK169" s="325" t="str">
        <f aca="false">IF($A169="N/A"," ",SUM(AU169:BA169))</f>
        <v> </v>
      </c>
      <c r="DL169" s="325" t="str">
        <f aca="false">IF($A169="N/A"," ",SUM(BB169:BC169))</f>
        <v> </v>
      </c>
      <c r="DM169" s="325" t="str">
        <f aca="false">IF($A169="N/A"," ",SUM(BD169:BJ169))</f>
        <v> </v>
      </c>
    </row>
    <row r="170" customFormat="false" ht="12.75" hidden="false" customHeight="false" outlineLevel="0" collapsed="false">
      <c r="A170" s="282" t="str">
        <f aca="false">IF(A169="N/A","N/A",IF(EDATE(A169,1)&gt;Inputs!$S$5,"N/A",EDATE(A169,1)))</f>
        <v>N/A</v>
      </c>
      <c r="B170" s="283" t="str">
        <f aca="false">IF(A170="N/A"," ",YEAR(A170))</f>
        <v> </v>
      </c>
      <c r="C170" s="284" t="str">
        <f aca="false">IF(A170="N/A"," ",VLOOKUP(A170,ScaledPrice,14))</f>
        <v> </v>
      </c>
      <c r="D170" s="285" t="str">
        <f aca="false">IF(A170="N/A"," ",(VLOOKUP(MONTH($A170),Hrtable,2))/1000)</f>
        <v> </v>
      </c>
      <c r="E170" s="286" t="str">
        <f aca="false">IF($A170="N/A"," ",(C170)*D170)</f>
        <v> </v>
      </c>
      <c r="F170" s="287" t="str">
        <f aca="false">IF(A170="N/A"," ",VOM*(1+VOMesc)^(YEAR(A170)-YEAR(Today)))</f>
        <v> </v>
      </c>
      <c r="G170" s="287" t="str">
        <f aca="false">IF(A170="N/A"," ",Perstart/VLOOKUP(Dayrun,'Pricing Inputs'!$AQ$4:$AS$14,3)/(CY170/CX170))</f>
        <v> </v>
      </c>
      <c r="H170" s="288" t="str">
        <f aca="false">IF(A170="N/A"," ",SUM(E170:G170))</f>
        <v> </v>
      </c>
      <c r="I170" s="289" t="str">
        <f aca="false">VLOOKUP($A170,ScaledPrice,6)</f>
        <v> </v>
      </c>
      <c r="J170" s="290" t="str">
        <f aca="false">VLOOKUP($A170,ScaledPrice,10)</f>
        <v> </v>
      </c>
      <c r="K170" s="290" t="str">
        <f aca="false">VLOOKUP($A170,ScaledPrice,13)</f>
        <v> </v>
      </c>
      <c r="L170" s="290" t="str">
        <f aca="false">VLOOKUP($A170,ScaledPrice,7)</f>
        <v> </v>
      </c>
      <c r="M170" s="290" t="str">
        <f aca="false">VLOOKUP($A170,ScaledPrice,11)</f>
        <v> </v>
      </c>
      <c r="N170" s="290" t="str">
        <f aca="false">VLOOKUP($A170,ScaledPrice,13)</f>
        <v> </v>
      </c>
      <c r="O170" s="290" t="str">
        <f aca="false">VLOOKUP($A170,ScaledPrice,8)</f>
        <v> </v>
      </c>
      <c r="P170" s="290" t="str">
        <f aca="false">VLOOKUP($A170,ScaledPrice,12)</f>
        <v> </v>
      </c>
      <c r="Q170" s="291" t="str">
        <f aca="false">VLOOKUP($A170,ScaledPrice,13)</f>
        <v> </v>
      </c>
      <c r="R170" s="292" t="str">
        <f aca="false">IF($A170="N/A"," ",IF(Dayrun&gt;=3,IF(Option=1,MAX($I170-$H170,0),IF(Option=2,MAX($H170-$I170,0),0)),0))</f>
        <v> </v>
      </c>
      <c r="S170" s="286" t="str">
        <f aca="false">IF($A170="N/A"," ",IF(Dayrun&gt;=6,IF(Option=1,MAX($J170-H170,0),IF(Option=2,MAX(H170-$J170,0),0)),0))</f>
        <v> </v>
      </c>
      <c r="T170" s="286" t="str">
        <f aca="false">IF($A170="N/A"," ",IF(OR(Dayrun&lt;=2,Dayrun&gt;=9),IF(Option=1,MAX($K170-$H170,0),IF(Option=2,MAX($H170-$K170,0),0)),0))</f>
        <v> </v>
      </c>
      <c r="U170" s="286" t="str">
        <f aca="false">IF($A170="N/A"," ",IF(OR(Dayrun=1,Dayrun=4,Dayrun=5,Dayrun=7,Dayrun=8,Dayrun=10,Dayrun=11),IF(Option=1,MAX($L170-H170,0),IF(Option=2,MAX(H170-$L170,0),0)),0))</f>
        <v> </v>
      </c>
      <c r="V170" s="286" t="str">
        <f aca="false">IF($A170="N/A"," ",IF(OR(Dayrun=1,Dayrun=7,Dayrun=8,Dayrun=10,Dayrun=11),IF(Option=1,MAX($M170-H170,0),IF(Option=2,MAX(H170-$M170,0),0)),0))</f>
        <v> </v>
      </c>
      <c r="W170" s="286" t="str">
        <f aca="false">IF($A170="N/A"," ",IF(OR(Dayrun&lt;=2,Dayrun&gt;=10),IF(Option=1,MAX($N170-$H170,0),IF(Option=2,MAX($H170-$N170,0),0)),0))</f>
        <v> </v>
      </c>
      <c r="X170" s="286" t="str">
        <f aca="false">IF($A170="N/A"," ",IF(OR(Dayrun=1,Dayrun=5,Dayrun=8,Dayrun=11),IF(Option=1,MAX($O170-H170,0),IF(Option=2,MAX(H170-$O170,0),0)),0))</f>
        <v> </v>
      </c>
      <c r="Y170" s="286" t="str">
        <f aca="false">IF($A170="N/A"," ",IF(OR(Dayrun=1,Dayrun=8,Dayrun=11),IF(Option=1,MAX($P170-H170,0),IF(Option=2,MAX(H170-$P170,0),0)),0))</f>
        <v> </v>
      </c>
      <c r="Z170" s="293" t="str">
        <f aca="false">IF($A170="N/A"," ",IF(OR(Dayrun&lt;=2,Dayrun&gt;=11),IF(Option=1,MAX($Q170-$H170,0),IF(Option=2,MAX($H170-$Q170,0),0)),0))</f>
        <v> </v>
      </c>
      <c r="AA170" s="289" t="str">
        <f aca="false">IF($A170="N/A"," ",IF(Dayrun&gt;=3,(MAX(0,(xSPRDOPT(I170,($E170-'Pricing Inputs'!$X205*$D170),$CV170,0,($CN170+IF(Smile=TRUE(),VLOOKUP(MAX(-5,$H170-I170),Volsmile,2),0)),$CT170,$CU170,($A170-DateToday)+15,ABS(Option-2),0)-R170))),0))</f>
        <v> </v>
      </c>
      <c r="AB170" s="290" t="str">
        <f aca="false">IF($A170="N/A"," ",IF(Dayrun&gt;=6,MAX(0,(xSPRDOPT(J170,($E170-'Pricing Inputs'!$X205*$D170),$CV170,0,($CN170+IF(Smile=TRUE(),VLOOKUP(MAX(-5,$H170-J170),Volsmile,2),0)),$CT170,$CU170,($A170-DateToday)+15,ABS(Option-2),0)-S170)),0))</f>
        <v> </v>
      </c>
      <c r="AC170" s="290" t="str">
        <f aca="false">IF($A170="N/A"," ",IF(OR(Dayrun&lt;=2,Dayrun&gt;=9),IF(OffPeakEx=TRUE(),MAX(0,(xSPRDOPT(K170,($E170-'Pricing Inputs'!$X205*$D170),$CV170,0,($CQ170+IF(Smile=TRUE(),VLOOKUP(MAX(-5,$H170-K170),Volsmile,2),0)),$CT170,$CU170,($A170-DateToday)+15,ABS(Option-2),0)-T170)),0),0))</f>
        <v> </v>
      </c>
      <c r="AD170" s="290" t="str">
        <f aca="false">IF($A170="N/A"," ",IF(OR(Dayrun=1,Dayrun=4,Dayrun=5,Dayrun=7,Dayrun=8,Dayrun=10,Dayrun=11),MAX(0,(xSPRDOPT(L170,($E170-'Pricing Inputs'!$X205*$D170),$CV170,0,($CQ170+IF(Smile=TRUE(),VLOOKUP(MAX(-5,$H170-L170),Volsmile,2),0)),$CT170,$CU170,($A170-DateToday)+15,ABS(Option-2),0)-U170)),0))</f>
        <v> </v>
      </c>
      <c r="AE170" s="290" t="str">
        <f aca="false">IF($A170="N/A"," ",IF(OR(Dayrun=1,Dayrun=7,Dayrun=8,Dayrun=10,Dayrun=11),MAX(0,(xSPRDOPT(M170,($E170-'Pricing Inputs'!$X205*$D170),$CV170,0,($CQ170+IF(Smile=TRUE(),VLOOKUP(MAX(-5,$H170-M170),Volsmile,2),0)),$CT170,$CU170,($A170-DateToday)+15,ABS(Option-2),0)-V170)),0))</f>
        <v> </v>
      </c>
      <c r="AF170" s="290" t="str">
        <f aca="false">IF($A170="N/A"," ",IF(OR(Dayrun&lt;=2,Dayrun&gt;=10),IF(OffPeakEx=TRUE(),MAX(0,(xSPRDOPT(N170,($E170-'Pricing Inputs'!$X205*$D170),$CV170,0,($CQ170+IF(Smile=TRUE(),VLOOKUP(MAX(-5,$H170-N170),Volsmile,2),0)),$CT170,$CU170,($A170-DateToday)+15,ABS(Option-2),0)-W170)),0),0))</f>
        <v> </v>
      </c>
      <c r="AG170" s="290" t="str">
        <f aca="false">IF($A170="N/A"," ",IF(OR(Dayrun=1,Dayrun=5,Dayrun=8,Dayrun=11),MAX(0,(xSPRDOPT(O170,($E170-'Pricing Inputs'!$X205*$D170),$CV170,0,($CQ170+IF(Smile=TRUE(),VLOOKUP(MAX(-5,$H170-O170),Volsmile,2),0)),$CT170,$CU170,($A170-DateToday)+15,ABS(Option-2),0)-X170)),0))</f>
        <v> </v>
      </c>
      <c r="AH170" s="290" t="str">
        <f aca="false">IF($A170="N/A"," ",IF(OR(Dayrun=1,Dayrun=8,Dayrun=11),MAX(0,(xSPRDOPT(P170,($E170-'Pricing Inputs'!$X205*$D170),$CV170,0,($CQ170+IF(Smile=TRUE(),VLOOKUP(MAX(-5,$H170-P170),Volsmile,2),0)),$CT170,$CU170,($A170-DateToday)+15,ABS(Option-2),0)-Y170)),0))</f>
        <v> </v>
      </c>
      <c r="AI170" s="290" t="str">
        <f aca="false">IF($A170="N/A"," ",IF(OR(Dayrun&lt;=2,Dayrun&gt;=11),IF(OffPeakEx=TRUE(),MAX(0,(xSPRDOPT(Q170,($E170-'Pricing Inputs'!$X205*$D170),$CV170,0,($CQ170+IF(Smile=TRUE(),VLOOKUP(MAX(-5,$H170-Q170),Volsmile,2),0)),$CT170,$CU170,($A170-DateToday)+15,ABS(Option-2),0)-Z170)),0),0))</f>
        <v> </v>
      </c>
      <c r="AJ170" s="294" t="str">
        <f aca="false">IF($A170="N/A"," ",IF(Dayrun&gt;=3,IF(Option=1,$I170-$H170,IF(Option=2,$H170-$I170)),0))</f>
        <v> </v>
      </c>
      <c r="AK170" s="295" t="str">
        <f aca="false">IF($A170="N/A"," ",IF(Dayrun&gt;=6,IF(Option=1,$J170-H170,IF(Option=2,H170-$J170)),0))</f>
        <v> </v>
      </c>
      <c r="AL170" s="295" t="str">
        <f aca="false">IF($A170="N/A"," ",IF(OR(Dayrun&lt;=2,Dayrun&gt;=9),IF(Option=1,$K170-$H170,IF(Option=2,$H170-$K170)),0))</f>
        <v> </v>
      </c>
      <c r="AM170" s="295" t="str">
        <f aca="false">IF($A170="N/A"," ",IF(OR(Dayrun=1,Dayrun=4,Dayrun=5,Dayrun=7,Dayrun=8,Dayrun=10,Dayrun=11),IF(Option=1,$L170-H170,IF(Option=2,H170-$L170)),0))</f>
        <v> </v>
      </c>
      <c r="AN170" s="295" t="str">
        <f aca="false">IF($A170="N/A"," ",IF(OR(Dayrun=1,Dayrun=7,Dayrun=8,Dayrun=10,Dayrun=11),IF(Option=1,$M170-H170,IF(Option=2,H170-$M170)),0))</f>
        <v> </v>
      </c>
      <c r="AO170" s="295" t="str">
        <f aca="false">IF($A170="N/A"," ",IF(OR(Dayrun&lt;=2,Dayrun&gt;=9),IF(Option=1,$N170-$H170,IF(Option=2,$H170-$N170)),0))</f>
        <v> </v>
      </c>
      <c r="AP170" s="295" t="str">
        <f aca="false">IF($A170="N/A"," ",IF(OR(Dayrun=1,Dayrun=5,Dayrun=8,Dayrun=11),IF(Option=1,$O170-H170,IF(Option=2,H170-$O170)),0))</f>
        <v> </v>
      </c>
      <c r="AQ170" s="295" t="str">
        <f aca="false">IF($A170="N/A"," ",IF(OR(Dayrun=1,Dayrun=8,Dayrun=11),IF(Option=1,$P170-H170,IF(Option=2,H170-$P170)),0))</f>
        <v> </v>
      </c>
      <c r="AR170" s="296" t="str">
        <f aca="false">IF($A170="N/A"," ",IF(OR(Dayrun&lt;=2,Dayrun&gt;=9),IF(Option=1,$Q170-H170,IF(Option=2,H170-$Q170)),0))</f>
        <v> </v>
      </c>
      <c r="AS170" s="297" t="str">
        <f aca="false">IF($A170="N/A"," ",IF(VLOOKUP(MONTH($A170),ManualTable,2)=1,IF(Dayrun&gt;=3,$DE170*8*$CY170,0),0))</f>
        <v> </v>
      </c>
      <c r="AT170" s="297" t="str">
        <f aca="false">IF($A170="N/A"," ",IF(VLOOKUP(MONTH($A170),ManualTable,3)=1,IF(Dayrun&gt;=6,$DE170*8*$CY170,0),0))</f>
        <v> </v>
      </c>
      <c r="AU170" s="297" t="str">
        <f aca="false">IF($A170="N/A"," ",IF(VLOOKUP(MONTH($A170),ManualTable,4)=1,IF(OR(Dayrun&lt;=2,Dayrun&gt;=9),$DE170*8*$CY170,0),0))</f>
        <v> </v>
      </c>
      <c r="AV170" s="297" t="str">
        <f aca="false">IF($A170="N/A"," ",IF(VLOOKUP(MONTH($A170),ManualTable,5)=1,IF(OR(Dayrun=1,Dayrun=4,Dayrun=5,Dayrun=7,Dayrun=8,Dayrun=10,Dayrun=11),$DF170*8*$CY170,0),0))</f>
        <v> </v>
      </c>
      <c r="AW170" s="297" t="str">
        <f aca="false">IF($A170="N/A"," ",IF(VLOOKUP(MONTH($A170),ManualTable,6)=1,IF(OR(Dayrun=1,Dayrun=7,Dayrun=8,Dayrun=10,Dayrun=11),$DF170*8*$CY170,0),0))</f>
        <v> </v>
      </c>
      <c r="AX170" s="297" t="str">
        <f aca="false">IF($A170="N/A"," ",IF(VLOOKUP(MONTH($A170),ManualTable,7)=1,IF(OR(Dayrun&lt;=2,Dayrun&gt;=9),$DF170*8*$CY170,0),0))</f>
        <v> </v>
      </c>
      <c r="AY170" s="297" t="str">
        <f aca="false">IF($A170="N/A"," ",IF(VLOOKUP(MONTH($A170),ManualTable,8)=1,IF(OR(Dayrun=1,Dayrun=5,Dayrun=8,Dayrun=11),$DG170*8*$CY170,0),0))</f>
        <v> </v>
      </c>
      <c r="AZ170" s="297" t="str">
        <f aca="false">IF($A170="N/A"," ",IF(VLOOKUP(MONTH($A170),ManualTable,9)=1,IF(OR(Dayrun=1,Dayrun=8,Dayrun=11),$DG170*8*$CY170,0),0))</f>
        <v> </v>
      </c>
      <c r="BA170" s="298" t="str">
        <f aca="false">IF($A170="N/A"," ",IF(VLOOKUP(MONTH($A170),ManualTable,10)=1,IF(OR(Dayrun&lt;=2,Dayrun&gt;=9),$DG170*8*$CY170,0),0))</f>
        <v> </v>
      </c>
      <c r="BB170" s="299" t="str">
        <f aca="false">IF($A170="N/A"," ",IF(Dayrun&gt;=3,(MAX(0,(xSPRDOPT(I170,($E170-'Pricing Inputs'!$X205*$D170),$CV170,0,($CN170+IF(Smile=TRUE(),VLOOKUP(MAX(-5,$H170-I170),Volsmile,2),0)),$CT170,$CU170,($A170-DateToday)+15,ABS(Option-2),1)*DE170*8))),0))</f>
        <v> </v>
      </c>
      <c r="BC170" s="300" t="str">
        <f aca="false">IF($A170="N/A"," ",IF(Dayrun&gt;=6,MAX(0,(xSPRDOPT(J170,($E170-'Pricing Inputs'!$X205*$D170),$CV170,0,($CN170+IF(Smile=TRUE(),VLOOKUP(MAX(-5,$H170-J170),Volsmile,2),0)),$CT170,$CU170,($A170-DateToday)+15,ABS(Option-2),1)*DE170*8)),0))</f>
        <v> </v>
      </c>
      <c r="BD170" s="300" t="str">
        <f aca="false">IF($A170="N/A"," ",IF(OR(Dayrun&lt;=2,Dayrun&gt;=9),IF(OffPeakEx=TRUE(),MAX(0,(xSPRDOPT(K170,($E170-'Pricing Inputs'!$X205*$D170),$CV170,0,($CQ170+IF(Smile=TRUE(),VLOOKUP(MAX(-5,$H170-K170),Volsmile,2),0)),$CT170,$CU170,($A170-DateToday)+15,ABS(Option-2),1)*DE170*8)),0),0))</f>
        <v> </v>
      </c>
      <c r="BE170" s="300" t="str">
        <f aca="false">IF($A170="N/A"," ",IF(OR(Dayrun=1,Dayrun=4,Dayrun=5,Dayrun=7,Dayrun=8,Dayrun=10,Dayrun=11),MAX(0,(xSPRDOPT(L170,($E170-'Pricing Inputs'!$X205*$D170),$CV170,0,($CQ170+IF(Smile=TRUE(),VLOOKUP(MAX(-5,$H170-L170),Volsmile,2),0)),$CT170,$CU170,($A170-DateToday)+15,ABS(Option-2),1)*DF170*8)),0))</f>
        <v> </v>
      </c>
      <c r="BF170" s="300" t="str">
        <f aca="false">IF($A170="N/A"," ",IF(OR(Dayrun=1,Dayrun=7,Dayrun=8,Dayrun=10,Dayrun=11),MAX(0,(xSPRDOPT(M170,($E170-'Pricing Inputs'!$X205*$D170),$CV170,0,($CQ170+IF(Smile=TRUE(),VLOOKUP(MAX(-5,$H170-M170),Volsmile,2),0)),$CT170,$CU170,($A170-DateToday)+15,ABS(Option-2),1)*DF170*8)),0))</f>
        <v> </v>
      </c>
      <c r="BG170" s="300" t="str">
        <f aca="false">IF($A170="N/A"," ",IF(OR(Dayrun&lt;=2,Dayrun&gt;=10),IF(OffPeakEx=TRUE(),MAX(0,(xSPRDOPT(N170,($E170-'Pricing Inputs'!$X205*$D170),$CV170,0,($CQ170+IF(Smile=TRUE(),VLOOKUP(MAX(-5,$H170-N170),Volsmile,2),0)),$CT170,$CU170,($A170-DateToday)+15,ABS(Option-2),1)*DF170*8)),0),0))</f>
        <v> </v>
      </c>
      <c r="BH170" s="300" t="str">
        <f aca="false">IF($A170="N/A"," ",IF(OR(Dayrun=1,Dayrun=5,Dayrun=8,Dayrun=11),MAX(0,(xSPRDOPT(O170,($E170-'Pricing Inputs'!$X205*$D170),$CV170,0,($CQ170+IF(Smile=TRUE(),VLOOKUP(MAX(-5,$H170-O170),Volsmile,2),0)),$CT170,$CU170,($A170-DateToday)+15,ABS(Option-2),1)*DG170*8)),0))</f>
        <v> </v>
      </c>
      <c r="BI170" s="300" t="str">
        <f aca="false">IF($A170="N/A"," ",IF(OR(Dayrun=1,Dayrun=8,Dayrun=11),MAX(0,(xSPRDOPT(P170,($E170-'Pricing Inputs'!$X205*$D170),$CV170,0,($CQ170+IF(Smile=TRUE(),VLOOKUP(MAX(-5,$H170-P170),Volsmile,2),0)),$CT170,$CU170,($A170-DateToday)+15,ABS(Option-2),1)*DG170*8)),0))</f>
        <v> </v>
      </c>
      <c r="BJ170" s="301" t="str">
        <f aca="false">IF($A170="N/A"," ",IF(OR(Dayrun&lt;=2,Dayrun&gt;=11),IF(OffPeakEx=TRUE(),MAX(0,(xSPRDOPT(Q170,($E170-'Pricing Inputs'!$X205*$D170),$CV170,0,($CQ170+IF(Smile=TRUE(),VLOOKUP(MAX(-5,$H170-Q170),Volsmile,2),0)),$CT170,$CU170,($A170-DateToday)+15,ABS(Option-2),1)*DG170*8)),0),0))</f>
        <v> </v>
      </c>
      <c r="BK170" s="302" t="str">
        <f aca="false">IF($A170="N/A"," ",R170*$AS170)</f>
        <v> </v>
      </c>
      <c r="BL170" s="303" t="str">
        <f aca="false">IF($A170="N/A"," ",S170*$AT170)</f>
        <v> </v>
      </c>
      <c r="BM170" s="303" t="str">
        <f aca="false">IF($A170="N/A"," ",T170*$AU170)</f>
        <v> </v>
      </c>
      <c r="BN170" s="303" t="str">
        <f aca="false">IF($A170="N/A"," ",U170*$AV170)</f>
        <v> </v>
      </c>
      <c r="BO170" s="303" t="str">
        <f aca="false">IF($A170="N/A"," ",V170*$AW170)</f>
        <v> </v>
      </c>
      <c r="BP170" s="303" t="str">
        <f aca="false">IF($A170="N/A"," ",W170*$AX170)</f>
        <v> </v>
      </c>
      <c r="BQ170" s="303" t="str">
        <f aca="false">IF($A170="N/A"," ",X170*$AY170)</f>
        <v> </v>
      </c>
      <c r="BR170" s="303" t="str">
        <f aca="false">IF($A170="N/A"," ",Y170*$AZ170)</f>
        <v> </v>
      </c>
      <c r="BS170" s="304" t="str">
        <f aca="false">IF($A170="N/A"," ",Z170*$BA170)</f>
        <v> </v>
      </c>
      <c r="BT170" s="305" t="str">
        <f aca="false">IF($A170="N/A"," ",AA170*$AS170)</f>
        <v> </v>
      </c>
      <c r="BU170" s="306" t="str">
        <f aca="false">IF($A170="N/A"," ",AB170*$AT170)</f>
        <v> </v>
      </c>
      <c r="BV170" s="306" t="str">
        <f aca="false">IF($A170="N/A"," ",AC170*$AU170)</f>
        <v> </v>
      </c>
      <c r="BW170" s="306" t="str">
        <f aca="false">IF($A170="N/A"," ",AD170*$AV170)</f>
        <v> </v>
      </c>
      <c r="BX170" s="306" t="str">
        <f aca="false">IF($A170="N/A"," ",AE170*$AW170)</f>
        <v> </v>
      </c>
      <c r="BY170" s="306" t="str">
        <f aca="false">IF($A170="N/A"," ",AF170*$AX170)</f>
        <v> </v>
      </c>
      <c r="BZ170" s="306" t="str">
        <f aca="false">IF($A170="N/A"," ",AG170*$AY170)</f>
        <v> </v>
      </c>
      <c r="CA170" s="306" t="str">
        <f aca="false">IF($A170="N/A"," ",AH170*$AZ170)</f>
        <v> </v>
      </c>
      <c r="CB170" s="307" t="str">
        <f aca="false">IF($A170="N/A"," ",AI170*$BA170)</f>
        <v> </v>
      </c>
      <c r="CC170" s="308" t="str">
        <f aca="false">IF($A170="N/A"," ",AJ170*$AS170)</f>
        <v> </v>
      </c>
      <c r="CD170" s="309" t="str">
        <f aca="false">IF($A170="N/A"," ",AK170*$AT170)</f>
        <v> </v>
      </c>
      <c r="CE170" s="309" t="str">
        <f aca="false">IF($A170="N/A"," ",AL170*$AU170)</f>
        <v> </v>
      </c>
      <c r="CF170" s="309" t="str">
        <f aca="false">IF($A170="N/A"," ",AM170*$AV170)</f>
        <v> </v>
      </c>
      <c r="CG170" s="309" t="str">
        <f aca="false">IF($A170="N/A"," ",AN170*$AW170)</f>
        <v> </v>
      </c>
      <c r="CH170" s="309" t="str">
        <f aca="false">IF($A170="N/A"," ",AO170*$AX170)</f>
        <v> </v>
      </c>
      <c r="CI170" s="309" t="str">
        <f aca="false">IF($A170="N/A"," ",AP170*$AY170)</f>
        <v> </v>
      </c>
      <c r="CJ170" s="309" t="str">
        <f aca="false">IF($A170="N/A"," ",AQ170*$AZ170)</f>
        <v> </v>
      </c>
      <c r="CK170" s="310" t="str">
        <f aca="false">IF($A170="N/A"," ",AR170*$BA170)</f>
        <v> </v>
      </c>
      <c r="CL170" s="311" t="str">
        <f aca="false">IF(A170="N/A"," ",(VLOOKUP(A170,PowerVolTable,(IF(VolBMO=2,7,IF(VolBMO=1,6,8))),FALSE())))</f>
        <v> </v>
      </c>
      <c r="CM170" s="312" t="str">
        <f aca="false">IF(A170="N/A"," ",(VLOOKUP(A170,IntraPowerVol,(IF(VolBMO=2,3,IF(VolBMO=1,2,4))),FALSE())*VLOOKUP(MONTH($A170),Volscale,2)))</f>
        <v> </v>
      </c>
      <c r="CN170" s="312" t="str">
        <f aca="false">IF($A170="N/A"," ",IF(VolType=1,CM170,CL170))</f>
        <v> </v>
      </c>
      <c r="CO170" s="312" t="str">
        <f aca="false">IF($A170="N/A"," ",(VLOOKUP($A170,OffPeakVol,(IF(VolBMO=2,7,IF(VolBMO=1,6,8))),FALSE())))</f>
        <v> </v>
      </c>
      <c r="CP170" s="312" t="str">
        <f aca="false">IF($A170="N/A"," ",(VLOOKUP($A170,OffPeakVol,(IF(VolBMO=2,3,IF(VolBMO=1,2,4))),FALSE())*VLOOKUP(MONTH($A170),Volscale,2)))</f>
        <v> </v>
      </c>
      <c r="CQ170" s="312" t="str">
        <f aca="false">IF($A170="N/A"," ",IF(VolType=1,CP170,CO170))</f>
        <v> </v>
      </c>
      <c r="CR170" s="312" t="str">
        <f aca="false">IF($A170="N/A"," ",(VLOOKUP($A170,GasVolTable,(IF(VolBMO=2,6,IF(VolBMO=1,7,5))),FALSE())))</f>
        <v> </v>
      </c>
      <c r="CS170" s="312" t="str">
        <f aca="false">IF($A170="N/A"," ",(VLOOKUP($A170,OmicronVol,(IF(VolBMO=2,3,IF(VolBMO=1,4,2))),FALSE())))</f>
        <v> </v>
      </c>
      <c r="CT170" s="312" t="str">
        <f aca="false">IF($A170="N/A"," ",(IF(DateToday&gt;$A170,$CS170,IF(VolType=1,((($CR170^2)*((($A170-1)-DateToday)/((EOMONTH($A170,0)+1)-DateToday-15)))+((($CS170)^2)*((15)/((EOMONTH($A170,0)+1)-DateToday-15))))^0.5,CR170))))</f>
        <v> </v>
      </c>
      <c r="CU170" s="312" t="str">
        <f aca="false">IF($A170="N/A"," ",IF('Pricing Inputs'!$AR$23=TRUE(),Inputs!$S$22,VLOOKUP($A170,CorrelationTable,2,FALSE())))</f>
        <v> </v>
      </c>
      <c r="CV170" s="313" t="str">
        <f aca="false">IF($A170="N/A"," ",F170+G170+(D170*('Pricing Inputs'!X205)))</f>
        <v> </v>
      </c>
      <c r="CW170" s="314" t="str">
        <f aca="false">IF($A170="N/A"," ",IF(PV=1,0,'Pricing Inputs'!Y205))</f>
        <v> </v>
      </c>
      <c r="CX170" s="315" t="str">
        <f aca="false">IF($A170="N/A"," ",(1+CW170/2)^(-2*((EOMONTH(A170,0)+20)-DateToday)/365.25))</f>
        <v> </v>
      </c>
      <c r="CY170" s="316" t="str">
        <f aca="false">IF($A170="N/A"," ",(IF(MONTH(A170)&gt;=4,IF(MONTH(A170)&lt;=10,Inputs!$S$26,Inputs!$S$27),Inputs!$S$27))*$CX170)</f>
        <v> </v>
      </c>
      <c r="CZ170" s="317" t="str">
        <f aca="false">IF($A170="N/A"," ",BK170+BL170+BN170+BO170+BQ170+BR170)</f>
        <v> </v>
      </c>
      <c r="DA170" s="318" t="str">
        <f aca="false">IF($A170="N/A"," ",BM170+BP170+BS170)</f>
        <v> </v>
      </c>
      <c r="DB170" s="319" t="str">
        <f aca="false">IF($A170="N/A"," ",BT170+BU170+BW170+BX170+BZ170+CA170)</f>
        <v> </v>
      </c>
      <c r="DC170" s="319" t="str">
        <f aca="false">IF($A170="N/A"," ",BV170+BY170+CB170)</f>
        <v> </v>
      </c>
      <c r="DD170" s="320" t="str">
        <f aca="false">IF($A170="N/A"," ",SUM(CC170:CK170))</f>
        <v> </v>
      </c>
      <c r="DE170" s="321" t="str">
        <f aca="false">IF($A170="N/A"," ",VLOOKUP($A170,NumberofDaysTable,2)*Availability)</f>
        <v> </v>
      </c>
      <c r="DF170" s="94" t="str">
        <f aca="false">IF($A170="N/A"," ",VLOOKUP($A170,NumberofDaysTable,3)*Availability)</f>
        <v> </v>
      </c>
      <c r="DG170" s="322" t="str">
        <f aca="false">IF($A170="N/A"," ",VLOOKUP($A170,NumberofDaysTable,4)*Availability)</f>
        <v> </v>
      </c>
      <c r="DH170" s="323" t="str">
        <f aca="false">IF($A170="N/A"," ",IF(Option=1,$D170*Inputs!$S$15*SUM(AS170:BA170),0))</f>
        <v> </v>
      </c>
      <c r="DI170" s="324" t="str">
        <f aca="false">IF($A170="N/A"," ",IF(Option=1,$D170*Inputs!$S$16*SUM(AS170:BA170),0))</f>
        <v> </v>
      </c>
      <c r="DJ170" s="325" t="str">
        <f aca="false">IF($A170="N/A"," ",SUM(AS170:AT170))</f>
        <v> </v>
      </c>
      <c r="DK170" s="325" t="str">
        <f aca="false">IF($A170="N/A"," ",SUM(AU170:BA170))</f>
        <v> </v>
      </c>
      <c r="DL170" s="325" t="str">
        <f aca="false">IF($A170="N/A"," ",SUM(BB170:BC170))</f>
        <v> </v>
      </c>
      <c r="DM170" s="325" t="str">
        <f aca="false">IF($A170="N/A"," ",SUM(BD170:BJ170))</f>
        <v> </v>
      </c>
    </row>
    <row r="171" customFormat="false" ht="12.75" hidden="false" customHeight="false" outlineLevel="0" collapsed="false">
      <c r="A171" s="282" t="str">
        <f aca="false">IF(A170="N/A","N/A",IF(EDATE(A170,1)&gt;Inputs!$S$5,"N/A",EDATE(A170,1)))</f>
        <v>N/A</v>
      </c>
      <c r="B171" s="283" t="str">
        <f aca="false">IF(A171="N/A"," ",YEAR(A171))</f>
        <v> </v>
      </c>
      <c r="C171" s="284" t="str">
        <f aca="false">IF(A171="N/A"," ",VLOOKUP(A171,ScaledPrice,14))</f>
        <v> </v>
      </c>
      <c r="D171" s="285" t="str">
        <f aca="false">IF(A171="N/A"," ",(VLOOKUP(MONTH($A171),Hrtable,2))/1000)</f>
        <v> </v>
      </c>
      <c r="E171" s="286" t="str">
        <f aca="false">IF($A171="N/A"," ",(C171)*D171)</f>
        <v> </v>
      </c>
      <c r="F171" s="287" t="str">
        <f aca="false">IF(A171="N/A"," ",VOM*(1+VOMesc)^(YEAR(A171)-YEAR(Today)))</f>
        <v> </v>
      </c>
      <c r="G171" s="287" t="str">
        <f aca="false">IF(A171="N/A"," ",Perstart/VLOOKUP(Dayrun,'Pricing Inputs'!$AQ$4:$AS$14,3)/(CY171/CX171))</f>
        <v> </v>
      </c>
      <c r="H171" s="288" t="str">
        <f aca="false">IF(A171="N/A"," ",SUM(E171:G171))</f>
        <v> </v>
      </c>
      <c r="I171" s="289" t="str">
        <f aca="false">VLOOKUP($A171,ScaledPrice,6)</f>
        <v> </v>
      </c>
      <c r="J171" s="290" t="str">
        <f aca="false">VLOOKUP($A171,ScaledPrice,10)</f>
        <v> </v>
      </c>
      <c r="K171" s="290" t="str">
        <f aca="false">VLOOKUP($A171,ScaledPrice,13)</f>
        <v> </v>
      </c>
      <c r="L171" s="290" t="str">
        <f aca="false">VLOOKUP($A171,ScaledPrice,7)</f>
        <v> </v>
      </c>
      <c r="M171" s="290" t="str">
        <f aca="false">VLOOKUP($A171,ScaledPrice,11)</f>
        <v> </v>
      </c>
      <c r="N171" s="290" t="str">
        <f aca="false">VLOOKUP($A171,ScaledPrice,13)</f>
        <v> </v>
      </c>
      <c r="O171" s="290" t="str">
        <f aca="false">VLOOKUP($A171,ScaledPrice,8)</f>
        <v> </v>
      </c>
      <c r="P171" s="290" t="str">
        <f aca="false">VLOOKUP($A171,ScaledPrice,12)</f>
        <v> </v>
      </c>
      <c r="Q171" s="291" t="str">
        <f aca="false">VLOOKUP($A171,ScaledPrice,13)</f>
        <v> </v>
      </c>
      <c r="R171" s="292" t="str">
        <f aca="false">IF($A171="N/A"," ",IF(Dayrun&gt;=3,IF(Option=1,MAX($I171-$H171,0),IF(Option=2,MAX($H171-$I171,0),0)),0))</f>
        <v> </v>
      </c>
      <c r="S171" s="286" t="str">
        <f aca="false">IF($A171="N/A"," ",IF(Dayrun&gt;=6,IF(Option=1,MAX($J171-H171,0),IF(Option=2,MAX(H171-$J171,0),0)),0))</f>
        <v> </v>
      </c>
      <c r="T171" s="286" t="str">
        <f aca="false">IF($A171="N/A"," ",IF(OR(Dayrun&lt;=2,Dayrun&gt;=9),IF(Option=1,MAX($K171-$H171,0),IF(Option=2,MAX($H171-$K171,0),0)),0))</f>
        <v> </v>
      </c>
      <c r="U171" s="286" t="str">
        <f aca="false">IF($A171="N/A"," ",IF(OR(Dayrun=1,Dayrun=4,Dayrun=5,Dayrun=7,Dayrun=8,Dayrun=10,Dayrun=11),IF(Option=1,MAX($L171-H171,0),IF(Option=2,MAX(H171-$L171,0),0)),0))</f>
        <v> </v>
      </c>
      <c r="V171" s="286" t="str">
        <f aca="false">IF($A171="N/A"," ",IF(OR(Dayrun=1,Dayrun=7,Dayrun=8,Dayrun=10,Dayrun=11),IF(Option=1,MAX($M171-H171,0),IF(Option=2,MAX(H171-$M171,0),0)),0))</f>
        <v> </v>
      </c>
      <c r="W171" s="286" t="str">
        <f aca="false">IF($A171="N/A"," ",IF(OR(Dayrun&lt;=2,Dayrun&gt;=10),IF(Option=1,MAX($N171-$H171,0),IF(Option=2,MAX($H171-$N171,0),0)),0))</f>
        <v> </v>
      </c>
      <c r="X171" s="286" t="str">
        <f aca="false">IF($A171="N/A"," ",IF(OR(Dayrun=1,Dayrun=5,Dayrun=8,Dayrun=11),IF(Option=1,MAX($O171-H171,0),IF(Option=2,MAX(H171-$O171,0),0)),0))</f>
        <v> </v>
      </c>
      <c r="Y171" s="286" t="str">
        <f aca="false">IF($A171="N/A"," ",IF(OR(Dayrun=1,Dayrun=8,Dayrun=11),IF(Option=1,MAX($P171-H171,0),IF(Option=2,MAX(H171-$P171,0),0)),0))</f>
        <v> </v>
      </c>
      <c r="Z171" s="293" t="str">
        <f aca="false">IF($A171="N/A"," ",IF(OR(Dayrun&lt;=2,Dayrun&gt;=11),IF(Option=1,MAX($Q171-$H171,0),IF(Option=2,MAX($H171-$Q171,0),0)),0))</f>
        <v> </v>
      </c>
      <c r="AA171" s="289" t="str">
        <f aca="false">IF($A171="N/A"," ",IF(Dayrun&gt;=3,(MAX(0,(xSPRDOPT(I171,($E171-'Pricing Inputs'!$X206*$D171),$CV171,0,($CN171+IF(Smile=TRUE(),VLOOKUP(MAX(-5,$H171-I171),Volsmile,2),0)),$CT171,$CU171,($A171-DateToday)+15,ABS(Option-2),0)-R171))),0))</f>
        <v> </v>
      </c>
      <c r="AB171" s="290" t="str">
        <f aca="false">IF($A171="N/A"," ",IF(Dayrun&gt;=6,MAX(0,(xSPRDOPT(J171,($E171-'Pricing Inputs'!$X206*$D171),$CV171,0,($CN171+IF(Smile=TRUE(),VLOOKUP(MAX(-5,$H171-J171),Volsmile,2),0)),$CT171,$CU171,($A171-DateToday)+15,ABS(Option-2),0)-S171)),0))</f>
        <v> </v>
      </c>
      <c r="AC171" s="290" t="str">
        <f aca="false">IF($A171="N/A"," ",IF(OR(Dayrun&lt;=2,Dayrun&gt;=9),IF(OffPeakEx=TRUE(),MAX(0,(xSPRDOPT(K171,($E171-'Pricing Inputs'!$X206*$D171),$CV171,0,($CQ171+IF(Smile=TRUE(),VLOOKUP(MAX(-5,$H171-K171),Volsmile,2),0)),$CT171,$CU171,($A171-DateToday)+15,ABS(Option-2),0)-T171)),0),0))</f>
        <v> </v>
      </c>
      <c r="AD171" s="290" t="str">
        <f aca="false">IF($A171="N/A"," ",IF(OR(Dayrun=1,Dayrun=4,Dayrun=5,Dayrun=7,Dayrun=8,Dayrun=10,Dayrun=11),MAX(0,(xSPRDOPT(L171,($E171-'Pricing Inputs'!$X206*$D171),$CV171,0,($CQ171+IF(Smile=TRUE(),VLOOKUP(MAX(-5,$H171-L171),Volsmile,2),0)),$CT171,$CU171,($A171-DateToday)+15,ABS(Option-2),0)-U171)),0))</f>
        <v> </v>
      </c>
      <c r="AE171" s="290" t="str">
        <f aca="false">IF($A171="N/A"," ",IF(OR(Dayrun=1,Dayrun=7,Dayrun=8,Dayrun=10,Dayrun=11),MAX(0,(xSPRDOPT(M171,($E171-'Pricing Inputs'!$X206*$D171),$CV171,0,($CQ171+IF(Smile=TRUE(),VLOOKUP(MAX(-5,$H171-M171),Volsmile,2),0)),$CT171,$CU171,($A171-DateToday)+15,ABS(Option-2),0)-V171)),0))</f>
        <v> </v>
      </c>
      <c r="AF171" s="290" t="str">
        <f aca="false">IF($A171="N/A"," ",IF(OR(Dayrun&lt;=2,Dayrun&gt;=10),IF(OffPeakEx=TRUE(),MAX(0,(xSPRDOPT(N171,($E171-'Pricing Inputs'!$X206*$D171),$CV171,0,($CQ171+IF(Smile=TRUE(),VLOOKUP(MAX(-5,$H171-N171),Volsmile,2),0)),$CT171,$CU171,($A171-DateToday)+15,ABS(Option-2),0)-W171)),0),0))</f>
        <v> </v>
      </c>
      <c r="AG171" s="290" t="str">
        <f aca="false">IF($A171="N/A"," ",IF(OR(Dayrun=1,Dayrun=5,Dayrun=8,Dayrun=11),MAX(0,(xSPRDOPT(O171,($E171-'Pricing Inputs'!$X206*$D171),$CV171,0,($CQ171+IF(Smile=TRUE(),VLOOKUP(MAX(-5,$H171-O171),Volsmile,2),0)),$CT171,$CU171,($A171-DateToday)+15,ABS(Option-2),0)-X171)),0))</f>
        <v> </v>
      </c>
      <c r="AH171" s="290" t="str">
        <f aca="false">IF($A171="N/A"," ",IF(OR(Dayrun=1,Dayrun=8,Dayrun=11),MAX(0,(xSPRDOPT(P171,($E171-'Pricing Inputs'!$X206*$D171),$CV171,0,($CQ171+IF(Smile=TRUE(),VLOOKUP(MAX(-5,$H171-P171),Volsmile,2),0)),$CT171,$CU171,($A171-DateToday)+15,ABS(Option-2),0)-Y171)),0))</f>
        <v> </v>
      </c>
      <c r="AI171" s="290" t="str">
        <f aca="false">IF($A171="N/A"," ",IF(OR(Dayrun&lt;=2,Dayrun&gt;=11),IF(OffPeakEx=TRUE(),MAX(0,(xSPRDOPT(Q171,($E171-'Pricing Inputs'!$X206*$D171),$CV171,0,($CQ171+IF(Smile=TRUE(),VLOOKUP(MAX(-5,$H171-Q171),Volsmile,2),0)),$CT171,$CU171,($A171-DateToday)+15,ABS(Option-2),0)-Z171)),0),0))</f>
        <v> </v>
      </c>
      <c r="AJ171" s="294" t="str">
        <f aca="false">IF($A171="N/A"," ",IF(Dayrun&gt;=3,IF(Option=1,$I171-$H171,IF(Option=2,$H171-$I171)),0))</f>
        <v> </v>
      </c>
      <c r="AK171" s="295" t="str">
        <f aca="false">IF($A171="N/A"," ",IF(Dayrun&gt;=6,IF(Option=1,$J171-H171,IF(Option=2,H171-$J171)),0))</f>
        <v> </v>
      </c>
      <c r="AL171" s="295" t="str">
        <f aca="false">IF($A171="N/A"," ",IF(OR(Dayrun&lt;=2,Dayrun&gt;=9),IF(Option=1,$K171-$H171,IF(Option=2,$H171-$K171)),0))</f>
        <v> </v>
      </c>
      <c r="AM171" s="295" t="str">
        <f aca="false">IF($A171="N/A"," ",IF(OR(Dayrun=1,Dayrun=4,Dayrun=5,Dayrun=7,Dayrun=8,Dayrun=10,Dayrun=11),IF(Option=1,$L171-H171,IF(Option=2,H171-$L171)),0))</f>
        <v> </v>
      </c>
      <c r="AN171" s="295" t="str">
        <f aca="false">IF($A171="N/A"," ",IF(OR(Dayrun=1,Dayrun=7,Dayrun=8,Dayrun=10,Dayrun=11),IF(Option=1,$M171-H171,IF(Option=2,H171-$M171)),0))</f>
        <v> </v>
      </c>
      <c r="AO171" s="295" t="str">
        <f aca="false">IF($A171="N/A"," ",IF(OR(Dayrun&lt;=2,Dayrun&gt;=9),IF(Option=1,$N171-$H171,IF(Option=2,$H171-$N171)),0))</f>
        <v> </v>
      </c>
      <c r="AP171" s="295" t="str">
        <f aca="false">IF($A171="N/A"," ",IF(OR(Dayrun=1,Dayrun=5,Dayrun=8,Dayrun=11),IF(Option=1,$O171-H171,IF(Option=2,H171-$O171)),0))</f>
        <v> </v>
      </c>
      <c r="AQ171" s="295" t="str">
        <f aca="false">IF($A171="N/A"," ",IF(OR(Dayrun=1,Dayrun=8,Dayrun=11),IF(Option=1,$P171-H171,IF(Option=2,H171-$P171)),0))</f>
        <v> </v>
      </c>
      <c r="AR171" s="296" t="str">
        <f aca="false">IF($A171="N/A"," ",IF(OR(Dayrun&lt;=2,Dayrun&gt;=9),IF(Option=1,$Q171-H171,IF(Option=2,H171-$Q171)),0))</f>
        <v> </v>
      </c>
      <c r="AS171" s="297" t="str">
        <f aca="false">IF($A171="N/A"," ",IF(VLOOKUP(MONTH($A171),ManualTable,2)=1,IF(Dayrun&gt;=3,$DE171*8*$CY171,0),0))</f>
        <v> </v>
      </c>
      <c r="AT171" s="297" t="str">
        <f aca="false">IF($A171="N/A"," ",IF(VLOOKUP(MONTH($A171),ManualTable,3)=1,IF(Dayrun&gt;=6,$DE171*8*$CY171,0),0))</f>
        <v> </v>
      </c>
      <c r="AU171" s="297" t="str">
        <f aca="false">IF($A171="N/A"," ",IF(VLOOKUP(MONTH($A171),ManualTable,4)=1,IF(OR(Dayrun&lt;=2,Dayrun&gt;=9),$DE171*8*$CY171,0),0))</f>
        <v> </v>
      </c>
      <c r="AV171" s="297" t="str">
        <f aca="false">IF($A171="N/A"," ",IF(VLOOKUP(MONTH($A171),ManualTable,5)=1,IF(OR(Dayrun=1,Dayrun=4,Dayrun=5,Dayrun=7,Dayrun=8,Dayrun=10,Dayrun=11),$DF171*8*$CY171,0),0))</f>
        <v> </v>
      </c>
      <c r="AW171" s="297" t="str">
        <f aca="false">IF($A171="N/A"," ",IF(VLOOKUP(MONTH($A171),ManualTable,6)=1,IF(OR(Dayrun=1,Dayrun=7,Dayrun=8,Dayrun=10,Dayrun=11),$DF171*8*$CY171,0),0))</f>
        <v> </v>
      </c>
      <c r="AX171" s="297" t="str">
        <f aca="false">IF($A171="N/A"," ",IF(VLOOKUP(MONTH($A171),ManualTable,7)=1,IF(OR(Dayrun&lt;=2,Dayrun&gt;=9),$DF171*8*$CY171,0),0))</f>
        <v> </v>
      </c>
      <c r="AY171" s="297" t="str">
        <f aca="false">IF($A171="N/A"," ",IF(VLOOKUP(MONTH($A171),ManualTable,8)=1,IF(OR(Dayrun=1,Dayrun=5,Dayrun=8,Dayrun=11),$DG171*8*$CY171,0),0))</f>
        <v> </v>
      </c>
      <c r="AZ171" s="297" t="str">
        <f aca="false">IF($A171="N/A"," ",IF(VLOOKUP(MONTH($A171),ManualTable,9)=1,IF(OR(Dayrun=1,Dayrun=8,Dayrun=11),$DG171*8*$CY171,0),0))</f>
        <v> </v>
      </c>
      <c r="BA171" s="298" t="str">
        <f aca="false">IF($A171="N/A"," ",IF(VLOOKUP(MONTH($A171),ManualTable,10)=1,IF(OR(Dayrun&lt;=2,Dayrun&gt;=9),$DG171*8*$CY171,0),0))</f>
        <v> </v>
      </c>
      <c r="BB171" s="299" t="str">
        <f aca="false">IF($A171="N/A"," ",IF(Dayrun&gt;=3,(MAX(0,(xSPRDOPT(I171,($E171-'Pricing Inputs'!$X206*$D171),$CV171,0,($CN171+IF(Smile=TRUE(),VLOOKUP(MAX(-5,$H171-I171),Volsmile,2),0)),$CT171,$CU171,($A171-DateToday)+15,ABS(Option-2),1)*DE171*8))),0))</f>
        <v> </v>
      </c>
      <c r="BC171" s="300" t="str">
        <f aca="false">IF($A171="N/A"," ",IF(Dayrun&gt;=6,MAX(0,(xSPRDOPT(J171,($E171-'Pricing Inputs'!$X206*$D171),$CV171,0,($CN171+IF(Smile=TRUE(),VLOOKUP(MAX(-5,$H171-J171),Volsmile,2),0)),$CT171,$CU171,($A171-DateToday)+15,ABS(Option-2),1)*DE171*8)),0))</f>
        <v> </v>
      </c>
      <c r="BD171" s="300" t="str">
        <f aca="false">IF($A171="N/A"," ",IF(OR(Dayrun&lt;=2,Dayrun&gt;=9),IF(OffPeakEx=TRUE(),MAX(0,(xSPRDOPT(K171,($E171-'Pricing Inputs'!$X206*$D171),$CV171,0,($CQ171+IF(Smile=TRUE(),VLOOKUP(MAX(-5,$H171-K171),Volsmile,2),0)),$CT171,$CU171,($A171-DateToday)+15,ABS(Option-2),1)*DE171*8)),0),0))</f>
        <v> </v>
      </c>
      <c r="BE171" s="300" t="str">
        <f aca="false">IF($A171="N/A"," ",IF(OR(Dayrun=1,Dayrun=4,Dayrun=5,Dayrun=7,Dayrun=8,Dayrun=10,Dayrun=11),MAX(0,(xSPRDOPT(L171,($E171-'Pricing Inputs'!$X206*$D171),$CV171,0,($CQ171+IF(Smile=TRUE(),VLOOKUP(MAX(-5,$H171-L171),Volsmile,2),0)),$CT171,$CU171,($A171-DateToday)+15,ABS(Option-2),1)*DF171*8)),0))</f>
        <v> </v>
      </c>
      <c r="BF171" s="300" t="str">
        <f aca="false">IF($A171="N/A"," ",IF(OR(Dayrun=1,Dayrun=7,Dayrun=8,Dayrun=10,Dayrun=11),MAX(0,(xSPRDOPT(M171,($E171-'Pricing Inputs'!$X206*$D171),$CV171,0,($CQ171+IF(Smile=TRUE(),VLOOKUP(MAX(-5,$H171-M171),Volsmile,2),0)),$CT171,$CU171,($A171-DateToday)+15,ABS(Option-2),1)*DF171*8)),0))</f>
        <v> </v>
      </c>
      <c r="BG171" s="300" t="str">
        <f aca="false">IF($A171="N/A"," ",IF(OR(Dayrun&lt;=2,Dayrun&gt;=10),IF(OffPeakEx=TRUE(),MAX(0,(xSPRDOPT(N171,($E171-'Pricing Inputs'!$X206*$D171),$CV171,0,($CQ171+IF(Smile=TRUE(),VLOOKUP(MAX(-5,$H171-N171),Volsmile,2),0)),$CT171,$CU171,($A171-DateToday)+15,ABS(Option-2),1)*DF171*8)),0),0))</f>
        <v> </v>
      </c>
      <c r="BH171" s="300" t="str">
        <f aca="false">IF($A171="N/A"," ",IF(OR(Dayrun=1,Dayrun=5,Dayrun=8,Dayrun=11),MAX(0,(xSPRDOPT(O171,($E171-'Pricing Inputs'!$X206*$D171),$CV171,0,($CQ171+IF(Smile=TRUE(),VLOOKUP(MAX(-5,$H171-O171),Volsmile,2),0)),$CT171,$CU171,($A171-DateToday)+15,ABS(Option-2),1)*DG171*8)),0))</f>
        <v> </v>
      </c>
      <c r="BI171" s="300" t="str">
        <f aca="false">IF($A171="N/A"," ",IF(OR(Dayrun=1,Dayrun=8,Dayrun=11),MAX(0,(xSPRDOPT(P171,($E171-'Pricing Inputs'!$X206*$D171),$CV171,0,($CQ171+IF(Smile=TRUE(),VLOOKUP(MAX(-5,$H171-P171),Volsmile,2),0)),$CT171,$CU171,($A171-DateToday)+15,ABS(Option-2),1)*DG171*8)),0))</f>
        <v> </v>
      </c>
      <c r="BJ171" s="301" t="str">
        <f aca="false">IF($A171="N/A"," ",IF(OR(Dayrun&lt;=2,Dayrun&gt;=11),IF(OffPeakEx=TRUE(),MAX(0,(xSPRDOPT(Q171,($E171-'Pricing Inputs'!$X206*$D171),$CV171,0,($CQ171+IF(Smile=TRUE(),VLOOKUP(MAX(-5,$H171-Q171),Volsmile,2),0)),$CT171,$CU171,($A171-DateToday)+15,ABS(Option-2),1)*DG171*8)),0),0))</f>
        <v> </v>
      </c>
      <c r="BK171" s="302" t="str">
        <f aca="false">IF($A171="N/A"," ",R171*$AS171)</f>
        <v> </v>
      </c>
      <c r="BL171" s="303" t="str">
        <f aca="false">IF($A171="N/A"," ",S171*$AT171)</f>
        <v> </v>
      </c>
      <c r="BM171" s="303" t="str">
        <f aca="false">IF($A171="N/A"," ",T171*$AU171)</f>
        <v> </v>
      </c>
      <c r="BN171" s="303" t="str">
        <f aca="false">IF($A171="N/A"," ",U171*$AV171)</f>
        <v> </v>
      </c>
      <c r="BO171" s="303" t="str">
        <f aca="false">IF($A171="N/A"," ",V171*$AW171)</f>
        <v> </v>
      </c>
      <c r="BP171" s="303" t="str">
        <f aca="false">IF($A171="N/A"," ",W171*$AX171)</f>
        <v> </v>
      </c>
      <c r="BQ171" s="303" t="str">
        <f aca="false">IF($A171="N/A"," ",X171*$AY171)</f>
        <v> </v>
      </c>
      <c r="BR171" s="303" t="str">
        <f aca="false">IF($A171="N/A"," ",Y171*$AZ171)</f>
        <v> </v>
      </c>
      <c r="BS171" s="304" t="str">
        <f aca="false">IF($A171="N/A"," ",Z171*$BA171)</f>
        <v> </v>
      </c>
      <c r="BT171" s="305" t="str">
        <f aca="false">IF($A171="N/A"," ",AA171*$AS171)</f>
        <v> </v>
      </c>
      <c r="BU171" s="306" t="str">
        <f aca="false">IF($A171="N/A"," ",AB171*$AT171)</f>
        <v> </v>
      </c>
      <c r="BV171" s="306" t="str">
        <f aca="false">IF($A171="N/A"," ",AC171*$AU171)</f>
        <v> </v>
      </c>
      <c r="BW171" s="306" t="str">
        <f aca="false">IF($A171="N/A"," ",AD171*$AV171)</f>
        <v> </v>
      </c>
      <c r="BX171" s="306" t="str">
        <f aca="false">IF($A171="N/A"," ",AE171*$AW171)</f>
        <v> </v>
      </c>
      <c r="BY171" s="306" t="str">
        <f aca="false">IF($A171="N/A"," ",AF171*$AX171)</f>
        <v> </v>
      </c>
      <c r="BZ171" s="306" t="str">
        <f aca="false">IF($A171="N/A"," ",AG171*$AY171)</f>
        <v> </v>
      </c>
      <c r="CA171" s="306" t="str">
        <f aca="false">IF($A171="N/A"," ",AH171*$AZ171)</f>
        <v> </v>
      </c>
      <c r="CB171" s="307" t="str">
        <f aca="false">IF($A171="N/A"," ",AI171*$BA171)</f>
        <v> </v>
      </c>
      <c r="CC171" s="308" t="str">
        <f aca="false">IF($A171="N/A"," ",AJ171*$AS171)</f>
        <v> </v>
      </c>
      <c r="CD171" s="309" t="str">
        <f aca="false">IF($A171="N/A"," ",AK171*$AT171)</f>
        <v> </v>
      </c>
      <c r="CE171" s="309" t="str">
        <f aca="false">IF($A171="N/A"," ",AL171*$AU171)</f>
        <v> </v>
      </c>
      <c r="CF171" s="309" t="str">
        <f aca="false">IF($A171="N/A"," ",AM171*$AV171)</f>
        <v> </v>
      </c>
      <c r="CG171" s="309" t="str">
        <f aca="false">IF($A171="N/A"," ",AN171*$AW171)</f>
        <v> </v>
      </c>
      <c r="CH171" s="309" t="str">
        <f aca="false">IF($A171="N/A"," ",AO171*$AX171)</f>
        <v> </v>
      </c>
      <c r="CI171" s="309" t="str">
        <f aca="false">IF($A171="N/A"," ",AP171*$AY171)</f>
        <v> </v>
      </c>
      <c r="CJ171" s="309" t="str">
        <f aca="false">IF($A171="N/A"," ",AQ171*$AZ171)</f>
        <v> </v>
      </c>
      <c r="CK171" s="310" t="str">
        <f aca="false">IF($A171="N/A"," ",AR171*$BA171)</f>
        <v> </v>
      </c>
      <c r="CL171" s="311" t="str">
        <f aca="false">IF(A171="N/A"," ",(VLOOKUP(A171,PowerVolTable,(IF(VolBMO=2,7,IF(VolBMO=1,6,8))),FALSE())))</f>
        <v> </v>
      </c>
      <c r="CM171" s="312" t="str">
        <f aca="false">IF(A171="N/A"," ",(VLOOKUP(A171,IntraPowerVol,(IF(VolBMO=2,3,IF(VolBMO=1,2,4))),FALSE())*VLOOKUP(MONTH($A171),Volscale,2)))</f>
        <v> </v>
      </c>
      <c r="CN171" s="312" t="str">
        <f aca="false">IF($A171="N/A"," ",IF(VolType=1,CM171,CL171))</f>
        <v> </v>
      </c>
      <c r="CO171" s="312" t="str">
        <f aca="false">IF($A171="N/A"," ",(VLOOKUP($A171,OffPeakVol,(IF(VolBMO=2,7,IF(VolBMO=1,6,8))),FALSE())))</f>
        <v> </v>
      </c>
      <c r="CP171" s="312" t="str">
        <f aca="false">IF($A171="N/A"," ",(VLOOKUP($A171,OffPeakVol,(IF(VolBMO=2,3,IF(VolBMO=1,2,4))),FALSE())*VLOOKUP(MONTH($A171),Volscale,2)))</f>
        <v> </v>
      </c>
      <c r="CQ171" s="312" t="str">
        <f aca="false">IF($A171="N/A"," ",IF(VolType=1,CP171,CO171))</f>
        <v> </v>
      </c>
      <c r="CR171" s="312" t="str">
        <f aca="false">IF($A171="N/A"," ",(VLOOKUP($A171,GasVolTable,(IF(VolBMO=2,6,IF(VolBMO=1,7,5))),FALSE())))</f>
        <v> </v>
      </c>
      <c r="CS171" s="312" t="str">
        <f aca="false">IF($A171="N/A"," ",(VLOOKUP($A171,OmicronVol,(IF(VolBMO=2,3,IF(VolBMO=1,4,2))),FALSE())))</f>
        <v> </v>
      </c>
      <c r="CT171" s="312" t="str">
        <f aca="false">IF($A171="N/A"," ",(IF(DateToday&gt;$A171,$CS171,IF(VolType=1,((($CR171^2)*((($A171-1)-DateToday)/((EOMONTH($A171,0)+1)-DateToday-15)))+((($CS171)^2)*((15)/((EOMONTH($A171,0)+1)-DateToday-15))))^0.5,CR171))))</f>
        <v> </v>
      </c>
      <c r="CU171" s="312" t="str">
        <f aca="false">IF($A171="N/A"," ",IF('Pricing Inputs'!$AR$23=TRUE(),Inputs!$S$22,VLOOKUP($A171,CorrelationTable,2,FALSE())))</f>
        <v> </v>
      </c>
      <c r="CV171" s="313" t="str">
        <f aca="false">IF($A171="N/A"," ",F171+G171+(D171*('Pricing Inputs'!X206)))</f>
        <v> </v>
      </c>
      <c r="CW171" s="314" t="str">
        <f aca="false">IF($A171="N/A"," ",IF(PV=1,0,'Pricing Inputs'!Y206))</f>
        <v> </v>
      </c>
      <c r="CX171" s="315" t="str">
        <f aca="false">IF($A171="N/A"," ",(1+CW171/2)^(-2*((EOMONTH(A171,0)+20)-DateToday)/365.25))</f>
        <v> </v>
      </c>
      <c r="CY171" s="316" t="str">
        <f aca="false">IF($A171="N/A"," ",(IF(MONTH(A171)&gt;=4,IF(MONTH(A171)&lt;=10,Inputs!$S$26,Inputs!$S$27),Inputs!$S$27))*$CX171)</f>
        <v> </v>
      </c>
      <c r="CZ171" s="317" t="str">
        <f aca="false">IF($A171="N/A"," ",BK171+BL171+BN171+BO171+BQ171+BR171)</f>
        <v> </v>
      </c>
      <c r="DA171" s="318" t="str">
        <f aca="false">IF($A171="N/A"," ",BM171+BP171+BS171)</f>
        <v> </v>
      </c>
      <c r="DB171" s="319" t="str">
        <f aca="false">IF($A171="N/A"," ",BT171+BU171+BW171+BX171+BZ171+CA171)</f>
        <v> </v>
      </c>
      <c r="DC171" s="319" t="str">
        <f aca="false">IF($A171="N/A"," ",BV171+BY171+CB171)</f>
        <v> </v>
      </c>
      <c r="DD171" s="320" t="str">
        <f aca="false">IF($A171="N/A"," ",SUM(CC171:CK171))</f>
        <v> </v>
      </c>
      <c r="DE171" s="321" t="str">
        <f aca="false">IF($A171="N/A"," ",VLOOKUP($A171,NumberofDaysTable,2)*Availability)</f>
        <v> </v>
      </c>
      <c r="DF171" s="94" t="str">
        <f aca="false">IF($A171="N/A"," ",VLOOKUP($A171,NumberofDaysTable,3)*Availability)</f>
        <v> </v>
      </c>
      <c r="DG171" s="322" t="str">
        <f aca="false">IF($A171="N/A"," ",VLOOKUP($A171,NumberofDaysTable,4)*Availability)</f>
        <v> </v>
      </c>
      <c r="DH171" s="323" t="str">
        <f aca="false">IF($A171="N/A"," ",IF(Option=1,$D171*Inputs!$S$15*SUM(AS171:BA171),0))</f>
        <v> </v>
      </c>
      <c r="DI171" s="324" t="str">
        <f aca="false">IF($A171="N/A"," ",IF(Option=1,$D171*Inputs!$S$16*SUM(AS171:BA171),0))</f>
        <v> </v>
      </c>
      <c r="DJ171" s="325" t="str">
        <f aca="false">IF($A171="N/A"," ",SUM(AS171:AT171))</f>
        <v> </v>
      </c>
      <c r="DK171" s="325" t="str">
        <f aca="false">IF($A171="N/A"," ",SUM(AU171:BA171))</f>
        <v> </v>
      </c>
      <c r="DL171" s="325" t="str">
        <f aca="false">IF($A171="N/A"," ",SUM(BB171:BC171))</f>
        <v> </v>
      </c>
      <c r="DM171" s="325" t="str">
        <f aca="false">IF($A171="N/A"," ",SUM(BD171:BJ171))</f>
        <v> </v>
      </c>
    </row>
    <row r="172" customFormat="false" ht="12.75" hidden="false" customHeight="false" outlineLevel="0" collapsed="false">
      <c r="A172" s="282" t="str">
        <f aca="false">IF(A171="N/A","N/A",IF(EDATE(A171,1)&gt;Inputs!$S$5,"N/A",EDATE(A171,1)))</f>
        <v>N/A</v>
      </c>
      <c r="B172" s="283" t="str">
        <f aca="false">IF(A172="N/A"," ",YEAR(A172))</f>
        <v> </v>
      </c>
      <c r="C172" s="284" t="str">
        <f aca="false">IF(A172="N/A"," ",VLOOKUP(A172,ScaledPrice,14))</f>
        <v> </v>
      </c>
      <c r="D172" s="285" t="str">
        <f aca="false">IF(A172="N/A"," ",(VLOOKUP(MONTH($A172),Hrtable,2))/1000)</f>
        <v> </v>
      </c>
      <c r="E172" s="286" t="str">
        <f aca="false">IF($A172="N/A"," ",(C172)*D172)</f>
        <v> </v>
      </c>
      <c r="F172" s="287" t="str">
        <f aca="false">IF(A172="N/A"," ",VOM*(1+VOMesc)^(YEAR(A172)-YEAR(Today)))</f>
        <v> </v>
      </c>
      <c r="G172" s="287" t="str">
        <f aca="false">IF(A172="N/A"," ",Perstart/VLOOKUP(Dayrun,'Pricing Inputs'!$AQ$4:$AS$14,3)/(CY172/CX172))</f>
        <v> </v>
      </c>
      <c r="H172" s="288" t="str">
        <f aca="false">IF(A172="N/A"," ",SUM(E172:G172))</f>
        <v> </v>
      </c>
      <c r="I172" s="289" t="str">
        <f aca="false">VLOOKUP($A172,ScaledPrice,6)</f>
        <v> </v>
      </c>
      <c r="J172" s="290" t="str">
        <f aca="false">VLOOKUP($A172,ScaledPrice,10)</f>
        <v> </v>
      </c>
      <c r="K172" s="290" t="str">
        <f aca="false">VLOOKUP($A172,ScaledPrice,13)</f>
        <v> </v>
      </c>
      <c r="L172" s="290" t="str">
        <f aca="false">VLOOKUP($A172,ScaledPrice,7)</f>
        <v> </v>
      </c>
      <c r="M172" s="290" t="str">
        <f aca="false">VLOOKUP($A172,ScaledPrice,11)</f>
        <v> </v>
      </c>
      <c r="N172" s="290" t="str">
        <f aca="false">VLOOKUP($A172,ScaledPrice,13)</f>
        <v> </v>
      </c>
      <c r="O172" s="290" t="str">
        <f aca="false">VLOOKUP($A172,ScaledPrice,8)</f>
        <v> </v>
      </c>
      <c r="P172" s="290" t="str">
        <f aca="false">VLOOKUP($A172,ScaledPrice,12)</f>
        <v> </v>
      </c>
      <c r="Q172" s="291" t="str">
        <f aca="false">VLOOKUP($A172,ScaledPrice,13)</f>
        <v> </v>
      </c>
      <c r="R172" s="292" t="str">
        <f aca="false">IF($A172="N/A"," ",IF(Dayrun&gt;=3,IF(Option=1,MAX($I172-$H172,0),IF(Option=2,MAX($H172-$I172,0),0)),0))</f>
        <v> </v>
      </c>
      <c r="S172" s="286" t="str">
        <f aca="false">IF($A172="N/A"," ",IF(Dayrun&gt;=6,IF(Option=1,MAX($J172-H172,0),IF(Option=2,MAX(H172-$J172,0),0)),0))</f>
        <v> </v>
      </c>
      <c r="T172" s="286" t="str">
        <f aca="false">IF($A172="N/A"," ",IF(OR(Dayrun&lt;=2,Dayrun&gt;=9),IF(Option=1,MAX($K172-$H172,0),IF(Option=2,MAX($H172-$K172,0),0)),0))</f>
        <v> </v>
      </c>
      <c r="U172" s="286" t="str">
        <f aca="false">IF($A172="N/A"," ",IF(OR(Dayrun=1,Dayrun=4,Dayrun=5,Dayrun=7,Dayrun=8,Dayrun=10,Dayrun=11),IF(Option=1,MAX($L172-H172,0),IF(Option=2,MAX(H172-$L172,0),0)),0))</f>
        <v> </v>
      </c>
      <c r="V172" s="286" t="str">
        <f aca="false">IF($A172="N/A"," ",IF(OR(Dayrun=1,Dayrun=7,Dayrun=8,Dayrun=10,Dayrun=11),IF(Option=1,MAX($M172-H172,0),IF(Option=2,MAX(H172-$M172,0),0)),0))</f>
        <v> </v>
      </c>
      <c r="W172" s="286" t="str">
        <f aca="false">IF($A172="N/A"," ",IF(OR(Dayrun&lt;=2,Dayrun&gt;=10),IF(Option=1,MAX($N172-$H172,0),IF(Option=2,MAX($H172-$N172,0),0)),0))</f>
        <v> </v>
      </c>
      <c r="X172" s="286" t="str">
        <f aca="false">IF($A172="N/A"," ",IF(OR(Dayrun=1,Dayrun=5,Dayrun=8,Dayrun=11),IF(Option=1,MAX($O172-H172,0),IF(Option=2,MAX(H172-$O172,0),0)),0))</f>
        <v> </v>
      </c>
      <c r="Y172" s="286" t="str">
        <f aca="false">IF($A172="N/A"," ",IF(OR(Dayrun=1,Dayrun=8,Dayrun=11),IF(Option=1,MAX($P172-H172,0),IF(Option=2,MAX(H172-$P172,0),0)),0))</f>
        <v> </v>
      </c>
      <c r="Z172" s="293" t="str">
        <f aca="false">IF($A172="N/A"," ",IF(OR(Dayrun&lt;=2,Dayrun&gt;=11),IF(Option=1,MAX($Q172-$H172,0),IF(Option=2,MAX($H172-$Q172,0),0)),0))</f>
        <v> </v>
      </c>
      <c r="AA172" s="289" t="str">
        <f aca="false">IF($A172="N/A"," ",IF(Dayrun&gt;=3,(MAX(0,(xSPRDOPT(I172,($E172-'Pricing Inputs'!$X207*$D172),$CV172,0,($CN172+IF(Smile=TRUE(),VLOOKUP(MAX(-5,$H172-I172),Volsmile,2),0)),$CT172,$CU172,($A172-DateToday)+15,ABS(Option-2),0)-R172))),0))</f>
        <v> </v>
      </c>
      <c r="AB172" s="290" t="str">
        <f aca="false">IF($A172="N/A"," ",IF(Dayrun&gt;=6,MAX(0,(xSPRDOPT(J172,($E172-'Pricing Inputs'!$X207*$D172),$CV172,0,($CN172+IF(Smile=TRUE(),VLOOKUP(MAX(-5,$H172-J172),Volsmile,2),0)),$CT172,$CU172,($A172-DateToday)+15,ABS(Option-2),0)-S172)),0))</f>
        <v> </v>
      </c>
      <c r="AC172" s="290" t="str">
        <f aca="false">IF($A172="N/A"," ",IF(OR(Dayrun&lt;=2,Dayrun&gt;=9),IF(OffPeakEx=TRUE(),MAX(0,(xSPRDOPT(K172,($E172-'Pricing Inputs'!$X207*$D172),$CV172,0,($CQ172+IF(Smile=TRUE(),VLOOKUP(MAX(-5,$H172-K172),Volsmile,2),0)),$CT172,$CU172,($A172-DateToday)+15,ABS(Option-2),0)-T172)),0),0))</f>
        <v> </v>
      </c>
      <c r="AD172" s="290" t="str">
        <f aca="false">IF($A172="N/A"," ",IF(OR(Dayrun=1,Dayrun=4,Dayrun=5,Dayrun=7,Dayrun=8,Dayrun=10,Dayrun=11),MAX(0,(xSPRDOPT(L172,($E172-'Pricing Inputs'!$X207*$D172),$CV172,0,($CQ172+IF(Smile=TRUE(),VLOOKUP(MAX(-5,$H172-L172),Volsmile,2),0)),$CT172,$CU172,($A172-DateToday)+15,ABS(Option-2),0)-U172)),0))</f>
        <v> </v>
      </c>
      <c r="AE172" s="290" t="str">
        <f aca="false">IF($A172="N/A"," ",IF(OR(Dayrun=1,Dayrun=7,Dayrun=8,Dayrun=10,Dayrun=11),MAX(0,(xSPRDOPT(M172,($E172-'Pricing Inputs'!$X207*$D172),$CV172,0,($CQ172+IF(Smile=TRUE(),VLOOKUP(MAX(-5,$H172-M172),Volsmile,2),0)),$CT172,$CU172,($A172-DateToday)+15,ABS(Option-2),0)-V172)),0))</f>
        <v> </v>
      </c>
      <c r="AF172" s="290" t="str">
        <f aca="false">IF($A172="N/A"," ",IF(OR(Dayrun&lt;=2,Dayrun&gt;=10),IF(OffPeakEx=TRUE(),MAX(0,(xSPRDOPT(N172,($E172-'Pricing Inputs'!$X207*$D172),$CV172,0,($CQ172+IF(Smile=TRUE(),VLOOKUP(MAX(-5,$H172-N172),Volsmile,2),0)),$CT172,$CU172,($A172-DateToday)+15,ABS(Option-2),0)-W172)),0),0))</f>
        <v> </v>
      </c>
      <c r="AG172" s="290" t="str">
        <f aca="false">IF($A172="N/A"," ",IF(OR(Dayrun=1,Dayrun=5,Dayrun=8,Dayrun=11),MAX(0,(xSPRDOPT(O172,($E172-'Pricing Inputs'!$X207*$D172),$CV172,0,($CQ172+IF(Smile=TRUE(),VLOOKUP(MAX(-5,$H172-O172),Volsmile,2),0)),$CT172,$CU172,($A172-DateToday)+15,ABS(Option-2),0)-X172)),0))</f>
        <v> </v>
      </c>
      <c r="AH172" s="290" t="str">
        <f aca="false">IF($A172="N/A"," ",IF(OR(Dayrun=1,Dayrun=8,Dayrun=11),MAX(0,(xSPRDOPT(P172,($E172-'Pricing Inputs'!$X207*$D172),$CV172,0,($CQ172+IF(Smile=TRUE(),VLOOKUP(MAX(-5,$H172-P172),Volsmile,2),0)),$CT172,$CU172,($A172-DateToday)+15,ABS(Option-2),0)-Y172)),0))</f>
        <v> </v>
      </c>
      <c r="AI172" s="290" t="str">
        <f aca="false">IF($A172="N/A"," ",IF(OR(Dayrun&lt;=2,Dayrun&gt;=11),IF(OffPeakEx=TRUE(),MAX(0,(xSPRDOPT(Q172,($E172-'Pricing Inputs'!$X207*$D172),$CV172,0,($CQ172+IF(Smile=TRUE(),VLOOKUP(MAX(-5,$H172-Q172),Volsmile,2),0)),$CT172,$CU172,($A172-DateToday)+15,ABS(Option-2),0)-Z172)),0),0))</f>
        <v> </v>
      </c>
      <c r="AJ172" s="294" t="str">
        <f aca="false">IF($A172="N/A"," ",IF(Dayrun&gt;=3,IF(Option=1,$I172-$H172,IF(Option=2,$H172-$I172)),0))</f>
        <v> </v>
      </c>
      <c r="AK172" s="295" t="str">
        <f aca="false">IF($A172="N/A"," ",IF(Dayrun&gt;=6,IF(Option=1,$J172-H172,IF(Option=2,H172-$J172)),0))</f>
        <v> </v>
      </c>
      <c r="AL172" s="295" t="str">
        <f aca="false">IF($A172="N/A"," ",IF(OR(Dayrun&lt;=2,Dayrun&gt;=9),IF(Option=1,$K172-$H172,IF(Option=2,$H172-$K172)),0))</f>
        <v> </v>
      </c>
      <c r="AM172" s="295" t="str">
        <f aca="false">IF($A172="N/A"," ",IF(OR(Dayrun=1,Dayrun=4,Dayrun=5,Dayrun=7,Dayrun=8,Dayrun=10,Dayrun=11),IF(Option=1,$L172-H172,IF(Option=2,H172-$L172)),0))</f>
        <v> </v>
      </c>
      <c r="AN172" s="295" t="str">
        <f aca="false">IF($A172="N/A"," ",IF(OR(Dayrun=1,Dayrun=7,Dayrun=8,Dayrun=10,Dayrun=11),IF(Option=1,$M172-H172,IF(Option=2,H172-$M172)),0))</f>
        <v> </v>
      </c>
      <c r="AO172" s="295" t="str">
        <f aca="false">IF($A172="N/A"," ",IF(OR(Dayrun&lt;=2,Dayrun&gt;=9),IF(Option=1,$N172-$H172,IF(Option=2,$H172-$N172)),0))</f>
        <v> </v>
      </c>
      <c r="AP172" s="295" t="str">
        <f aca="false">IF($A172="N/A"," ",IF(OR(Dayrun=1,Dayrun=5,Dayrun=8,Dayrun=11),IF(Option=1,$O172-H172,IF(Option=2,H172-$O172)),0))</f>
        <v> </v>
      </c>
      <c r="AQ172" s="295" t="str">
        <f aca="false">IF($A172="N/A"," ",IF(OR(Dayrun=1,Dayrun=8,Dayrun=11),IF(Option=1,$P172-H172,IF(Option=2,H172-$P172)),0))</f>
        <v> </v>
      </c>
      <c r="AR172" s="296" t="str">
        <f aca="false">IF($A172="N/A"," ",IF(OR(Dayrun&lt;=2,Dayrun&gt;=9),IF(Option=1,$Q172-H172,IF(Option=2,H172-$Q172)),0))</f>
        <v> </v>
      </c>
      <c r="AS172" s="297" t="str">
        <f aca="false">IF($A172="N/A"," ",IF(VLOOKUP(MONTH($A172),ManualTable,2)=1,IF(Dayrun&gt;=3,$DE172*8*$CY172,0),0))</f>
        <v> </v>
      </c>
      <c r="AT172" s="297" t="str">
        <f aca="false">IF($A172="N/A"," ",IF(VLOOKUP(MONTH($A172),ManualTable,3)=1,IF(Dayrun&gt;=6,$DE172*8*$CY172,0),0))</f>
        <v> </v>
      </c>
      <c r="AU172" s="297" t="str">
        <f aca="false">IF($A172="N/A"," ",IF(VLOOKUP(MONTH($A172),ManualTable,4)=1,IF(OR(Dayrun&lt;=2,Dayrun&gt;=9),$DE172*8*$CY172,0),0))</f>
        <v> </v>
      </c>
      <c r="AV172" s="297" t="str">
        <f aca="false">IF($A172="N/A"," ",IF(VLOOKUP(MONTH($A172),ManualTable,5)=1,IF(OR(Dayrun=1,Dayrun=4,Dayrun=5,Dayrun=7,Dayrun=8,Dayrun=10,Dayrun=11),$DF172*8*$CY172,0),0))</f>
        <v> </v>
      </c>
      <c r="AW172" s="297" t="str">
        <f aca="false">IF($A172="N/A"," ",IF(VLOOKUP(MONTH($A172),ManualTable,6)=1,IF(OR(Dayrun=1,Dayrun=7,Dayrun=8,Dayrun=10,Dayrun=11),$DF172*8*$CY172,0),0))</f>
        <v> </v>
      </c>
      <c r="AX172" s="297" t="str">
        <f aca="false">IF($A172="N/A"," ",IF(VLOOKUP(MONTH($A172),ManualTable,7)=1,IF(OR(Dayrun&lt;=2,Dayrun&gt;=9),$DF172*8*$CY172,0),0))</f>
        <v> </v>
      </c>
      <c r="AY172" s="297" t="str">
        <f aca="false">IF($A172="N/A"," ",IF(VLOOKUP(MONTH($A172),ManualTable,8)=1,IF(OR(Dayrun=1,Dayrun=5,Dayrun=8,Dayrun=11),$DG172*8*$CY172,0),0))</f>
        <v> </v>
      </c>
      <c r="AZ172" s="297" t="str">
        <f aca="false">IF($A172="N/A"," ",IF(VLOOKUP(MONTH($A172),ManualTable,9)=1,IF(OR(Dayrun=1,Dayrun=8,Dayrun=11),$DG172*8*$CY172,0),0))</f>
        <v> </v>
      </c>
      <c r="BA172" s="298" t="str">
        <f aca="false">IF($A172="N/A"," ",IF(VLOOKUP(MONTH($A172),ManualTable,10)=1,IF(OR(Dayrun&lt;=2,Dayrun&gt;=9),$DG172*8*$CY172,0),0))</f>
        <v> </v>
      </c>
      <c r="BB172" s="299" t="str">
        <f aca="false">IF($A172="N/A"," ",IF(Dayrun&gt;=3,(MAX(0,(xSPRDOPT(I172,($E172-'Pricing Inputs'!$X207*$D172),$CV172,0,($CN172+IF(Smile=TRUE(),VLOOKUP(MAX(-5,$H172-I172),Volsmile,2),0)),$CT172,$CU172,($A172-DateToday)+15,ABS(Option-2),1)*DE172*8))),0))</f>
        <v> </v>
      </c>
      <c r="BC172" s="300" t="str">
        <f aca="false">IF($A172="N/A"," ",IF(Dayrun&gt;=6,MAX(0,(xSPRDOPT(J172,($E172-'Pricing Inputs'!$X207*$D172),$CV172,0,($CN172+IF(Smile=TRUE(),VLOOKUP(MAX(-5,$H172-J172),Volsmile,2),0)),$CT172,$CU172,($A172-DateToday)+15,ABS(Option-2),1)*DE172*8)),0))</f>
        <v> </v>
      </c>
      <c r="BD172" s="300" t="str">
        <f aca="false">IF($A172="N/A"," ",IF(OR(Dayrun&lt;=2,Dayrun&gt;=9),IF(OffPeakEx=TRUE(),MAX(0,(xSPRDOPT(K172,($E172-'Pricing Inputs'!$X207*$D172),$CV172,0,($CQ172+IF(Smile=TRUE(),VLOOKUP(MAX(-5,$H172-K172),Volsmile,2),0)),$CT172,$CU172,($A172-DateToday)+15,ABS(Option-2),1)*DE172*8)),0),0))</f>
        <v> </v>
      </c>
      <c r="BE172" s="300" t="str">
        <f aca="false">IF($A172="N/A"," ",IF(OR(Dayrun=1,Dayrun=4,Dayrun=5,Dayrun=7,Dayrun=8,Dayrun=10,Dayrun=11),MAX(0,(xSPRDOPT(L172,($E172-'Pricing Inputs'!$X207*$D172),$CV172,0,($CQ172+IF(Smile=TRUE(),VLOOKUP(MAX(-5,$H172-L172),Volsmile,2),0)),$CT172,$CU172,($A172-DateToday)+15,ABS(Option-2),1)*DF172*8)),0))</f>
        <v> </v>
      </c>
      <c r="BF172" s="300" t="str">
        <f aca="false">IF($A172="N/A"," ",IF(OR(Dayrun=1,Dayrun=7,Dayrun=8,Dayrun=10,Dayrun=11),MAX(0,(xSPRDOPT(M172,($E172-'Pricing Inputs'!$X207*$D172),$CV172,0,($CQ172+IF(Smile=TRUE(),VLOOKUP(MAX(-5,$H172-M172),Volsmile,2),0)),$CT172,$CU172,($A172-DateToday)+15,ABS(Option-2),1)*DF172*8)),0))</f>
        <v> </v>
      </c>
      <c r="BG172" s="300" t="str">
        <f aca="false">IF($A172="N/A"," ",IF(OR(Dayrun&lt;=2,Dayrun&gt;=10),IF(OffPeakEx=TRUE(),MAX(0,(xSPRDOPT(N172,($E172-'Pricing Inputs'!$X207*$D172),$CV172,0,($CQ172+IF(Smile=TRUE(),VLOOKUP(MAX(-5,$H172-N172),Volsmile,2),0)),$CT172,$CU172,($A172-DateToday)+15,ABS(Option-2),1)*DF172*8)),0),0))</f>
        <v> </v>
      </c>
      <c r="BH172" s="300" t="str">
        <f aca="false">IF($A172="N/A"," ",IF(OR(Dayrun=1,Dayrun=5,Dayrun=8,Dayrun=11),MAX(0,(xSPRDOPT(O172,($E172-'Pricing Inputs'!$X207*$D172),$CV172,0,($CQ172+IF(Smile=TRUE(),VLOOKUP(MAX(-5,$H172-O172),Volsmile,2),0)),$CT172,$CU172,($A172-DateToday)+15,ABS(Option-2),1)*DG172*8)),0))</f>
        <v> </v>
      </c>
      <c r="BI172" s="300" t="str">
        <f aca="false">IF($A172="N/A"," ",IF(OR(Dayrun=1,Dayrun=8,Dayrun=11),MAX(0,(xSPRDOPT(P172,($E172-'Pricing Inputs'!$X207*$D172),$CV172,0,($CQ172+IF(Smile=TRUE(),VLOOKUP(MAX(-5,$H172-P172),Volsmile,2),0)),$CT172,$CU172,($A172-DateToday)+15,ABS(Option-2),1)*DG172*8)),0))</f>
        <v> </v>
      </c>
      <c r="BJ172" s="301" t="str">
        <f aca="false">IF($A172="N/A"," ",IF(OR(Dayrun&lt;=2,Dayrun&gt;=11),IF(OffPeakEx=TRUE(),MAX(0,(xSPRDOPT(Q172,($E172-'Pricing Inputs'!$X207*$D172),$CV172,0,($CQ172+IF(Smile=TRUE(),VLOOKUP(MAX(-5,$H172-Q172),Volsmile,2),0)),$CT172,$CU172,($A172-DateToday)+15,ABS(Option-2),1)*DG172*8)),0),0))</f>
        <v> </v>
      </c>
      <c r="BK172" s="302" t="str">
        <f aca="false">IF($A172="N/A"," ",R172*$AS172)</f>
        <v> </v>
      </c>
      <c r="BL172" s="303" t="str">
        <f aca="false">IF($A172="N/A"," ",S172*$AT172)</f>
        <v> </v>
      </c>
      <c r="BM172" s="303" t="str">
        <f aca="false">IF($A172="N/A"," ",T172*$AU172)</f>
        <v> </v>
      </c>
      <c r="BN172" s="303" t="str">
        <f aca="false">IF($A172="N/A"," ",U172*$AV172)</f>
        <v> </v>
      </c>
      <c r="BO172" s="303" t="str">
        <f aca="false">IF($A172="N/A"," ",V172*$AW172)</f>
        <v> </v>
      </c>
      <c r="BP172" s="303" t="str">
        <f aca="false">IF($A172="N/A"," ",W172*$AX172)</f>
        <v> </v>
      </c>
      <c r="BQ172" s="303" t="str">
        <f aca="false">IF($A172="N/A"," ",X172*$AY172)</f>
        <v> </v>
      </c>
      <c r="BR172" s="303" t="str">
        <f aca="false">IF($A172="N/A"," ",Y172*$AZ172)</f>
        <v> </v>
      </c>
      <c r="BS172" s="304" t="str">
        <f aca="false">IF($A172="N/A"," ",Z172*$BA172)</f>
        <v> </v>
      </c>
      <c r="BT172" s="305" t="str">
        <f aca="false">IF($A172="N/A"," ",AA172*$AS172)</f>
        <v> </v>
      </c>
      <c r="BU172" s="306" t="str">
        <f aca="false">IF($A172="N/A"," ",AB172*$AT172)</f>
        <v> </v>
      </c>
      <c r="BV172" s="306" t="str">
        <f aca="false">IF($A172="N/A"," ",AC172*$AU172)</f>
        <v> </v>
      </c>
      <c r="BW172" s="306" t="str">
        <f aca="false">IF($A172="N/A"," ",AD172*$AV172)</f>
        <v> </v>
      </c>
      <c r="BX172" s="306" t="str">
        <f aca="false">IF($A172="N/A"," ",AE172*$AW172)</f>
        <v> </v>
      </c>
      <c r="BY172" s="306" t="str">
        <f aca="false">IF($A172="N/A"," ",AF172*$AX172)</f>
        <v> </v>
      </c>
      <c r="BZ172" s="306" t="str">
        <f aca="false">IF($A172="N/A"," ",AG172*$AY172)</f>
        <v> </v>
      </c>
      <c r="CA172" s="306" t="str">
        <f aca="false">IF($A172="N/A"," ",AH172*$AZ172)</f>
        <v> </v>
      </c>
      <c r="CB172" s="307" t="str">
        <f aca="false">IF($A172="N/A"," ",AI172*$BA172)</f>
        <v> </v>
      </c>
      <c r="CC172" s="308" t="str">
        <f aca="false">IF($A172="N/A"," ",AJ172*$AS172)</f>
        <v> </v>
      </c>
      <c r="CD172" s="309" t="str">
        <f aca="false">IF($A172="N/A"," ",AK172*$AT172)</f>
        <v> </v>
      </c>
      <c r="CE172" s="309" t="str">
        <f aca="false">IF($A172="N/A"," ",AL172*$AU172)</f>
        <v> </v>
      </c>
      <c r="CF172" s="309" t="str">
        <f aca="false">IF($A172="N/A"," ",AM172*$AV172)</f>
        <v> </v>
      </c>
      <c r="CG172" s="309" t="str">
        <f aca="false">IF($A172="N/A"," ",AN172*$AW172)</f>
        <v> </v>
      </c>
      <c r="CH172" s="309" t="str">
        <f aca="false">IF($A172="N/A"," ",AO172*$AX172)</f>
        <v> </v>
      </c>
      <c r="CI172" s="309" t="str">
        <f aca="false">IF($A172="N/A"," ",AP172*$AY172)</f>
        <v> </v>
      </c>
      <c r="CJ172" s="309" t="str">
        <f aca="false">IF($A172="N/A"," ",AQ172*$AZ172)</f>
        <v> </v>
      </c>
      <c r="CK172" s="310" t="str">
        <f aca="false">IF($A172="N/A"," ",AR172*$BA172)</f>
        <v> </v>
      </c>
      <c r="CL172" s="311" t="str">
        <f aca="false">IF(A172="N/A"," ",(VLOOKUP(A172,PowerVolTable,(IF(VolBMO=2,7,IF(VolBMO=1,6,8))),FALSE())))</f>
        <v> </v>
      </c>
      <c r="CM172" s="312" t="str">
        <f aca="false">IF(A172="N/A"," ",(VLOOKUP(A172,IntraPowerVol,(IF(VolBMO=2,3,IF(VolBMO=1,2,4))),FALSE())*VLOOKUP(MONTH($A172),Volscale,2)))</f>
        <v> </v>
      </c>
      <c r="CN172" s="312" t="str">
        <f aca="false">IF($A172="N/A"," ",IF(VolType=1,CM172,CL172))</f>
        <v> </v>
      </c>
      <c r="CO172" s="312" t="str">
        <f aca="false">IF($A172="N/A"," ",(VLOOKUP($A172,OffPeakVol,(IF(VolBMO=2,7,IF(VolBMO=1,6,8))),FALSE())))</f>
        <v> </v>
      </c>
      <c r="CP172" s="312" t="str">
        <f aca="false">IF($A172="N/A"," ",(VLOOKUP($A172,OffPeakVol,(IF(VolBMO=2,3,IF(VolBMO=1,2,4))),FALSE())*VLOOKUP(MONTH($A172),Volscale,2)))</f>
        <v> </v>
      </c>
      <c r="CQ172" s="312" t="str">
        <f aca="false">IF($A172="N/A"," ",IF(VolType=1,CP172,CO172))</f>
        <v> </v>
      </c>
      <c r="CR172" s="312" t="str">
        <f aca="false">IF($A172="N/A"," ",(VLOOKUP($A172,GasVolTable,(IF(VolBMO=2,6,IF(VolBMO=1,7,5))),FALSE())))</f>
        <v> </v>
      </c>
      <c r="CS172" s="312" t="str">
        <f aca="false">IF($A172="N/A"," ",(VLOOKUP($A172,OmicronVol,(IF(VolBMO=2,3,IF(VolBMO=1,4,2))),FALSE())))</f>
        <v> </v>
      </c>
      <c r="CT172" s="312" t="str">
        <f aca="false">IF($A172="N/A"," ",(IF(DateToday&gt;$A172,$CS172,IF(VolType=1,((($CR172^2)*((($A172-1)-DateToday)/((EOMONTH($A172,0)+1)-DateToday-15)))+((($CS172)^2)*((15)/((EOMONTH($A172,0)+1)-DateToday-15))))^0.5,CR172))))</f>
        <v> </v>
      </c>
      <c r="CU172" s="312" t="str">
        <f aca="false">IF($A172="N/A"," ",IF('Pricing Inputs'!$AR$23=TRUE(),Inputs!$S$22,VLOOKUP($A172,CorrelationTable,2,FALSE())))</f>
        <v> </v>
      </c>
      <c r="CV172" s="313" t="str">
        <f aca="false">IF($A172="N/A"," ",F172+G172+(D172*('Pricing Inputs'!X207)))</f>
        <v> </v>
      </c>
      <c r="CW172" s="314" t="str">
        <f aca="false">IF($A172="N/A"," ",IF(PV=1,0,'Pricing Inputs'!Y207))</f>
        <v> </v>
      </c>
      <c r="CX172" s="315" t="str">
        <f aca="false">IF($A172="N/A"," ",(1+CW172/2)^(-2*((EOMONTH(A172,0)+20)-DateToday)/365.25))</f>
        <v> </v>
      </c>
      <c r="CY172" s="316" t="str">
        <f aca="false">IF($A172="N/A"," ",(IF(MONTH(A172)&gt;=4,IF(MONTH(A172)&lt;=10,Inputs!$S$26,Inputs!$S$27),Inputs!$S$27))*$CX172)</f>
        <v> </v>
      </c>
      <c r="CZ172" s="317" t="str">
        <f aca="false">IF($A172="N/A"," ",BK172+BL172+BN172+BO172+BQ172+BR172)</f>
        <v> </v>
      </c>
      <c r="DA172" s="318" t="str">
        <f aca="false">IF($A172="N/A"," ",BM172+BP172+BS172)</f>
        <v> </v>
      </c>
      <c r="DB172" s="319" t="str">
        <f aca="false">IF($A172="N/A"," ",BT172+BU172+BW172+BX172+BZ172+CA172)</f>
        <v> </v>
      </c>
      <c r="DC172" s="319" t="str">
        <f aca="false">IF($A172="N/A"," ",BV172+BY172+CB172)</f>
        <v> </v>
      </c>
      <c r="DD172" s="320" t="str">
        <f aca="false">IF($A172="N/A"," ",SUM(CC172:CK172))</f>
        <v> </v>
      </c>
      <c r="DE172" s="321" t="str">
        <f aca="false">IF($A172="N/A"," ",VLOOKUP($A172,NumberofDaysTable,2)*Availability)</f>
        <v> </v>
      </c>
      <c r="DF172" s="94" t="str">
        <f aca="false">IF($A172="N/A"," ",VLOOKUP($A172,NumberofDaysTable,3)*Availability)</f>
        <v> </v>
      </c>
      <c r="DG172" s="322" t="str">
        <f aca="false">IF($A172="N/A"," ",VLOOKUP($A172,NumberofDaysTable,4)*Availability)</f>
        <v> </v>
      </c>
      <c r="DH172" s="323" t="str">
        <f aca="false">IF($A172="N/A"," ",IF(Option=1,$D172*Inputs!$S$15*SUM(AS172:BA172),0))</f>
        <v> </v>
      </c>
      <c r="DI172" s="324" t="str">
        <f aca="false">IF($A172="N/A"," ",IF(Option=1,$D172*Inputs!$S$16*SUM(AS172:BA172),0))</f>
        <v> </v>
      </c>
      <c r="DJ172" s="325" t="str">
        <f aca="false">IF($A172="N/A"," ",SUM(AS172:AT172))</f>
        <v> </v>
      </c>
      <c r="DK172" s="325" t="str">
        <f aca="false">IF($A172="N/A"," ",SUM(AU172:BA172))</f>
        <v> </v>
      </c>
      <c r="DL172" s="325" t="str">
        <f aca="false">IF($A172="N/A"," ",SUM(BB172:BC172))</f>
        <v> </v>
      </c>
      <c r="DM172" s="325" t="str">
        <f aca="false">IF($A172="N/A"," ",SUM(BD172:BJ172))</f>
        <v> </v>
      </c>
    </row>
    <row r="173" customFormat="false" ht="12.75" hidden="false" customHeight="false" outlineLevel="0" collapsed="false">
      <c r="A173" s="282" t="str">
        <f aca="false">IF(A172="N/A","N/A",IF(EDATE(A172,1)&gt;Inputs!$S$5,"N/A",EDATE(A172,1)))</f>
        <v>N/A</v>
      </c>
      <c r="B173" s="283" t="str">
        <f aca="false">IF(A173="N/A"," ",YEAR(A173))</f>
        <v> </v>
      </c>
      <c r="C173" s="284" t="str">
        <f aca="false">IF(A173="N/A"," ",VLOOKUP(A173,ScaledPrice,14))</f>
        <v> </v>
      </c>
      <c r="D173" s="285" t="str">
        <f aca="false">IF(A173="N/A"," ",(VLOOKUP(MONTH($A173),Hrtable,2))/1000)</f>
        <v> </v>
      </c>
      <c r="E173" s="286" t="str">
        <f aca="false">IF($A173="N/A"," ",(C173)*D173)</f>
        <v> </v>
      </c>
      <c r="F173" s="287" t="str">
        <f aca="false">IF(A173="N/A"," ",VOM*(1+VOMesc)^(YEAR(A173)-YEAR(Today)))</f>
        <v> </v>
      </c>
      <c r="G173" s="287" t="str">
        <f aca="false">IF(A173="N/A"," ",Perstart/VLOOKUP(Dayrun,'Pricing Inputs'!$AQ$4:$AS$14,3)/(CY173/CX173))</f>
        <v> </v>
      </c>
      <c r="H173" s="288" t="str">
        <f aca="false">IF(A173="N/A"," ",SUM(E173:G173))</f>
        <v> </v>
      </c>
      <c r="I173" s="289" t="str">
        <f aca="false">VLOOKUP($A173,ScaledPrice,6)</f>
        <v> </v>
      </c>
      <c r="J173" s="290" t="str">
        <f aca="false">VLOOKUP($A173,ScaledPrice,10)</f>
        <v> </v>
      </c>
      <c r="K173" s="290" t="str">
        <f aca="false">VLOOKUP($A173,ScaledPrice,13)</f>
        <v> </v>
      </c>
      <c r="L173" s="290" t="str">
        <f aca="false">VLOOKUP($A173,ScaledPrice,7)</f>
        <v> </v>
      </c>
      <c r="M173" s="290" t="str">
        <f aca="false">VLOOKUP($A173,ScaledPrice,11)</f>
        <v> </v>
      </c>
      <c r="N173" s="290" t="str">
        <f aca="false">VLOOKUP($A173,ScaledPrice,13)</f>
        <v> </v>
      </c>
      <c r="O173" s="290" t="str">
        <f aca="false">VLOOKUP($A173,ScaledPrice,8)</f>
        <v> </v>
      </c>
      <c r="P173" s="290" t="str">
        <f aca="false">VLOOKUP($A173,ScaledPrice,12)</f>
        <v> </v>
      </c>
      <c r="Q173" s="291" t="str">
        <f aca="false">VLOOKUP($A173,ScaledPrice,13)</f>
        <v> </v>
      </c>
      <c r="R173" s="292" t="str">
        <f aca="false">IF($A173="N/A"," ",IF(Dayrun&gt;=3,IF(Option=1,MAX($I173-$H173,0),IF(Option=2,MAX($H173-$I173,0),0)),0))</f>
        <v> </v>
      </c>
      <c r="S173" s="286" t="str">
        <f aca="false">IF($A173="N/A"," ",IF(Dayrun&gt;=6,IF(Option=1,MAX($J173-H173,0),IF(Option=2,MAX(H173-$J173,0),0)),0))</f>
        <v> </v>
      </c>
      <c r="T173" s="286" t="str">
        <f aca="false">IF($A173="N/A"," ",IF(OR(Dayrun&lt;=2,Dayrun&gt;=9),IF(Option=1,MAX($K173-$H173,0),IF(Option=2,MAX($H173-$K173,0),0)),0))</f>
        <v> </v>
      </c>
      <c r="U173" s="286" t="str">
        <f aca="false">IF($A173="N/A"," ",IF(OR(Dayrun=1,Dayrun=4,Dayrun=5,Dayrun=7,Dayrun=8,Dayrun=10,Dayrun=11),IF(Option=1,MAX($L173-H173,0),IF(Option=2,MAX(H173-$L173,0),0)),0))</f>
        <v> </v>
      </c>
      <c r="V173" s="286" t="str">
        <f aca="false">IF($A173="N/A"," ",IF(OR(Dayrun=1,Dayrun=7,Dayrun=8,Dayrun=10,Dayrun=11),IF(Option=1,MAX($M173-H173,0),IF(Option=2,MAX(H173-$M173,0),0)),0))</f>
        <v> </v>
      </c>
      <c r="W173" s="286" t="str">
        <f aca="false">IF($A173="N/A"," ",IF(OR(Dayrun&lt;=2,Dayrun&gt;=10),IF(Option=1,MAX($N173-$H173,0),IF(Option=2,MAX($H173-$N173,0),0)),0))</f>
        <v> </v>
      </c>
      <c r="X173" s="286" t="str">
        <f aca="false">IF($A173="N/A"," ",IF(OR(Dayrun=1,Dayrun=5,Dayrun=8,Dayrun=11),IF(Option=1,MAX($O173-H173,0),IF(Option=2,MAX(H173-$O173,0),0)),0))</f>
        <v> </v>
      </c>
      <c r="Y173" s="286" t="str">
        <f aca="false">IF($A173="N/A"," ",IF(OR(Dayrun=1,Dayrun=8,Dayrun=11),IF(Option=1,MAX($P173-H173,0),IF(Option=2,MAX(H173-$P173,0),0)),0))</f>
        <v> </v>
      </c>
      <c r="Z173" s="293" t="str">
        <f aca="false">IF($A173="N/A"," ",IF(OR(Dayrun&lt;=2,Dayrun&gt;=11),IF(Option=1,MAX($Q173-$H173,0),IF(Option=2,MAX($H173-$Q173,0),0)),0))</f>
        <v> </v>
      </c>
      <c r="AA173" s="289" t="str">
        <f aca="false">IF($A173="N/A"," ",IF(Dayrun&gt;=3,(MAX(0,(xSPRDOPT(I173,($E173-'Pricing Inputs'!$X208*$D173),$CV173,0,($CN173+IF(Smile=TRUE(),VLOOKUP(MAX(-5,$H173-I173),Volsmile,2),0)),$CT173,$CU173,($A173-DateToday)+15,ABS(Option-2),0)-R173))),0))</f>
        <v> </v>
      </c>
      <c r="AB173" s="290" t="str">
        <f aca="false">IF($A173="N/A"," ",IF(Dayrun&gt;=6,MAX(0,(xSPRDOPT(J173,($E173-'Pricing Inputs'!$X208*$D173),$CV173,0,($CN173+IF(Smile=TRUE(),VLOOKUP(MAX(-5,$H173-J173),Volsmile,2),0)),$CT173,$CU173,($A173-DateToday)+15,ABS(Option-2),0)-S173)),0))</f>
        <v> </v>
      </c>
      <c r="AC173" s="290" t="str">
        <f aca="false">IF($A173="N/A"," ",IF(OR(Dayrun&lt;=2,Dayrun&gt;=9),IF(OffPeakEx=TRUE(),MAX(0,(xSPRDOPT(K173,($E173-'Pricing Inputs'!$X208*$D173),$CV173,0,($CQ173+IF(Smile=TRUE(),VLOOKUP(MAX(-5,$H173-K173),Volsmile,2),0)),$CT173,$CU173,($A173-DateToday)+15,ABS(Option-2),0)-T173)),0),0))</f>
        <v> </v>
      </c>
      <c r="AD173" s="290" t="str">
        <f aca="false">IF($A173="N/A"," ",IF(OR(Dayrun=1,Dayrun=4,Dayrun=5,Dayrun=7,Dayrun=8,Dayrun=10,Dayrun=11),MAX(0,(xSPRDOPT(L173,($E173-'Pricing Inputs'!$X208*$D173),$CV173,0,($CQ173+IF(Smile=TRUE(),VLOOKUP(MAX(-5,$H173-L173),Volsmile,2),0)),$CT173,$CU173,($A173-DateToday)+15,ABS(Option-2),0)-U173)),0))</f>
        <v> </v>
      </c>
      <c r="AE173" s="290" t="str">
        <f aca="false">IF($A173="N/A"," ",IF(OR(Dayrun=1,Dayrun=7,Dayrun=8,Dayrun=10,Dayrun=11),MAX(0,(xSPRDOPT(M173,($E173-'Pricing Inputs'!$X208*$D173),$CV173,0,($CQ173+IF(Smile=TRUE(),VLOOKUP(MAX(-5,$H173-M173),Volsmile,2),0)),$CT173,$CU173,($A173-DateToday)+15,ABS(Option-2),0)-V173)),0))</f>
        <v> </v>
      </c>
      <c r="AF173" s="290" t="str">
        <f aca="false">IF($A173="N/A"," ",IF(OR(Dayrun&lt;=2,Dayrun&gt;=10),IF(OffPeakEx=TRUE(),MAX(0,(xSPRDOPT(N173,($E173-'Pricing Inputs'!$X208*$D173),$CV173,0,($CQ173+IF(Smile=TRUE(),VLOOKUP(MAX(-5,$H173-N173),Volsmile,2),0)),$CT173,$CU173,($A173-DateToday)+15,ABS(Option-2),0)-W173)),0),0))</f>
        <v> </v>
      </c>
      <c r="AG173" s="290" t="str">
        <f aca="false">IF($A173="N/A"," ",IF(OR(Dayrun=1,Dayrun=5,Dayrun=8,Dayrun=11),MAX(0,(xSPRDOPT(O173,($E173-'Pricing Inputs'!$X208*$D173),$CV173,0,($CQ173+IF(Smile=TRUE(),VLOOKUP(MAX(-5,$H173-O173),Volsmile,2),0)),$CT173,$CU173,($A173-DateToday)+15,ABS(Option-2),0)-X173)),0))</f>
        <v> </v>
      </c>
      <c r="AH173" s="290" t="str">
        <f aca="false">IF($A173="N/A"," ",IF(OR(Dayrun=1,Dayrun=8,Dayrun=11),MAX(0,(xSPRDOPT(P173,($E173-'Pricing Inputs'!$X208*$D173),$CV173,0,($CQ173+IF(Smile=TRUE(),VLOOKUP(MAX(-5,$H173-P173),Volsmile,2),0)),$CT173,$CU173,($A173-DateToday)+15,ABS(Option-2),0)-Y173)),0))</f>
        <v> </v>
      </c>
      <c r="AI173" s="290" t="str">
        <f aca="false">IF($A173="N/A"," ",IF(OR(Dayrun&lt;=2,Dayrun&gt;=11),IF(OffPeakEx=TRUE(),MAX(0,(xSPRDOPT(Q173,($E173-'Pricing Inputs'!$X208*$D173),$CV173,0,($CQ173+IF(Smile=TRUE(),VLOOKUP(MAX(-5,$H173-Q173),Volsmile,2),0)),$CT173,$CU173,($A173-DateToday)+15,ABS(Option-2),0)-Z173)),0),0))</f>
        <v> </v>
      </c>
      <c r="AJ173" s="294" t="str">
        <f aca="false">IF($A173="N/A"," ",IF(Dayrun&gt;=3,IF(Option=1,$I173-$H173,IF(Option=2,$H173-$I173)),0))</f>
        <v> </v>
      </c>
      <c r="AK173" s="295" t="str">
        <f aca="false">IF($A173="N/A"," ",IF(Dayrun&gt;=6,IF(Option=1,$J173-H173,IF(Option=2,H173-$J173)),0))</f>
        <v> </v>
      </c>
      <c r="AL173" s="295" t="str">
        <f aca="false">IF($A173="N/A"," ",IF(OR(Dayrun&lt;=2,Dayrun&gt;=9),IF(Option=1,$K173-$H173,IF(Option=2,$H173-$K173)),0))</f>
        <v> </v>
      </c>
      <c r="AM173" s="295" t="str">
        <f aca="false">IF($A173="N/A"," ",IF(OR(Dayrun=1,Dayrun=4,Dayrun=5,Dayrun=7,Dayrun=8,Dayrun=10,Dayrun=11),IF(Option=1,$L173-H173,IF(Option=2,H173-$L173)),0))</f>
        <v> </v>
      </c>
      <c r="AN173" s="295" t="str">
        <f aca="false">IF($A173="N/A"," ",IF(OR(Dayrun=1,Dayrun=7,Dayrun=8,Dayrun=10,Dayrun=11),IF(Option=1,$M173-H173,IF(Option=2,H173-$M173)),0))</f>
        <v> </v>
      </c>
      <c r="AO173" s="295" t="str">
        <f aca="false">IF($A173="N/A"," ",IF(OR(Dayrun&lt;=2,Dayrun&gt;=9),IF(Option=1,$N173-$H173,IF(Option=2,$H173-$N173)),0))</f>
        <v> </v>
      </c>
      <c r="AP173" s="295" t="str">
        <f aca="false">IF($A173="N/A"," ",IF(OR(Dayrun=1,Dayrun=5,Dayrun=8,Dayrun=11),IF(Option=1,$O173-H173,IF(Option=2,H173-$O173)),0))</f>
        <v> </v>
      </c>
      <c r="AQ173" s="295" t="str">
        <f aca="false">IF($A173="N/A"," ",IF(OR(Dayrun=1,Dayrun=8,Dayrun=11),IF(Option=1,$P173-H173,IF(Option=2,H173-$P173)),0))</f>
        <v> </v>
      </c>
      <c r="AR173" s="296" t="str">
        <f aca="false">IF($A173="N/A"," ",IF(OR(Dayrun&lt;=2,Dayrun&gt;=9),IF(Option=1,$Q173-H173,IF(Option=2,H173-$Q173)),0))</f>
        <v> </v>
      </c>
      <c r="AS173" s="297" t="str">
        <f aca="false">IF($A173="N/A"," ",IF(VLOOKUP(MONTH($A173),ManualTable,2)=1,IF(Dayrun&gt;=3,$DE173*8*$CY173,0),0))</f>
        <v> </v>
      </c>
      <c r="AT173" s="297" t="str">
        <f aca="false">IF($A173="N/A"," ",IF(VLOOKUP(MONTH($A173),ManualTable,3)=1,IF(Dayrun&gt;=6,$DE173*8*$CY173,0),0))</f>
        <v> </v>
      </c>
      <c r="AU173" s="297" t="str">
        <f aca="false">IF($A173="N/A"," ",IF(VLOOKUP(MONTH($A173),ManualTable,4)=1,IF(OR(Dayrun&lt;=2,Dayrun&gt;=9),$DE173*8*$CY173,0),0))</f>
        <v> </v>
      </c>
      <c r="AV173" s="297" t="str">
        <f aca="false">IF($A173="N/A"," ",IF(VLOOKUP(MONTH($A173),ManualTable,5)=1,IF(OR(Dayrun=1,Dayrun=4,Dayrun=5,Dayrun=7,Dayrun=8,Dayrun=10,Dayrun=11),$DF173*8*$CY173,0),0))</f>
        <v> </v>
      </c>
      <c r="AW173" s="297" t="str">
        <f aca="false">IF($A173="N/A"," ",IF(VLOOKUP(MONTH($A173),ManualTable,6)=1,IF(OR(Dayrun=1,Dayrun=7,Dayrun=8,Dayrun=10,Dayrun=11),$DF173*8*$CY173,0),0))</f>
        <v> </v>
      </c>
      <c r="AX173" s="297" t="str">
        <f aca="false">IF($A173="N/A"," ",IF(VLOOKUP(MONTH($A173),ManualTable,7)=1,IF(OR(Dayrun&lt;=2,Dayrun&gt;=9),$DF173*8*$CY173,0),0))</f>
        <v> </v>
      </c>
      <c r="AY173" s="297" t="str">
        <f aca="false">IF($A173="N/A"," ",IF(VLOOKUP(MONTH($A173),ManualTable,8)=1,IF(OR(Dayrun=1,Dayrun=5,Dayrun=8,Dayrun=11),$DG173*8*$CY173,0),0))</f>
        <v> </v>
      </c>
      <c r="AZ173" s="297" t="str">
        <f aca="false">IF($A173="N/A"," ",IF(VLOOKUP(MONTH($A173),ManualTable,9)=1,IF(OR(Dayrun=1,Dayrun=8,Dayrun=11),$DG173*8*$CY173,0),0))</f>
        <v> </v>
      </c>
      <c r="BA173" s="298" t="str">
        <f aca="false">IF($A173="N/A"," ",IF(VLOOKUP(MONTH($A173),ManualTable,10)=1,IF(OR(Dayrun&lt;=2,Dayrun&gt;=9),$DG173*8*$CY173,0),0))</f>
        <v> </v>
      </c>
      <c r="BB173" s="299" t="str">
        <f aca="false">IF($A173="N/A"," ",IF(Dayrun&gt;=3,(MAX(0,(xSPRDOPT(I173,($E173-'Pricing Inputs'!$X208*$D173),$CV173,0,($CN173+IF(Smile=TRUE(),VLOOKUP(MAX(-5,$H173-I173),Volsmile,2),0)),$CT173,$CU173,($A173-DateToday)+15,ABS(Option-2),1)*DE173*8))),0))</f>
        <v> </v>
      </c>
      <c r="BC173" s="300" t="str">
        <f aca="false">IF($A173="N/A"," ",IF(Dayrun&gt;=6,MAX(0,(xSPRDOPT(J173,($E173-'Pricing Inputs'!$X208*$D173),$CV173,0,($CN173+IF(Smile=TRUE(),VLOOKUP(MAX(-5,$H173-J173),Volsmile,2),0)),$CT173,$CU173,($A173-DateToday)+15,ABS(Option-2),1)*DE173*8)),0))</f>
        <v> </v>
      </c>
      <c r="BD173" s="300" t="str">
        <f aca="false">IF($A173="N/A"," ",IF(OR(Dayrun&lt;=2,Dayrun&gt;=9),IF(OffPeakEx=TRUE(),MAX(0,(xSPRDOPT(K173,($E173-'Pricing Inputs'!$X208*$D173),$CV173,0,($CQ173+IF(Smile=TRUE(),VLOOKUP(MAX(-5,$H173-K173),Volsmile,2),0)),$CT173,$CU173,($A173-DateToday)+15,ABS(Option-2),1)*DE173*8)),0),0))</f>
        <v> </v>
      </c>
      <c r="BE173" s="300" t="str">
        <f aca="false">IF($A173="N/A"," ",IF(OR(Dayrun=1,Dayrun=4,Dayrun=5,Dayrun=7,Dayrun=8,Dayrun=10,Dayrun=11),MAX(0,(xSPRDOPT(L173,($E173-'Pricing Inputs'!$X208*$D173),$CV173,0,($CQ173+IF(Smile=TRUE(),VLOOKUP(MAX(-5,$H173-L173),Volsmile,2),0)),$CT173,$CU173,($A173-DateToday)+15,ABS(Option-2),1)*DF173*8)),0))</f>
        <v> </v>
      </c>
      <c r="BF173" s="300" t="str">
        <f aca="false">IF($A173="N/A"," ",IF(OR(Dayrun=1,Dayrun=7,Dayrun=8,Dayrun=10,Dayrun=11),MAX(0,(xSPRDOPT(M173,($E173-'Pricing Inputs'!$X208*$D173),$CV173,0,($CQ173+IF(Smile=TRUE(),VLOOKUP(MAX(-5,$H173-M173),Volsmile,2),0)),$CT173,$CU173,($A173-DateToday)+15,ABS(Option-2),1)*DF173*8)),0))</f>
        <v> </v>
      </c>
      <c r="BG173" s="300" t="str">
        <f aca="false">IF($A173="N/A"," ",IF(OR(Dayrun&lt;=2,Dayrun&gt;=10),IF(OffPeakEx=TRUE(),MAX(0,(xSPRDOPT(N173,($E173-'Pricing Inputs'!$X208*$D173),$CV173,0,($CQ173+IF(Smile=TRUE(),VLOOKUP(MAX(-5,$H173-N173),Volsmile,2),0)),$CT173,$CU173,($A173-DateToday)+15,ABS(Option-2),1)*DF173*8)),0),0))</f>
        <v> </v>
      </c>
      <c r="BH173" s="300" t="str">
        <f aca="false">IF($A173="N/A"," ",IF(OR(Dayrun=1,Dayrun=5,Dayrun=8,Dayrun=11),MAX(0,(xSPRDOPT(O173,($E173-'Pricing Inputs'!$X208*$D173),$CV173,0,($CQ173+IF(Smile=TRUE(),VLOOKUP(MAX(-5,$H173-O173),Volsmile,2),0)),$CT173,$CU173,($A173-DateToday)+15,ABS(Option-2),1)*DG173*8)),0))</f>
        <v> </v>
      </c>
      <c r="BI173" s="300" t="str">
        <f aca="false">IF($A173="N/A"," ",IF(OR(Dayrun=1,Dayrun=8,Dayrun=11),MAX(0,(xSPRDOPT(P173,($E173-'Pricing Inputs'!$X208*$D173),$CV173,0,($CQ173+IF(Smile=TRUE(),VLOOKUP(MAX(-5,$H173-P173),Volsmile,2),0)),$CT173,$CU173,($A173-DateToday)+15,ABS(Option-2),1)*DG173*8)),0))</f>
        <v> </v>
      </c>
      <c r="BJ173" s="301" t="str">
        <f aca="false">IF($A173="N/A"," ",IF(OR(Dayrun&lt;=2,Dayrun&gt;=11),IF(OffPeakEx=TRUE(),MAX(0,(xSPRDOPT(Q173,($E173-'Pricing Inputs'!$X208*$D173),$CV173,0,($CQ173+IF(Smile=TRUE(),VLOOKUP(MAX(-5,$H173-Q173),Volsmile,2),0)),$CT173,$CU173,($A173-DateToday)+15,ABS(Option-2),1)*DG173*8)),0),0))</f>
        <v> </v>
      </c>
      <c r="BK173" s="302" t="str">
        <f aca="false">IF($A173="N/A"," ",R173*$AS173)</f>
        <v> </v>
      </c>
      <c r="BL173" s="303" t="str">
        <f aca="false">IF($A173="N/A"," ",S173*$AT173)</f>
        <v> </v>
      </c>
      <c r="BM173" s="303" t="str">
        <f aca="false">IF($A173="N/A"," ",T173*$AU173)</f>
        <v> </v>
      </c>
      <c r="BN173" s="303" t="str">
        <f aca="false">IF($A173="N/A"," ",U173*$AV173)</f>
        <v> </v>
      </c>
      <c r="BO173" s="303" t="str">
        <f aca="false">IF($A173="N/A"," ",V173*$AW173)</f>
        <v> </v>
      </c>
      <c r="BP173" s="303" t="str">
        <f aca="false">IF($A173="N/A"," ",W173*$AX173)</f>
        <v> </v>
      </c>
      <c r="BQ173" s="303" t="str">
        <f aca="false">IF($A173="N/A"," ",X173*$AY173)</f>
        <v> </v>
      </c>
      <c r="BR173" s="303" t="str">
        <f aca="false">IF($A173="N/A"," ",Y173*$AZ173)</f>
        <v> </v>
      </c>
      <c r="BS173" s="304" t="str">
        <f aca="false">IF($A173="N/A"," ",Z173*$BA173)</f>
        <v> </v>
      </c>
      <c r="BT173" s="305" t="str">
        <f aca="false">IF($A173="N/A"," ",AA173*$AS173)</f>
        <v> </v>
      </c>
      <c r="BU173" s="306" t="str">
        <f aca="false">IF($A173="N/A"," ",AB173*$AT173)</f>
        <v> </v>
      </c>
      <c r="BV173" s="306" t="str">
        <f aca="false">IF($A173="N/A"," ",AC173*$AU173)</f>
        <v> </v>
      </c>
      <c r="BW173" s="306" t="str">
        <f aca="false">IF($A173="N/A"," ",AD173*$AV173)</f>
        <v> </v>
      </c>
      <c r="BX173" s="306" t="str">
        <f aca="false">IF($A173="N/A"," ",AE173*$AW173)</f>
        <v> </v>
      </c>
      <c r="BY173" s="306" t="str">
        <f aca="false">IF($A173="N/A"," ",AF173*$AX173)</f>
        <v> </v>
      </c>
      <c r="BZ173" s="306" t="str">
        <f aca="false">IF($A173="N/A"," ",AG173*$AY173)</f>
        <v> </v>
      </c>
      <c r="CA173" s="306" t="str">
        <f aca="false">IF($A173="N/A"," ",AH173*$AZ173)</f>
        <v> </v>
      </c>
      <c r="CB173" s="307" t="str">
        <f aca="false">IF($A173="N/A"," ",AI173*$BA173)</f>
        <v> </v>
      </c>
      <c r="CC173" s="308" t="str">
        <f aca="false">IF($A173="N/A"," ",AJ173*$AS173)</f>
        <v> </v>
      </c>
      <c r="CD173" s="309" t="str">
        <f aca="false">IF($A173="N/A"," ",AK173*$AT173)</f>
        <v> </v>
      </c>
      <c r="CE173" s="309" t="str">
        <f aca="false">IF($A173="N/A"," ",AL173*$AU173)</f>
        <v> </v>
      </c>
      <c r="CF173" s="309" t="str">
        <f aca="false">IF($A173="N/A"," ",AM173*$AV173)</f>
        <v> </v>
      </c>
      <c r="CG173" s="309" t="str">
        <f aca="false">IF($A173="N/A"," ",AN173*$AW173)</f>
        <v> </v>
      </c>
      <c r="CH173" s="309" t="str">
        <f aca="false">IF($A173="N/A"," ",AO173*$AX173)</f>
        <v> </v>
      </c>
      <c r="CI173" s="309" t="str">
        <f aca="false">IF($A173="N/A"," ",AP173*$AY173)</f>
        <v> </v>
      </c>
      <c r="CJ173" s="309" t="str">
        <f aca="false">IF($A173="N/A"," ",AQ173*$AZ173)</f>
        <v> </v>
      </c>
      <c r="CK173" s="310" t="str">
        <f aca="false">IF($A173="N/A"," ",AR173*$BA173)</f>
        <v> </v>
      </c>
      <c r="CL173" s="311" t="str">
        <f aca="false">IF(A173="N/A"," ",(VLOOKUP(A173,PowerVolTable,(IF(VolBMO=2,7,IF(VolBMO=1,6,8))),FALSE())))</f>
        <v> </v>
      </c>
      <c r="CM173" s="312" t="str">
        <f aca="false">IF(A173="N/A"," ",(VLOOKUP(A173,IntraPowerVol,(IF(VolBMO=2,3,IF(VolBMO=1,2,4))),FALSE())*VLOOKUP(MONTH($A173),Volscale,2)))</f>
        <v> </v>
      </c>
      <c r="CN173" s="312" t="str">
        <f aca="false">IF($A173="N/A"," ",IF(VolType=1,CM173,CL173))</f>
        <v> </v>
      </c>
      <c r="CO173" s="312" t="str">
        <f aca="false">IF($A173="N/A"," ",(VLOOKUP($A173,OffPeakVol,(IF(VolBMO=2,7,IF(VolBMO=1,6,8))),FALSE())))</f>
        <v> </v>
      </c>
      <c r="CP173" s="312" t="str">
        <f aca="false">IF($A173="N/A"," ",(VLOOKUP($A173,OffPeakVol,(IF(VolBMO=2,3,IF(VolBMO=1,2,4))),FALSE())*VLOOKUP(MONTH($A173),Volscale,2)))</f>
        <v> </v>
      </c>
      <c r="CQ173" s="312" t="str">
        <f aca="false">IF($A173="N/A"," ",IF(VolType=1,CP173,CO173))</f>
        <v> </v>
      </c>
      <c r="CR173" s="312" t="str">
        <f aca="false">IF($A173="N/A"," ",(VLOOKUP($A173,GasVolTable,(IF(VolBMO=2,6,IF(VolBMO=1,7,5))),FALSE())))</f>
        <v> </v>
      </c>
      <c r="CS173" s="312" t="str">
        <f aca="false">IF($A173="N/A"," ",(VLOOKUP($A173,OmicronVol,(IF(VolBMO=2,3,IF(VolBMO=1,4,2))),FALSE())))</f>
        <v> </v>
      </c>
      <c r="CT173" s="312" t="str">
        <f aca="false">IF($A173="N/A"," ",(IF(DateToday&gt;$A173,$CS173,IF(VolType=1,((($CR173^2)*((($A173-1)-DateToday)/((EOMONTH($A173,0)+1)-DateToday-15)))+((($CS173)^2)*((15)/((EOMONTH($A173,0)+1)-DateToday-15))))^0.5,CR173))))</f>
        <v> </v>
      </c>
      <c r="CU173" s="312" t="str">
        <f aca="false">IF($A173="N/A"," ",IF('Pricing Inputs'!$AR$23=TRUE(),Inputs!$S$22,VLOOKUP($A173,CorrelationTable,2,FALSE())))</f>
        <v> </v>
      </c>
      <c r="CV173" s="313" t="str">
        <f aca="false">IF($A173="N/A"," ",F173+G173+(D173*('Pricing Inputs'!X208)))</f>
        <v> </v>
      </c>
      <c r="CW173" s="314" t="str">
        <f aca="false">IF($A173="N/A"," ",IF(PV=1,0,'Pricing Inputs'!Y208))</f>
        <v> </v>
      </c>
      <c r="CX173" s="315" t="str">
        <f aca="false">IF($A173="N/A"," ",(1+CW173/2)^(-2*((EOMONTH(A173,0)+20)-DateToday)/365.25))</f>
        <v> </v>
      </c>
      <c r="CY173" s="316" t="str">
        <f aca="false">IF($A173="N/A"," ",(IF(MONTH(A173)&gt;=4,IF(MONTH(A173)&lt;=10,Inputs!$S$26,Inputs!$S$27),Inputs!$S$27))*$CX173)</f>
        <v> </v>
      </c>
      <c r="CZ173" s="317" t="str">
        <f aca="false">IF($A173="N/A"," ",BK173+BL173+BN173+BO173+BQ173+BR173)</f>
        <v> </v>
      </c>
      <c r="DA173" s="318" t="str">
        <f aca="false">IF($A173="N/A"," ",BM173+BP173+BS173)</f>
        <v> </v>
      </c>
      <c r="DB173" s="319" t="str">
        <f aca="false">IF($A173="N/A"," ",BT173+BU173+BW173+BX173+BZ173+CA173)</f>
        <v> </v>
      </c>
      <c r="DC173" s="319" t="str">
        <f aca="false">IF($A173="N/A"," ",BV173+BY173+CB173)</f>
        <v> </v>
      </c>
      <c r="DD173" s="320" t="str">
        <f aca="false">IF($A173="N/A"," ",SUM(CC173:CK173))</f>
        <v> </v>
      </c>
      <c r="DE173" s="321" t="str">
        <f aca="false">IF($A173="N/A"," ",VLOOKUP($A173,NumberofDaysTable,2)*Availability)</f>
        <v> </v>
      </c>
      <c r="DF173" s="94" t="str">
        <f aca="false">IF($A173="N/A"," ",VLOOKUP($A173,NumberofDaysTable,3)*Availability)</f>
        <v> </v>
      </c>
      <c r="DG173" s="322" t="str">
        <f aca="false">IF($A173="N/A"," ",VLOOKUP($A173,NumberofDaysTable,4)*Availability)</f>
        <v> </v>
      </c>
      <c r="DH173" s="323" t="str">
        <f aca="false">IF($A173="N/A"," ",IF(Option=1,$D173*Inputs!$S$15*SUM(AS173:BA173),0))</f>
        <v> </v>
      </c>
      <c r="DI173" s="324" t="str">
        <f aca="false">IF($A173="N/A"," ",IF(Option=1,$D173*Inputs!$S$16*SUM(AS173:BA173),0))</f>
        <v> </v>
      </c>
      <c r="DJ173" s="325" t="str">
        <f aca="false">IF($A173="N/A"," ",SUM(AS173:AT173))</f>
        <v> </v>
      </c>
      <c r="DK173" s="325" t="str">
        <f aca="false">IF($A173="N/A"," ",SUM(AU173:BA173))</f>
        <v> </v>
      </c>
      <c r="DL173" s="325" t="str">
        <f aca="false">IF($A173="N/A"," ",SUM(BB173:BC173))</f>
        <v> </v>
      </c>
      <c r="DM173" s="325" t="str">
        <f aca="false">IF($A173="N/A"," ",SUM(BD173:BJ173))</f>
        <v> </v>
      </c>
    </row>
    <row r="174" customFormat="false" ht="12.75" hidden="false" customHeight="false" outlineLevel="0" collapsed="false">
      <c r="A174" s="282" t="str">
        <f aca="false">IF(A173="N/A","N/A",IF(EDATE(A173,1)&gt;Inputs!$S$5,"N/A",EDATE(A173,1)))</f>
        <v>N/A</v>
      </c>
      <c r="B174" s="283" t="str">
        <f aca="false">IF(A174="N/A"," ",YEAR(A174))</f>
        <v> </v>
      </c>
      <c r="C174" s="284" t="str">
        <f aca="false">IF(A174="N/A"," ",VLOOKUP(A174,ScaledPrice,14))</f>
        <v> </v>
      </c>
      <c r="D174" s="285" t="str">
        <f aca="false">IF(A174="N/A"," ",(VLOOKUP(MONTH($A174),Hrtable,2))/1000)</f>
        <v> </v>
      </c>
      <c r="E174" s="286" t="str">
        <f aca="false">IF($A174="N/A"," ",(C174)*D174)</f>
        <v> </v>
      </c>
      <c r="F174" s="287" t="str">
        <f aca="false">IF(A174="N/A"," ",VOM*(1+VOMesc)^(YEAR(A174)-YEAR(Today)))</f>
        <v> </v>
      </c>
      <c r="G174" s="287" t="str">
        <f aca="false">IF(A174="N/A"," ",Perstart/VLOOKUP(Dayrun,'Pricing Inputs'!$AQ$4:$AS$14,3)/(CY174/CX174))</f>
        <v> </v>
      </c>
      <c r="H174" s="288" t="str">
        <f aca="false">IF(A174="N/A"," ",SUM(E174:G174))</f>
        <v> </v>
      </c>
      <c r="I174" s="289" t="str">
        <f aca="false">VLOOKUP($A174,ScaledPrice,6)</f>
        <v> </v>
      </c>
      <c r="J174" s="290" t="str">
        <f aca="false">VLOOKUP($A174,ScaledPrice,10)</f>
        <v> </v>
      </c>
      <c r="K174" s="290" t="str">
        <f aca="false">VLOOKUP($A174,ScaledPrice,13)</f>
        <v> </v>
      </c>
      <c r="L174" s="290" t="str">
        <f aca="false">VLOOKUP($A174,ScaledPrice,7)</f>
        <v> </v>
      </c>
      <c r="M174" s="290" t="str">
        <f aca="false">VLOOKUP($A174,ScaledPrice,11)</f>
        <v> </v>
      </c>
      <c r="N174" s="290" t="str">
        <f aca="false">VLOOKUP($A174,ScaledPrice,13)</f>
        <v> </v>
      </c>
      <c r="O174" s="290" t="str">
        <f aca="false">VLOOKUP($A174,ScaledPrice,8)</f>
        <v> </v>
      </c>
      <c r="P174" s="290" t="str">
        <f aca="false">VLOOKUP($A174,ScaledPrice,12)</f>
        <v> </v>
      </c>
      <c r="Q174" s="291" t="str">
        <f aca="false">VLOOKUP($A174,ScaledPrice,13)</f>
        <v> </v>
      </c>
      <c r="R174" s="292" t="str">
        <f aca="false">IF($A174="N/A"," ",IF(Dayrun&gt;=3,IF(Option=1,MAX($I174-$H174,0),IF(Option=2,MAX($H174-$I174,0),0)),0))</f>
        <v> </v>
      </c>
      <c r="S174" s="286" t="str">
        <f aca="false">IF($A174="N/A"," ",IF(Dayrun&gt;=6,IF(Option=1,MAX($J174-H174,0),IF(Option=2,MAX(H174-$J174,0),0)),0))</f>
        <v> </v>
      </c>
      <c r="T174" s="286" t="str">
        <f aca="false">IF($A174="N/A"," ",IF(OR(Dayrun&lt;=2,Dayrun&gt;=9),IF(Option=1,MAX($K174-$H174,0),IF(Option=2,MAX($H174-$K174,0),0)),0))</f>
        <v> </v>
      </c>
      <c r="U174" s="286" t="str">
        <f aca="false">IF($A174="N/A"," ",IF(OR(Dayrun=1,Dayrun=4,Dayrun=5,Dayrun=7,Dayrun=8,Dayrun=10,Dayrun=11),IF(Option=1,MAX($L174-H174,0),IF(Option=2,MAX(H174-$L174,0),0)),0))</f>
        <v> </v>
      </c>
      <c r="V174" s="286" t="str">
        <f aca="false">IF($A174="N/A"," ",IF(OR(Dayrun=1,Dayrun=7,Dayrun=8,Dayrun=10,Dayrun=11),IF(Option=1,MAX($M174-H174,0),IF(Option=2,MAX(H174-$M174,0),0)),0))</f>
        <v> </v>
      </c>
      <c r="W174" s="286" t="str">
        <f aca="false">IF($A174="N/A"," ",IF(OR(Dayrun&lt;=2,Dayrun&gt;=10),IF(Option=1,MAX($N174-$H174,0),IF(Option=2,MAX($H174-$N174,0),0)),0))</f>
        <v> </v>
      </c>
      <c r="X174" s="286" t="str">
        <f aca="false">IF($A174="N/A"," ",IF(OR(Dayrun=1,Dayrun=5,Dayrun=8,Dayrun=11),IF(Option=1,MAX($O174-H174,0),IF(Option=2,MAX(H174-$O174,0),0)),0))</f>
        <v> </v>
      </c>
      <c r="Y174" s="286" t="str">
        <f aca="false">IF($A174="N/A"," ",IF(OR(Dayrun=1,Dayrun=8,Dayrun=11),IF(Option=1,MAX($P174-H174,0),IF(Option=2,MAX(H174-$P174,0),0)),0))</f>
        <v> </v>
      </c>
      <c r="Z174" s="293" t="str">
        <f aca="false">IF($A174="N/A"," ",IF(OR(Dayrun&lt;=2,Dayrun&gt;=11),IF(Option=1,MAX($Q174-$H174,0),IF(Option=2,MAX($H174-$Q174,0),0)),0))</f>
        <v> </v>
      </c>
      <c r="AA174" s="289" t="str">
        <f aca="false">IF($A174="N/A"," ",IF(Dayrun&gt;=3,(MAX(0,(xSPRDOPT(I174,($E174-'Pricing Inputs'!$X209*$D174),$CV174,0,($CN174+IF(Smile=TRUE(),VLOOKUP(MAX(-5,$H174-I174),Volsmile,2),0)),$CT174,$CU174,($A174-DateToday)+15,ABS(Option-2),0)-R174))),0))</f>
        <v> </v>
      </c>
      <c r="AB174" s="290" t="str">
        <f aca="false">IF($A174="N/A"," ",IF(Dayrun&gt;=6,MAX(0,(xSPRDOPT(J174,($E174-'Pricing Inputs'!$X209*$D174),$CV174,0,($CN174+IF(Smile=TRUE(),VLOOKUP(MAX(-5,$H174-J174),Volsmile,2),0)),$CT174,$CU174,($A174-DateToday)+15,ABS(Option-2),0)-S174)),0))</f>
        <v> </v>
      </c>
      <c r="AC174" s="290" t="str">
        <f aca="false">IF($A174="N/A"," ",IF(OR(Dayrun&lt;=2,Dayrun&gt;=9),IF(OffPeakEx=TRUE(),MAX(0,(xSPRDOPT(K174,($E174-'Pricing Inputs'!$X209*$D174),$CV174,0,($CQ174+IF(Smile=TRUE(),VLOOKUP(MAX(-5,$H174-K174),Volsmile,2),0)),$CT174,$CU174,($A174-DateToday)+15,ABS(Option-2),0)-T174)),0),0))</f>
        <v> </v>
      </c>
      <c r="AD174" s="290" t="str">
        <f aca="false">IF($A174="N/A"," ",IF(OR(Dayrun=1,Dayrun=4,Dayrun=5,Dayrun=7,Dayrun=8,Dayrun=10,Dayrun=11),MAX(0,(xSPRDOPT(L174,($E174-'Pricing Inputs'!$X209*$D174),$CV174,0,($CQ174+IF(Smile=TRUE(),VLOOKUP(MAX(-5,$H174-L174),Volsmile,2),0)),$CT174,$CU174,($A174-DateToday)+15,ABS(Option-2),0)-U174)),0))</f>
        <v> </v>
      </c>
      <c r="AE174" s="290" t="str">
        <f aca="false">IF($A174="N/A"," ",IF(OR(Dayrun=1,Dayrun=7,Dayrun=8,Dayrun=10,Dayrun=11),MAX(0,(xSPRDOPT(M174,($E174-'Pricing Inputs'!$X209*$D174),$CV174,0,($CQ174+IF(Smile=TRUE(),VLOOKUP(MAX(-5,$H174-M174),Volsmile,2),0)),$CT174,$CU174,($A174-DateToday)+15,ABS(Option-2),0)-V174)),0))</f>
        <v> </v>
      </c>
      <c r="AF174" s="290" t="str">
        <f aca="false">IF($A174="N/A"," ",IF(OR(Dayrun&lt;=2,Dayrun&gt;=10),IF(OffPeakEx=TRUE(),MAX(0,(xSPRDOPT(N174,($E174-'Pricing Inputs'!$X209*$D174),$CV174,0,($CQ174+IF(Smile=TRUE(),VLOOKUP(MAX(-5,$H174-N174),Volsmile,2),0)),$CT174,$CU174,($A174-DateToday)+15,ABS(Option-2),0)-W174)),0),0))</f>
        <v> </v>
      </c>
      <c r="AG174" s="290" t="str">
        <f aca="false">IF($A174="N/A"," ",IF(OR(Dayrun=1,Dayrun=5,Dayrun=8,Dayrun=11),MAX(0,(xSPRDOPT(O174,($E174-'Pricing Inputs'!$X209*$D174),$CV174,0,($CQ174+IF(Smile=TRUE(),VLOOKUP(MAX(-5,$H174-O174),Volsmile,2),0)),$CT174,$CU174,($A174-DateToday)+15,ABS(Option-2),0)-X174)),0))</f>
        <v> </v>
      </c>
      <c r="AH174" s="290" t="str">
        <f aca="false">IF($A174="N/A"," ",IF(OR(Dayrun=1,Dayrun=8,Dayrun=11),MAX(0,(xSPRDOPT(P174,($E174-'Pricing Inputs'!$X209*$D174),$CV174,0,($CQ174+IF(Smile=TRUE(),VLOOKUP(MAX(-5,$H174-P174),Volsmile,2),0)),$CT174,$CU174,($A174-DateToday)+15,ABS(Option-2),0)-Y174)),0))</f>
        <v> </v>
      </c>
      <c r="AI174" s="290" t="str">
        <f aca="false">IF($A174="N/A"," ",IF(OR(Dayrun&lt;=2,Dayrun&gt;=11),IF(OffPeakEx=TRUE(),MAX(0,(xSPRDOPT(Q174,($E174-'Pricing Inputs'!$X209*$D174),$CV174,0,($CQ174+IF(Smile=TRUE(),VLOOKUP(MAX(-5,$H174-Q174),Volsmile,2),0)),$CT174,$CU174,($A174-DateToday)+15,ABS(Option-2),0)-Z174)),0),0))</f>
        <v> </v>
      </c>
      <c r="AJ174" s="294" t="str">
        <f aca="false">IF($A174="N/A"," ",IF(Dayrun&gt;=3,IF(Option=1,$I174-$H174,IF(Option=2,$H174-$I174)),0))</f>
        <v> </v>
      </c>
      <c r="AK174" s="295" t="str">
        <f aca="false">IF($A174="N/A"," ",IF(Dayrun&gt;=6,IF(Option=1,$J174-H174,IF(Option=2,H174-$J174)),0))</f>
        <v> </v>
      </c>
      <c r="AL174" s="295" t="str">
        <f aca="false">IF($A174="N/A"," ",IF(OR(Dayrun&lt;=2,Dayrun&gt;=9),IF(Option=1,$K174-$H174,IF(Option=2,$H174-$K174)),0))</f>
        <v> </v>
      </c>
      <c r="AM174" s="295" t="str">
        <f aca="false">IF($A174="N/A"," ",IF(OR(Dayrun=1,Dayrun=4,Dayrun=5,Dayrun=7,Dayrun=8,Dayrun=10,Dayrun=11),IF(Option=1,$L174-H174,IF(Option=2,H174-$L174)),0))</f>
        <v> </v>
      </c>
      <c r="AN174" s="295" t="str">
        <f aca="false">IF($A174="N/A"," ",IF(OR(Dayrun=1,Dayrun=7,Dayrun=8,Dayrun=10,Dayrun=11),IF(Option=1,$M174-H174,IF(Option=2,H174-$M174)),0))</f>
        <v> </v>
      </c>
      <c r="AO174" s="295" t="str">
        <f aca="false">IF($A174="N/A"," ",IF(OR(Dayrun&lt;=2,Dayrun&gt;=9),IF(Option=1,$N174-$H174,IF(Option=2,$H174-$N174)),0))</f>
        <v> </v>
      </c>
      <c r="AP174" s="295" t="str">
        <f aca="false">IF($A174="N/A"," ",IF(OR(Dayrun=1,Dayrun=5,Dayrun=8,Dayrun=11),IF(Option=1,$O174-H174,IF(Option=2,H174-$O174)),0))</f>
        <v> </v>
      </c>
      <c r="AQ174" s="295" t="str">
        <f aca="false">IF($A174="N/A"," ",IF(OR(Dayrun=1,Dayrun=8,Dayrun=11),IF(Option=1,$P174-H174,IF(Option=2,H174-$P174)),0))</f>
        <v> </v>
      </c>
      <c r="AR174" s="296" t="str">
        <f aca="false">IF($A174="N/A"," ",IF(OR(Dayrun&lt;=2,Dayrun&gt;=9),IF(Option=1,$Q174-H174,IF(Option=2,H174-$Q174)),0))</f>
        <v> </v>
      </c>
      <c r="AS174" s="297" t="str">
        <f aca="false">IF($A174="N/A"," ",IF(VLOOKUP(MONTH($A174),ManualTable,2)=1,IF(Dayrun&gt;=3,$DE174*8*$CY174,0),0))</f>
        <v> </v>
      </c>
      <c r="AT174" s="297" t="str">
        <f aca="false">IF($A174="N/A"," ",IF(VLOOKUP(MONTH($A174),ManualTable,3)=1,IF(Dayrun&gt;=6,$DE174*8*$CY174,0),0))</f>
        <v> </v>
      </c>
      <c r="AU174" s="297" t="str">
        <f aca="false">IF($A174="N/A"," ",IF(VLOOKUP(MONTH($A174),ManualTable,4)=1,IF(OR(Dayrun&lt;=2,Dayrun&gt;=9),$DE174*8*$CY174,0),0))</f>
        <v> </v>
      </c>
      <c r="AV174" s="297" t="str">
        <f aca="false">IF($A174="N/A"," ",IF(VLOOKUP(MONTH($A174),ManualTable,5)=1,IF(OR(Dayrun=1,Dayrun=4,Dayrun=5,Dayrun=7,Dayrun=8,Dayrun=10,Dayrun=11),$DF174*8*$CY174,0),0))</f>
        <v> </v>
      </c>
      <c r="AW174" s="297" t="str">
        <f aca="false">IF($A174="N/A"," ",IF(VLOOKUP(MONTH($A174),ManualTable,6)=1,IF(OR(Dayrun=1,Dayrun=7,Dayrun=8,Dayrun=10,Dayrun=11),$DF174*8*$CY174,0),0))</f>
        <v> </v>
      </c>
      <c r="AX174" s="297" t="str">
        <f aca="false">IF($A174="N/A"," ",IF(VLOOKUP(MONTH($A174),ManualTable,7)=1,IF(OR(Dayrun&lt;=2,Dayrun&gt;=9),$DF174*8*$CY174,0),0))</f>
        <v> </v>
      </c>
      <c r="AY174" s="297" t="str">
        <f aca="false">IF($A174="N/A"," ",IF(VLOOKUP(MONTH($A174),ManualTable,8)=1,IF(OR(Dayrun=1,Dayrun=5,Dayrun=8,Dayrun=11),$DG174*8*$CY174,0),0))</f>
        <v> </v>
      </c>
      <c r="AZ174" s="297" t="str">
        <f aca="false">IF($A174="N/A"," ",IF(VLOOKUP(MONTH($A174),ManualTable,9)=1,IF(OR(Dayrun=1,Dayrun=8,Dayrun=11),$DG174*8*$CY174,0),0))</f>
        <v> </v>
      </c>
      <c r="BA174" s="298" t="str">
        <f aca="false">IF($A174="N/A"," ",IF(VLOOKUP(MONTH($A174),ManualTable,10)=1,IF(OR(Dayrun&lt;=2,Dayrun&gt;=9),$DG174*8*$CY174,0),0))</f>
        <v> </v>
      </c>
      <c r="BB174" s="299" t="str">
        <f aca="false">IF($A174="N/A"," ",IF(Dayrun&gt;=3,(MAX(0,(xSPRDOPT(I174,($E174-'Pricing Inputs'!$X209*$D174),$CV174,0,($CN174+IF(Smile=TRUE(),VLOOKUP(MAX(-5,$H174-I174),Volsmile,2),0)),$CT174,$CU174,($A174-DateToday)+15,ABS(Option-2),1)*DE174*8))),0))</f>
        <v> </v>
      </c>
      <c r="BC174" s="300" t="str">
        <f aca="false">IF($A174="N/A"," ",IF(Dayrun&gt;=6,MAX(0,(xSPRDOPT(J174,($E174-'Pricing Inputs'!$X209*$D174),$CV174,0,($CN174+IF(Smile=TRUE(),VLOOKUP(MAX(-5,$H174-J174),Volsmile,2),0)),$CT174,$CU174,($A174-DateToday)+15,ABS(Option-2),1)*DE174*8)),0))</f>
        <v> </v>
      </c>
      <c r="BD174" s="300" t="str">
        <f aca="false">IF($A174="N/A"," ",IF(OR(Dayrun&lt;=2,Dayrun&gt;=9),IF(OffPeakEx=TRUE(),MAX(0,(xSPRDOPT(K174,($E174-'Pricing Inputs'!$X209*$D174),$CV174,0,($CQ174+IF(Smile=TRUE(),VLOOKUP(MAX(-5,$H174-K174),Volsmile,2),0)),$CT174,$CU174,($A174-DateToday)+15,ABS(Option-2),1)*DE174*8)),0),0))</f>
        <v> </v>
      </c>
      <c r="BE174" s="300" t="str">
        <f aca="false">IF($A174="N/A"," ",IF(OR(Dayrun=1,Dayrun=4,Dayrun=5,Dayrun=7,Dayrun=8,Dayrun=10,Dayrun=11),MAX(0,(xSPRDOPT(L174,($E174-'Pricing Inputs'!$X209*$D174),$CV174,0,($CQ174+IF(Smile=TRUE(),VLOOKUP(MAX(-5,$H174-L174),Volsmile,2),0)),$CT174,$CU174,($A174-DateToday)+15,ABS(Option-2),1)*DF174*8)),0))</f>
        <v> </v>
      </c>
      <c r="BF174" s="300" t="str">
        <f aca="false">IF($A174="N/A"," ",IF(OR(Dayrun=1,Dayrun=7,Dayrun=8,Dayrun=10,Dayrun=11),MAX(0,(xSPRDOPT(M174,($E174-'Pricing Inputs'!$X209*$D174),$CV174,0,($CQ174+IF(Smile=TRUE(),VLOOKUP(MAX(-5,$H174-M174),Volsmile,2),0)),$CT174,$CU174,($A174-DateToday)+15,ABS(Option-2),1)*DF174*8)),0))</f>
        <v> </v>
      </c>
      <c r="BG174" s="300" t="str">
        <f aca="false">IF($A174="N/A"," ",IF(OR(Dayrun&lt;=2,Dayrun&gt;=10),IF(OffPeakEx=TRUE(),MAX(0,(xSPRDOPT(N174,($E174-'Pricing Inputs'!$X209*$D174),$CV174,0,($CQ174+IF(Smile=TRUE(),VLOOKUP(MAX(-5,$H174-N174),Volsmile,2),0)),$CT174,$CU174,($A174-DateToday)+15,ABS(Option-2),1)*DF174*8)),0),0))</f>
        <v> </v>
      </c>
      <c r="BH174" s="300" t="str">
        <f aca="false">IF($A174="N/A"," ",IF(OR(Dayrun=1,Dayrun=5,Dayrun=8,Dayrun=11),MAX(0,(xSPRDOPT(O174,($E174-'Pricing Inputs'!$X209*$D174),$CV174,0,($CQ174+IF(Smile=TRUE(),VLOOKUP(MAX(-5,$H174-O174),Volsmile,2),0)),$CT174,$CU174,($A174-DateToday)+15,ABS(Option-2),1)*DG174*8)),0))</f>
        <v> </v>
      </c>
      <c r="BI174" s="300" t="str">
        <f aca="false">IF($A174="N/A"," ",IF(OR(Dayrun=1,Dayrun=8,Dayrun=11),MAX(0,(xSPRDOPT(P174,($E174-'Pricing Inputs'!$X209*$D174),$CV174,0,($CQ174+IF(Smile=TRUE(),VLOOKUP(MAX(-5,$H174-P174),Volsmile,2),0)),$CT174,$CU174,($A174-DateToday)+15,ABS(Option-2),1)*DG174*8)),0))</f>
        <v> </v>
      </c>
      <c r="BJ174" s="301" t="str">
        <f aca="false">IF($A174="N/A"," ",IF(OR(Dayrun&lt;=2,Dayrun&gt;=11),IF(OffPeakEx=TRUE(),MAX(0,(xSPRDOPT(Q174,($E174-'Pricing Inputs'!$X209*$D174),$CV174,0,($CQ174+IF(Smile=TRUE(),VLOOKUP(MAX(-5,$H174-Q174),Volsmile,2),0)),$CT174,$CU174,($A174-DateToday)+15,ABS(Option-2),1)*DG174*8)),0),0))</f>
        <v> </v>
      </c>
      <c r="BK174" s="302" t="str">
        <f aca="false">IF($A174="N/A"," ",R174*$AS174)</f>
        <v> </v>
      </c>
      <c r="BL174" s="303" t="str">
        <f aca="false">IF($A174="N/A"," ",S174*$AT174)</f>
        <v> </v>
      </c>
      <c r="BM174" s="303" t="str">
        <f aca="false">IF($A174="N/A"," ",T174*$AU174)</f>
        <v> </v>
      </c>
      <c r="BN174" s="303" t="str">
        <f aca="false">IF($A174="N/A"," ",U174*$AV174)</f>
        <v> </v>
      </c>
      <c r="BO174" s="303" t="str">
        <f aca="false">IF($A174="N/A"," ",V174*$AW174)</f>
        <v> </v>
      </c>
      <c r="BP174" s="303" t="str">
        <f aca="false">IF($A174="N/A"," ",W174*$AX174)</f>
        <v> </v>
      </c>
      <c r="BQ174" s="303" t="str">
        <f aca="false">IF($A174="N/A"," ",X174*$AY174)</f>
        <v> </v>
      </c>
      <c r="BR174" s="303" t="str">
        <f aca="false">IF($A174="N/A"," ",Y174*$AZ174)</f>
        <v> </v>
      </c>
      <c r="BS174" s="304" t="str">
        <f aca="false">IF($A174="N/A"," ",Z174*$BA174)</f>
        <v> </v>
      </c>
      <c r="BT174" s="305" t="str">
        <f aca="false">IF($A174="N/A"," ",AA174*$AS174)</f>
        <v> </v>
      </c>
      <c r="BU174" s="306" t="str">
        <f aca="false">IF($A174="N/A"," ",AB174*$AT174)</f>
        <v> </v>
      </c>
      <c r="BV174" s="306" t="str">
        <f aca="false">IF($A174="N/A"," ",AC174*$AU174)</f>
        <v> </v>
      </c>
      <c r="BW174" s="306" t="str">
        <f aca="false">IF($A174="N/A"," ",AD174*$AV174)</f>
        <v> </v>
      </c>
      <c r="BX174" s="306" t="str">
        <f aca="false">IF($A174="N/A"," ",AE174*$AW174)</f>
        <v> </v>
      </c>
      <c r="BY174" s="306" t="str">
        <f aca="false">IF($A174="N/A"," ",AF174*$AX174)</f>
        <v> </v>
      </c>
      <c r="BZ174" s="306" t="str">
        <f aca="false">IF($A174="N/A"," ",AG174*$AY174)</f>
        <v> </v>
      </c>
      <c r="CA174" s="306" t="str">
        <f aca="false">IF($A174="N/A"," ",AH174*$AZ174)</f>
        <v> </v>
      </c>
      <c r="CB174" s="307" t="str">
        <f aca="false">IF($A174="N/A"," ",AI174*$BA174)</f>
        <v> </v>
      </c>
      <c r="CC174" s="308" t="str">
        <f aca="false">IF($A174="N/A"," ",AJ174*$AS174)</f>
        <v> </v>
      </c>
      <c r="CD174" s="309" t="str">
        <f aca="false">IF($A174="N/A"," ",AK174*$AT174)</f>
        <v> </v>
      </c>
      <c r="CE174" s="309" t="str">
        <f aca="false">IF($A174="N/A"," ",AL174*$AU174)</f>
        <v> </v>
      </c>
      <c r="CF174" s="309" t="str">
        <f aca="false">IF($A174="N/A"," ",AM174*$AV174)</f>
        <v> </v>
      </c>
      <c r="CG174" s="309" t="str">
        <f aca="false">IF($A174="N/A"," ",AN174*$AW174)</f>
        <v> </v>
      </c>
      <c r="CH174" s="309" t="str">
        <f aca="false">IF($A174="N/A"," ",AO174*$AX174)</f>
        <v> </v>
      </c>
      <c r="CI174" s="309" t="str">
        <f aca="false">IF($A174="N/A"," ",AP174*$AY174)</f>
        <v> </v>
      </c>
      <c r="CJ174" s="309" t="str">
        <f aca="false">IF($A174="N/A"," ",AQ174*$AZ174)</f>
        <v> </v>
      </c>
      <c r="CK174" s="310" t="str">
        <f aca="false">IF($A174="N/A"," ",AR174*$BA174)</f>
        <v> </v>
      </c>
      <c r="CL174" s="311" t="str">
        <f aca="false">IF(A174="N/A"," ",(VLOOKUP(A174,PowerVolTable,(IF(VolBMO=2,7,IF(VolBMO=1,6,8))),FALSE())))</f>
        <v> </v>
      </c>
      <c r="CM174" s="312" t="str">
        <f aca="false">IF(A174="N/A"," ",(VLOOKUP(A174,IntraPowerVol,(IF(VolBMO=2,3,IF(VolBMO=1,2,4))),FALSE())*VLOOKUP(MONTH($A174),Volscale,2)))</f>
        <v> </v>
      </c>
      <c r="CN174" s="312" t="str">
        <f aca="false">IF($A174="N/A"," ",IF(VolType=1,CM174,CL174))</f>
        <v> </v>
      </c>
      <c r="CO174" s="312" t="str">
        <f aca="false">IF($A174="N/A"," ",(VLOOKUP($A174,OffPeakVol,(IF(VolBMO=2,7,IF(VolBMO=1,6,8))),FALSE())))</f>
        <v> </v>
      </c>
      <c r="CP174" s="312" t="str">
        <f aca="false">IF($A174="N/A"," ",(VLOOKUP($A174,OffPeakVol,(IF(VolBMO=2,3,IF(VolBMO=1,2,4))),FALSE())*VLOOKUP(MONTH($A174),Volscale,2)))</f>
        <v> </v>
      </c>
      <c r="CQ174" s="312" t="str">
        <f aca="false">IF($A174="N/A"," ",IF(VolType=1,CP174,CO174))</f>
        <v> </v>
      </c>
      <c r="CR174" s="312" t="str">
        <f aca="false">IF($A174="N/A"," ",(VLOOKUP($A174,GasVolTable,(IF(VolBMO=2,6,IF(VolBMO=1,7,5))),FALSE())))</f>
        <v> </v>
      </c>
      <c r="CS174" s="312" t="str">
        <f aca="false">IF($A174="N/A"," ",(VLOOKUP($A174,OmicronVol,(IF(VolBMO=2,3,IF(VolBMO=1,4,2))),FALSE())))</f>
        <v> </v>
      </c>
      <c r="CT174" s="312" t="str">
        <f aca="false">IF($A174="N/A"," ",(IF(DateToday&gt;$A174,$CS174,IF(VolType=1,((($CR174^2)*((($A174-1)-DateToday)/((EOMONTH($A174,0)+1)-DateToday-15)))+((($CS174)^2)*((15)/((EOMONTH($A174,0)+1)-DateToday-15))))^0.5,CR174))))</f>
        <v> </v>
      </c>
      <c r="CU174" s="312" t="str">
        <f aca="false">IF($A174="N/A"," ",IF('Pricing Inputs'!$AR$23=TRUE(),Inputs!$S$22,VLOOKUP($A174,CorrelationTable,2,FALSE())))</f>
        <v> </v>
      </c>
      <c r="CV174" s="313" t="str">
        <f aca="false">IF($A174="N/A"," ",F174+G174+(D174*('Pricing Inputs'!X209)))</f>
        <v> </v>
      </c>
      <c r="CW174" s="314" t="str">
        <f aca="false">IF($A174="N/A"," ",IF(PV=1,0,'Pricing Inputs'!Y209))</f>
        <v> </v>
      </c>
      <c r="CX174" s="315" t="str">
        <f aca="false">IF($A174="N/A"," ",(1+CW174/2)^(-2*((EOMONTH(A174,0)+20)-DateToday)/365.25))</f>
        <v> </v>
      </c>
      <c r="CY174" s="316" t="str">
        <f aca="false">IF($A174="N/A"," ",(IF(MONTH(A174)&gt;=4,IF(MONTH(A174)&lt;=10,Inputs!$S$26,Inputs!$S$27),Inputs!$S$27))*$CX174)</f>
        <v> </v>
      </c>
      <c r="CZ174" s="317" t="str">
        <f aca="false">IF($A174="N/A"," ",BK174+BL174+BN174+BO174+BQ174+BR174)</f>
        <v> </v>
      </c>
      <c r="DA174" s="318" t="str">
        <f aca="false">IF($A174="N/A"," ",BM174+BP174+BS174)</f>
        <v> </v>
      </c>
      <c r="DB174" s="319" t="str">
        <f aca="false">IF($A174="N/A"," ",BT174+BU174+BW174+BX174+BZ174+CA174)</f>
        <v> </v>
      </c>
      <c r="DC174" s="319" t="str">
        <f aca="false">IF($A174="N/A"," ",BV174+BY174+CB174)</f>
        <v> </v>
      </c>
      <c r="DD174" s="320" t="str">
        <f aca="false">IF($A174="N/A"," ",SUM(CC174:CK174))</f>
        <v> </v>
      </c>
      <c r="DE174" s="321" t="str">
        <f aca="false">IF($A174="N/A"," ",VLOOKUP($A174,NumberofDaysTable,2)*Availability)</f>
        <v> </v>
      </c>
      <c r="DF174" s="94" t="str">
        <f aca="false">IF($A174="N/A"," ",VLOOKUP($A174,NumberofDaysTable,3)*Availability)</f>
        <v> </v>
      </c>
      <c r="DG174" s="322" t="str">
        <f aca="false">IF($A174="N/A"," ",VLOOKUP($A174,NumberofDaysTable,4)*Availability)</f>
        <v> </v>
      </c>
      <c r="DH174" s="323" t="str">
        <f aca="false">IF($A174="N/A"," ",IF(Option=1,$D174*Inputs!$S$15*SUM(AS174:BA174),0))</f>
        <v> </v>
      </c>
      <c r="DI174" s="324" t="str">
        <f aca="false">IF($A174="N/A"," ",IF(Option=1,$D174*Inputs!$S$16*SUM(AS174:BA174),0))</f>
        <v> </v>
      </c>
      <c r="DJ174" s="325" t="str">
        <f aca="false">IF($A174="N/A"," ",SUM(AS174:AT174))</f>
        <v> </v>
      </c>
      <c r="DK174" s="325" t="str">
        <f aca="false">IF($A174="N/A"," ",SUM(AU174:BA174))</f>
        <v> </v>
      </c>
      <c r="DL174" s="325" t="str">
        <f aca="false">IF($A174="N/A"," ",SUM(BB174:BC174))</f>
        <v> </v>
      </c>
      <c r="DM174" s="325" t="str">
        <f aca="false">IF($A174="N/A"," ",SUM(BD174:BJ174))</f>
        <v> </v>
      </c>
    </row>
    <row r="175" customFormat="false" ht="12.75" hidden="false" customHeight="false" outlineLevel="0" collapsed="false">
      <c r="A175" s="282" t="str">
        <f aca="false">IF(A174="N/A","N/A",IF(EDATE(A174,1)&gt;Inputs!$S$5,"N/A",EDATE(A174,1)))</f>
        <v>N/A</v>
      </c>
      <c r="B175" s="283" t="str">
        <f aca="false">IF(A175="N/A"," ",YEAR(A175))</f>
        <v> </v>
      </c>
      <c r="C175" s="284" t="str">
        <f aca="false">IF(A175="N/A"," ",VLOOKUP(A175,ScaledPrice,14))</f>
        <v> </v>
      </c>
      <c r="D175" s="285" t="str">
        <f aca="false">IF(A175="N/A"," ",(VLOOKUP(MONTH($A175),Hrtable,2))/1000)</f>
        <v> </v>
      </c>
      <c r="E175" s="286" t="str">
        <f aca="false">IF($A175="N/A"," ",(C175)*D175)</f>
        <v> </v>
      </c>
      <c r="F175" s="287" t="str">
        <f aca="false">IF(A175="N/A"," ",VOM*(1+VOMesc)^(YEAR(A175)-YEAR(Today)))</f>
        <v> </v>
      </c>
      <c r="G175" s="287" t="str">
        <f aca="false">IF(A175="N/A"," ",Perstart/VLOOKUP(Dayrun,'Pricing Inputs'!$AQ$4:$AS$14,3)/(CY175/CX175))</f>
        <v> </v>
      </c>
      <c r="H175" s="288" t="str">
        <f aca="false">IF(A175="N/A"," ",SUM(E175:G175))</f>
        <v> </v>
      </c>
      <c r="I175" s="289" t="str">
        <f aca="false">VLOOKUP($A175,ScaledPrice,6)</f>
        <v> </v>
      </c>
      <c r="J175" s="290" t="str">
        <f aca="false">VLOOKUP($A175,ScaledPrice,10)</f>
        <v> </v>
      </c>
      <c r="K175" s="290" t="str">
        <f aca="false">VLOOKUP($A175,ScaledPrice,13)</f>
        <v> </v>
      </c>
      <c r="L175" s="290" t="str">
        <f aca="false">VLOOKUP($A175,ScaledPrice,7)</f>
        <v> </v>
      </c>
      <c r="M175" s="290" t="str">
        <f aca="false">VLOOKUP($A175,ScaledPrice,11)</f>
        <v> </v>
      </c>
      <c r="N175" s="290" t="str">
        <f aca="false">VLOOKUP($A175,ScaledPrice,13)</f>
        <v> </v>
      </c>
      <c r="O175" s="290" t="str">
        <f aca="false">VLOOKUP($A175,ScaledPrice,8)</f>
        <v> </v>
      </c>
      <c r="P175" s="290" t="str">
        <f aca="false">VLOOKUP($A175,ScaledPrice,12)</f>
        <v> </v>
      </c>
      <c r="Q175" s="291" t="str">
        <f aca="false">VLOOKUP($A175,ScaledPrice,13)</f>
        <v> </v>
      </c>
      <c r="R175" s="292" t="str">
        <f aca="false">IF($A175="N/A"," ",IF(Dayrun&gt;=3,IF(Option=1,MAX($I175-$H175,0),IF(Option=2,MAX($H175-$I175,0),0)),0))</f>
        <v> </v>
      </c>
      <c r="S175" s="286" t="str">
        <f aca="false">IF($A175="N/A"," ",IF(Dayrun&gt;=6,IF(Option=1,MAX($J175-H175,0),IF(Option=2,MAX(H175-$J175,0),0)),0))</f>
        <v> </v>
      </c>
      <c r="T175" s="286" t="str">
        <f aca="false">IF($A175="N/A"," ",IF(OR(Dayrun&lt;=2,Dayrun&gt;=9),IF(Option=1,MAX($K175-$H175,0),IF(Option=2,MAX($H175-$K175,0),0)),0))</f>
        <v> </v>
      </c>
      <c r="U175" s="286" t="str">
        <f aca="false">IF($A175="N/A"," ",IF(OR(Dayrun=1,Dayrun=4,Dayrun=5,Dayrun=7,Dayrun=8,Dayrun=10,Dayrun=11),IF(Option=1,MAX($L175-H175,0),IF(Option=2,MAX(H175-$L175,0),0)),0))</f>
        <v> </v>
      </c>
      <c r="V175" s="286" t="str">
        <f aca="false">IF($A175="N/A"," ",IF(OR(Dayrun=1,Dayrun=7,Dayrun=8,Dayrun=10,Dayrun=11),IF(Option=1,MAX($M175-H175,0),IF(Option=2,MAX(H175-$M175,0),0)),0))</f>
        <v> </v>
      </c>
      <c r="W175" s="286" t="str">
        <f aca="false">IF($A175="N/A"," ",IF(OR(Dayrun&lt;=2,Dayrun&gt;=10),IF(Option=1,MAX($N175-$H175,0),IF(Option=2,MAX($H175-$N175,0),0)),0))</f>
        <v> </v>
      </c>
      <c r="X175" s="286" t="str">
        <f aca="false">IF($A175="N/A"," ",IF(OR(Dayrun=1,Dayrun=5,Dayrun=8,Dayrun=11),IF(Option=1,MAX($O175-H175,0),IF(Option=2,MAX(H175-$O175,0),0)),0))</f>
        <v> </v>
      </c>
      <c r="Y175" s="286" t="str">
        <f aca="false">IF($A175="N/A"," ",IF(OR(Dayrun=1,Dayrun=8,Dayrun=11),IF(Option=1,MAX($P175-H175,0),IF(Option=2,MAX(H175-$P175,0),0)),0))</f>
        <v> </v>
      </c>
      <c r="Z175" s="293" t="str">
        <f aca="false">IF($A175="N/A"," ",IF(OR(Dayrun&lt;=2,Dayrun&gt;=11),IF(Option=1,MAX($Q175-$H175,0),IF(Option=2,MAX($H175-$Q175,0),0)),0))</f>
        <v> </v>
      </c>
      <c r="AA175" s="289" t="str">
        <f aca="false">IF($A175="N/A"," ",IF(Dayrun&gt;=3,(MAX(0,(xSPRDOPT(I175,($E175-'Pricing Inputs'!$X210*$D175),$CV175,0,($CN175+IF(Smile=TRUE(),VLOOKUP(MAX(-5,$H175-I175),Volsmile,2),0)),$CT175,$CU175,($A175-DateToday)+15,ABS(Option-2),0)-R175))),0))</f>
        <v> </v>
      </c>
      <c r="AB175" s="290" t="str">
        <f aca="false">IF($A175="N/A"," ",IF(Dayrun&gt;=6,MAX(0,(xSPRDOPT(J175,($E175-'Pricing Inputs'!$X210*$D175),$CV175,0,($CN175+IF(Smile=TRUE(),VLOOKUP(MAX(-5,$H175-J175),Volsmile,2),0)),$CT175,$CU175,($A175-DateToday)+15,ABS(Option-2),0)-S175)),0))</f>
        <v> </v>
      </c>
      <c r="AC175" s="290" t="str">
        <f aca="false">IF($A175="N/A"," ",IF(OR(Dayrun&lt;=2,Dayrun&gt;=9),IF(OffPeakEx=TRUE(),MAX(0,(xSPRDOPT(K175,($E175-'Pricing Inputs'!$X210*$D175),$CV175,0,($CQ175+IF(Smile=TRUE(),VLOOKUP(MAX(-5,$H175-K175),Volsmile,2),0)),$CT175,$CU175,($A175-DateToday)+15,ABS(Option-2),0)-T175)),0),0))</f>
        <v> </v>
      </c>
      <c r="AD175" s="290" t="str">
        <f aca="false">IF($A175="N/A"," ",IF(OR(Dayrun=1,Dayrun=4,Dayrun=5,Dayrun=7,Dayrun=8,Dayrun=10,Dayrun=11),MAX(0,(xSPRDOPT(L175,($E175-'Pricing Inputs'!$X210*$D175),$CV175,0,($CQ175+IF(Smile=TRUE(),VLOOKUP(MAX(-5,$H175-L175),Volsmile,2),0)),$CT175,$CU175,($A175-DateToday)+15,ABS(Option-2),0)-U175)),0))</f>
        <v> </v>
      </c>
      <c r="AE175" s="290" t="str">
        <f aca="false">IF($A175="N/A"," ",IF(OR(Dayrun=1,Dayrun=7,Dayrun=8,Dayrun=10,Dayrun=11),MAX(0,(xSPRDOPT(M175,($E175-'Pricing Inputs'!$X210*$D175),$CV175,0,($CQ175+IF(Smile=TRUE(),VLOOKUP(MAX(-5,$H175-M175),Volsmile,2),0)),$CT175,$CU175,($A175-DateToday)+15,ABS(Option-2),0)-V175)),0))</f>
        <v> </v>
      </c>
      <c r="AF175" s="290" t="str">
        <f aca="false">IF($A175="N/A"," ",IF(OR(Dayrun&lt;=2,Dayrun&gt;=10),IF(OffPeakEx=TRUE(),MAX(0,(xSPRDOPT(N175,($E175-'Pricing Inputs'!$X210*$D175),$CV175,0,($CQ175+IF(Smile=TRUE(),VLOOKUP(MAX(-5,$H175-N175),Volsmile,2),0)),$CT175,$CU175,($A175-DateToday)+15,ABS(Option-2),0)-W175)),0),0))</f>
        <v> </v>
      </c>
      <c r="AG175" s="290" t="str">
        <f aca="false">IF($A175="N/A"," ",IF(OR(Dayrun=1,Dayrun=5,Dayrun=8,Dayrun=11),MAX(0,(xSPRDOPT(O175,($E175-'Pricing Inputs'!$X210*$D175),$CV175,0,($CQ175+IF(Smile=TRUE(),VLOOKUP(MAX(-5,$H175-O175),Volsmile,2),0)),$CT175,$CU175,($A175-DateToday)+15,ABS(Option-2),0)-X175)),0))</f>
        <v> </v>
      </c>
      <c r="AH175" s="290" t="str">
        <f aca="false">IF($A175="N/A"," ",IF(OR(Dayrun=1,Dayrun=8,Dayrun=11),MAX(0,(xSPRDOPT(P175,($E175-'Pricing Inputs'!$X210*$D175),$CV175,0,($CQ175+IF(Smile=TRUE(),VLOOKUP(MAX(-5,$H175-P175),Volsmile,2),0)),$CT175,$CU175,($A175-DateToday)+15,ABS(Option-2),0)-Y175)),0))</f>
        <v> </v>
      </c>
      <c r="AI175" s="290" t="str">
        <f aca="false">IF($A175="N/A"," ",IF(OR(Dayrun&lt;=2,Dayrun&gt;=11),IF(OffPeakEx=TRUE(),MAX(0,(xSPRDOPT(Q175,($E175-'Pricing Inputs'!$X210*$D175),$CV175,0,($CQ175+IF(Smile=TRUE(),VLOOKUP(MAX(-5,$H175-Q175),Volsmile,2),0)),$CT175,$CU175,($A175-DateToday)+15,ABS(Option-2),0)-Z175)),0),0))</f>
        <v> </v>
      </c>
      <c r="AJ175" s="294" t="str">
        <f aca="false">IF($A175="N/A"," ",IF(Dayrun&gt;=3,IF(Option=1,$I175-$H175,IF(Option=2,$H175-$I175)),0))</f>
        <v> </v>
      </c>
      <c r="AK175" s="295" t="str">
        <f aca="false">IF($A175="N/A"," ",IF(Dayrun&gt;=6,IF(Option=1,$J175-H175,IF(Option=2,H175-$J175)),0))</f>
        <v> </v>
      </c>
      <c r="AL175" s="295" t="str">
        <f aca="false">IF($A175="N/A"," ",IF(OR(Dayrun&lt;=2,Dayrun&gt;=9),IF(Option=1,$K175-$H175,IF(Option=2,$H175-$K175)),0))</f>
        <v> </v>
      </c>
      <c r="AM175" s="295" t="str">
        <f aca="false">IF($A175="N/A"," ",IF(OR(Dayrun=1,Dayrun=4,Dayrun=5,Dayrun=7,Dayrun=8,Dayrun=10,Dayrun=11),IF(Option=1,$L175-H175,IF(Option=2,H175-$L175)),0))</f>
        <v> </v>
      </c>
      <c r="AN175" s="295" t="str">
        <f aca="false">IF($A175="N/A"," ",IF(OR(Dayrun=1,Dayrun=7,Dayrun=8,Dayrun=10,Dayrun=11),IF(Option=1,$M175-H175,IF(Option=2,H175-$M175)),0))</f>
        <v> </v>
      </c>
      <c r="AO175" s="295" t="str">
        <f aca="false">IF($A175="N/A"," ",IF(OR(Dayrun&lt;=2,Dayrun&gt;=9),IF(Option=1,$N175-$H175,IF(Option=2,$H175-$N175)),0))</f>
        <v> </v>
      </c>
      <c r="AP175" s="295" t="str">
        <f aca="false">IF($A175="N/A"," ",IF(OR(Dayrun=1,Dayrun=5,Dayrun=8,Dayrun=11),IF(Option=1,$O175-H175,IF(Option=2,H175-$O175)),0))</f>
        <v> </v>
      </c>
      <c r="AQ175" s="295" t="str">
        <f aca="false">IF($A175="N/A"," ",IF(OR(Dayrun=1,Dayrun=8,Dayrun=11),IF(Option=1,$P175-H175,IF(Option=2,H175-$P175)),0))</f>
        <v> </v>
      </c>
      <c r="AR175" s="296" t="str">
        <f aca="false">IF($A175="N/A"," ",IF(OR(Dayrun&lt;=2,Dayrun&gt;=9),IF(Option=1,$Q175-H175,IF(Option=2,H175-$Q175)),0))</f>
        <v> </v>
      </c>
      <c r="AS175" s="297" t="str">
        <f aca="false">IF($A175="N/A"," ",IF(VLOOKUP(MONTH($A175),ManualTable,2)=1,IF(Dayrun&gt;=3,$DE175*8*$CY175,0),0))</f>
        <v> </v>
      </c>
      <c r="AT175" s="297" t="str">
        <f aca="false">IF($A175="N/A"," ",IF(VLOOKUP(MONTH($A175),ManualTable,3)=1,IF(Dayrun&gt;=6,$DE175*8*$CY175,0),0))</f>
        <v> </v>
      </c>
      <c r="AU175" s="297" t="str">
        <f aca="false">IF($A175="N/A"," ",IF(VLOOKUP(MONTH($A175),ManualTable,4)=1,IF(OR(Dayrun&lt;=2,Dayrun&gt;=9),$DE175*8*$CY175,0),0))</f>
        <v> </v>
      </c>
      <c r="AV175" s="297" t="str">
        <f aca="false">IF($A175="N/A"," ",IF(VLOOKUP(MONTH($A175),ManualTable,5)=1,IF(OR(Dayrun=1,Dayrun=4,Dayrun=5,Dayrun=7,Dayrun=8,Dayrun=10,Dayrun=11),$DF175*8*$CY175,0),0))</f>
        <v> </v>
      </c>
      <c r="AW175" s="297" t="str">
        <f aca="false">IF($A175="N/A"," ",IF(VLOOKUP(MONTH($A175),ManualTable,6)=1,IF(OR(Dayrun=1,Dayrun=7,Dayrun=8,Dayrun=10,Dayrun=11),$DF175*8*$CY175,0),0))</f>
        <v> </v>
      </c>
      <c r="AX175" s="297" t="str">
        <f aca="false">IF($A175="N/A"," ",IF(VLOOKUP(MONTH($A175),ManualTable,7)=1,IF(OR(Dayrun&lt;=2,Dayrun&gt;=9),$DF175*8*$CY175,0),0))</f>
        <v> </v>
      </c>
      <c r="AY175" s="297" t="str">
        <f aca="false">IF($A175="N/A"," ",IF(VLOOKUP(MONTH($A175),ManualTable,8)=1,IF(OR(Dayrun=1,Dayrun=5,Dayrun=8,Dayrun=11),$DG175*8*$CY175,0),0))</f>
        <v> </v>
      </c>
      <c r="AZ175" s="297" t="str">
        <f aca="false">IF($A175="N/A"," ",IF(VLOOKUP(MONTH($A175),ManualTable,9)=1,IF(OR(Dayrun=1,Dayrun=8,Dayrun=11),$DG175*8*$CY175,0),0))</f>
        <v> </v>
      </c>
      <c r="BA175" s="298" t="str">
        <f aca="false">IF($A175="N/A"," ",IF(VLOOKUP(MONTH($A175),ManualTable,10)=1,IF(OR(Dayrun&lt;=2,Dayrun&gt;=9),$DG175*8*$CY175,0),0))</f>
        <v> </v>
      </c>
      <c r="BB175" s="299" t="str">
        <f aca="false">IF($A175="N/A"," ",IF(Dayrun&gt;=3,(MAX(0,(xSPRDOPT(I175,($E175-'Pricing Inputs'!$X210*$D175),$CV175,0,($CN175+IF(Smile=TRUE(),VLOOKUP(MAX(-5,$H175-I175),Volsmile,2),0)),$CT175,$CU175,($A175-DateToday)+15,ABS(Option-2),1)*DE175*8))),0))</f>
        <v> </v>
      </c>
      <c r="BC175" s="300" t="str">
        <f aca="false">IF($A175="N/A"," ",IF(Dayrun&gt;=6,MAX(0,(xSPRDOPT(J175,($E175-'Pricing Inputs'!$X210*$D175),$CV175,0,($CN175+IF(Smile=TRUE(),VLOOKUP(MAX(-5,$H175-J175),Volsmile,2),0)),$CT175,$CU175,($A175-DateToday)+15,ABS(Option-2),1)*DE175*8)),0))</f>
        <v> </v>
      </c>
      <c r="BD175" s="300" t="str">
        <f aca="false">IF($A175="N/A"," ",IF(OR(Dayrun&lt;=2,Dayrun&gt;=9),IF(OffPeakEx=TRUE(),MAX(0,(xSPRDOPT(K175,($E175-'Pricing Inputs'!$X210*$D175),$CV175,0,($CQ175+IF(Smile=TRUE(),VLOOKUP(MAX(-5,$H175-K175),Volsmile,2),0)),$CT175,$CU175,($A175-DateToday)+15,ABS(Option-2),1)*DE175*8)),0),0))</f>
        <v> </v>
      </c>
      <c r="BE175" s="300" t="str">
        <f aca="false">IF($A175="N/A"," ",IF(OR(Dayrun=1,Dayrun=4,Dayrun=5,Dayrun=7,Dayrun=8,Dayrun=10,Dayrun=11),MAX(0,(xSPRDOPT(L175,($E175-'Pricing Inputs'!$X210*$D175),$CV175,0,($CQ175+IF(Smile=TRUE(),VLOOKUP(MAX(-5,$H175-L175),Volsmile,2),0)),$CT175,$CU175,($A175-DateToday)+15,ABS(Option-2),1)*DF175*8)),0))</f>
        <v> </v>
      </c>
      <c r="BF175" s="300" t="str">
        <f aca="false">IF($A175="N/A"," ",IF(OR(Dayrun=1,Dayrun=7,Dayrun=8,Dayrun=10,Dayrun=11),MAX(0,(xSPRDOPT(M175,($E175-'Pricing Inputs'!$X210*$D175),$CV175,0,($CQ175+IF(Smile=TRUE(),VLOOKUP(MAX(-5,$H175-M175),Volsmile,2),0)),$CT175,$CU175,($A175-DateToday)+15,ABS(Option-2),1)*DF175*8)),0))</f>
        <v> </v>
      </c>
      <c r="BG175" s="300" t="str">
        <f aca="false">IF($A175="N/A"," ",IF(OR(Dayrun&lt;=2,Dayrun&gt;=10),IF(OffPeakEx=TRUE(),MAX(0,(xSPRDOPT(N175,($E175-'Pricing Inputs'!$X210*$D175),$CV175,0,($CQ175+IF(Smile=TRUE(),VLOOKUP(MAX(-5,$H175-N175),Volsmile,2),0)),$CT175,$CU175,($A175-DateToday)+15,ABS(Option-2),1)*DF175*8)),0),0))</f>
        <v> </v>
      </c>
      <c r="BH175" s="300" t="str">
        <f aca="false">IF($A175="N/A"," ",IF(OR(Dayrun=1,Dayrun=5,Dayrun=8,Dayrun=11),MAX(0,(xSPRDOPT(O175,($E175-'Pricing Inputs'!$X210*$D175),$CV175,0,($CQ175+IF(Smile=TRUE(),VLOOKUP(MAX(-5,$H175-O175),Volsmile,2),0)),$CT175,$CU175,($A175-DateToday)+15,ABS(Option-2),1)*DG175*8)),0))</f>
        <v> </v>
      </c>
      <c r="BI175" s="300" t="str">
        <f aca="false">IF($A175="N/A"," ",IF(OR(Dayrun=1,Dayrun=8,Dayrun=11),MAX(0,(xSPRDOPT(P175,($E175-'Pricing Inputs'!$X210*$D175),$CV175,0,($CQ175+IF(Smile=TRUE(),VLOOKUP(MAX(-5,$H175-P175),Volsmile,2),0)),$CT175,$CU175,($A175-DateToday)+15,ABS(Option-2),1)*DG175*8)),0))</f>
        <v> </v>
      </c>
      <c r="BJ175" s="301" t="str">
        <f aca="false">IF($A175="N/A"," ",IF(OR(Dayrun&lt;=2,Dayrun&gt;=11),IF(OffPeakEx=TRUE(),MAX(0,(xSPRDOPT(Q175,($E175-'Pricing Inputs'!$X210*$D175),$CV175,0,($CQ175+IF(Smile=TRUE(),VLOOKUP(MAX(-5,$H175-Q175),Volsmile,2),0)),$CT175,$CU175,($A175-DateToday)+15,ABS(Option-2),1)*DG175*8)),0),0))</f>
        <v> </v>
      </c>
      <c r="BK175" s="302" t="str">
        <f aca="false">IF($A175="N/A"," ",R175*$AS175)</f>
        <v> </v>
      </c>
      <c r="BL175" s="303" t="str">
        <f aca="false">IF($A175="N/A"," ",S175*$AT175)</f>
        <v> </v>
      </c>
      <c r="BM175" s="303" t="str">
        <f aca="false">IF($A175="N/A"," ",T175*$AU175)</f>
        <v> </v>
      </c>
      <c r="BN175" s="303" t="str">
        <f aca="false">IF($A175="N/A"," ",U175*$AV175)</f>
        <v> </v>
      </c>
      <c r="BO175" s="303" t="str">
        <f aca="false">IF($A175="N/A"," ",V175*$AW175)</f>
        <v> </v>
      </c>
      <c r="BP175" s="303" t="str">
        <f aca="false">IF($A175="N/A"," ",W175*$AX175)</f>
        <v> </v>
      </c>
      <c r="BQ175" s="303" t="str">
        <f aca="false">IF($A175="N/A"," ",X175*$AY175)</f>
        <v> </v>
      </c>
      <c r="BR175" s="303" t="str">
        <f aca="false">IF($A175="N/A"," ",Y175*$AZ175)</f>
        <v> </v>
      </c>
      <c r="BS175" s="304" t="str">
        <f aca="false">IF($A175="N/A"," ",Z175*$BA175)</f>
        <v> </v>
      </c>
      <c r="BT175" s="305" t="str">
        <f aca="false">IF($A175="N/A"," ",AA175*$AS175)</f>
        <v> </v>
      </c>
      <c r="BU175" s="306" t="str">
        <f aca="false">IF($A175="N/A"," ",AB175*$AT175)</f>
        <v> </v>
      </c>
      <c r="BV175" s="306" t="str">
        <f aca="false">IF($A175="N/A"," ",AC175*$AU175)</f>
        <v> </v>
      </c>
      <c r="BW175" s="306" t="str">
        <f aca="false">IF($A175="N/A"," ",AD175*$AV175)</f>
        <v> </v>
      </c>
      <c r="BX175" s="306" t="str">
        <f aca="false">IF($A175="N/A"," ",AE175*$AW175)</f>
        <v> </v>
      </c>
      <c r="BY175" s="306" t="str">
        <f aca="false">IF($A175="N/A"," ",AF175*$AX175)</f>
        <v> </v>
      </c>
      <c r="BZ175" s="306" t="str">
        <f aca="false">IF($A175="N/A"," ",AG175*$AY175)</f>
        <v> </v>
      </c>
      <c r="CA175" s="306" t="str">
        <f aca="false">IF($A175="N/A"," ",AH175*$AZ175)</f>
        <v> </v>
      </c>
      <c r="CB175" s="307" t="str">
        <f aca="false">IF($A175="N/A"," ",AI175*$BA175)</f>
        <v> </v>
      </c>
      <c r="CC175" s="308" t="str">
        <f aca="false">IF($A175="N/A"," ",AJ175*$AS175)</f>
        <v> </v>
      </c>
      <c r="CD175" s="309" t="str">
        <f aca="false">IF($A175="N/A"," ",AK175*$AT175)</f>
        <v> </v>
      </c>
      <c r="CE175" s="309" t="str">
        <f aca="false">IF($A175="N/A"," ",AL175*$AU175)</f>
        <v> </v>
      </c>
      <c r="CF175" s="309" t="str">
        <f aca="false">IF($A175="N/A"," ",AM175*$AV175)</f>
        <v> </v>
      </c>
      <c r="CG175" s="309" t="str">
        <f aca="false">IF($A175="N/A"," ",AN175*$AW175)</f>
        <v> </v>
      </c>
      <c r="CH175" s="309" t="str">
        <f aca="false">IF($A175="N/A"," ",AO175*$AX175)</f>
        <v> </v>
      </c>
      <c r="CI175" s="309" t="str">
        <f aca="false">IF($A175="N/A"," ",AP175*$AY175)</f>
        <v> </v>
      </c>
      <c r="CJ175" s="309" t="str">
        <f aca="false">IF($A175="N/A"," ",AQ175*$AZ175)</f>
        <v> </v>
      </c>
      <c r="CK175" s="310" t="str">
        <f aca="false">IF($A175="N/A"," ",AR175*$BA175)</f>
        <v> </v>
      </c>
      <c r="CL175" s="311" t="str">
        <f aca="false">IF(A175="N/A"," ",(VLOOKUP(A175,PowerVolTable,(IF(VolBMO=2,7,IF(VolBMO=1,6,8))),FALSE())))</f>
        <v> </v>
      </c>
      <c r="CM175" s="312" t="str">
        <f aca="false">IF(A175="N/A"," ",(VLOOKUP(A175,IntraPowerVol,(IF(VolBMO=2,3,IF(VolBMO=1,2,4))),FALSE())*VLOOKUP(MONTH($A175),Volscale,2)))</f>
        <v> </v>
      </c>
      <c r="CN175" s="312" t="str">
        <f aca="false">IF($A175="N/A"," ",IF(VolType=1,CM175,CL175))</f>
        <v> </v>
      </c>
      <c r="CO175" s="312" t="str">
        <f aca="false">IF($A175="N/A"," ",(VLOOKUP($A175,OffPeakVol,(IF(VolBMO=2,7,IF(VolBMO=1,6,8))),FALSE())))</f>
        <v> </v>
      </c>
      <c r="CP175" s="312" t="str">
        <f aca="false">IF($A175="N/A"," ",(VLOOKUP($A175,OffPeakVol,(IF(VolBMO=2,3,IF(VolBMO=1,2,4))),FALSE())*VLOOKUP(MONTH($A175),Volscale,2)))</f>
        <v> </v>
      </c>
      <c r="CQ175" s="312" t="str">
        <f aca="false">IF($A175="N/A"," ",IF(VolType=1,CP175,CO175))</f>
        <v> </v>
      </c>
      <c r="CR175" s="312" t="str">
        <f aca="false">IF($A175="N/A"," ",(VLOOKUP($A175,GasVolTable,(IF(VolBMO=2,6,IF(VolBMO=1,7,5))),FALSE())))</f>
        <v> </v>
      </c>
      <c r="CS175" s="312" t="str">
        <f aca="false">IF($A175="N/A"," ",(VLOOKUP($A175,OmicronVol,(IF(VolBMO=2,3,IF(VolBMO=1,4,2))),FALSE())))</f>
        <v> </v>
      </c>
      <c r="CT175" s="312" t="str">
        <f aca="false">IF($A175="N/A"," ",(IF(DateToday&gt;$A175,$CS175,IF(VolType=1,((($CR175^2)*((($A175-1)-DateToday)/((EOMONTH($A175,0)+1)-DateToday-15)))+((($CS175)^2)*((15)/((EOMONTH($A175,0)+1)-DateToday-15))))^0.5,CR175))))</f>
        <v> </v>
      </c>
      <c r="CU175" s="312" t="str">
        <f aca="false">IF($A175="N/A"," ",IF('Pricing Inputs'!$AR$23=TRUE(),Inputs!$S$22,VLOOKUP($A175,CorrelationTable,2,FALSE())))</f>
        <v> </v>
      </c>
      <c r="CV175" s="313" t="str">
        <f aca="false">IF($A175="N/A"," ",F175+G175+(D175*('Pricing Inputs'!X210)))</f>
        <v> </v>
      </c>
      <c r="CW175" s="314" t="str">
        <f aca="false">IF($A175="N/A"," ",IF(PV=1,0,'Pricing Inputs'!Y210))</f>
        <v> </v>
      </c>
      <c r="CX175" s="315" t="str">
        <f aca="false">IF($A175="N/A"," ",(1+CW175/2)^(-2*((EOMONTH(A175,0)+20)-DateToday)/365.25))</f>
        <v> </v>
      </c>
      <c r="CY175" s="316" t="str">
        <f aca="false">IF($A175="N/A"," ",(IF(MONTH(A175)&gt;=4,IF(MONTH(A175)&lt;=10,Inputs!$S$26,Inputs!$S$27),Inputs!$S$27))*$CX175)</f>
        <v> </v>
      </c>
      <c r="CZ175" s="317" t="str">
        <f aca="false">IF($A175="N/A"," ",BK175+BL175+BN175+BO175+BQ175+BR175)</f>
        <v> </v>
      </c>
      <c r="DA175" s="318" t="str">
        <f aca="false">IF($A175="N/A"," ",BM175+BP175+BS175)</f>
        <v> </v>
      </c>
      <c r="DB175" s="319" t="str">
        <f aca="false">IF($A175="N/A"," ",BT175+BU175+BW175+BX175+BZ175+CA175)</f>
        <v> </v>
      </c>
      <c r="DC175" s="319" t="str">
        <f aca="false">IF($A175="N/A"," ",BV175+BY175+CB175)</f>
        <v> </v>
      </c>
      <c r="DD175" s="320" t="str">
        <f aca="false">IF($A175="N/A"," ",SUM(CC175:CK175))</f>
        <v> </v>
      </c>
      <c r="DE175" s="321" t="str">
        <f aca="false">IF($A175="N/A"," ",VLOOKUP($A175,NumberofDaysTable,2)*Availability)</f>
        <v> </v>
      </c>
      <c r="DF175" s="94" t="str">
        <f aca="false">IF($A175="N/A"," ",VLOOKUP($A175,NumberofDaysTable,3)*Availability)</f>
        <v> </v>
      </c>
      <c r="DG175" s="322" t="str">
        <f aca="false">IF($A175="N/A"," ",VLOOKUP($A175,NumberofDaysTable,4)*Availability)</f>
        <v> </v>
      </c>
      <c r="DH175" s="323" t="str">
        <f aca="false">IF($A175="N/A"," ",IF(Option=1,$D175*Inputs!$S$15*SUM(AS175:BA175),0))</f>
        <v> </v>
      </c>
      <c r="DI175" s="324" t="str">
        <f aca="false">IF($A175="N/A"," ",IF(Option=1,$D175*Inputs!$S$16*SUM(AS175:BA175),0))</f>
        <v> </v>
      </c>
      <c r="DJ175" s="325" t="str">
        <f aca="false">IF($A175="N/A"," ",SUM(AS175:AT175))</f>
        <v> </v>
      </c>
      <c r="DK175" s="325" t="str">
        <f aca="false">IF($A175="N/A"," ",SUM(AU175:BA175))</f>
        <v> </v>
      </c>
      <c r="DL175" s="325" t="str">
        <f aca="false">IF($A175="N/A"," ",SUM(BB175:BC175))</f>
        <v> </v>
      </c>
      <c r="DM175" s="325" t="str">
        <f aca="false">IF($A175="N/A"," ",SUM(BD175:BJ175))</f>
        <v> </v>
      </c>
    </row>
    <row r="176" customFormat="false" ht="12.75" hidden="false" customHeight="false" outlineLevel="0" collapsed="false">
      <c r="A176" s="282" t="str">
        <f aca="false">IF(A175="N/A","N/A",IF(EDATE(A175,1)&gt;Inputs!$S$5,"N/A",EDATE(A175,1)))</f>
        <v>N/A</v>
      </c>
      <c r="B176" s="283" t="str">
        <f aca="false">IF(A176="N/A"," ",YEAR(A176))</f>
        <v> </v>
      </c>
      <c r="C176" s="284" t="str">
        <f aca="false">IF(A176="N/A"," ",VLOOKUP(A176,ScaledPrice,14))</f>
        <v> </v>
      </c>
      <c r="D176" s="285" t="str">
        <f aca="false">IF(A176="N/A"," ",(VLOOKUP(MONTH($A176),Hrtable,2))/1000)</f>
        <v> </v>
      </c>
      <c r="E176" s="286" t="str">
        <f aca="false">IF($A176="N/A"," ",(C176)*D176)</f>
        <v> </v>
      </c>
      <c r="F176" s="287" t="str">
        <f aca="false">IF(A176="N/A"," ",VOM*(1+VOMesc)^(YEAR(A176)-YEAR(Today)))</f>
        <v> </v>
      </c>
      <c r="G176" s="287" t="str">
        <f aca="false">IF(A176="N/A"," ",Perstart/VLOOKUP(Dayrun,'Pricing Inputs'!$AQ$4:$AS$14,3)/(CY176/CX176))</f>
        <v> </v>
      </c>
      <c r="H176" s="288" t="str">
        <f aca="false">IF(A176="N/A"," ",SUM(E176:G176))</f>
        <v> </v>
      </c>
      <c r="I176" s="289" t="str">
        <f aca="false">VLOOKUP($A176,ScaledPrice,6)</f>
        <v> </v>
      </c>
      <c r="J176" s="290" t="str">
        <f aca="false">VLOOKUP($A176,ScaledPrice,10)</f>
        <v> </v>
      </c>
      <c r="K176" s="290" t="str">
        <f aca="false">VLOOKUP($A176,ScaledPrice,13)</f>
        <v> </v>
      </c>
      <c r="L176" s="290" t="str">
        <f aca="false">VLOOKUP($A176,ScaledPrice,7)</f>
        <v> </v>
      </c>
      <c r="M176" s="290" t="str">
        <f aca="false">VLOOKUP($A176,ScaledPrice,11)</f>
        <v> </v>
      </c>
      <c r="N176" s="290" t="str">
        <f aca="false">VLOOKUP($A176,ScaledPrice,13)</f>
        <v> </v>
      </c>
      <c r="O176" s="290" t="str">
        <f aca="false">VLOOKUP($A176,ScaledPrice,8)</f>
        <v> </v>
      </c>
      <c r="P176" s="290" t="str">
        <f aca="false">VLOOKUP($A176,ScaledPrice,12)</f>
        <v> </v>
      </c>
      <c r="Q176" s="291" t="str">
        <f aca="false">VLOOKUP($A176,ScaledPrice,13)</f>
        <v> </v>
      </c>
      <c r="R176" s="292" t="str">
        <f aca="false">IF($A176="N/A"," ",IF(Dayrun&gt;=3,IF(Option=1,MAX($I176-$H176,0),IF(Option=2,MAX($H176-$I176,0),0)),0))</f>
        <v> </v>
      </c>
      <c r="S176" s="286" t="str">
        <f aca="false">IF($A176="N/A"," ",IF(Dayrun&gt;=6,IF(Option=1,MAX($J176-H176,0),IF(Option=2,MAX(H176-$J176,0),0)),0))</f>
        <v> </v>
      </c>
      <c r="T176" s="286" t="str">
        <f aca="false">IF($A176="N/A"," ",IF(OR(Dayrun&lt;=2,Dayrun&gt;=9),IF(Option=1,MAX($K176-$H176,0),IF(Option=2,MAX($H176-$K176,0),0)),0))</f>
        <v> </v>
      </c>
      <c r="U176" s="286" t="str">
        <f aca="false">IF($A176="N/A"," ",IF(OR(Dayrun=1,Dayrun=4,Dayrun=5,Dayrun=7,Dayrun=8,Dayrun=10,Dayrun=11),IF(Option=1,MAX($L176-H176,0),IF(Option=2,MAX(H176-$L176,0),0)),0))</f>
        <v> </v>
      </c>
      <c r="V176" s="286" t="str">
        <f aca="false">IF($A176="N/A"," ",IF(OR(Dayrun=1,Dayrun=7,Dayrun=8,Dayrun=10,Dayrun=11),IF(Option=1,MAX($M176-H176,0),IF(Option=2,MAX(H176-$M176,0),0)),0))</f>
        <v> </v>
      </c>
      <c r="W176" s="286" t="str">
        <f aca="false">IF($A176="N/A"," ",IF(OR(Dayrun&lt;=2,Dayrun&gt;=10),IF(Option=1,MAX($N176-$H176,0),IF(Option=2,MAX($H176-$N176,0),0)),0))</f>
        <v> </v>
      </c>
      <c r="X176" s="286" t="str">
        <f aca="false">IF($A176="N/A"," ",IF(OR(Dayrun=1,Dayrun=5,Dayrun=8,Dayrun=11),IF(Option=1,MAX($O176-H176,0),IF(Option=2,MAX(H176-$O176,0),0)),0))</f>
        <v> </v>
      </c>
      <c r="Y176" s="286" t="str">
        <f aca="false">IF($A176="N/A"," ",IF(OR(Dayrun=1,Dayrun=8,Dayrun=11),IF(Option=1,MAX($P176-H176,0),IF(Option=2,MAX(H176-$P176,0),0)),0))</f>
        <v> </v>
      </c>
      <c r="Z176" s="293" t="str">
        <f aca="false">IF($A176="N/A"," ",IF(OR(Dayrun&lt;=2,Dayrun&gt;=11),IF(Option=1,MAX($Q176-$H176,0),IF(Option=2,MAX($H176-$Q176,0),0)),0))</f>
        <v> </v>
      </c>
      <c r="AA176" s="289" t="str">
        <f aca="false">IF($A176="N/A"," ",IF(Dayrun&gt;=3,(MAX(0,(xSPRDOPT(I176,($E176-'Pricing Inputs'!$X211*$D176),$CV176,0,($CN176+IF(Smile=TRUE(),VLOOKUP(MAX(-5,$H176-I176),Volsmile,2),0)),$CT176,$CU176,($A176-DateToday)+15,ABS(Option-2),0)-R176))),0))</f>
        <v> </v>
      </c>
      <c r="AB176" s="290" t="str">
        <f aca="false">IF($A176="N/A"," ",IF(Dayrun&gt;=6,MAX(0,(xSPRDOPT(J176,($E176-'Pricing Inputs'!$X211*$D176),$CV176,0,($CN176+IF(Smile=TRUE(),VLOOKUP(MAX(-5,$H176-J176),Volsmile,2),0)),$CT176,$CU176,($A176-DateToday)+15,ABS(Option-2),0)-S176)),0))</f>
        <v> </v>
      </c>
      <c r="AC176" s="290" t="str">
        <f aca="false">IF($A176="N/A"," ",IF(OR(Dayrun&lt;=2,Dayrun&gt;=9),IF(OffPeakEx=TRUE(),MAX(0,(xSPRDOPT(K176,($E176-'Pricing Inputs'!$X211*$D176),$CV176,0,($CQ176+IF(Smile=TRUE(),VLOOKUP(MAX(-5,$H176-K176),Volsmile,2),0)),$CT176,$CU176,($A176-DateToday)+15,ABS(Option-2),0)-T176)),0),0))</f>
        <v> </v>
      </c>
      <c r="AD176" s="290" t="str">
        <f aca="false">IF($A176="N/A"," ",IF(OR(Dayrun=1,Dayrun=4,Dayrun=5,Dayrun=7,Dayrun=8,Dayrun=10,Dayrun=11),MAX(0,(xSPRDOPT(L176,($E176-'Pricing Inputs'!$X211*$D176),$CV176,0,($CQ176+IF(Smile=TRUE(),VLOOKUP(MAX(-5,$H176-L176),Volsmile,2),0)),$CT176,$CU176,($A176-DateToday)+15,ABS(Option-2),0)-U176)),0))</f>
        <v> </v>
      </c>
      <c r="AE176" s="290" t="str">
        <f aca="false">IF($A176="N/A"," ",IF(OR(Dayrun=1,Dayrun=7,Dayrun=8,Dayrun=10,Dayrun=11),MAX(0,(xSPRDOPT(M176,($E176-'Pricing Inputs'!$X211*$D176),$CV176,0,($CQ176+IF(Smile=TRUE(),VLOOKUP(MAX(-5,$H176-M176),Volsmile,2),0)),$CT176,$CU176,($A176-DateToday)+15,ABS(Option-2),0)-V176)),0))</f>
        <v> </v>
      </c>
      <c r="AF176" s="290" t="str">
        <f aca="false">IF($A176="N/A"," ",IF(OR(Dayrun&lt;=2,Dayrun&gt;=10),IF(OffPeakEx=TRUE(),MAX(0,(xSPRDOPT(N176,($E176-'Pricing Inputs'!$X211*$D176),$CV176,0,($CQ176+IF(Smile=TRUE(),VLOOKUP(MAX(-5,$H176-N176),Volsmile,2),0)),$CT176,$CU176,($A176-DateToday)+15,ABS(Option-2),0)-W176)),0),0))</f>
        <v> </v>
      </c>
      <c r="AG176" s="290" t="str">
        <f aca="false">IF($A176="N/A"," ",IF(OR(Dayrun=1,Dayrun=5,Dayrun=8,Dayrun=11),MAX(0,(xSPRDOPT(O176,($E176-'Pricing Inputs'!$X211*$D176),$CV176,0,($CQ176+IF(Smile=TRUE(),VLOOKUP(MAX(-5,$H176-O176),Volsmile,2),0)),$CT176,$CU176,($A176-DateToday)+15,ABS(Option-2),0)-X176)),0))</f>
        <v> </v>
      </c>
      <c r="AH176" s="290" t="str">
        <f aca="false">IF($A176="N/A"," ",IF(OR(Dayrun=1,Dayrun=8,Dayrun=11),MAX(0,(xSPRDOPT(P176,($E176-'Pricing Inputs'!$X211*$D176),$CV176,0,($CQ176+IF(Smile=TRUE(),VLOOKUP(MAX(-5,$H176-P176),Volsmile,2),0)),$CT176,$CU176,($A176-DateToday)+15,ABS(Option-2),0)-Y176)),0))</f>
        <v> </v>
      </c>
      <c r="AI176" s="290" t="str">
        <f aca="false">IF($A176="N/A"," ",IF(OR(Dayrun&lt;=2,Dayrun&gt;=11),IF(OffPeakEx=TRUE(),MAX(0,(xSPRDOPT(Q176,($E176-'Pricing Inputs'!$X211*$D176),$CV176,0,($CQ176+IF(Smile=TRUE(),VLOOKUP(MAX(-5,$H176-Q176),Volsmile,2),0)),$CT176,$CU176,($A176-DateToday)+15,ABS(Option-2),0)-Z176)),0),0))</f>
        <v> </v>
      </c>
      <c r="AJ176" s="294" t="str">
        <f aca="false">IF($A176="N/A"," ",IF(Dayrun&gt;=3,IF(Option=1,$I176-$H176,IF(Option=2,$H176-$I176)),0))</f>
        <v> </v>
      </c>
      <c r="AK176" s="295" t="str">
        <f aca="false">IF($A176="N/A"," ",IF(Dayrun&gt;=6,IF(Option=1,$J176-H176,IF(Option=2,H176-$J176)),0))</f>
        <v> </v>
      </c>
      <c r="AL176" s="295" t="str">
        <f aca="false">IF($A176="N/A"," ",IF(OR(Dayrun&lt;=2,Dayrun&gt;=9),IF(Option=1,$K176-$H176,IF(Option=2,$H176-$K176)),0))</f>
        <v> </v>
      </c>
      <c r="AM176" s="295" t="str">
        <f aca="false">IF($A176="N/A"," ",IF(OR(Dayrun=1,Dayrun=4,Dayrun=5,Dayrun=7,Dayrun=8,Dayrun=10,Dayrun=11),IF(Option=1,$L176-H176,IF(Option=2,H176-$L176)),0))</f>
        <v> </v>
      </c>
      <c r="AN176" s="295" t="str">
        <f aca="false">IF($A176="N/A"," ",IF(OR(Dayrun=1,Dayrun=7,Dayrun=8,Dayrun=10,Dayrun=11),IF(Option=1,$M176-H176,IF(Option=2,H176-$M176)),0))</f>
        <v> </v>
      </c>
      <c r="AO176" s="295" t="str">
        <f aca="false">IF($A176="N/A"," ",IF(OR(Dayrun&lt;=2,Dayrun&gt;=9),IF(Option=1,$N176-$H176,IF(Option=2,$H176-$N176)),0))</f>
        <v> </v>
      </c>
      <c r="AP176" s="295" t="str">
        <f aca="false">IF($A176="N/A"," ",IF(OR(Dayrun=1,Dayrun=5,Dayrun=8,Dayrun=11),IF(Option=1,$O176-H176,IF(Option=2,H176-$O176)),0))</f>
        <v> </v>
      </c>
      <c r="AQ176" s="295" t="str">
        <f aca="false">IF($A176="N/A"," ",IF(OR(Dayrun=1,Dayrun=8,Dayrun=11),IF(Option=1,$P176-H176,IF(Option=2,H176-$P176)),0))</f>
        <v> </v>
      </c>
      <c r="AR176" s="296" t="str">
        <f aca="false">IF($A176="N/A"," ",IF(OR(Dayrun&lt;=2,Dayrun&gt;=9),IF(Option=1,$Q176-H176,IF(Option=2,H176-$Q176)),0))</f>
        <v> </v>
      </c>
      <c r="AS176" s="297" t="str">
        <f aca="false">IF($A176="N/A"," ",IF(VLOOKUP(MONTH($A176),ManualTable,2)=1,IF(Dayrun&gt;=3,$DE176*8*$CY176,0),0))</f>
        <v> </v>
      </c>
      <c r="AT176" s="297" t="str">
        <f aca="false">IF($A176="N/A"," ",IF(VLOOKUP(MONTH($A176),ManualTable,3)=1,IF(Dayrun&gt;=6,$DE176*8*$CY176,0),0))</f>
        <v> </v>
      </c>
      <c r="AU176" s="297" t="str">
        <f aca="false">IF($A176="N/A"," ",IF(VLOOKUP(MONTH($A176),ManualTable,4)=1,IF(OR(Dayrun&lt;=2,Dayrun&gt;=9),$DE176*8*$CY176,0),0))</f>
        <v> </v>
      </c>
      <c r="AV176" s="297" t="str">
        <f aca="false">IF($A176="N/A"," ",IF(VLOOKUP(MONTH($A176),ManualTable,5)=1,IF(OR(Dayrun=1,Dayrun=4,Dayrun=5,Dayrun=7,Dayrun=8,Dayrun=10,Dayrun=11),$DF176*8*$CY176,0),0))</f>
        <v> </v>
      </c>
      <c r="AW176" s="297" t="str">
        <f aca="false">IF($A176="N/A"," ",IF(VLOOKUP(MONTH($A176),ManualTable,6)=1,IF(OR(Dayrun=1,Dayrun=7,Dayrun=8,Dayrun=10,Dayrun=11),$DF176*8*$CY176,0),0))</f>
        <v> </v>
      </c>
      <c r="AX176" s="297" t="str">
        <f aca="false">IF($A176="N/A"," ",IF(VLOOKUP(MONTH($A176),ManualTable,7)=1,IF(OR(Dayrun&lt;=2,Dayrun&gt;=9),$DF176*8*$CY176,0),0))</f>
        <v> </v>
      </c>
      <c r="AY176" s="297" t="str">
        <f aca="false">IF($A176="N/A"," ",IF(VLOOKUP(MONTH($A176),ManualTable,8)=1,IF(OR(Dayrun=1,Dayrun=5,Dayrun=8,Dayrun=11),$DG176*8*$CY176,0),0))</f>
        <v> </v>
      </c>
      <c r="AZ176" s="297" t="str">
        <f aca="false">IF($A176="N/A"," ",IF(VLOOKUP(MONTH($A176),ManualTable,9)=1,IF(OR(Dayrun=1,Dayrun=8,Dayrun=11),$DG176*8*$CY176,0),0))</f>
        <v> </v>
      </c>
      <c r="BA176" s="298" t="str">
        <f aca="false">IF($A176="N/A"," ",IF(VLOOKUP(MONTH($A176),ManualTable,10)=1,IF(OR(Dayrun&lt;=2,Dayrun&gt;=9),$DG176*8*$CY176,0),0))</f>
        <v> </v>
      </c>
      <c r="BB176" s="299" t="str">
        <f aca="false">IF($A176="N/A"," ",IF(Dayrun&gt;=3,(MAX(0,(xSPRDOPT(I176,($E176-'Pricing Inputs'!$X211*$D176),$CV176,0,($CN176+IF(Smile=TRUE(),VLOOKUP(MAX(-5,$H176-I176),Volsmile,2),0)),$CT176,$CU176,($A176-DateToday)+15,ABS(Option-2),1)*DE176*8))),0))</f>
        <v> </v>
      </c>
      <c r="BC176" s="300" t="str">
        <f aca="false">IF($A176="N/A"," ",IF(Dayrun&gt;=6,MAX(0,(xSPRDOPT(J176,($E176-'Pricing Inputs'!$X211*$D176),$CV176,0,($CN176+IF(Smile=TRUE(),VLOOKUP(MAX(-5,$H176-J176),Volsmile,2),0)),$CT176,$CU176,($A176-DateToday)+15,ABS(Option-2),1)*DE176*8)),0))</f>
        <v> </v>
      </c>
      <c r="BD176" s="300" t="str">
        <f aca="false">IF($A176="N/A"," ",IF(OR(Dayrun&lt;=2,Dayrun&gt;=9),IF(OffPeakEx=TRUE(),MAX(0,(xSPRDOPT(K176,($E176-'Pricing Inputs'!$X211*$D176),$CV176,0,($CQ176+IF(Smile=TRUE(),VLOOKUP(MAX(-5,$H176-K176),Volsmile,2),0)),$CT176,$CU176,($A176-DateToday)+15,ABS(Option-2),1)*DE176*8)),0),0))</f>
        <v> </v>
      </c>
      <c r="BE176" s="300" t="str">
        <f aca="false">IF($A176="N/A"," ",IF(OR(Dayrun=1,Dayrun=4,Dayrun=5,Dayrun=7,Dayrun=8,Dayrun=10,Dayrun=11),MAX(0,(xSPRDOPT(L176,($E176-'Pricing Inputs'!$X211*$D176),$CV176,0,($CQ176+IF(Smile=TRUE(),VLOOKUP(MAX(-5,$H176-L176),Volsmile,2),0)),$CT176,$CU176,($A176-DateToday)+15,ABS(Option-2),1)*DF176*8)),0))</f>
        <v> </v>
      </c>
      <c r="BF176" s="300" t="str">
        <f aca="false">IF($A176="N/A"," ",IF(OR(Dayrun=1,Dayrun=7,Dayrun=8,Dayrun=10,Dayrun=11),MAX(0,(xSPRDOPT(M176,($E176-'Pricing Inputs'!$X211*$D176),$CV176,0,($CQ176+IF(Smile=TRUE(),VLOOKUP(MAX(-5,$H176-M176),Volsmile,2),0)),$CT176,$CU176,($A176-DateToday)+15,ABS(Option-2),1)*DF176*8)),0))</f>
        <v> </v>
      </c>
      <c r="BG176" s="300" t="str">
        <f aca="false">IF($A176="N/A"," ",IF(OR(Dayrun&lt;=2,Dayrun&gt;=10),IF(OffPeakEx=TRUE(),MAX(0,(xSPRDOPT(N176,($E176-'Pricing Inputs'!$X211*$D176),$CV176,0,($CQ176+IF(Smile=TRUE(),VLOOKUP(MAX(-5,$H176-N176),Volsmile,2),0)),$CT176,$CU176,($A176-DateToday)+15,ABS(Option-2),1)*DF176*8)),0),0))</f>
        <v> </v>
      </c>
      <c r="BH176" s="300" t="str">
        <f aca="false">IF($A176="N/A"," ",IF(OR(Dayrun=1,Dayrun=5,Dayrun=8,Dayrun=11),MAX(0,(xSPRDOPT(O176,($E176-'Pricing Inputs'!$X211*$D176),$CV176,0,($CQ176+IF(Smile=TRUE(),VLOOKUP(MAX(-5,$H176-O176),Volsmile,2),0)),$CT176,$CU176,($A176-DateToday)+15,ABS(Option-2),1)*DG176*8)),0))</f>
        <v> </v>
      </c>
      <c r="BI176" s="300" t="str">
        <f aca="false">IF($A176="N/A"," ",IF(OR(Dayrun=1,Dayrun=8,Dayrun=11),MAX(0,(xSPRDOPT(P176,($E176-'Pricing Inputs'!$X211*$D176),$CV176,0,($CQ176+IF(Smile=TRUE(),VLOOKUP(MAX(-5,$H176-P176),Volsmile,2),0)),$CT176,$CU176,($A176-DateToday)+15,ABS(Option-2),1)*DG176*8)),0))</f>
        <v> </v>
      </c>
      <c r="BJ176" s="301" t="str">
        <f aca="false">IF($A176="N/A"," ",IF(OR(Dayrun&lt;=2,Dayrun&gt;=11),IF(OffPeakEx=TRUE(),MAX(0,(xSPRDOPT(Q176,($E176-'Pricing Inputs'!$X211*$D176),$CV176,0,($CQ176+IF(Smile=TRUE(),VLOOKUP(MAX(-5,$H176-Q176),Volsmile,2),0)),$CT176,$CU176,($A176-DateToday)+15,ABS(Option-2),1)*DG176*8)),0),0))</f>
        <v> </v>
      </c>
      <c r="BK176" s="302" t="str">
        <f aca="false">IF($A176="N/A"," ",R176*$AS176)</f>
        <v> </v>
      </c>
      <c r="BL176" s="303" t="str">
        <f aca="false">IF($A176="N/A"," ",S176*$AT176)</f>
        <v> </v>
      </c>
      <c r="BM176" s="303" t="str">
        <f aca="false">IF($A176="N/A"," ",T176*$AU176)</f>
        <v> </v>
      </c>
      <c r="BN176" s="303" t="str">
        <f aca="false">IF($A176="N/A"," ",U176*$AV176)</f>
        <v> </v>
      </c>
      <c r="BO176" s="303" t="str">
        <f aca="false">IF($A176="N/A"," ",V176*$AW176)</f>
        <v> </v>
      </c>
      <c r="BP176" s="303" t="str">
        <f aca="false">IF($A176="N/A"," ",W176*$AX176)</f>
        <v> </v>
      </c>
      <c r="BQ176" s="303" t="str">
        <f aca="false">IF($A176="N/A"," ",X176*$AY176)</f>
        <v> </v>
      </c>
      <c r="BR176" s="303" t="str">
        <f aca="false">IF($A176="N/A"," ",Y176*$AZ176)</f>
        <v> </v>
      </c>
      <c r="BS176" s="304" t="str">
        <f aca="false">IF($A176="N/A"," ",Z176*$BA176)</f>
        <v> </v>
      </c>
      <c r="BT176" s="305" t="str">
        <f aca="false">IF($A176="N/A"," ",AA176*$AS176)</f>
        <v> </v>
      </c>
      <c r="BU176" s="306" t="str">
        <f aca="false">IF($A176="N/A"," ",AB176*$AT176)</f>
        <v> </v>
      </c>
      <c r="BV176" s="306" t="str">
        <f aca="false">IF($A176="N/A"," ",AC176*$AU176)</f>
        <v> </v>
      </c>
      <c r="BW176" s="306" t="str">
        <f aca="false">IF($A176="N/A"," ",AD176*$AV176)</f>
        <v> </v>
      </c>
      <c r="BX176" s="306" t="str">
        <f aca="false">IF($A176="N/A"," ",AE176*$AW176)</f>
        <v> </v>
      </c>
      <c r="BY176" s="306" t="str">
        <f aca="false">IF($A176="N/A"," ",AF176*$AX176)</f>
        <v> </v>
      </c>
      <c r="BZ176" s="306" t="str">
        <f aca="false">IF($A176="N/A"," ",AG176*$AY176)</f>
        <v> </v>
      </c>
      <c r="CA176" s="306" t="str">
        <f aca="false">IF($A176="N/A"," ",AH176*$AZ176)</f>
        <v> </v>
      </c>
      <c r="CB176" s="307" t="str">
        <f aca="false">IF($A176="N/A"," ",AI176*$BA176)</f>
        <v> </v>
      </c>
      <c r="CC176" s="308" t="str">
        <f aca="false">IF($A176="N/A"," ",AJ176*$AS176)</f>
        <v> </v>
      </c>
      <c r="CD176" s="309" t="str">
        <f aca="false">IF($A176="N/A"," ",AK176*$AT176)</f>
        <v> </v>
      </c>
      <c r="CE176" s="309" t="str">
        <f aca="false">IF($A176="N/A"," ",AL176*$AU176)</f>
        <v> </v>
      </c>
      <c r="CF176" s="309" t="str">
        <f aca="false">IF($A176="N/A"," ",AM176*$AV176)</f>
        <v> </v>
      </c>
      <c r="CG176" s="309" t="str">
        <f aca="false">IF($A176="N/A"," ",AN176*$AW176)</f>
        <v> </v>
      </c>
      <c r="CH176" s="309" t="str">
        <f aca="false">IF($A176="N/A"," ",AO176*$AX176)</f>
        <v> </v>
      </c>
      <c r="CI176" s="309" t="str">
        <f aca="false">IF($A176="N/A"," ",AP176*$AY176)</f>
        <v> </v>
      </c>
      <c r="CJ176" s="309" t="str">
        <f aca="false">IF($A176="N/A"," ",AQ176*$AZ176)</f>
        <v> </v>
      </c>
      <c r="CK176" s="310" t="str">
        <f aca="false">IF($A176="N/A"," ",AR176*$BA176)</f>
        <v> </v>
      </c>
      <c r="CL176" s="311" t="str">
        <f aca="false">IF(A176="N/A"," ",(VLOOKUP(A176,PowerVolTable,(IF(VolBMO=2,7,IF(VolBMO=1,6,8))),FALSE())))</f>
        <v> </v>
      </c>
      <c r="CM176" s="312" t="str">
        <f aca="false">IF(A176="N/A"," ",(VLOOKUP(A176,IntraPowerVol,(IF(VolBMO=2,3,IF(VolBMO=1,2,4))),FALSE())*VLOOKUP(MONTH($A176),Volscale,2)))</f>
        <v> </v>
      </c>
      <c r="CN176" s="312" t="str">
        <f aca="false">IF($A176="N/A"," ",IF(VolType=1,CM176,CL176))</f>
        <v> </v>
      </c>
      <c r="CO176" s="312" t="str">
        <f aca="false">IF($A176="N/A"," ",(VLOOKUP($A176,OffPeakVol,(IF(VolBMO=2,7,IF(VolBMO=1,6,8))),FALSE())))</f>
        <v> </v>
      </c>
      <c r="CP176" s="312" t="str">
        <f aca="false">IF($A176="N/A"," ",(VLOOKUP($A176,OffPeakVol,(IF(VolBMO=2,3,IF(VolBMO=1,2,4))),FALSE())*VLOOKUP(MONTH($A176),Volscale,2)))</f>
        <v> </v>
      </c>
      <c r="CQ176" s="312" t="str">
        <f aca="false">IF($A176="N/A"," ",IF(VolType=1,CP176,CO176))</f>
        <v> </v>
      </c>
      <c r="CR176" s="312" t="str">
        <f aca="false">IF($A176="N/A"," ",(VLOOKUP($A176,GasVolTable,(IF(VolBMO=2,6,IF(VolBMO=1,7,5))),FALSE())))</f>
        <v> </v>
      </c>
      <c r="CS176" s="312" t="str">
        <f aca="false">IF($A176="N/A"," ",(VLOOKUP($A176,OmicronVol,(IF(VolBMO=2,3,IF(VolBMO=1,4,2))),FALSE())))</f>
        <v> </v>
      </c>
      <c r="CT176" s="312" t="str">
        <f aca="false">IF($A176="N/A"," ",(IF(DateToday&gt;$A176,$CS176,IF(VolType=1,((($CR176^2)*((($A176-1)-DateToday)/((EOMONTH($A176,0)+1)-DateToday-15)))+((($CS176)^2)*((15)/((EOMONTH($A176,0)+1)-DateToday-15))))^0.5,CR176))))</f>
        <v> </v>
      </c>
      <c r="CU176" s="312" t="str">
        <f aca="false">IF($A176="N/A"," ",IF('Pricing Inputs'!$AR$23=TRUE(),Inputs!$S$22,VLOOKUP($A176,CorrelationTable,2,FALSE())))</f>
        <v> </v>
      </c>
      <c r="CV176" s="313" t="str">
        <f aca="false">IF($A176="N/A"," ",F176+G176+(D176*('Pricing Inputs'!X211)))</f>
        <v> </v>
      </c>
      <c r="CW176" s="314" t="str">
        <f aca="false">IF($A176="N/A"," ",IF(PV=1,0,'Pricing Inputs'!Y211))</f>
        <v> </v>
      </c>
      <c r="CX176" s="315" t="str">
        <f aca="false">IF($A176="N/A"," ",(1+CW176/2)^(-2*((EOMONTH(A176,0)+20)-DateToday)/365.25))</f>
        <v> </v>
      </c>
      <c r="CY176" s="316" t="str">
        <f aca="false">IF($A176="N/A"," ",(IF(MONTH(A176)&gt;=4,IF(MONTH(A176)&lt;=10,Inputs!$S$26,Inputs!$S$27),Inputs!$S$27))*$CX176)</f>
        <v> </v>
      </c>
      <c r="CZ176" s="317" t="str">
        <f aca="false">IF($A176="N/A"," ",BK176+BL176+BN176+BO176+BQ176+BR176)</f>
        <v> </v>
      </c>
      <c r="DA176" s="318" t="str">
        <f aca="false">IF($A176="N/A"," ",BM176+BP176+BS176)</f>
        <v> </v>
      </c>
      <c r="DB176" s="319" t="str">
        <f aca="false">IF($A176="N/A"," ",BT176+BU176+BW176+BX176+BZ176+CA176)</f>
        <v> </v>
      </c>
      <c r="DC176" s="319" t="str">
        <f aca="false">IF($A176="N/A"," ",BV176+BY176+CB176)</f>
        <v> </v>
      </c>
      <c r="DD176" s="320" t="str">
        <f aca="false">IF($A176="N/A"," ",SUM(CC176:CK176))</f>
        <v> </v>
      </c>
      <c r="DE176" s="321" t="str">
        <f aca="false">IF($A176="N/A"," ",VLOOKUP($A176,NumberofDaysTable,2)*Availability)</f>
        <v> </v>
      </c>
      <c r="DF176" s="94" t="str">
        <f aca="false">IF($A176="N/A"," ",VLOOKUP($A176,NumberofDaysTable,3)*Availability)</f>
        <v> </v>
      </c>
      <c r="DG176" s="322" t="str">
        <f aca="false">IF($A176="N/A"," ",VLOOKUP($A176,NumberofDaysTable,4)*Availability)</f>
        <v> </v>
      </c>
      <c r="DH176" s="323" t="str">
        <f aca="false">IF($A176="N/A"," ",IF(Option=1,$D176*Inputs!$S$15*SUM(AS176:BA176),0))</f>
        <v> </v>
      </c>
      <c r="DI176" s="324" t="str">
        <f aca="false">IF($A176="N/A"," ",IF(Option=1,$D176*Inputs!$S$16*SUM(AS176:BA176),0))</f>
        <v> </v>
      </c>
      <c r="DJ176" s="325" t="str">
        <f aca="false">IF($A176="N/A"," ",SUM(AS176:AT176))</f>
        <v> </v>
      </c>
      <c r="DK176" s="325" t="str">
        <f aca="false">IF($A176="N/A"," ",SUM(AU176:BA176))</f>
        <v> </v>
      </c>
      <c r="DL176" s="325" t="str">
        <f aca="false">IF($A176="N/A"," ",SUM(BB176:BC176))</f>
        <v> </v>
      </c>
      <c r="DM176" s="325" t="str">
        <f aca="false">IF($A176="N/A"," ",SUM(BD176:BJ176))</f>
        <v> </v>
      </c>
    </row>
    <row r="177" customFormat="false" ht="12.75" hidden="false" customHeight="false" outlineLevel="0" collapsed="false">
      <c r="A177" s="282" t="str">
        <f aca="false">IF(A176="N/A","N/A",IF(EDATE(A176,1)&gt;Inputs!$S$5,"N/A",EDATE(A176,1)))</f>
        <v>N/A</v>
      </c>
      <c r="B177" s="283" t="str">
        <f aca="false">IF(A177="N/A"," ",YEAR(A177))</f>
        <v> </v>
      </c>
      <c r="C177" s="284" t="str">
        <f aca="false">IF(A177="N/A"," ",VLOOKUP(A177,ScaledPrice,14))</f>
        <v> </v>
      </c>
      <c r="D177" s="285" t="str">
        <f aca="false">IF(A177="N/A"," ",(VLOOKUP(MONTH($A177),Hrtable,2))/1000)</f>
        <v> </v>
      </c>
      <c r="E177" s="286" t="str">
        <f aca="false">IF($A177="N/A"," ",(C177)*D177)</f>
        <v> </v>
      </c>
      <c r="F177" s="287" t="str">
        <f aca="false">IF(A177="N/A"," ",VOM*(1+VOMesc)^(YEAR(A177)-YEAR(Today)))</f>
        <v> </v>
      </c>
      <c r="G177" s="287" t="str">
        <f aca="false">IF(A177="N/A"," ",Perstart/VLOOKUP(Dayrun,'Pricing Inputs'!$AQ$4:$AS$14,3)/(CY177/CX177))</f>
        <v> </v>
      </c>
      <c r="H177" s="288" t="str">
        <f aca="false">IF(A177="N/A"," ",SUM(E177:G177))</f>
        <v> </v>
      </c>
      <c r="I177" s="289" t="str">
        <f aca="false">VLOOKUP($A177,ScaledPrice,6)</f>
        <v> </v>
      </c>
      <c r="J177" s="290" t="str">
        <f aca="false">VLOOKUP($A177,ScaledPrice,10)</f>
        <v> </v>
      </c>
      <c r="K177" s="290" t="str">
        <f aca="false">VLOOKUP($A177,ScaledPrice,13)</f>
        <v> </v>
      </c>
      <c r="L177" s="290" t="str">
        <f aca="false">VLOOKUP($A177,ScaledPrice,7)</f>
        <v> </v>
      </c>
      <c r="M177" s="290" t="str">
        <f aca="false">VLOOKUP($A177,ScaledPrice,11)</f>
        <v> </v>
      </c>
      <c r="N177" s="290" t="str">
        <f aca="false">VLOOKUP($A177,ScaledPrice,13)</f>
        <v> </v>
      </c>
      <c r="O177" s="290" t="str">
        <f aca="false">VLOOKUP($A177,ScaledPrice,8)</f>
        <v> </v>
      </c>
      <c r="P177" s="290" t="str">
        <f aca="false">VLOOKUP($A177,ScaledPrice,12)</f>
        <v> </v>
      </c>
      <c r="Q177" s="291" t="str">
        <f aca="false">VLOOKUP($A177,ScaledPrice,13)</f>
        <v> </v>
      </c>
      <c r="R177" s="292" t="str">
        <f aca="false">IF($A177="N/A"," ",IF(Dayrun&gt;=3,IF(Option=1,MAX($I177-$H177,0),IF(Option=2,MAX($H177-$I177,0),0)),0))</f>
        <v> </v>
      </c>
      <c r="S177" s="286" t="str">
        <f aca="false">IF($A177="N/A"," ",IF(Dayrun&gt;=6,IF(Option=1,MAX($J177-H177,0),IF(Option=2,MAX(H177-$J177,0),0)),0))</f>
        <v> </v>
      </c>
      <c r="T177" s="286" t="str">
        <f aca="false">IF($A177="N/A"," ",IF(OR(Dayrun&lt;=2,Dayrun&gt;=9),IF(Option=1,MAX($K177-$H177,0),IF(Option=2,MAX($H177-$K177,0),0)),0))</f>
        <v> </v>
      </c>
      <c r="U177" s="286" t="str">
        <f aca="false">IF($A177="N/A"," ",IF(OR(Dayrun=1,Dayrun=4,Dayrun=5,Dayrun=7,Dayrun=8,Dayrun=10,Dayrun=11),IF(Option=1,MAX($L177-H177,0),IF(Option=2,MAX(H177-$L177,0),0)),0))</f>
        <v> </v>
      </c>
      <c r="V177" s="286" t="str">
        <f aca="false">IF($A177="N/A"," ",IF(OR(Dayrun=1,Dayrun=7,Dayrun=8,Dayrun=10,Dayrun=11),IF(Option=1,MAX($M177-H177,0),IF(Option=2,MAX(H177-$M177,0),0)),0))</f>
        <v> </v>
      </c>
      <c r="W177" s="286" t="str">
        <f aca="false">IF($A177="N/A"," ",IF(OR(Dayrun&lt;=2,Dayrun&gt;=10),IF(Option=1,MAX($N177-$H177,0),IF(Option=2,MAX($H177-$N177,0),0)),0))</f>
        <v> </v>
      </c>
      <c r="X177" s="286" t="str">
        <f aca="false">IF($A177="N/A"," ",IF(OR(Dayrun=1,Dayrun=5,Dayrun=8,Dayrun=11),IF(Option=1,MAX($O177-H177,0),IF(Option=2,MAX(H177-$O177,0),0)),0))</f>
        <v> </v>
      </c>
      <c r="Y177" s="286" t="str">
        <f aca="false">IF($A177="N/A"," ",IF(OR(Dayrun=1,Dayrun=8,Dayrun=11),IF(Option=1,MAX($P177-H177,0),IF(Option=2,MAX(H177-$P177,0),0)),0))</f>
        <v> </v>
      </c>
      <c r="Z177" s="293" t="str">
        <f aca="false">IF($A177="N/A"," ",IF(OR(Dayrun&lt;=2,Dayrun&gt;=11),IF(Option=1,MAX($Q177-$H177,0),IF(Option=2,MAX($H177-$Q177,0),0)),0))</f>
        <v> </v>
      </c>
      <c r="AA177" s="289" t="str">
        <f aca="false">IF($A177="N/A"," ",IF(Dayrun&gt;=3,(MAX(0,(xSPRDOPT(I177,($E177-'Pricing Inputs'!$X212*$D177),$CV177,0,($CN177+IF(Smile=TRUE(),VLOOKUP(MAX(-5,$H177-I177),Volsmile,2),0)),$CT177,$CU177,($A177-DateToday)+15,ABS(Option-2),0)-R177))),0))</f>
        <v> </v>
      </c>
      <c r="AB177" s="290" t="str">
        <f aca="false">IF($A177="N/A"," ",IF(Dayrun&gt;=6,MAX(0,(xSPRDOPT(J177,($E177-'Pricing Inputs'!$X212*$D177),$CV177,0,($CN177+IF(Smile=TRUE(),VLOOKUP(MAX(-5,$H177-J177),Volsmile,2),0)),$CT177,$CU177,($A177-DateToday)+15,ABS(Option-2),0)-S177)),0))</f>
        <v> </v>
      </c>
      <c r="AC177" s="290" t="str">
        <f aca="false">IF($A177="N/A"," ",IF(OR(Dayrun&lt;=2,Dayrun&gt;=9),IF(OffPeakEx=TRUE(),MAX(0,(xSPRDOPT(K177,($E177-'Pricing Inputs'!$X212*$D177),$CV177,0,($CQ177+IF(Smile=TRUE(),VLOOKUP(MAX(-5,$H177-K177),Volsmile,2),0)),$CT177,$CU177,($A177-DateToday)+15,ABS(Option-2),0)-T177)),0),0))</f>
        <v> </v>
      </c>
      <c r="AD177" s="290" t="str">
        <f aca="false">IF($A177="N/A"," ",IF(OR(Dayrun=1,Dayrun=4,Dayrun=5,Dayrun=7,Dayrun=8,Dayrun=10,Dayrun=11),MAX(0,(xSPRDOPT(L177,($E177-'Pricing Inputs'!$X212*$D177),$CV177,0,($CQ177+IF(Smile=TRUE(),VLOOKUP(MAX(-5,$H177-L177),Volsmile,2),0)),$CT177,$CU177,($A177-DateToday)+15,ABS(Option-2),0)-U177)),0))</f>
        <v> </v>
      </c>
      <c r="AE177" s="290" t="str">
        <f aca="false">IF($A177="N/A"," ",IF(OR(Dayrun=1,Dayrun=7,Dayrun=8,Dayrun=10,Dayrun=11),MAX(0,(xSPRDOPT(M177,($E177-'Pricing Inputs'!$X212*$D177),$CV177,0,($CQ177+IF(Smile=TRUE(),VLOOKUP(MAX(-5,$H177-M177),Volsmile,2),0)),$CT177,$CU177,($A177-DateToday)+15,ABS(Option-2),0)-V177)),0))</f>
        <v> </v>
      </c>
      <c r="AF177" s="290" t="str">
        <f aca="false">IF($A177="N/A"," ",IF(OR(Dayrun&lt;=2,Dayrun&gt;=10),IF(OffPeakEx=TRUE(),MAX(0,(xSPRDOPT(N177,($E177-'Pricing Inputs'!$X212*$D177),$CV177,0,($CQ177+IF(Smile=TRUE(),VLOOKUP(MAX(-5,$H177-N177),Volsmile,2),0)),$CT177,$CU177,($A177-DateToday)+15,ABS(Option-2),0)-W177)),0),0))</f>
        <v> </v>
      </c>
      <c r="AG177" s="290" t="str">
        <f aca="false">IF($A177="N/A"," ",IF(OR(Dayrun=1,Dayrun=5,Dayrun=8,Dayrun=11),MAX(0,(xSPRDOPT(O177,($E177-'Pricing Inputs'!$X212*$D177),$CV177,0,($CQ177+IF(Smile=TRUE(),VLOOKUP(MAX(-5,$H177-O177),Volsmile,2),0)),$CT177,$CU177,($A177-DateToday)+15,ABS(Option-2),0)-X177)),0))</f>
        <v> </v>
      </c>
      <c r="AH177" s="290" t="str">
        <f aca="false">IF($A177="N/A"," ",IF(OR(Dayrun=1,Dayrun=8,Dayrun=11),MAX(0,(xSPRDOPT(P177,($E177-'Pricing Inputs'!$X212*$D177),$CV177,0,($CQ177+IF(Smile=TRUE(),VLOOKUP(MAX(-5,$H177-P177),Volsmile,2),0)),$CT177,$CU177,($A177-DateToday)+15,ABS(Option-2),0)-Y177)),0))</f>
        <v> </v>
      </c>
      <c r="AI177" s="290" t="str">
        <f aca="false">IF($A177="N/A"," ",IF(OR(Dayrun&lt;=2,Dayrun&gt;=11),IF(OffPeakEx=TRUE(),MAX(0,(xSPRDOPT(Q177,($E177-'Pricing Inputs'!$X212*$D177),$CV177,0,($CQ177+IF(Smile=TRUE(),VLOOKUP(MAX(-5,$H177-Q177),Volsmile,2),0)),$CT177,$CU177,($A177-DateToday)+15,ABS(Option-2),0)-Z177)),0),0))</f>
        <v> </v>
      </c>
      <c r="AJ177" s="294" t="str">
        <f aca="false">IF($A177="N/A"," ",IF(Dayrun&gt;=3,IF(Option=1,$I177-$H177,IF(Option=2,$H177-$I177)),0))</f>
        <v> </v>
      </c>
      <c r="AK177" s="295" t="str">
        <f aca="false">IF($A177="N/A"," ",IF(Dayrun&gt;=6,IF(Option=1,$J177-H177,IF(Option=2,H177-$J177)),0))</f>
        <v> </v>
      </c>
      <c r="AL177" s="295" t="str">
        <f aca="false">IF($A177="N/A"," ",IF(OR(Dayrun&lt;=2,Dayrun&gt;=9),IF(Option=1,$K177-$H177,IF(Option=2,$H177-$K177)),0))</f>
        <v> </v>
      </c>
      <c r="AM177" s="295" t="str">
        <f aca="false">IF($A177="N/A"," ",IF(OR(Dayrun=1,Dayrun=4,Dayrun=5,Dayrun=7,Dayrun=8,Dayrun=10,Dayrun=11),IF(Option=1,$L177-H177,IF(Option=2,H177-$L177)),0))</f>
        <v> </v>
      </c>
      <c r="AN177" s="295" t="str">
        <f aca="false">IF($A177="N/A"," ",IF(OR(Dayrun=1,Dayrun=7,Dayrun=8,Dayrun=10,Dayrun=11),IF(Option=1,$M177-H177,IF(Option=2,H177-$M177)),0))</f>
        <v> </v>
      </c>
      <c r="AO177" s="295" t="str">
        <f aca="false">IF($A177="N/A"," ",IF(OR(Dayrun&lt;=2,Dayrun&gt;=9),IF(Option=1,$N177-$H177,IF(Option=2,$H177-$N177)),0))</f>
        <v> </v>
      </c>
      <c r="AP177" s="295" t="str">
        <f aca="false">IF($A177="N/A"," ",IF(OR(Dayrun=1,Dayrun=5,Dayrun=8,Dayrun=11),IF(Option=1,$O177-H177,IF(Option=2,H177-$O177)),0))</f>
        <v> </v>
      </c>
      <c r="AQ177" s="295" t="str">
        <f aca="false">IF($A177="N/A"," ",IF(OR(Dayrun=1,Dayrun=8,Dayrun=11),IF(Option=1,$P177-H177,IF(Option=2,H177-$P177)),0))</f>
        <v> </v>
      </c>
      <c r="AR177" s="296" t="str">
        <f aca="false">IF($A177="N/A"," ",IF(OR(Dayrun&lt;=2,Dayrun&gt;=9),IF(Option=1,$Q177-H177,IF(Option=2,H177-$Q177)),0))</f>
        <v> </v>
      </c>
      <c r="AS177" s="297" t="str">
        <f aca="false">IF($A177="N/A"," ",IF(VLOOKUP(MONTH($A177),ManualTable,2)=1,IF(Dayrun&gt;=3,$DE177*8*$CY177,0),0))</f>
        <v> </v>
      </c>
      <c r="AT177" s="297" t="str">
        <f aca="false">IF($A177="N/A"," ",IF(VLOOKUP(MONTH($A177),ManualTable,3)=1,IF(Dayrun&gt;=6,$DE177*8*$CY177,0),0))</f>
        <v> </v>
      </c>
      <c r="AU177" s="297" t="str">
        <f aca="false">IF($A177="N/A"," ",IF(VLOOKUP(MONTH($A177),ManualTable,4)=1,IF(OR(Dayrun&lt;=2,Dayrun&gt;=9),$DE177*8*$CY177,0),0))</f>
        <v> </v>
      </c>
      <c r="AV177" s="297" t="str">
        <f aca="false">IF($A177="N/A"," ",IF(VLOOKUP(MONTH($A177),ManualTable,5)=1,IF(OR(Dayrun=1,Dayrun=4,Dayrun=5,Dayrun=7,Dayrun=8,Dayrun=10,Dayrun=11),$DF177*8*$CY177,0),0))</f>
        <v> </v>
      </c>
      <c r="AW177" s="297" t="str">
        <f aca="false">IF($A177="N/A"," ",IF(VLOOKUP(MONTH($A177),ManualTable,6)=1,IF(OR(Dayrun=1,Dayrun=7,Dayrun=8,Dayrun=10,Dayrun=11),$DF177*8*$CY177,0),0))</f>
        <v> </v>
      </c>
      <c r="AX177" s="297" t="str">
        <f aca="false">IF($A177="N/A"," ",IF(VLOOKUP(MONTH($A177),ManualTable,7)=1,IF(OR(Dayrun&lt;=2,Dayrun&gt;=9),$DF177*8*$CY177,0),0))</f>
        <v> </v>
      </c>
      <c r="AY177" s="297" t="str">
        <f aca="false">IF($A177="N/A"," ",IF(VLOOKUP(MONTH($A177),ManualTable,8)=1,IF(OR(Dayrun=1,Dayrun=5,Dayrun=8,Dayrun=11),$DG177*8*$CY177,0),0))</f>
        <v> </v>
      </c>
      <c r="AZ177" s="297" t="str">
        <f aca="false">IF($A177="N/A"," ",IF(VLOOKUP(MONTH($A177),ManualTable,9)=1,IF(OR(Dayrun=1,Dayrun=8,Dayrun=11),$DG177*8*$CY177,0),0))</f>
        <v> </v>
      </c>
      <c r="BA177" s="298" t="str">
        <f aca="false">IF($A177="N/A"," ",IF(VLOOKUP(MONTH($A177),ManualTable,10)=1,IF(OR(Dayrun&lt;=2,Dayrun&gt;=9),$DG177*8*$CY177,0),0))</f>
        <v> </v>
      </c>
      <c r="BB177" s="299" t="str">
        <f aca="false">IF($A177="N/A"," ",IF(Dayrun&gt;=3,(MAX(0,(xSPRDOPT(I177,($E177-'Pricing Inputs'!$X212*$D177),$CV177,0,($CN177+IF(Smile=TRUE(),VLOOKUP(MAX(-5,$H177-I177),Volsmile,2),0)),$CT177,$CU177,($A177-DateToday)+15,ABS(Option-2),1)*DE177*8))),0))</f>
        <v> </v>
      </c>
      <c r="BC177" s="300" t="str">
        <f aca="false">IF($A177="N/A"," ",IF(Dayrun&gt;=6,MAX(0,(xSPRDOPT(J177,($E177-'Pricing Inputs'!$X212*$D177),$CV177,0,($CN177+IF(Smile=TRUE(),VLOOKUP(MAX(-5,$H177-J177),Volsmile,2),0)),$CT177,$CU177,($A177-DateToday)+15,ABS(Option-2),1)*DE177*8)),0))</f>
        <v> </v>
      </c>
      <c r="BD177" s="300" t="str">
        <f aca="false">IF($A177="N/A"," ",IF(OR(Dayrun&lt;=2,Dayrun&gt;=9),IF(OffPeakEx=TRUE(),MAX(0,(xSPRDOPT(K177,($E177-'Pricing Inputs'!$X212*$D177),$CV177,0,($CQ177+IF(Smile=TRUE(),VLOOKUP(MAX(-5,$H177-K177),Volsmile,2),0)),$CT177,$CU177,($A177-DateToday)+15,ABS(Option-2),1)*DE177*8)),0),0))</f>
        <v> </v>
      </c>
      <c r="BE177" s="300" t="str">
        <f aca="false">IF($A177="N/A"," ",IF(OR(Dayrun=1,Dayrun=4,Dayrun=5,Dayrun=7,Dayrun=8,Dayrun=10,Dayrun=11),MAX(0,(xSPRDOPT(L177,($E177-'Pricing Inputs'!$X212*$D177),$CV177,0,($CQ177+IF(Smile=TRUE(),VLOOKUP(MAX(-5,$H177-L177),Volsmile,2),0)),$CT177,$CU177,($A177-DateToday)+15,ABS(Option-2),1)*DF177*8)),0))</f>
        <v> </v>
      </c>
      <c r="BF177" s="300" t="str">
        <f aca="false">IF($A177="N/A"," ",IF(OR(Dayrun=1,Dayrun=7,Dayrun=8,Dayrun=10,Dayrun=11),MAX(0,(xSPRDOPT(M177,($E177-'Pricing Inputs'!$X212*$D177),$CV177,0,($CQ177+IF(Smile=TRUE(),VLOOKUP(MAX(-5,$H177-M177),Volsmile,2),0)),$CT177,$CU177,($A177-DateToday)+15,ABS(Option-2),1)*DF177*8)),0))</f>
        <v> </v>
      </c>
      <c r="BG177" s="300" t="str">
        <f aca="false">IF($A177="N/A"," ",IF(OR(Dayrun&lt;=2,Dayrun&gt;=10),IF(OffPeakEx=TRUE(),MAX(0,(xSPRDOPT(N177,($E177-'Pricing Inputs'!$X212*$D177),$CV177,0,($CQ177+IF(Smile=TRUE(),VLOOKUP(MAX(-5,$H177-N177),Volsmile,2),0)),$CT177,$CU177,($A177-DateToday)+15,ABS(Option-2),1)*DF177*8)),0),0))</f>
        <v> </v>
      </c>
      <c r="BH177" s="300" t="str">
        <f aca="false">IF($A177="N/A"," ",IF(OR(Dayrun=1,Dayrun=5,Dayrun=8,Dayrun=11),MAX(0,(xSPRDOPT(O177,($E177-'Pricing Inputs'!$X212*$D177),$CV177,0,($CQ177+IF(Smile=TRUE(),VLOOKUP(MAX(-5,$H177-O177),Volsmile,2),0)),$CT177,$CU177,($A177-DateToday)+15,ABS(Option-2),1)*DG177*8)),0))</f>
        <v> </v>
      </c>
      <c r="BI177" s="300" t="str">
        <f aca="false">IF($A177="N/A"," ",IF(OR(Dayrun=1,Dayrun=8,Dayrun=11),MAX(0,(xSPRDOPT(P177,($E177-'Pricing Inputs'!$X212*$D177),$CV177,0,($CQ177+IF(Smile=TRUE(),VLOOKUP(MAX(-5,$H177-P177),Volsmile,2),0)),$CT177,$CU177,($A177-DateToday)+15,ABS(Option-2),1)*DG177*8)),0))</f>
        <v> </v>
      </c>
      <c r="BJ177" s="301" t="str">
        <f aca="false">IF($A177="N/A"," ",IF(OR(Dayrun&lt;=2,Dayrun&gt;=11),IF(OffPeakEx=TRUE(),MAX(0,(xSPRDOPT(Q177,($E177-'Pricing Inputs'!$X212*$D177),$CV177,0,($CQ177+IF(Smile=TRUE(),VLOOKUP(MAX(-5,$H177-Q177),Volsmile,2),0)),$CT177,$CU177,($A177-DateToday)+15,ABS(Option-2),1)*DG177*8)),0),0))</f>
        <v> </v>
      </c>
      <c r="BK177" s="302" t="str">
        <f aca="false">IF($A177="N/A"," ",R177*$AS177)</f>
        <v> </v>
      </c>
      <c r="BL177" s="303" t="str">
        <f aca="false">IF($A177="N/A"," ",S177*$AT177)</f>
        <v> </v>
      </c>
      <c r="BM177" s="303" t="str">
        <f aca="false">IF($A177="N/A"," ",T177*$AU177)</f>
        <v> </v>
      </c>
      <c r="BN177" s="303" t="str">
        <f aca="false">IF($A177="N/A"," ",U177*$AV177)</f>
        <v> </v>
      </c>
      <c r="BO177" s="303" t="str">
        <f aca="false">IF($A177="N/A"," ",V177*$AW177)</f>
        <v> </v>
      </c>
      <c r="BP177" s="303" t="str">
        <f aca="false">IF($A177="N/A"," ",W177*$AX177)</f>
        <v> </v>
      </c>
      <c r="BQ177" s="303" t="str">
        <f aca="false">IF($A177="N/A"," ",X177*$AY177)</f>
        <v> </v>
      </c>
      <c r="BR177" s="303" t="str">
        <f aca="false">IF($A177="N/A"," ",Y177*$AZ177)</f>
        <v> </v>
      </c>
      <c r="BS177" s="304" t="str">
        <f aca="false">IF($A177="N/A"," ",Z177*$BA177)</f>
        <v> </v>
      </c>
      <c r="BT177" s="305" t="str">
        <f aca="false">IF($A177="N/A"," ",AA177*$AS177)</f>
        <v> </v>
      </c>
      <c r="BU177" s="306" t="str">
        <f aca="false">IF($A177="N/A"," ",AB177*$AT177)</f>
        <v> </v>
      </c>
      <c r="BV177" s="306" t="str">
        <f aca="false">IF($A177="N/A"," ",AC177*$AU177)</f>
        <v> </v>
      </c>
      <c r="BW177" s="306" t="str">
        <f aca="false">IF($A177="N/A"," ",AD177*$AV177)</f>
        <v> </v>
      </c>
      <c r="BX177" s="306" t="str">
        <f aca="false">IF($A177="N/A"," ",AE177*$AW177)</f>
        <v> </v>
      </c>
      <c r="BY177" s="306" t="str">
        <f aca="false">IF($A177="N/A"," ",AF177*$AX177)</f>
        <v> </v>
      </c>
      <c r="BZ177" s="306" t="str">
        <f aca="false">IF($A177="N/A"," ",AG177*$AY177)</f>
        <v> </v>
      </c>
      <c r="CA177" s="306" t="str">
        <f aca="false">IF($A177="N/A"," ",AH177*$AZ177)</f>
        <v> </v>
      </c>
      <c r="CB177" s="307" t="str">
        <f aca="false">IF($A177="N/A"," ",AI177*$BA177)</f>
        <v> </v>
      </c>
      <c r="CC177" s="308" t="str">
        <f aca="false">IF($A177="N/A"," ",AJ177*$AS177)</f>
        <v> </v>
      </c>
      <c r="CD177" s="309" t="str">
        <f aca="false">IF($A177="N/A"," ",AK177*$AT177)</f>
        <v> </v>
      </c>
      <c r="CE177" s="309" t="str">
        <f aca="false">IF($A177="N/A"," ",AL177*$AU177)</f>
        <v> </v>
      </c>
      <c r="CF177" s="309" t="str">
        <f aca="false">IF($A177="N/A"," ",AM177*$AV177)</f>
        <v> </v>
      </c>
      <c r="CG177" s="309" t="str">
        <f aca="false">IF($A177="N/A"," ",AN177*$AW177)</f>
        <v> </v>
      </c>
      <c r="CH177" s="309" t="str">
        <f aca="false">IF($A177="N/A"," ",AO177*$AX177)</f>
        <v> </v>
      </c>
      <c r="CI177" s="309" t="str">
        <f aca="false">IF($A177="N/A"," ",AP177*$AY177)</f>
        <v> </v>
      </c>
      <c r="CJ177" s="309" t="str">
        <f aca="false">IF($A177="N/A"," ",AQ177*$AZ177)</f>
        <v> </v>
      </c>
      <c r="CK177" s="310" t="str">
        <f aca="false">IF($A177="N/A"," ",AR177*$BA177)</f>
        <v> </v>
      </c>
      <c r="CL177" s="311" t="str">
        <f aca="false">IF(A177="N/A"," ",(VLOOKUP(A177,PowerVolTable,(IF(VolBMO=2,7,IF(VolBMO=1,6,8))),FALSE())))</f>
        <v> </v>
      </c>
      <c r="CM177" s="312" t="str">
        <f aca="false">IF(A177="N/A"," ",(VLOOKUP(A177,IntraPowerVol,(IF(VolBMO=2,3,IF(VolBMO=1,2,4))),FALSE())*VLOOKUP(MONTH($A177),Volscale,2)))</f>
        <v> </v>
      </c>
      <c r="CN177" s="312" t="str">
        <f aca="false">IF($A177="N/A"," ",IF(VolType=1,CM177,CL177))</f>
        <v> </v>
      </c>
      <c r="CO177" s="312" t="str">
        <f aca="false">IF($A177="N/A"," ",(VLOOKUP($A177,OffPeakVol,(IF(VolBMO=2,7,IF(VolBMO=1,6,8))),FALSE())))</f>
        <v> </v>
      </c>
      <c r="CP177" s="312" t="str">
        <f aca="false">IF($A177="N/A"," ",(VLOOKUP($A177,OffPeakVol,(IF(VolBMO=2,3,IF(VolBMO=1,2,4))),FALSE())*VLOOKUP(MONTH($A177),Volscale,2)))</f>
        <v> </v>
      </c>
      <c r="CQ177" s="312" t="str">
        <f aca="false">IF($A177="N/A"," ",IF(VolType=1,CP177,CO177))</f>
        <v> </v>
      </c>
      <c r="CR177" s="312" t="str">
        <f aca="false">IF($A177="N/A"," ",(VLOOKUP($A177,GasVolTable,(IF(VolBMO=2,6,IF(VolBMO=1,7,5))),FALSE())))</f>
        <v> </v>
      </c>
      <c r="CS177" s="312" t="str">
        <f aca="false">IF($A177="N/A"," ",(VLOOKUP($A177,OmicronVol,(IF(VolBMO=2,3,IF(VolBMO=1,4,2))),FALSE())))</f>
        <v> </v>
      </c>
      <c r="CT177" s="312" t="str">
        <f aca="false">IF($A177="N/A"," ",(IF(DateToday&gt;$A177,$CS177,IF(VolType=1,((($CR177^2)*((($A177-1)-DateToday)/((EOMONTH($A177,0)+1)-DateToday-15)))+((($CS177)^2)*((15)/((EOMONTH($A177,0)+1)-DateToday-15))))^0.5,CR177))))</f>
        <v> </v>
      </c>
      <c r="CU177" s="312" t="str">
        <f aca="false">IF($A177="N/A"," ",IF('Pricing Inputs'!$AR$23=TRUE(),Inputs!$S$22,VLOOKUP($A177,CorrelationTable,2,FALSE())))</f>
        <v> </v>
      </c>
      <c r="CV177" s="313" t="str">
        <f aca="false">IF($A177="N/A"," ",F177+G177+(D177*('Pricing Inputs'!X212)))</f>
        <v> </v>
      </c>
      <c r="CW177" s="314" t="str">
        <f aca="false">IF($A177="N/A"," ",IF(PV=1,0,'Pricing Inputs'!Y212))</f>
        <v> </v>
      </c>
      <c r="CX177" s="315" t="str">
        <f aca="false">IF($A177="N/A"," ",(1+CW177/2)^(-2*((EOMONTH(A177,0)+20)-DateToday)/365.25))</f>
        <v> </v>
      </c>
      <c r="CY177" s="316" t="str">
        <f aca="false">IF($A177="N/A"," ",(IF(MONTH(A177)&gt;=4,IF(MONTH(A177)&lt;=10,Inputs!$S$26,Inputs!$S$27),Inputs!$S$27))*$CX177)</f>
        <v> </v>
      </c>
      <c r="CZ177" s="317" t="str">
        <f aca="false">IF($A177="N/A"," ",BK177+BL177+BN177+BO177+BQ177+BR177)</f>
        <v> </v>
      </c>
      <c r="DA177" s="318" t="str">
        <f aca="false">IF($A177="N/A"," ",BM177+BP177+BS177)</f>
        <v> </v>
      </c>
      <c r="DB177" s="319" t="str">
        <f aca="false">IF($A177="N/A"," ",BT177+BU177+BW177+BX177+BZ177+CA177)</f>
        <v> </v>
      </c>
      <c r="DC177" s="319" t="str">
        <f aca="false">IF($A177="N/A"," ",BV177+BY177+CB177)</f>
        <v> </v>
      </c>
      <c r="DD177" s="320" t="str">
        <f aca="false">IF($A177="N/A"," ",SUM(CC177:CK177))</f>
        <v> </v>
      </c>
      <c r="DE177" s="321" t="str">
        <f aca="false">IF($A177="N/A"," ",VLOOKUP($A177,NumberofDaysTable,2)*Availability)</f>
        <v> </v>
      </c>
      <c r="DF177" s="94" t="str">
        <f aca="false">IF($A177="N/A"," ",VLOOKUP($A177,NumberofDaysTable,3)*Availability)</f>
        <v> </v>
      </c>
      <c r="DG177" s="322" t="str">
        <f aca="false">IF($A177="N/A"," ",VLOOKUP($A177,NumberofDaysTable,4)*Availability)</f>
        <v> </v>
      </c>
      <c r="DH177" s="323" t="str">
        <f aca="false">IF($A177="N/A"," ",IF(Option=1,$D177*Inputs!$S$15*SUM(AS177:BA177),0))</f>
        <v> </v>
      </c>
      <c r="DI177" s="324" t="str">
        <f aca="false">IF($A177="N/A"," ",IF(Option=1,$D177*Inputs!$S$16*SUM(AS177:BA177),0))</f>
        <v> </v>
      </c>
      <c r="DJ177" s="325" t="str">
        <f aca="false">IF($A177="N/A"," ",SUM(AS177:AT177))</f>
        <v> </v>
      </c>
      <c r="DK177" s="325" t="str">
        <f aca="false">IF($A177="N/A"," ",SUM(AU177:BA177))</f>
        <v> </v>
      </c>
      <c r="DL177" s="325" t="str">
        <f aca="false">IF($A177="N/A"," ",SUM(BB177:BC177))</f>
        <v> </v>
      </c>
      <c r="DM177" s="325" t="str">
        <f aca="false">IF($A177="N/A"," ",SUM(BD177:BJ177))</f>
        <v> </v>
      </c>
    </row>
    <row r="178" customFormat="false" ht="12.75" hidden="false" customHeight="false" outlineLevel="0" collapsed="false">
      <c r="A178" s="282" t="str">
        <f aca="false">IF(A177="N/A","N/A",IF(EDATE(A177,1)&gt;Inputs!$S$5,"N/A",EDATE(A177,1)))</f>
        <v>N/A</v>
      </c>
      <c r="B178" s="283" t="str">
        <f aca="false">IF(A178="N/A"," ",YEAR(A178))</f>
        <v> </v>
      </c>
      <c r="C178" s="284" t="str">
        <f aca="false">IF(A178="N/A"," ",VLOOKUP(A178,ScaledPrice,14))</f>
        <v> </v>
      </c>
      <c r="D178" s="285" t="str">
        <f aca="false">IF(A178="N/A"," ",(VLOOKUP(MONTH($A178),Hrtable,2))/1000)</f>
        <v> </v>
      </c>
      <c r="E178" s="286" t="str">
        <f aca="false">IF($A178="N/A"," ",(C178)*D178)</f>
        <v> </v>
      </c>
      <c r="F178" s="287" t="str">
        <f aca="false">IF(A178="N/A"," ",VOM*(1+VOMesc)^(YEAR(A178)-YEAR(Today)))</f>
        <v> </v>
      </c>
      <c r="G178" s="287" t="str">
        <f aca="false">IF(A178="N/A"," ",Perstart/VLOOKUP(Dayrun,'Pricing Inputs'!$AQ$4:$AS$14,3)/(CY178/CX178))</f>
        <v> </v>
      </c>
      <c r="H178" s="288" t="str">
        <f aca="false">IF(A178="N/A"," ",SUM(E178:G178))</f>
        <v> </v>
      </c>
      <c r="I178" s="289" t="str">
        <f aca="false">VLOOKUP($A178,ScaledPrice,6)</f>
        <v> </v>
      </c>
      <c r="J178" s="290" t="str">
        <f aca="false">VLOOKUP($A178,ScaledPrice,10)</f>
        <v> </v>
      </c>
      <c r="K178" s="290" t="str">
        <f aca="false">VLOOKUP($A178,ScaledPrice,13)</f>
        <v> </v>
      </c>
      <c r="L178" s="290" t="str">
        <f aca="false">VLOOKUP($A178,ScaledPrice,7)</f>
        <v> </v>
      </c>
      <c r="M178" s="290" t="str">
        <f aca="false">VLOOKUP($A178,ScaledPrice,11)</f>
        <v> </v>
      </c>
      <c r="N178" s="290" t="str">
        <f aca="false">VLOOKUP($A178,ScaledPrice,13)</f>
        <v> </v>
      </c>
      <c r="O178" s="290" t="str">
        <f aca="false">VLOOKUP($A178,ScaledPrice,8)</f>
        <v> </v>
      </c>
      <c r="P178" s="290" t="str">
        <f aca="false">VLOOKUP($A178,ScaledPrice,12)</f>
        <v> </v>
      </c>
      <c r="Q178" s="291" t="str">
        <f aca="false">VLOOKUP($A178,ScaledPrice,13)</f>
        <v> </v>
      </c>
      <c r="R178" s="292" t="str">
        <f aca="false">IF($A178="N/A"," ",IF(Dayrun&gt;=3,IF(Option=1,MAX($I178-$H178,0),IF(Option=2,MAX($H178-$I178,0),0)),0))</f>
        <v> </v>
      </c>
      <c r="S178" s="286" t="str">
        <f aca="false">IF($A178="N/A"," ",IF(Dayrun&gt;=6,IF(Option=1,MAX($J178-H178,0),IF(Option=2,MAX(H178-$J178,0),0)),0))</f>
        <v> </v>
      </c>
      <c r="T178" s="286" t="str">
        <f aca="false">IF($A178="N/A"," ",IF(OR(Dayrun&lt;=2,Dayrun&gt;=9),IF(Option=1,MAX($K178-$H178,0),IF(Option=2,MAX($H178-$K178,0),0)),0))</f>
        <v> </v>
      </c>
      <c r="U178" s="286" t="str">
        <f aca="false">IF($A178="N/A"," ",IF(OR(Dayrun=1,Dayrun=4,Dayrun=5,Dayrun=7,Dayrun=8,Dayrun=10,Dayrun=11),IF(Option=1,MAX($L178-H178,0),IF(Option=2,MAX(H178-$L178,0),0)),0))</f>
        <v> </v>
      </c>
      <c r="V178" s="286" t="str">
        <f aca="false">IF($A178="N/A"," ",IF(OR(Dayrun=1,Dayrun=7,Dayrun=8,Dayrun=10,Dayrun=11),IF(Option=1,MAX($M178-H178,0),IF(Option=2,MAX(H178-$M178,0),0)),0))</f>
        <v> </v>
      </c>
      <c r="W178" s="286" t="str">
        <f aca="false">IF($A178="N/A"," ",IF(OR(Dayrun&lt;=2,Dayrun&gt;=10),IF(Option=1,MAX($N178-$H178,0),IF(Option=2,MAX($H178-$N178,0),0)),0))</f>
        <v> </v>
      </c>
      <c r="X178" s="286" t="str">
        <f aca="false">IF($A178="N/A"," ",IF(OR(Dayrun=1,Dayrun=5,Dayrun=8,Dayrun=11),IF(Option=1,MAX($O178-H178,0),IF(Option=2,MAX(H178-$O178,0),0)),0))</f>
        <v> </v>
      </c>
      <c r="Y178" s="286" t="str">
        <f aca="false">IF($A178="N/A"," ",IF(OR(Dayrun=1,Dayrun=8,Dayrun=11),IF(Option=1,MAX($P178-H178,0),IF(Option=2,MAX(H178-$P178,0),0)),0))</f>
        <v> </v>
      </c>
      <c r="Z178" s="293" t="str">
        <f aca="false">IF($A178="N/A"," ",IF(OR(Dayrun&lt;=2,Dayrun&gt;=11),IF(Option=1,MAX($Q178-$H178,0),IF(Option=2,MAX($H178-$Q178,0),0)),0))</f>
        <v> </v>
      </c>
      <c r="AA178" s="289" t="str">
        <f aca="false">IF($A178="N/A"," ",IF(Dayrun&gt;=3,(MAX(0,(xSPRDOPT(I178,($E178-'Pricing Inputs'!$X213*$D178),$CV178,0,($CN178+IF(Smile=TRUE(),VLOOKUP(MAX(-5,$H178-I178),Volsmile,2),0)),$CT178,$CU178,($A178-DateToday)+15,ABS(Option-2),0)-R178))),0))</f>
        <v> </v>
      </c>
      <c r="AB178" s="290" t="str">
        <f aca="false">IF($A178="N/A"," ",IF(Dayrun&gt;=6,MAX(0,(xSPRDOPT(J178,($E178-'Pricing Inputs'!$X213*$D178),$CV178,0,($CN178+IF(Smile=TRUE(),VLOOKUP(MAX(-5,$H178-J178),Volsmile,2),0)),$CT178,$CU178,($A178-DateToday)+15,ABS(Option-2),0)-S178)),0))</f>
        <v> </v>
      </c>
      <c r="AC178" s="290" t="str">
        <f aca="false">IF($A178="N/A"," ",IF(OR(Dayrun&lt;=2,Dayrun&gt;=9),IF(OffPeakEx=TRUE(),MAX(0,(xSPRDOPT(K178,($E178-'Pricing Inputs'!$X213*$D178),$CV178,0,($CQ178+IF(Smile=TRUE(),VLOOKUP(MAX(-5,$H178-K178),Volsmile,2),0)),$CT178,$CU178,($A178-DateToday)+15,ABS(Option-2),0)-T178)),0),0))</f>
        <v> </v>
      </c>
      <c r="AD178" s="290" t="str">
        <f aca="false">IF($A178="N/A"," ",IF(OR(Dayrun=1,Dayrun=4,Dayrun=5,Dayrun=7,Dayrun=8,Dayrun=10,Dayrun=11),MAX(0,(xSPRDOPT(L178,($E178-'Pricing Inputs'!$X213*$D178),$CV178,0,($CQ178+IF(Smile=TRUE(),VLOOKUP(MAX(-5,$H178-L178),Volsmile,2),0)),$CT178,$CU178,($A178-DateToday)+15,ABS(Option-2),0)-U178)),0))</f>
        <v> </v>
      </c>
      <c r="AE178" s="290" t="str">
        <f aca="false">IF($A178="N/A"," ",IF(OR(Dayrun=1,Dayrun=7,Dayrun=8,Dayrun=10,Dayrun=11),MAX(0,(xSPRDOPT(M178,($E178-'Pricing Inputs'!$X213*$D178),$CV178,0,($CQ178+IF(Smile=TRUE(),VLOOKUP(MAX(-5,$H178-M178),Volsmile,2),0)),$CT178,$CU178,($A178-DateToday)+15,ABS(Option-2),0)-V178)),0))</f>
        <v> </v>
      </c>
      <c r="AF178" s="290" t="str">
        <f aca="false">IF($A178="N/A"," ",IF(OR(Dayrun&lt;=2,Dayrun&gt;=10),IF(OffPeakEx=TRUE(),MAX(0,(xSPRDOPT(N178,($E178-'Pricing Inputs'!$X213*$D178),$CV178,0,($CQ178+IF(Smile=TRUE(),VLOOKUP(MAX(-5,$H178-N178),Volsmile,2),0)),$CT178,$CU178,($A178-DateToday)+15,ABS(Option-2),0)-W178)),0),0))</f>
        <v> </v>
      </c>
      <c r="AG178" s="290" t="str">
        <f aca="false">IF($A178="N/A"," ",IF(OR(Dayrun=1,Dayrun=5,Dayrun=8,Dayrun=11),MAX(0,(xSPRDOPT(O178,($E178-'Pricing Inputs'!$X213*$D178),$CV178,0,($CQ178+IF(Smile=TRUE(),VLOOKUP(MAX(-5,$H178-O178),Volsmile,2),0)),$CT178,$CU178,($A178-DateToday)+15,ABS(Option-2),0)-X178)),0))</f>
        <v> </v>
      </c>
      <c r="AH178" s="290" t="str">
        <f aca="false">IF($A178="N/A"," ",IF(OR(Dayrun=1,Dayrun=8,Dayrun=11),MAX(0,(xSPRDOPT(P178,($E178-'Pricing Inputs'!$X213*$D178),$CV178,0,($CQ178+IF(Smile=TRUE(),VLOOKUP(MAX(-5,$H178-P178),Volsmile,2),0)),$CT178,$CU178,($A178-DateToday)+15,ABS(Option-2),0)-Y178)),0))</f>
        <v> </v>
      </c>
      <c r="AI178" s="290" t="str">
        <f aca="false">IF($A178="N/A"," ",IF(OR(Dayrun&lt;=2,Dayrun&gt;=11),IF(OffPeakEx=TRUE(),MAX(0,(xSPRDOPT(Q178,($E178-'Pricing Inputs'!$X213*$D178),$CV178,0,($CQ178+IF(Smile=TRUE(),VLOOKUP(MAX(-5,$H178-Q178),Volsmile,2),0)),$CT178,$CU178,($A178-DateToday)+15,ABS(Option-2),0)-Z178)),0),0))</f>
        <v> </v>
      </c>
      <c r="AJ178" s="294" t="str">
        <f aca="false">IF($A178="N/A"," ",IF(Dayrun&gt;=3,IF(Option=1,$I178-$H178,IF(Option=2,$H178-$I178)),0))</f>
        <v> </v>
      </c>
      <c r="AK178" s="295" t="str">
        <f aca="false">IF($A178="N/A"," ",IF(Dayrun&gt;=6,IF(Option=1,$J178-H178,IF(Option=2,H178-$J178)),0))</f>
        <v> </v>
      </c>
      <c r="AL178" s="295" t="str">
        <f aca="false">IF($A178="N/A"," ",IF(OR(Dayrun&lt;=2,Dayrun&gt;=9),IF(Option=1,$K178-$H178,IF(Option=2,$H178-$K178)),0))</f>
        <v> </v>
      </c>
      <c r="AM178" s="295" t="str">
        <f aca="false">IF($A178="N/A"," ",IF(OR(Dayrun=1,Dayrun=4,Dayrun=5,Dayrun=7,Dayrun=8,Dayrun=10,Dayrun=11),IF(Option=1,$L178-H178,IF(Option=2,H178-$L178)),0))</f>
        <v> </v>
      </c>
      <c r="AN178" s="295" t="str">
        <f aca="false">IF($A178="N/A"," ",IF(OR(Dayrun=1,Dayrun=7,Dayrun=8,Dayrun=10,Dayrun=11),IF(Option=1,$M178-H178,IF(Option=2,H178-$M178)),0))</f>
        <v> </v>
      </c>
      <c r="AO178" s="295" t="str">
        <f aca="false">IF($A178="N/A"," ",IF(OR(Dayrun&lt;=2,Dayrun&gt;=9),IF(Option=1,$N178-$H178,IF(Option=2,$H178-$N178)),0))</f>
        <v> </v>
      </c>
      <c r="AP178" s="295" t="str">
        <f aca="false">IF($A178="N/A"," ",IF(OR(Dayrun=1,Dayrun=5,Dayrun=8,Dayrun=11),IF(Option=1,$O178-H178,IF(Option=2,H178-$O178)),0))</f>
        <v> </v>
      </c>
      <c r="AQ178" s="295" t="str">
        <f aca="false">IF($A178="N/A"," ",IF(OR(Dayrun=1,Dayrun=8,Dayrun=11),IF(Option=1,$P178-H178,IF(Option=2,H178-$P178)),0))</f>
        <v> </v>
      </c>
      <c r="AR178" s="296" t="str">
        <f aca="false">IF($A178="N/A"," ",IF(OR(Dayrun&lt;=2,Dayrun&gt;=9),IF(Option=1,$Q178-H178,IF(Option=2,H178-$Q178)),0))</f>
        <v> </v>
      </c>
      <c r="AS178" s="297" t="str">
        <f aca="false">IF($A178="N/A"," ",IF(VLOOKUP(MONTH($A178),ManualTable,2)=1,IF(Dayrun&gt;=3,$DE178*8*$CY178,0),0))</f>
        <v> </v>
      </c>
      <c r="AT178" s="297" t="str">
        <f aca="false">IF($A178="N/A"," ",IF(VLOOKUP(MONTH($A178),ManualTable,3)=1,IF(Dayrun&gt;=6,$DE178*8*$CY178,0),0))</f>
        <v> </v>
      </c>
      <c r="AU178" s="297" t="str">
        <f aca="false">IF($A178="N/A"," ",IF(VLOOKUP(MONTH($A178),ManualTable,4)=1,IF(OR(Dayrun&lt;=2,Dayrun&gt;=9),$DE178*8*$CY178,0),0))</f>
        <v> </v>
      </c>
      <c r="AV178" s="297" t="str">
        <f aca="false">IF($A178="N/A"," ",IF(VLOOKUP(MONTH($A178),ManualTable,5)=1,IF(OR(Dayrun=1,Dayrun=4,Dayrun=5,Dayrun=7,Dayrun=8,Dayrun=10,Dayrun=11),$DF178*8*$CY178,0),0))</f>
        <v> </v>
      </c>
      <c r="AW178" s="297" t="str">
        <f aca="false">IF($A178="N/A"," ",IF(VLOOKUP(MONTH($A178),ManualTable,6)=1,IF(OR(Dayrun=1,Dayrun=7,Dayrun=8,Dayrun=10,Dayrun=11),$DF178*8*$CY178,0),0))</f>
        <v> </v>
      </c>
      <c r="AX178" s="297" t="str">
        <f aca="false">IF($A178="N/A"," ",IF(VLOOKUP(MONTH($A178),ManualTable,7)=1,IF(OR(Dayrun&lt;=2,Dayrun&gt;=9),$DF178*8*$CY178,0),0))</f>
        <v> </v>
      </c>
      <c r="AY178" s="297" t="str">
        <f aca="false">IF($A178="N/A"," ",IF(VLOOKUP(MONTH($A178),ManualTable,8)=1,IF(OR(Dayrun=1,Dayrun=5,Dayrun=8,Dayrun=11),$DG178*8*$CY178,0),0))</f>
        <v> </v>
      </c>
      <c r="AZ178" s="297" t="str">
        <f aca="false">IF($A178="N/A"," ",IF(VLOOKUP(MONTH($A178),ManualTable,9)=1,IF(OR(Dayrun=1,Dayrun=8,Dayrun=11),$DG178*8*$CY178,0),0))</f>
        <v> </v>
      </c>
      <c r="BA178" s="298" t="str">
        <f aca="false">IF($A178="N/A"," ",IF(VLOOKUP(MONTH($A178),ManualTable,10)=1,IF(OR(Dayrun&lt;=2,Dayrun&gt;=9),$DG178*8*$CY178,0),0))</f>
        <v> </v>
      </c>
      <c r="BB178" s="299" t="str">
        <f aca="false">IF($A178="N/A"," ",IF(Dayrun&gt;=3,(MAX(0,(xSPRDOPT(I178,($E178-'Pricing Inputs'!$X213*$D178),$CV178,0,($CN178+IF(Smile=TRUE(),VLOOKUP(MAX(-5,$H178-I178),Volsmile,2),0)),$CT178,$CU178,($A178-DateToday)+15,ABS(Option-2),1)*DE178*8))),0))</f>
        <v> </v>
      </c>
      <c r="BC178" s="300" t="str">
        <f aca="false">IF($A178="N/A"," ",IF(Dayrun&gt;=6,MAX(0,(xSPRDOPT(J178,($E178-'Pricing Inputs'!$X213*$D178),$CV178,0,($CN178+IF(Smile=TRUE(),VLOOKUP(MAX(-5,$H178-J178),Volsmile,2),0)),$CT178,$CU178,($A178-DateToday)+15,ABS(Option-2),1)*DE178*8)),0))</f>
        <v> </v>
      </c>
      <c r="BD178" s="300" t="str">
        <f aca="false">IF($A178="N/A"," ",IF(OR(Dayrun&lt;=2,Dayrun&gt;=9),IF(OffPeakEx=TRUE(),MAX(0,(xSPRDOPT(K178,($E178-'Pricing Inputs'!$X213*$D178),$CV178,0,($CQ178+IF(Smile=TRUE(),VLOOKUP(MAX(-5,$H178-K178),Volsmile,2),0)),$CT178,$CU178,($A178-DateToday)+15,ABS(Option-2),1)*DE178*8)),0),0))</f>
        <v> </v>
      </c>
      <c r="BE178" s="300" t="str">
        <f aca="false">IF($A178="N/A"," ",IF(OR(Dayrun=1,Dayrun=4,Dayrun=5,Dayrun=7,Dayrun=8,Dayrun=10,Dayrun=11),MAX(0,(xSPRDOPT(L178,($E178-'Pricing Inputs'!$X213*$D178),$CV178,0,($CQ178+IF(Smile=TRUE(),VLOOKUP(MAX(-5,$H178-L178),Volsmile,2),0)),$CT178,$CU178,($A178-DateToday)+15,ABS(Option-2),1)*DF178*8)),0))</f>
        <v> </v>
      </c>
      <c r="BF178" s="300" t="str">
        <f aca="false">IF($A178="N/A"," ",IF(OR(Dayrun=1,Dayrun=7,Dayrun=8,Dayrun=10,Dayrun=11),MAX(0,(xSPRDOPT(M178,($E178-'Pricing Inputs'!$X213*$D178),$CV178,0,($CQ178+IF(Smile=TRUE(),VLOOKUP(MAX(-5,$H178-M178),Volsmile,2),0)),$CT178,$CU178,($A178-DateToday)+15,ABS(Option-2),1)*DF178*8)),0))</f>
        <v> </v>
      </c>
      <c r="BG178" s="300" t="str">
        <f aca="false">IF($A178="N/A"," ",IF(OR(Dayrun&lt;=2,Dayrun&gt;=10),IF(OffPeakEx=TRUE(),MAX(0,(xSPRDOPT(N178,($E178-'Pricing Inputs'!$X213*$D178),$CV178,0,($CQ178+IF(Smile=TRUE(),VLOOKUP(MAX(-5,$H178-N178),Volsmile,2),0)),$CT178,$CU178,($A178-DateToday)+15,ABS(Option-2),1)*DF178*8)),0),0))</f>
        <v> </v>
      </c>
      <c r="BH178" s="300" t="str">
        <f aca="false">IF($A178="N/A"," ",IF(OR(Dayrun=1,Dayrun=5,Dayrun=8,Dayrun=11),MAX(0,(xSPRDOPT(O178,($E178-'Pricing Inputs'!$X213*$D178),$CV178,0,($CQ178+IF(Smile=TRUE(),VLOOKUP(MAX(-5,$H178-O178),Volsmile,2),0)),$CT178,$CU178,($A178-DateToday)+15,ABS(Option-2),1)*DG178*8)),0))</f>
        <v> </v>
      </c>
      <c r="BI178" s="300" t="str">
        <f aca="false">IF($A178="N/A"," ",IF(OR(Dayrun=1,Dayrun=8,Dayrun=11),MAX(0,(xSPRDOPT(P178,($E178-'Pricing Inputs'!$X213*$D178),$CV178,0,($CQ178+IF(Smile=TRUE(),VLOOKUP(MAX(-5,$H178-P178),Volsmile,2),0)),$CT178,$CU178,($A178-DateToday)+15,ABS(Option-2),1)*DG178*8)),0))</f>
        <v> </v>
      </c>
      <c r="BJ178" s="301" t="str">
        <f aca="false">IF($A178="N/A"," ",IF(OR(Dayrun&lt;=2,Dayrun&gt;=11),IF(OffPeakEx=TRUE(),MAX(0,(xSPRDOPT(Q178,($E178-'Pricing Inputs'!$X213*$D178),$CV178,0,($CQ178+IF(Smile=TRUE(),VLOOKUP(MAX(-5,$H178-Q178),Volsmile,2),0)),$CT178,$CU178,($A178-DateToday)+15,ABS(Option-2),1)*DG178*8)),0),0))</f>
        <v> </v>
      </c>
      <c r="BK178" s="302" t="str">
        <f aca="false">IF($A178="N/A"," ",R178*$AS178)</f>
        <v> </v>
      </c>
      <c r="BL178" s="303" t="str">
        <f aca="false">IF($A178="N/A"," ",S178*$AT178)</f>
        <v> </v>
      </c>
      <c r="BM178" s="303" t="str">
        <f aca="false">IF($A178="N/A"," ",T178*$AU178)</f>
        <v> </v>
      </c>
      <c r="BN178" s="303" t="str">
        <f aca="false">IF($A178="N/A"," ",U178*$AV178)</f>
        <v> </v>
      </c>
      <c r="BO178" s="303" t="str">
        <f aca="false">IF($A178="N/A"," ",V178*$AW178)</f>
        <v> </v>
      </c>
      <c r="BP178" s="303" t="str">
        <f aca="false">IF($A178="N/A"," ",W178*$AX178)</f>
        <v> </v>
      </c>
      <c r="BQ178" s="303" t="str">
        <f aca="false">IF($A178="N/A"," ",X178*$AY178)</f>
        <v> </v>
      </c>
      <c r="BR178" s="303" t="str">
        <f aca="false">IF($A178="N/A"," ",Y178*$AZ178)</f>
        <v> </v>
      </c>
      <c r="BS178" s="304" t="str">
        <f aca="false">IF($A178="N/A"," ",Z178*$BA178)</f>
        <v> </v>
      </c>
      <c r="BT178" s="305" t="str">
        <f aca="false">IF($A178="N/A"," ",AA178*$AS178)</f>
        <v> </v>
      </c>
      <c r="BU178" s="306" t="str">
        <f aca="false">IF($A178="N/A"," ",AB178*$AT178)</f>
        <v> </v>
      </c>
      <c r="BV178" s="306" t="str">
        <f aca="false">IF($A178="N/A"," ",AC178*$AU178)</f>
        <v> </v>
      </c>
      <c r="BW178" s="306" t="str">
        <f aca="false">IF($A178="N/A"," ",AD178*$AV178)</f>
        <v> </v>
      </c>
      <c r="BX178" s="306" t="str">
        <f aca="false">IF($A178="N/A"," ",AE178*$AW178)</f>
        <v> </v>
      </c>
      <c r="BY178" s="306" t="str">
        <f aca="false">IF($A178="N/A"," ",AF178*$AX178)</f>
        <v> </v>
      </c>
      <c r="BZ178" s="306" t="str">
        <f aca="false">IF($A178="N/A"," ",AG178*$AY178)</f>
        <v> </v>
      </c>
      <c r="CA178" s="306" t="str">
        <f aca="false">IF($A178="N/A"," ",AH178*$AZ178)</f>
        <v> </v>
      </c>
      <c r="CB178" s="307" t="str">
        <f aca="false">IF($A178="N/A"," ",AI178*$BA178)</f>
        <v> </v>
      </c>
      <c r="CC178" s="308" t="str">
        <f aca="false">IF($A178="N/A"," ",AJ178*$AS178)</f>
        <v> </v>
      </c>
      <c r="CD178" s="309" t="str">
        <f aca="false">IF($A178="N/A"," ",AK178*$AT178)</f>
        <v> </v>
      </c>
      <c r="CE178" s="309" t="str">
        <f aca="false">IF($A178="N/A"," ",AL178*$AU178)</f>
        <v> </v>
      </c>
      <c r="CF178" s="309" t="str">
        <f aca="false">IF($A178="N/A"," ",AM178*$AV178)</f>
        <v> </v>
      </c>
      <c r="CG178" s="309" t="str">
        <f aca="false">IF($A178="N/A"," ",AN178*$AW178)</f>
        <v> </v>
      </c>
      <c r="CH178" s="309" t="str">
        <f aca="false">IF($A178="N/A"," ",AO178*$AX178)</f>
        <v> </v>
      </c>
      <c r="CI178" s="309" t="str">
        <f aca="false">IF($A178="N/A"," ",AP178*$AY178)</f>
        <v> </v>
      </c>
      <c r="CJ178" s="309" t="str">
        <f aca="false">IF($A178="N/A"," ",AQ178*$AZ178)</f>
        <v> </v>
      </c>
      <c r="CK178" s="310" t="str">
        <f aca="false">IF($A178="N/A"," ",AR178*$BA178)</f>
        <v> </v>
      </c>
      <c r="CL178" s="311" t="str">
        <f aca="false">IF(A178="N/A"," ",(VLOOKUP(A178,PowerVolTable,(IF(VolBMO=2,7,IF(VolBMO=1,6,8))),FALSE())))</f>
        <v> </v>
      </c>
      <c r="CM178" s="312" t="str">
        <f aca="false">IF(A178="N/A"," ",(VLOOKUP(A178,IntraPowerVol,(IF(VolBMO=2,3,IF(VolBMO=1,2,4))),FALSE())*VLOOKUP(MONTH($A178),Volscale,2)))</f>
        <v> </v>
      </c>
      <c r="CN178" s="312" t="str">
        <f aca="false">IF($A178="N/A"," ",IF(VolType=1,CM178,CL178))</f>
        <v> </v>
      </c>
      <c r="CO178" s="312" t="str">
        <f aca="false">IF($A178="N/A"," ",(VLOOKUP($A178,OffPeakVol,(IF(VolBMO=2,7,IF(VolBMO=1,6,8))),FALSE())))</f>
        <v> </v>
      </c>
      <c r="CP178" s="312" t="str">
        <f aca="false">IF($A178="N/A"," ",(VLOOKUP($A178,OffPeakVol,(IF(VolBMO=2,3,IF(VolBMO=1,2,4))),FALSE())*VLOOKUP(MONTH($A178),Volscale,2)))</f>
        <v> </v>
      </c>
      <c r="CQ178" s="312" t="str">
        <f aca="false">IF($A178="N/A"," ",IF(VolType=1,CP178,CO178))</f>
        <v> </v>
      </c>
      <c r="CR178" s="312" t="str">
        <f aca="false">IF($A178="N/A"," ",(VLOOKUP($A178,GasVolTable,(IF(VolBMO=2,6,IF(VolBMO=1,7,5))),FALSE())))</f>
        <v> </v>
      </c>
      <c r="CS178" s="312" t="str">
        <f aca="false">IF($A178="N/A"," ",(VLOOKUP($A178,OmicronVol,(IF(VolBMO=2,3,IF(VolBMO=1,4,2))),FALSE())))</f>
        <v> </v>
      </c>
      <c r="CT178" s="312" t="str">
        <f aca="false">IF($A178="N/A"," ",(IF(DateToday&gt;$A178,$CS178,IF(VolType=1,((($CR178^2)*((($A178-1)-DateToday)/((EOMONTH($A178,0)+1)-DateToday-15)))+((($CS178)^2)*((15)/((EOMONTH($A178,0)+1)-DateToday-15))))^0.5,CR178))))</f>
        <v> </v>
      </c>
      <c r="CU178" s="312" t="str">
        <f aca="false">IF($A178="N/A"," ",IF('Pricing Inputs'!$AR$23=TRUE(),Inputs!$S$22,VLOOKUP($A178,CorrelationTable,2,FALSE())))</f>
        <v> </v>
      </c>
      <c r="CV178" s="313" t="str">
        <f aca="false">IF($A178="N/A"," ",F178+G178+(D178*('Pricing Inputs'!X213)))</f>
        <v> </v>
      </c>
      <c r="CW178" s="314" t="str">
        <f aca="false">IF($A178="N/A"," ",IF(PV=1,0,'Pricing Inputs'!Y213))</f>
        <v> </v>
      </c>
      <c r="CX178" s="315" t="str">
        <f aca="false">IF($A178="N/A"," ",(1+CW178/2)^(-2*((EOMONTH(A178,0)+20)-DateToday)/365.25))</f>
        <v> </v>
      </c>
      <c r="CY178" s="316" t="str">
        <f aca="false">IF($A178="N/A"," ",(IF(MONTH(A178)&gt;=4,IF(MONTH(A178)&lt;=10,Inputs!$S$26,Inputs!$S$27),Inputs!$S$27))*$CX178)</f>
        <v> </v>
      </c>
      <c r="CZ178" s="317" t="str">
        <f aca="false">IF($A178="N/A"," ",BK178+BL178+BN178+BO178+BQ178+BR178)</f>
        <v> </v>
      </c>
      <c r="DA178" s="318" t="str">
        <f aca="false">IF($A178="N/A"," ",BM178+BP178+BS178)</f>
        <v> </v>
      </c>
      <c r="DB178" s="319" t="str">
        <f aca="false">IF($A178="N/A"," ",BT178+BU178+BW178+BX178+BZ178+CA178)</f>
        <v> </v>
      </c>
      <c r="DC178" s="319" t="str">
        <f aca="false">IF($A178="N/A"," ",BV178+BY178+CB178)</f>
        <v> </v>
      </c>
      <c r="DD178" s="320" t="str">
        <f aca="false">IF($A178="N/A"," ",SUM(CC178:CK178))</f>
        <v> </v>
      </c>
      <c r="DE178" s="321" t="str">
        <f aca="false">IF($A178="N/A"," ",VLOOKUP($A178,NumberofDaysTable,2)*Availability)</f>
        <v> </v>
      </c>
      <c r="DF178" s="94" t="str">
        <f aca="false">IF($A178="N/A"," ",VLOOKUP($A178,NumberofDaysTable,3)*Availability)</f>
        <v> </v>
      </c>
      <c r="DG178" s="322" t="str">
        <f aca="false">IF($A178="N/A"," ",VLOOKUP($A178,NumberofDaysTable,4)*Availability)</f>
        <v> </v>
      </c>
      <c r="DH178" s="323" t="str">
        <f aca="false">IF($A178="N/A"," ",IF(Option=1,$D178*Inputs!$S$15*SUM(AS178:BA178),0))</f>
        <v> </v>
      </c>
      <c r="DI178" s="324" t="str">
        <f aca="false">IF($A178="N/A"," ",IF(Option=1,$D178*Inputs!$S$16*SUM(AS178:BA178),0))</f>
        <v> </v>
      </c>
      <c r="DJ178" s="325" t="str">
        <f aca="false">IF($A178="N/A"," ",SUM(AS178:AT178))</f>
        <v> </v>
      </c>
      <c r="DK178" s="325" t="str">
        <f aca="false">IF($A178="N/A"," ",SUM(AU178:BA178))</f>
        <v> </v>
      </c>
      <c r="DL178" s="325" t="str">
        <f aca="false">IF($A178="N/A"," ",SUM(BB178:BC178))</f>
        <v> </v>
      </c>
      <c r="DM178" s="325" t="str">
        <f aca="false">IF($A178="N/A"," ",SUM(BD178:BJ178))</f>
        <v> </v>
      </c>
    </row>
    <row r="179" customFormat="false" ht="12.75" hidden="false" customHeight="false" outlineLevel="0" collapsed="false">
      <c r="A179" s="282" t="str">
        <f aca="false">IF(A178="N/A","N/A",IF(EDATE(A178,1)&gt;Inputs!$S$5,"N/A",EDATE(A178,1)))</f>
        <v>N/A</v>
      </c>
      <c r="B179" s="283" t="str">
        <f aca="false">IF(A179="N/A"," ",YEAR(A179))</f>
        <v> </v>
      </c>
      <c r="C179" s="284" t="str">
        <f aca="false">IF(A179="N/A"," ",VLOOKUP(A179,ScaledPrice,14))</f>
        <v> </v>
      </c>
      <c r="D179" s="285" t="str">
        <f aca="false">IF(A179="N/A"," ",(VLOOKUP(MONTH($A179),Hrtable,2))/1000)</f>
        <v> </v>
      </c>
      <c r="E179" s="286" t="str">
        <f aca="false">IF($A179="N/A"," ",(C179)*D179)</f>
        <v> </v>
      </c>
      <c r="F179" s="287" t="str">
        <f aca="false">IF(A179="N/A"," ",VOM*(1+VOMesc)^(YEAR(A179)-YEAR(Today)))</f>
        <v> </v>
      </c>
      <c r="G179" s="287" t="str">
        <f aca="false">IF(A179="N/A"," ",Perstart/VLOOKUP(Dayrun,'Pricing Inputs'!$AQ$4:$AS$14,3)/(CY179/CX179))</f>
        <v> </v>
      </c>
      <c r="H179" s="288" t="str">
        <f aca="false">IF(A179="N/A"," ",SUM(E179:G179))</f>
        <v> </v>
      </c>
      <c r="I179" s="289" t="str">
        <f aca="false">VLOOKUP($A179,ScaledPrice,6)</f>
        <v> </v>
      </c>
      <c r="J179" s="290" t="str">
        <f aca="false">VLOOKUP($A179,ScaledPrice,10)</f>
        <v> </v>
      </c>
      <c r="K179" s="290" t="str">
        <f aca="false">VLOOKUP($A179,ScaledPrice,13)</f>
        <v> </v>
      </c>
      <c r="L179" s="290" t="str">
        <f aca="false">VLOOKUP($A179,ScaledPrice,7)</f>
        <v> </v>
      </c>
      <c r="M179" s="290" t="str">
        <f aca="false">VLOOKUP($A179,ScaledPrice,11)</f>
        <v> </v>
      </c>
      <c r="N179" s="290" t="str">
        <f aca="false">VLOOKUP($A179,ScaledPrice,13)</f>
        <v> </v>
      </c>
      <c r="O179" s="290" t="str">
        <f aca="false">VLOOKUP($A179,ScaledPrice,8)</f>
        <v> </v>
      </c>
      <c r="P179" s="290" t="str">
        <f aca="false">VLOOKUP($A179,ScaledPrice,12)</f>
        <v> </v>
      </c>
      <c r="Q179" s="291" t="str">
        <f aca="false">VLOOKUP($A179,ScaledPrice,13)</f>
        <v> </v>
      </c>
      <c r="R179" s="292" t="str">
        <f aca="false">IF($A179="N/A"," ",IF(Dayrun&gt;=3,IF(Option=1,MAX($I179-$H179,0),IF(Option=2,MAX($H179-$I179,0),0)),0))</f>
        <v> </v>
      </c>
      <c r="S179" s="286" t="str">
        <f aca="false">IF($A179="N/A"," ",IF(Dayrun&gt;=6,IF(Option=1,MAX($J179-H179,0),IF(Option=2,MAX(H179-$J179,0),0)),0))</f>
        <v> </v>
      </c>
      <c r="T179" s="286" t="str">
        <f aca="false">IF($A179="N/A"," ",IF(OR(Dayrun&lt;=2,Dayrun&gt;=9),IF(Option=1,MAX($K179-$H179,0),IF(Option=2,MAX($H179-$K179,0),0)),0))</f>
        <v> </v>
      </c>
      <c r="U179" s="286" t="str">
        <f aca="false">IF($A179="N/A"," ",IF(OR(Dayrun=1,Dayrun=4,Dayrun=5,Dayrun=7,Dayrun=8,Dayrun=10,Dayrun=11),IF(Option=1,MAX($L179-H179,0),IF(Option=2,MAX(H179-$L179,0),0)),0))</f>
        <v> </v>
      </c>
      <c r="V179" s="286" t="str">
        <f aca="false">IF($A179="N/A"," ",IF(OR(Dayrun=1,Dayrun=7,Dayrun=8,Dayrun=10,Dayrun=11),IF(Option=1,MAX($M179-H179,0),IF(Option=2,MAX(H179-$M179,0),0)),0))</f>
        <v> </v>
      </c>
      <c r="W179" s="286" t="str">
        <f aca="false">IF($A179="N/A"," ",IF(OR(Dayrun&lt;=2,Dayrun&gt;=10),IF(Option=1,MAX($N179-$H179,0),IF(Option=2,MAX($H179-$N179,0),0)),0))</f>
        <v> </v>
      </c>
      <c r="X179" s="286" t="str">
        <f aca="false">IF($A179="N/A"," ",IF(OR(Dayrun=1,Dayrun=5,Dayrun=8,Dayrun=11),IF(Option=1,MAX($O179-H179,0),IF(Option=2,MAX(H179-$O179,0),0)),0))</f>
        <v> </v>
      </c>
      <c r="Y179" s="286" t="str">
        <f aca="false">IF($A179="N/A"," ",IF(OR(Dayrun=1,Dayrun=8,Dayrun=11),IF(Option=1,MAX($P179-H179,0),IF(Option=2,MAX(H179-$P179,0),0)),0))</f>
        <v> </v>
      </c>
      <c r="Z179" s="293" t="str">
        <f aca="false">IF($A179="N/A"," ",IF(OR(Dayrun&lt;=2,Dayrun&gt;=11),IF(Option=1,MAX($Q179-$H179,0),IF(Option=2,MAX($H179-$Q179,0),0)),0))</f>
        <v> </v>
      </c>
      <c r="AA179" s="289" t="str">
        <f aca="false">IF($A179="N/A"," ",IF(Dayrun&gt;=3,(MAX(0,(xSPRDOPT(I179,($E179-'Pricing Inputs'!$X214*$D179),$CV179,0,($CN179+IF(Smile=TRUE(),VLOOKUP(MAX(-5,$H179-I179),Volsmile,2),0)),$CT179,$CU179,($A179-DateToday)+15,ABS(Option-2),0)-R179))),0))</f>
        <v> </v>
      </c>
      <c r="AB179" s="290" t="str">
        <f aca="false">IF($A179="N/A"," ",IF(Dayrun&gt;=6,MAX(0,(xSPRDOPT(J179,($E179-'Pricing Inputs'!$X214*$D179),$CV179,0,($CN179+IF(Smile=TRUE(),VLOOKUP(MAX(-5,$H179-J179),Volsmile,2),0)),$CT179,$CU179,($A179-DateToday)+15,ABS(Option-2),0)-S179)),0))</f>
        <v> </v>
      </c>
      <c r="AC179" s="290" t="str">
        <f aca="false">IF($A179="N/A"," ",IF(OR(Dayrun&lt;=2,Dayrun&gt;=9),IF(OffPeakEx=TRUE(),MAX(0,(xSPRDOPT(K179,($E179-'Pricing Inputs'!$X214*$D179),$CV179,0,($CQ179+IF(Smile=TRUE(),VLOOKUP(MAX(-5,$H179-K179),Volsmile,2),0)),$CT179,$CU179,($A179-DateToday)+15,ABS(Option-2),0)-T179)),0),0))</f>
        <v> </v>
      </c>
      <c r="AD179" s="290" t="str">
        <f aca="false">IF($A179="N/A"," ",IF(OR(Dayrun=1,Dayrun=4,Dayrun=5,Dayrun=7,Dayrun=8,Dayrun=10,Dayrun=11),MAX(0,(xSPRDOPT(L179,($E179-'Pricing Inputs'!$X214*$D179),$CV179,0,($CQ179+IF(Smile=TRUE(),VLOOKUP(MAX(-5,$H179-L179),Volsmile,2),0)),$CT179,$CU179,($A179-DateToday)+15,ABS(Option-2),0)-U179)),0))</f>
        <v> </v>
      </c>
      <c r="AE179" s="290" t="str">
        <f aca="false">IF($A179="N/A"," ",IF(OR(Dayrun=1,Dayrun=7,Dayrun=8,Dayrun=10,Dayrun=11),MAX(0,(xSPRDOPT(M179,($E179-'Pricing Inputs'!$X214*$D179),$CV179,0,($CQ179+IF(Smile=TRUE(),VLOOKUP(MAX(-5,$H179-M179),Volsmile,2),0)),$CT179,$CU179,($A179-DateToday)+15,ABS(Option-2),0)-V179)),0))</f>
        <v> </v>
      </c>
      <c r="AF179" s="290" t="str">
        <f aca="false">IF($A179="N/A"," ",IF(OR(Dayrun&lt;=2,Dayrun&gt;=10),IF(OffPeakEx=TRUE(),MAX(0,(xSPRDOPT(N179,($E179-'Pricing Inputs'!$X214*$D179),$CV179,0,($CQ179+IF(Smile=TRUE(),VLOOKUP(MAX(-5,$H179-N179),Volsmile,2),0)),$CT179,$CU179,($A179-DateToday)+15,ABS(Option-2),0)-W179)),0),0))</f>
        <v> </v>
      </c>
      <c r="AG179" s="290" t="str">
        <f aca="false">IF($A179="N/A"," ",IF(OR(Dayrun=1,Dayrun=5,Dayrun=8,Dayrun=11),MAX(0,(xSPRDOPT(O179,($E179-'Pricing Inputs'!$X214*$D179),$CV179,0,($CQ179+IF(Smile=TRUE(),VLOOKUP(MAX(-5,$H179-O179),Volsmile,2),0)),$CT179,$CU179,($A179-DateToday)+15,ABS(Option-2),0)-X179)),0))</f>
        <v> </v>
      </c>
      <c r="AH179" s="290" t="str">
        <f aca="false">IF($A179="N/A"," ",IF(OR(Dayrun=1,Dayrun=8,Dayrun=11),MAX(0,(xSPRDOPT(P179,($E179-'Pricing Inputs'!$X214*$D179),$CV179,0,($CQ179+IF(Smile=TRUE(),VLOOKUP(MAX(-5,$H179-P179),Volsmile,2),0)),$CT179,$CU179,($A179-DateToday)+15,ABS(Option-2),0)-Y179)),0))</f>
        <v> </v>
      </c>
      <c r="AI179" s="290" t="str">
        <f aca="false">IF($A179="N/A"," ",IF(OR(Dayrun&lt;=2,Dayrun&gt;=11),IF(OffPeakEx=TRUE(),MAX(0,(xSPRDOPT(Q179,($E179-'Pricing Inputs'!$X214*$D179),$CV179,0,($CQ179+IF(Smile=TRUE(),VLOOKUP(MAX(-5,$H179-Q179),Volsmile,2),0)),$CT179,$CU179,($A179-DateToday)+15,ABS(Option-2),0)-Z179)),0),0))</f>
        <v> </v>
      </c>
      <c r="AJ179" s="294" t="str">
        <f aca="false">IF($A179="N/A"," ",IF(Dayrun&gt;=3,IF(Option=1,$I179-$H179,IF(Option=2,$H179-$I179)),0))</f>
        <v> </v>
      </c>
      <c r="AK179" s="295" t="str">
        <f aca="false">IF($A179="N/A"," ",IF(Dayrun&gt;=6,IF(Option=1,$J179-H179,IF(Option=2,H179-$J179)),0))</f>
        <v> </v>
      </c>
      <c r="AL179" s="295" t="str">
        <f aca="false">IF($A179="N/A"," ",IF(OR(Dayrun&lt;=2,Dayrun&gt;=9),IF(Option=1,$K179-$H179,IF(Option=2,$H179-$K179)),0))</f>
        <v> </v>
      </c>
      <c r="AM179" s="295" t="str">
        <f aca="false">IF($A179="N/A"," ",IF(OR(Dayrun=1,Dayrun=4,Dayrun=5,Dayrun=7,Dayrun=8,Dayrun=10,Dayrun=11),IF(Option=1,$L179-H179,IF(Option=2,H179-$L179)),0))</f>
        <v> </v>
      </c>
      <c r="AN179" s="295" t="str">
        <f aca="false">IF($A179="N/A"," ",IF(OR(Dayrun=1,Dayrun=7,Dayrun=8,Dayrun=10,Dayrun=11),IF(Option=1,$M179-H179,IF(Option=2,H179-$M179)),0))</f>
        <v> </v>
      </c>
      <c r="AO179" s="295" t="str">
        <f aca="false">IF($A179="N/A"," ",IF(OR(Dayrun&lt;=2,Dayrun&gt;=9),IF(Option=1,$N179-$H179,IF(Option=2,$H179-$N179)),0))</f>
        <v> </v>
      </c>
      <c r="AP179" s="295" t="str">
        <f aca="false">IF($A179="N/A"," ",IF(OR(Dayrun=1,Dayrun=5,Dayrun=8,Dayrun=11),IF(Option=1,$O179-H179,IF(Option=2,H179-$O179)),0))</f>
        <v> </v>
      </c>
      <c r="AQ179" s="295" t="str">
        <f aca="false">IF($A179="N/A"," ",IF(OR(Dayrun=1,Dayrun=8,Dayrun=11),IF(Option=1,$P179-H179,IF(Option=2,H179-$P179)),0))</f>
        <v> </v>
      </c>
      <c r="AR179" s="296" t="str">
        <f aca="false">IF($A179="N/A"," ",IF(OR(Dayrun&lt;=2,Dayrun&gt;=9),IF(Option=1,$Q179-H179,IF(Option=2,H179-$Q179)),0))</f>
        <v> </v>
      </c>
      <c r="AS179" s="297" t="str">
        <f aca="false">IF($A179="N/A"," ",IF(VLOOKUP(MONTH($A179),ManualTable,2)=1,IF(Dayrun&gt;=3,$DE179*8*$CY179,0),0))</f>
        <v> </v>
      </c>
      <c r="AT179" s="297" t="str">
        <f aca="false">IF($A179="N/A"," ",IF(VLOOKUP(MONTH($A179),ManualTable,3)=1,IF(Dayrun&gt;=6,$DE179*8*$CY179,0),0))</f>
        <v> </v>
      </c>
      <c r="AU179" s="297" t="str">
        <f aca="false">IF($A179="N/A"," ",IF(VLOOKUP(MONTH($A179),ManualTable,4)=1,IF(OR(Dayrun&lt;=2,Dayrun&gt;=9),$DE179*8*$CY179,0),0))</f>
        <v> </v>
      </c>
      <c r="AV179" s="297" t="str">
        <f aca="false">IF($A179="N/A"," ",IF(VLOOKUP(MONTH($A179),ManualTable,5)=1,IF(OR(Dayrun=1,Dayrun=4,Dayrun=5,Dayrun=7,Dayrun=8,Dayrun=10,Dayrun=11),$DF179*8*$CY179,0),0))</f>
        <v> </v>
      </c>
      <c r="AW179" s="297" t="str">
        <f aca="false">IF($A179="N/A"," ",IF(VLOOKUP(MONTH($A179),ManualTable,6)=1,IF(OR(Dayrun=1,Dayrun=7,Dayrun=8,Dayrun=10,Dayrun=11),$DF179*8*$CY179,0),0))</f>
        <v> </v>
      </c>
      <c r="AX179" s="297" t="str">
        <f aca="false">IF($A179="N/A"," ",IF(VLOOKUP(MONTH($A179),ManualTable,7)=1,IF(OR(Dayrun&lt;=2,Dayrun&gt;=9),$DF179*8*$CY179,0),0))</f>
        <v> </v>
      </c>
      <c r="AY179" s="297" t="str">
        <f aca="false">IF($A179="N/A"," ",IF(VLOOKUP(MONTH($A179),ManualTable,8)=1,IF(OR(Dayrun=1,Dayrun=5,Dayrun=8,Dayrun=11),$DG179*8*$CY179,0),0))</f>
        <v> </v>
      </c>
      <c r="AZ179" s="297" t="str">
        <f aca="false">IF($A179="N/A"," ",IF(VLOOKUP(MONTH($A179),ManualTable,9)=1,IF(OR(Dayrun=1,Dayrun=8,Dayrun=11),$DG179*8*$CY179,0),0))</f>
        <v> </v>
      </c>
      <c r="BA179" s="298" t="str">
        <f aca="false">IF($A179="N/A"," ",IF(VLOOKUP(MONTH($A179),ManualTable,10)=1,IF(OR(Dayrun&lt;=2,Dayrun&gt;=9),$DG179*8*$CY179,0),0))</f>
        <v> </v>
      </c>
      <c r="BB179" s="299" t="str">
        <f aca="false">IF($A179="N/A"," ",IF(Dayrun&gt;=3,(MAX(0,(xSPRDOPT(I179,($E179-'Pricing Inputs'!$X214*$D179),$CV179,0,($CN179+IF(Smile=TRUE(),VLOOKUP(MAX(-5,$H179-I179),Volsmile,2),0)),$CT179,$CU179,($A179-DateToday)+15,ABS(Option-2),1)*DE179*8))),0))</f>
        <v> </v>
      </c>
      <c r="BC179" s="300" t="str">
        <f aca="false">IF($A179="N/A"," ",IF(Dayrun&gt;=6,MAX(0,(xSPRDOPT(J179,($E179-'Pricing Inputs'!$X214*$D179),$CV179,0,($CN179+IF(Smile=TRUE(),VLOOKUP(MAX(-5,$H179-J179),Volsmile,2),0)),$CT179,$CU179,($A179-DateToday)+15,ABS(Option-2),1)*DE179*8)),0))</f>
        <v> </v>
      </c>
      <c r="BD179" s="300" t="str">
        <f aca="false">IF($A179="N/A"," ",IF(OR(Dayrun&lt;=2,Dayrun&gt;=9),IF(OffPeakEx=TRUE(),MAX(0,(xSPRDOPT(K179,($E179-'Pricing Inputs'!$X214*$D179),$CV179,0,($CQ179+IF(Smile=TRUE(),VLOOKUP(MAX(-5,$H179-K179),Volsmile,2),0)),$CT179,$CU179,($A179-DateToday)+15,ABS(Option-2),1)*DE179*8)),0),0))</f>
        <v> </v>
      </c>
      <c r="BE179" s="300" t="str">
        <f aca="false">IF($A179="N/A"," ",IF(OR(Dayrun=1,Dayrun=4,Dayrun=5,Dayrun=7,Dayrun=8,Dayrun=10,Dayrun=11),MAX(0,(xSPRDOPT(L179,($E179-'Pricing Inputs'!$X214*$D179),$CV179,0,($CQ179+IF(Smile=TRUE(),VLOOKUP(MAX(-5,$H179-L179),Volsmile,2),0)),$CT179,$CU179,($A179-DateToday)+15,ABS(Option-2),1)*DF179*8)),0))</f>
        <v> </v>
      </c>
      <c r="BF179" s="300" t="str">
        <f aca="false">IF($A179="N/A"," ",IF(OR(Dayrun=1,Dayrun=7,Dayrun=8,Dayrun=10,Dayrun=11),MAX(0,(xSPRDOPT(M179,($E179-'Pricing Inputs'!$X214*$D179),$CV179,0,($CQ179+IF(Smile=TRUE(),VLOOKUP(MAX(-5,$H179-M179),Volsmile,2),0)),$CT179,$CU179,($A179-DateToday)+15,ABS(Option-2),1)*DF179*8)),0))</f>
        <v> </v>
      </c>
      <c r="BG179" s="300" t="str">
        <f aca="false">IF($A179="N/A"," ",IF(OR(Dayrun&lt;=2,Dayrun&gt;=10),IF(OffPeakEx=TRUE(),MAX(0,(xSPRDOPT(N179,($E179-'Pricing Inputs'!$X214*$D179),$CV179,0,($CQ179+IF(Smile=TRUE(),VLOOKUP(MAX(-5,$H179-N179),Volsmile,2),0)),$CT179,$CU179,($A179-DateToday)+15,ABS(Option-2),1)*DF179*8)),0),0))</f>
        <v> </v>
      </c>
      <c r="BH179" s="300" t="str">
        <f aca="false">IF($A179="N/A"," ",IF(OR(Dayrun=1,Dayrun=5,Dayrun=8,Dayrun=11),MAX(0,(xSPRDOPT(O179,($E179-'Pricing Inputs'!$X214*$D179),$CV179,0,($CQ179+IF(Smile=TRUE(),VLOOKUP(MAX(-5,$H179-O179),Volsmile,2),0)),$CT179,$CU179,($A179-DateToday)+15,ABS(Option-2),1)*DG179*8)),0))</f>
        <v> </v>
      </c>
      <c r="BI179" s="300" t="str">
        <f aca="false">IF($A179="N/A"," ",IF(OR(Dayrun=1,Dayrun=8,Dayrun=11),MAX(0,(xSPRDOPT(P179,($E179-'Pricing Inputs'!$X214*$D179),$CV179,0,($CQ179+IF(Smile=TRUE(),VLOOKUP(MAX(-5,$H179-P179),Volsmile,2),0)),$CT179,$CU179,($A179-DateToday)+15,ABS(Option-2),1)*DG179*8)),0))</f>
        <v> </v>
      </c>
      <c r="BJ179" s="301" t="str">
        <f aca="false">IF($A179="N/A"," ",IF(OR(Dayrun&lt;=2,Dayrun&gt;=11),IF(OffPeakEx=TRUE(),MAX(0,(xSPRDOPT(Q179,($E179-'Pricing Inputs'!$X214*$D179),$CV179,0,($CQ179+IF(Smile=TRUE(),VLOOKUP(MAX(-5,$H179-Q179),Volsmile,2),0)),$CT179,$CU179,($A179-DateToday)+15,ABS(Option-2),1)*DG179*8)),0),0))</f>
        <v> </v>
      </c>
      <c r="BK179" s="302" t="str">
        <f aca="false">IF($A179="N/A"," ",R179*$AS179)</f>
        <v> </v>
      </c>
      <c r="BL179" s="303" t="str">
        <f aca="false">IF($A179="N/A"," ",S179*$AT179)</f>
        <v> </v>
      </c>
      <c r="BM179" s="303" t="str">
        <f aca="false">IF($A179="N/A"," ",T179*$AU179)</f>
        <v> </v>
      </c>
      <c r="BN179" s="303" t="str">
        <f aca="false">IF($A179="N/A"," ",U179*$AV179)</f>
        <v> </v>
      </c>
      <c r="BO179" s="303" t="str">
        <f aca="false">IF($A179="N/A"," ",V179*$AW179)</f>
        <v> </v>
      </c>
      <c r="BP179" s="303" t="str">
        <f aca="false">IF($A179="N/A"," ",W179*$AX179)</f>
        <v> </v>
      </c>
      <c r="BQ179" s="303" t="str">
        <f aca="false">IF($A179="N/A"," ",X179*$AY179)</f>
        <v> </v>
      </c>
      <c r="BR179" s="303" t="str">
        <f aca="false">IF($A179="N/A"," ",Y179*$AZ179)</f>
        <v> </v>
      </c>
      <c r="BS179" s="304" t="str">
        <f aca="false">IF($A179="N/A"," ",Z179*$BA179)</f>
        <v> </v>
      </c>
      <c r="BT179" s="305" t="str">
        <f aca="false">IF($A179="N/A"," ",AA179*$AS179)</f>
        <v> </v>
      </c>
      <c r="BU179" s="306" t="str">
        <f aca="false">IF($A179="N/A"," ",AB179*$AT179)</f>
        <v> </v>
      </c>
      <c r="BV179" s="306" t="str">
        <f aca="false">IF($A179="N/A"," ",AC179*$AU179)</f>
        <v> </v>
      </c>
      <c r="BW179" s="306" t="str">
        <f aca="false">IF($A179="N/A"," ",AD179*$AV179)</f>
        <v> </v>
      </c>
      <c r="BX179" s="306" t="str">
        <f aca="false">IF($A179="N/A"," ",AE179*$AW179)</f>
        <v> </v>
      </c>
      <c r="BY179" s="306" t="str">
        <f aca="false">IF($A179="N/A"," ",AF179*$AX179)</f>
        <v> </v>
      </c>
      <c r="BZ179" s="306" t="str">
        <f aca="false">IF($A179="N/A"," ",AG179*$AY179)</f>
        <v> </v>
      </c>
      <c r="CA179" s="306" t="str">
        <f aca="false">IF($A179="N/A"," ",AH179*$AZ179)</f>
        <v> </v>
      </c>
      <c r="CB179" s="307" t="str">
        <f aca="false">IF($A179="N/A"," ",AI179*$BA179)</f>
        <v> </v>
      </c>
      <c r="CC179" s="308" t="str">
        <f aca="false">IF($A179="N/A"," ",AJ179*$AS179)</f>
        <v> </v>
      </c>
      <c r="CD179" s="309" t="str">
        <f aca="false">IF($A179="N/A"," ",AK179*$AT179)</f>
        <v> </v>
      </c>
      <c r="CE179" s="309" t="str">
        <f aca="false">IF($A179="N/A"," ",AL179*$AU179)</f>
        <v> </v>
      </c>
      <c r="CF179" s="309" t="str">
        <f aca="false">IF($A179="N/A"," ",AM179*$AV179)</f>
        <v> </v>
      </c>
      <c r="CG179" s="309" t="str">
        <f aca="false">IF($A179="N/A"," ",AN179*$AW179)</f>
        <v> </v>
      </c>
      <c r="CH179" s="309" t="str">
        <f aca="false">IF($A179="N/A"," ",AO179*$AX179)</f>
        <v> </v>
      </c>
      <c r="CI179" s="309" t="str">
        <f aca="false">IF($A179="N/A"," ",AP179*$AY179)</f>
        <v> </v>
      </c>
      <c r="CJ179" s="309" t="str">
        <f aca="false">IF($A179="N/A"," ",AQ179*$AZ179)</f>
        <v> </v>
      </c>
      <c r="CK179" s="310" t="str">
        <f aca="false">IF($A179="N/A"," ",AR179*$BA179)</f>
        <v> </v>
      </c>
      <c r="CL179" s="311" t="str">
        <f aca="false">IF(A179="N/A"," ",(VLOOKUP(A179,PowerVolTable,(IF(VolBMO=2,7,IF(VolBMO=1,6,8))),FALSE())))</f>
        <v> </v>
      </c>
      <c r="CM179" s="312" t="str">
        <f aca="false">IF(A179="N/A"," ",(VLOOKUP(A179,IntraPowerVol,(IF(VolBMO=2,3,IF(VolBMO=1,2,4))),FALSE())*VLOOKUP(MONTH($A179),Volscale,2)))</f>
        <v> </v>
      </c>
      <c r="CN179" s="312" t="str">
        <f aca="false">IF($A179="N/A"," ",IF(VolType=1,CM179,CL179))</f>
        <v> </v>
      </c>
      <c r="CO179" s="312" t="str">
        <f aca="false">IF($A179="N/A"," ",(VLOOKUP($A179,OffPeakVol,(IF(VolBMO=2,7,IF(VolBMO=1,6,8))),FALSE())))</f>
        <v> </v>
      </c>
      <c r="CP179" s="312" t="str">
        <f aca="false">IF($A179="N/A"," ",(VLOOKUP($A179,OffPeakVol,(IF(VolBMO=2,3,IF(VolBMO=1,2,4))),FALSE())*VLOOKUP(MONTH($A179),Volscale,2)))</f>
        <v> </v>
      </c>
      <c r="CQ179" s="312" t="str">
        <f aca="false">IF($A179="N/A"," ",IF(VolType=1,CP179,CO179))</f>
        <v> </v>
      </c>
      <c r="CR179" s="312" t="str">
        <f aca="false">IF($A179="N/A"," ",(VLOOKUP($A179,GasVolTable,(IF(VolBMO=2,6,IF(VolBMO=1,7,5))),FALSE())))</f>
        <v> </v>
      </c>
      <c r="CS179" s="312" t="str">
        <f aca="false">IF($A179="N/A"," ",(VLOOKUP($A179,OmicronVol,(IF(VolBMO=2,3,IF(VolBMO=1,4,2))),FALSE())))</f>
        <v> </v>
      </c>
      <c r="CT179" s="312" t="str">
        <f aca="false">IF($A179="N/A"," ",(IF(DateToday&gt;$A179,$CS179,IF(VolType=1,((($CR179^2)*((($A179-1)-DateToday)/((EOMONTH($A179,0)+1)-DateToday-15)))+((($CS179)^2)*((15)/((EOMONTH($A179,0)+1)-DateToday-15))))^0.5,CR179))))</f>
        <v> </v>
      </c>
      <c r="CU179" s="312" t="str">
        <f aca="false">IF($A179="N/A"," ",IF('Pricing Inputs'!$AR$23=TRUE(),Inputs!$S$22,VLOOKUP($A179,CorrelationTable,2,FALSE())))</f>
        <v> </v>
      </c>
      <c r="CV179" s="313" t="str">
        <f aca="false">IF($A179="N/A"," ",F179+G179+(D179*('Pricing Inputs'!X214)))</f>
        <v> </v>
      </c>
      <c r="CW179" s="314" t="str">
        <f aca="false">IF($A179="N/A"," ",IF(PV=1,0,'Pricing Inputs'!Y214))</f>
        <v> </v>
      </c>
      <c r="CX179" s="315" t="str">
        <f aca="false">IF($A179="N/A"," ",(1+CW179/2)^(-2*((EOMONTH(A179,0)+20)-DateToday)/365.25))</f>
        <v> </v>
      </c>
      <c r="CY179" s="316" t="str">
        <f aca="false">IF($A179="N/A"," ",(IF(MONTH(A179)&gt;=4,IF(MONTH(A179)&lt;=10,Inputs!$S$26,Inputs!$S$27),Inputs!$S$27))*$CX179)</f>
        <v> </v>
      </c>
      <c r="CZ179" s="317" t="str">
        <f aca="false">IF($A179="N/A"," ",BK179+BL179+BN179+BO179+BQ179+BR179)</f>
        <v> </v>
      </c>
      <c r="DA179" s="318" t="str">
        <f aca="false">IF($A179="N/A"," ",BM179+BP179+BS179)</f>
        <v> </v>
      </c>
      <c r="DB179" s="319" t="str">
        <f aca="false">IF($A179="N/A"," ",BT179+BU179+BW179+BX179+BZ179+CA179)</f>
        <v> </v>
      </c>
      <c r="DC179" s="319" t="str">
        <f aca="false">IF($A179="N/A"," ",BV179+BY179+CB179)</f>
        <v> </v>
      </c>
      <c r="DD179" s="320" t="str">
        <f aca="false">IF($A179="N/A"," ",SUM(CC179:CK179))</f>
        <v> </v>
      </c>
      <c r="DE179" s="321" t="str">
        <f aca="false">IF($A179="N/A"," ",VLOOKUP($A179,NumberofDaysTable,2)*Availability)</f>
        <v> </v>
      </c>
      <c r="DF179" s="94" t="str">
        <f aca="false">IF($A179="N/A"," ",VLOOKUP($A179,NumberofDaysTable,3)*Availability)</f>
        <v> </v>
      </c>
      <c r="DG179" s="322" t="str">
        <f aca="false">IF($A179="N/A"," ",VLOOKUP($A179,NumberofDaysTable,4)*Availability)</f>
        <v> </v>
      </c>
      <c r="DH179" s="323" t="str">
        <f aca="false">IF($A179="N/A"," ",IF(Option=1,$D179*Inputs!$S$15*SUM(AS179:BA179),0))</f>
        <v> </v>
      </c>
      <c r="DI179" s="324" t="str">
        <f aca="false">IF($A179="N/A"," ",IF(Option=1,$D179*Inputs!$S$16*SUM(AS179:BA179),0))</f>
        <v> </v>
      </c>
      <c r="DJ179" s="325" t="str">
        <f aca="false">IF($A179="N/A"," ",SUM(AS179:AT179))</f>
        <v> </v>
      </c>
      <c r="DK179" s="325" t="str">
        <f aca="false">IF($A179="N/A"," ",SUM(AU179:BA179))</f>
        <v> </v>
      </c>
      <c r="DL179" s="325" t="str">
        <f aca="false">IF($A179="N/A"," ",SUM(BB179:BC179))</f>
        <v> </v>
      </c>
      <c r="DM179" s="325" t="str">
        <f aca="false">IF($A179="N/A"," ",SUM(BD179:BJ179))</f>
        <v> </v>
      </c>
    </row>
    <row r="180" customFormat="false" ht="12.75" hidden="false" customHeight="false" outlineLevel="0" collapsed="false">
      <c r="A180" s="282" t="str">
        <f aca="false">IF(A179="N/A","N/A",IF(EDATE(A179,1)&gt;Inputs!$S$5,"N/A",EDATE(A179,1)))</f>
        <v>N/A</v>
      </c>
      <c r="B180" s="283" t="str">
        <f aca="false">IF(A180="N/A"," ",YEAR(A180))</f>
        <v> </v>
      </c>
      <c r="C180" s="284" t="str">
        <f aca="false">IF(A180="N/A"," ",VLOOKUP(A180,ScaledPrice,14))</f>
        <v> </v>
      </c>
      <c r="D180" s="285" t="str">
        <f aca="false">IF(A180="N/A"," ",(VLOOKUP(MONTH($A180),Hrtable,2))/1000)</f>
        <v> </v>
      </c>
      <c r="E180" s="286" t="str">
        <f aca="false">IF($A180="N/A"," ",(C180)*D180)</f>
        <v> </v>
      </c>
      <c r="F180" s="287" t="str">
        <f aca="false">IF(A180="N/A"," ",VOM*(1+VOMesc)^(YEAR(A180)-YEAR(Today)))</f>
        <v> </v>
      </c>
      <c r="G180" s="287" t="str">
        <f aca="false">IF(A180="N/A"," ",Perstart/VLOOKUP(Dayrun,'Pricing Inputs'!$AQ$4:$AS$14,3)/(CY180/CX180))</f>
        <v> </v>
      </c>
      <c r="H180" s="288" t="str">
        <f aca="false">IF(A180="N/A"," ",SUM(E180:G180))</f>
        <v> </v>
      </c>
      <c r="I180" s="289" t="str">
        <f aca="false">VLOOKUP($A180,ScaledPrice,6)</f>
        <v> </v>
      </c>
      <c r="J180" s="290" t="str">
        <f aca="false">VLOOKUP($A180,ScaledPrice,10)</f>
        <v> </v>
      </c>
      <c r="K180" s="290" t="str">
        <f aca="false">VLOOKUP($A180,ScaledPrice,13)</f>
        <v> </v>
      </c>
      <c r="L180" s="290" t="str">
        <f aca="false">VLOOKUP($A180,ScaledPrice,7)</f>
        <v> </v>
      </c>
      <c r="M180" s="290" t="str">
        <f aca="false">VLOOKUP($A180,ScaledPrice,11)</f>
        <v> </v>
      </c>
      <c r="N180" s="290" t="str">
        <f aca="false">VLOOKUP($A180,ScaledPrice,13)</f>
        <v> </v>
      </c>
      <c r="O180" s="290" t="str">
        <f aca="false">VLOOKUP($A180,ScaledPrice,8)</f>
        <v> </v>
      </c>
      <c r="P180" s="290" t="str">
        <f aca="false">VLOOKUP($A180,ScaledPrice,12)</f>
        <v> </v>
      </c>
      <c r="Q180" s="291" t="str">
        <f aca="false">VLOOKUP($A180,ScaledPrice,13)</f>
        <v> </v>
      </c>
      <c r="R180" s="292" t="str">
        <f aca="false">IF($A180="N/A"," ",IF(Dayrun&gt;=3,IF(Option=1,MAX($I180-$H180,0),IF(Option=2,MAX($H180-$I180,0),0)),0))</f>
        <v> </v>
      </c>
      <c r="S180" s="286" t="str">
        <f aca="false">IF($A180="N/A"," ",IF(Dayrun&gt;=6,IF(Option=1,MAX($J180-H180,0),IF(Option=2,MAX(H180-$J180,0),0)),0))</f>
        <v> </v>
      </c>
      <c r="T180" s="286" t="str">
        <f aca="false">IF($A180="N/A"," ",IF(OR(Dayrun&lt;=2,Dayrun&gt;=9),IF(Option=1,MAX($K180-$H180,0),IF(Option=2,MAX($H180-$K180,0),0)),0))</f>
        <v> </v>
      </c>
      <c r="U180" s="286" t="str">
        <f aca="false">IF($A180="N/A"," ",IF(OR(Dayrun=1,Dayrun=4,Dayrun=5,Dayrun=7,Dayrun=8,Dayrun=10,Dayrun=11),IF(Option=1,MAX($L180-H180,0),IF(Option=2,MAX(H180-$L180,0),0)),0))</f>
        <v> </v>
      </c>
      <c r="V180" s="286" t="str">
        <f aca="false">IF($A180="N/A"," ",IF(OR(Dayrun=1,Dayrun=7,Dayrun=8,Dayrun=10,Dayrun=11),IF(Option=1,MAX($M180-H180,0),IF(Option=2,MAX(H180-$M180,0),0)),0))</f>
        <v> </v>
      </c>
      <c r="W180" s="286" t="str">
        <f aca="false">IF($A180="N/A"," ",IF(OR(Dayrun&lt;=2,Dayrun&gt;=10),IF(Option=1,MAX($N180-$H180,0),IF(Option=2,MAX($H180-$N180,0),0)),0))</f>
        <v> </v>
      </c>
      <c r="X180" s="286" t="str">
        <f aca="false">IF($A180="N/A"," ",IF(OR(Dayrun=1,Dayrun=5,Dayrun=8,Dayrun=11),IF(Option=1,MAX($O180-H180,0),IF(Option=2,MAX(H180-$O180,0),0)),0))</f>
        <v> </v>
      </c>
      <c r="Y180" s="286" t="str">
        <f aca="false">IF($A180="N/A"," ",IF(OR(Dayrun=1,Dayrun=8,Dayrun=11),IF(Option=1,MAX($P180-H180,0),IF(Option=2,MAX(H180-$P180,0),0)),0))</f>
        <v> </v>
      </c>
      <c r="Z180" s="293" t="str">
        <f aca="false">IF($A180="N/A"," ",IF(OR(Dayrun&lt;=2,Dayrun&gt;=11),IF(Option=1,MAX($Q180-$H180,0),IF(Option=2,MAX($H180-$Q180,0),0)),0))</f>
        <v> </v>
      </c>
      <c r="AA180" s="289" t="str">
        <f aca="false">IF($A180="N/A"," ",IF(Dayrun&gt;=3,(MAX(0,(xSPRDOPT(I180,($E180-'Pricing Inputs'!$X215*$D180),$CV180,0,($CN180+IF(Smile=TRUE(),VLOOKUP(MAX(-5,$H180-I180),Volsmile,2),0)),$CT180,$CU180,($A180-DateToday)+15,ABS(Option-2),0)-R180))),0))</f>
        <v> </v>
      </c>
      <c r="AB180" s="290" t="str">
        <f aca="false">IF($A180="N/A"," ",IF(Dayrun&gt;=6,MAX(0,(xSPRDOPT(J180,($E180-'Pricing Inputs'!$X215*$D180),$CV180,0,($CN180+IF(Smile=TRUE(),VLOOKUP(MAX(-5,$H180-J180),Volsmile,2),0)),$CT180,$CU180,($A180-DateToday)+15,ABS(Option-2),0)-S180)),0))</f>
        <v> </v>
      </c>
      <c r="AC180" s="290" t="str">
        <f aca="false">IF($A180="N/A"," ",IF(OR(Dayrun&lt;=2,Dayrun&gt;=9),IF(OffPeakEx=TRUE(),MAX(0,(xSPRDOPT(K180,($E180-'Pricing Inputs'!$X215*$D180),$CV180,0,($CQ180+IF(Smile=TRUE(),VLOOKUP(MAX(-5,$H180-K180),Volsmile,2),0)),$CT180,$CU180,($A180-DateToday)+15,ABS(Option-2),0)-T180)),0),0))</f>
        <v> </v>
      </c>
      <c r="AD180" s="290" t="str">
        <f aca="false">IF($A180="N/A"," ",IF(OR(Dayrun=1,Dayrun=4,Dayrun=5,Dayrun=7,Dayrun=8,Dayrun=10,Dayrun=11),MAX(0,(xSPRDOPT(L180,($E180-'Pricing Inputs'!$X215*$D180),$CV180,0,($CQ180+IF(Smile=TRUE(),VLOOKUP(MAX(-5,$H180-L180),Volsmile,2),0)),$CT180,$CU180,($A180-DateToday)+15,ABS(Option-2),0)-U180)),0))</f>
        <v> </v>
      </c>
      <c r="AE180" s="290" t="str">
        <f aca="false">IF($A180="N/A"," ",IF(OR(Dayrun=1,Dayrun=7,Dayrun=8,Dayrun=10,Dayrun=11),MAX(0,(xSPRDOPT(M180,($E180-'Pricing Inputs'!$X215*$D180),$CV180,0,($CQ180+IF(Smile=TRUE(),VLOOKUP(MAX(-5,$H180-M180),Volsmile,2),0)),$CT180,$CU180,($A180-DateToday)+15,ABS(Option-2),0)-V180)),0))</f>
        <v> </v>
      </c>
      <c r="AF180" s="290" t="str">
        <f aca="false">IF($A180="N/A"," ",IF(OR(Dayrun&lt;=2,Dayrun&gt;=10),IF(OffPeakEx=TRUE(),MAX(0,(xSPRDOPT(N180,($E180-'Pricing Inputs'!$X215*$D180),$CV180,0,($CQ180+IF(Smile=TRUE(),VLOOKUP(MAX(-5,$H180-N180),Volsmile,2),0)),$CT180,$CU180,($A180-DateToday)+15,ABS(Option-2),0)-W180)),0),0))</f>
        <v> </v>
      </c>
      <c r="AG180" s="290" t="str">
        <f aca="false">IF($A180="N/A"," ",IF(OR(Dayrun=1,Dayrun=5,Dayrun=8,Dayrun=11),MAX(0,(xSPRDOPT(O180,($E180-'Pricing Inputs'!$X215*$D180),$CV180,0,($CQ180+IF(Smile=TRUE(),VLOOKUP(MAX(-5,$H180-O180),Volsmile,2),0)),$CT180,$CU180,($A180-DateToday)+15,ABS(Option-2),0)-X180)),0))</f>
        <v> </v>
      </c>
      <c r="AH180" s="290" t="str">
        <f aca="false">IF($A180="N/A"," ",IF(OR(Dayrun=1,Dayrun=8,Dayrun=11),MAX(0,(xSPRDOPT(P180,($E180-'Pricing Inputs'!$X215*$D180),$CV180,0,($CQ180+IF(Smile=TRUE(),VLOOKUP(MAX(-5,$H180-P180),Volsmile,2),0)),$CT180,$CU180,($A180-DateToday)+15,ABS(Option-2),0)-Y180)),0))</f>
        <v> </v>
      </c>
      <c r="AI180" s="290" t="str">
        <f aca="false">IF($A180="N/A"," ",IF(OR(Dayrun&lt;=2,Dayrun&gt;=11),IF(OffPeakEx=TRUE(),MAX(0,(xSPRDOPT(Q180,($E180-'Pricing Inputs'!$X215*$D180),$CV180,0,($CQ180+IF(Smile=TRUE(),VLOOKUP(MAX(-5,$H180-Q180),Volsmile,2),0)),$CT180,$CU180,($A180-DateToday)+15,ABS(Option-2),0)-Z180)),0),0))</f>
        <v> </v>
      </c>
      <c r="AJ180" s="294" t="str">
        <f aca="false">IF($A180="N/A"," ",IF(Dayrun&gt;=3,IF(Option=1,$I180-$H180,IF(Option=2,$H180-$I180)),0))</f>
        <v> </v>
      </c>
      <c r="AK180" s="295" t="str">
        <f aca="false">IF($A180="N/A"," ",IF(Dayrun&gt;=6,IF(Option=1,$J180-H180,IF(Option=2,H180-$J180)),0))</f>
        <v> </v>
      </c>
      <c r="AL180" s="295" t="str">
        <f aca="false">IF($A180="N/A"," ",IF(OR(Dayrun&lt;=2,Dayrun&gt;=9),IF(Option=1,$K180-$H180,IF(Option=2,$H180-$K180)),0))</f>
        <v> </v>
      </c>
      <c r="AM180" s="295" t="str">
        <f aca="false">IF($A180="N/A"," ",IF(OR(Dayrun=1,Dayrun=4,Dayrun=5,Dayrun=7,Dayrun=8,Dayrun=10,Dayrun=11),IF(Option=1,$L180-H180,IF(Option=2,H180-$L180)),0))</f>
        <v> </v>
      </c>
      <c r="AN180" s="295" t="str">
        <f aca="false">IF($A180="N/A"," ",IF(OR(Dayrun=1,Dayrun=7,Dayrun=8,Dayrun=10,Dayrun=11),IF(Option=1,$M180-H180,IF(Option=2,H180-$M180)),0))</f>
        <v> </v>
      </c>
      <c r="AO180" s="295" t="str">
        <f aca="false">IF($A180="N/A"," ",IF(OR(Dayrun&lt;=2,Dayrun&gt;=9),IF(Option=1,$N180-$H180,IF(Option=2,$H180-$N180)),0))</f>
        <v> </v>
      </c>
      <c r="AP180" s="295" t="str">
        <f aca="false">IF($A180="N/A"," ",IF(OR(Dayrun=1,Dayrun=5,Dayrun=8,Dayrun=11),IF(Option=1,$O180-H180,IF(Option=2,H180-$O180)),0))</f>
        <v> </v>
      </c>
      <c r="AQ180" s="295" t="str">
        <f aca="false">IF($A180="N/A"," ",IF(OR(Dayrun=1,Dayrun=8,Dayrun=11),IF(Option=1,$P180-H180,IF(Option=2,H180-$P180)),0))</f>
        <v> </v>
      </c>
      <c r="AR180" s="296" t="str">
        <f aca="false">IF($A180="N/A"," ",IF(OR(Dayrun&lt;=2,Dayrun&gt;=9),IF(Option=1,$Q180-H180,IF(Option=2,H180-$Q180)),0))</f>
        <v> </v>
      </c>
      <c r="AS180" s="297" t="str">
        <f aca="false">IF($A180="N/A"," ",IF(VLOOKUP(MONTH($A180),ManualTable,2)=1,IF(Dayrun&gt;=3,$DE180*8*$CY180,0),0))</f>
        <v> </v>
      </c>
      <c r="AT180" s="297" t="str">
        <f aca="false">IF($A180="N/A"," ",IF(VLOOKUP(MONTH($A180),ManualTable,3)=1,IF(Dayrun&gt;=6,$DE180*8*$CY180,0),0))</f>
        <v> </v>
      </c>
      <c r="AU180" s="297" t="str">
        <f aca="false">IF($A180="N/A"," ",IF(VLOOKUP(MONTH($A180),ManualTable,4)=1,IF(OR(Dayrun&lt;=2,Dayrun&gt;=9),$DE180*8*$CY180,0),0))</f>
        <v> </v>
      </c>
      <c r="AV180" s="297" t="str">
        <f aca="false">IF($A180="N/A"," ",IF(VLOOKUP(MONTH($A180),ManualTable,5)=1,IF(OR(Dayrun=1,Dayrun=4,Dayrun=5,Dayrun=7,Dayrun=8,Dayrun=10,Dayrun=11),$DF180*8*$CY180,0),0))</f>
        <v> </v>
      </c>
      <c r="AW180" s="297" t="str">
        <f aca="false">IF($A180="N/A"," ",IF(VLOOKUP(MONTH($A180),ManualTable,6)=1,IF(OR(Dayrun=1,Dayrun=7,Dayrun=8,Dayrun=10,Dayrun=11),$DF180*8*$CY180,0),0))</f>
        <v> </v>
      </c>
      <c r="AX180" s="297" t="str">
        <f aca="false">IF($A180="N/A"," ",IF(VLOOKUP(MONTH($A180),ManualTable,7)=1,IF(OR(Dayrun&lt;=2,Dayrun&gt;=9),$DF180*8*$CY180,0),0))</f>
        <v> </v>
      </c>
      <c r="AY180" s="297" t="str">
        <f aca="false">IF($A180="N/A"," ",IF(VLOOKUP(MONTH($A180),ManualTable,8)=1,IF(OR(Dayrun=1,Dayrun=5,Dayrun=8,Dayrun=11),$DG180*8*$CY180,0),0))</f>
        <v> </v>
      </c>
      <c r="AZ180" s="297" t="str">
        <f aca="false">IF($A180="N/A"," ",IF(VLOOKUP(MONTH($A180),ManualTable,9)=1,IF(OR(Dayrun=1,Dayrun=8,Dayrun=11),$DG180*8*$CY180,0),0))</f>
        <v> </v>
      </c>
      <c r="BA180" s="298" t="str">
        <f aca="false">IF($A180="N/A"," ",IF(VLOOKUP(MONTH($A180),ManualTable,10)=1,IF(OR(Dayrun&lt;=2,Dayrun&gt;=9),$DG180*8*$CY180,0),0))</f>
        <v> </v>
      </c>
      <c r="BB180" s="299" t="str">
        <f aca="false">IF($A180="N/A"," ",IF(Dayrun&gt;=3,(MAX(0,(xSPRDOPT(I180,($E180-'Pricing Inputs'!$X215*$D180),$CV180,0,($CN180+IF(Smile=TRUE(),VLOOKUP(MAX(-5,$H180-I180),Volsmile,2),0)),$CT180,$CU180,($A180-DateToday)+15,ABS(Option-2),1)*DE180*8))),0))</f>
        <v> </v>
      </c>
      <c r="BC180" s="300" t="str">
        <f aca="false">IF($A180="N/A"," ",IF(Dayrun&gt;=6,MAX(0,(xSPRDOPT(J180,($E180-'Pricing Inputs'!$X215*$D180),$CV180,0,($CN180+IF(Smile=TRUE(),VLOOKUP(MAX(-5,$H180-J180),Volsmile,2),0)),$CT180,$CU180,($A180-DateToday)+15,ABS(Option-2),1)*DE180*8)),0))</f>
        <v> </v>
      </c>
      <c r="BD180" s="300" t="str">
        <f aca="false">IF($A180="N/A"," ",IF(OR(Dayrun&lt;=2,Dayrun&gt;=9),IF(OffPeakEx=TRUE(),MAX(0,(xSPRDOPT(K180,($E180-'Pricing Inputs'!$X215*$D180),$CV180,0,($CQ180+IF(Smile=TRUE(),VLOOKUP(MAX(-5,$H180-K180),Volsmile,2),0)),$CT180,$CU180,($A180-DateToday)+15,ABS(Option-2),1)*DE180*8)),0),0))</f>
        <v> </v>
      </c>
      <c r="BE180" s="300" t="str">
        <f aca="false">IF($A180="N/A"," ",IF(OR(Dayrun=1,Dayrun=4,Dayrun=5,Dayrun=7,Dayrun=8,Dayrun=10,Dayrun=11),MAX(0,(xSPRDOPT(L180,($E180-'Pricing Inputs'!$X215*$D180),$CV180,0,($CQ180+IF(Smile=TRUE(),VLOOKUP(MAX(-5,$H180-L180),Volsmile,2),0)),$CT180,$CU180,($A180-DateToday)+15,ABS(Option-2),1)*DF180*8)),0))</f>
        <v> </v>
      </c>
      <c r="BF180" s="300" t="str">
        <f aca="false">IF($A180="N/A"," ",IF(OR(Dayrun=1,Dayrun=7,Dayrun=8,Dayrun=10,Dayrun=11),MAX(0,(xSPRDOPT(M180,($E180-'Pricing Inputs'!$X215*$D180),$CV180,0,($CQ180+IF(Smile=TRUE(),VLOOKUP(MAX(-5,$H180-M180),Volsmile,2),0)),$CT180,$CU180,($A180-DateToday)+15,ABS(Option-2),1)*DF180*8)),0))</f>
        <v> </v>
      </c>
      <c r="BG180" s="300" t="str">
        <f aca="false">IF($A180="N/A"," ",IF(OR(Dayrun&lt;=2,Dayrun&gt;=10),IF(OffPeakEx=TRUE(),MAX(0,(xSPRDOPT(N180,($E180-'Pricing Inputs'!$X215*$D180),$CV180,0,($CQ180+IF(Smile=TRUE(),VLOOKUP(MAX(-5,$H180-N180),Volsmile,2),0)),$CT180,$CU180,($A180-DateToday)+15,ABS(Option-2),1)*DF180*8)),0),0))</f>
        <v> </v>
      </c>
      <c r="BH180" s="300" t="str">
        <f aca="false">IF($A180="N/A"," ",IF(OR(Dayrun=1,Dayrun=5,Dayrun=8,Dayrun=11),MAX(0,(xSPRDOPT(O180,($E180-'Pricing Inputs'!$X215*$D180),$CV180,0,($CQ180+IF(Smile=TRUE(),VLOOKUP(MAX(-5,$H180-O180),Volsmile,2),0)),$CT180,$CU180,($A180-DateToday)+15,ABS(Option-2),1)*DG180*8)),0))</f>
        <v> </v>
      </c>
      <c r="BI180" s="300" t="str">
        <f aca="false">IF($A180="N/A"," ",IF(OR(Dayrun=1,Dayrun=8,Dayrun=11),MAX(0,(xSPRDOPT(P180,($E180-'Pricing Inputs'!$X215*$D180),$CV180,0,($CQ180+IF(Smile=TRUE(),VLOOKUP(MAX(-5,$H180-P180),Volsmile,2),0)),$CT180,$CU180,($A180-DateToday)+15,ABS(Option-2),1)*DG180*8)),0))</f>
        <v> </v>
      </c>
      <c r="BJ180" s="301" t="str">
        <f aca="false">IF($A180="N/A"," ",IF(OR(Dayrun&lt;=2,Dayrun&gt;=11),IF(OffPeakEx=TRUE(),MAX(0,(xSPRDOPT(Q180,($E180-'Pricing Inputs'!$X215*$D180),$CV180,0,($CQ180+IF(Smile=TRUE(),VLOOKUP(MAX(-5,$H180-Q180),Volsmile,2),0)),$CT180,$CU180,($A180-DateToday)+15,ABS(Option-2),1)*DG180*8)),0),0))</f>
        <v> </v>
      </c>
      <c r="BK180" s="302" t="str">
        <f aca="false">IF($A180="N/A"," ",R180*$AS180)</f>
        <v> </v>
      </c>
      <c r="BL180" s="303" t="str">
        <f aca="false">IF($A180="N/A"," ",S180*$AT180)</f>
        <v> </v>
      </c>
      <c r="BM180" s="303" t="str">
        <f aca="false">IF($A180="N/A"," ",T180*$AU180)</f>
        <v> </v>
      </c>
      <c r="BN180" s="303" t="str">
        <f aca="false">IF($A180="N/A"," ",U180*$AV180)</f>
        <v> </v>
      </c>
      <c r="BO180" s="303" t="str">
        <f aca="false">IF($A180="N/A"," ",V180*$AW180)</f>
        <v> </v>
      </c>
      <c r="BP180" s="303" t="str">
        <f aca="false">IF($A180="N/A"," ",W180*$AX180)</f>
        <v> </v>
      </c>
      <c r="BQ180" s="303" t="str">
        <f aca="false">IF($A180="N/A"," ",X180*$AY180)</f>
        <v> </v>
      </c>
      <c r="BR180" s="303" t="str">
        <f aca="false">IF($A180="N/A"," ",Y180*$AZ180)</f>
        <v> </v>
      </c>
      <c r="BS180" s="304" t="str">
        <f aca="false">IF($A180="N/A"," ",Z180*$BA180)</f>
        <v> </v>
      </c>
      <c r="BT180" s="305" t="str">
        <f aca="false">IF($A180="N/A"," ",AA180*$AS180)</f>
        <v> </v>
      </c>
      <c r="BU180" s="306" t="str">
        <f aca="false">IF($A180="N/A"," ",AB180*$AT180)</f>
        <v> </v>
      </c>
      <c r="BV180" s="306" t="str">
        <f aca="false">IF($A180="N/A"," ",AC180*$AU180)</f>
        <v> </v>
      </c>
      <c r="BW180" s="306" t="str">
        <f aca="false">IF($A180="N/A"," ",AD180*$AV180)</f>
        <v> </v>
      </c>
      <c r="BX180" s="306" t="str">
        <f aca="false">IF($A180="N/A"," ",AE180*$AW180)</f>
        <v> </v>
      </c>
      <c r="BY180" s="306" t="str">
        <f aca="false">IF($A180="N/A"," ",AF180*$AX180)</f>
        <v> </v>
      </c>
      <c r="BZ180" s="306" t="str">
        <f aca="false">IF($A180="N/A"," ",AG180*$AY180)</f>
        <v> </v>
      </c>
      <c r="CA180" s="306" t="str">
        <f aca="false">IF($A180="N/A"," ",AH180*$AZ180)</f>
        <v> </v>
      </c>
      <c r="CB180" s="307" t="str">
        <f aca="false">IF($A180="N/A"," ",AI180*$BA180)</f>
        <v> </v>
      </c>
      <c r="CC180" s="308" t="str">
        <f aca="false">IF($A180="N/A"," ",AJ180*$AS180)</f>
        <v> </v>
      </c>
      <c r="CD180" s="309" t="str">
        <f aca="false">IF($A180="N/A"," ",AK180*$AT180)</f>
        <v> </v>
      </c>
      <c r="CE180" s="309" t="str">
        <f aca="false">IF($A180="N/A"," ",AL180*$AU180)</f>
        <v> </v>
      </c>
      <c r="CF180" s="309" t="str">
        <f aca="false">IF($A180="N/A"," ",AM180*$AV180)</f>
        <v> </v>
      </c>
      <c r="CG180" s="309" t="str">
        <f aca="false">IF($A180="N/A"," ",AN180*$AW180)</f>
        <v> </v>
      </c>
      <c r="CH180" s="309" t="str">
        <f aca="false">IF($A180="N/A"," ",AO180*$AX180)</f>
        <v> </v>
      </c>
      <c r="CI180" s="309" t="str">
        <f aca="false">IF($A180="N/A"," ",AP180*$AY180)</f>
        <v> </v>
      </c>
      <c r="CJ180" s="309" t="str">
        <f aca="false">IF($A180="N/A"," ",AQ180*$AZ180)</f>
        <v> </v>
      </c>
      <c r="CK180" s="310" t="str">
        <f aca="false">IF($A180="N/A"," ",AR180*$BA180)</f>
        <v> </v>
      </c>
      <c r="CL180" s="311" t="str">
        <f aca="false">IF(A180="N/A"," ",(VLOOKUP(A180,PowerVolTable,(IF(VolBMO=2,7,IF(VolBMO=1,6,8))),FALSE())))</f>
        <v> </v>
      </c>
      <c r="CM180" s="312" t="str">
        <f aca="false">IF(A180="N/A"," ",(VLOOKUP(A180,IntraPowerVol,(IF(VolBMO=2,3,IF(VolBMO=1,2,4))),FALSE())*VLOOKUP(MONTH($A180),Volscale,2)))</f>
        <v> </v>
      </c>
      <c r="CN180" s="312" t="str">
        <f aca="false">IF($A180="N/A"," ",IF(VolType=1,CM180,CL180))</f>
        <v> </v>
      </c>
      <c r="CO180" s="312" t="str">
        <f aca="false">IF($A180="N/A"," ",(VLOOKUP($A180,OffPeakVol,(IF(VolBMO=2,7,IF(VolBMO=1,6,8))),FALSE())))</f>
        <v> </v>
      </c>
      <c r="CP180" s="312" t="str">
        <f aca="false">IF($A180="N/A"," ",(VLOOKUP($A180,OffPeakVol,(IF(VolBMO=2,3,IF(VolBMO=1,2,4))),FALSE())*VLOOKUP(MONTH($A180),Volscale,2)))</f>
        <v> </v>
      </c>
      <c r="CQ180" s="312" t="str">
        <f aca="false">IF($A180="N/A"," ",IF(VolType=1,CP180,CO180))</f>
        <v> </v>
      </c>
      <c r="CR180" s="312" t="str">
        <f aca="false">IF($A180="N/A"," ",(VLOOKUP($A180,GasVolTable,(IF(VolBMO=2,6,IF(VolBMO=1,7,5))),FALSE())))</f>
        <v> </v>
      </c>
      <c r="CS180" s="312" t="str">
        <f aca="false">IF($A180="N/A"," ",(VLOOKUP($A180,OmicronVol,(IF(VolBMO=2,3,IF(VolBMO=1,4,2))),FALSE())))</f>
        <v> </v>
      </c>
      <c r="CT180" s="312" t="str">
        <f aca="false">IF($A180="N/A"," ",(IF(DateToday&gt;$A180,$CS180,IF(VolType=1,((($CR180^2)*((($A180-1)-DateToday)/((EOMONTH($A180,0)+1)-DateToday-15)))+((($CS180)^2)*((15)/((EOMONTH($A180,0)+1)-DateToday-15))))^0.5,CR180))))</f>
        <v> </v>
      </c>
      <c r="CU180" s="312" t="str">
        <f aca="false">IF($A180="N/A"," ",IF('Pricing Inputs'!$AR$23=TRUE(),Inputs!$S$22,VLOOKUP($A180,CorrelationTable,2,FALSE())))</f>
        <v> </v>
      </c>
      <c r="CV180" s="313" t="str">
        <f aca="false">IF($A180="N/A"," ",F180+G180+(D180*('Pricing Inputs'!X215)))</f>
        <v> </v>
      </c>
      <c r="CW180" s="314" t="str">
        <f aca="false">IF($A180="N/A"," ",IF(PV=1,0,'Pricing Inputs'!Y215))</f>
        <v> </v>
      </c>
      <c r="CX180" s="315" t="str">
        <f aca="false">IF($A180="N/A"," ",(1+CW180/2)^(-2*((EOMONTH(A180,0)+20)-DateToday)/365.25))</f>
        <v> </v>
      </c>
      <c r="CY180" s="316" t="str">
        <f aca="false">IF($A180="N/A"," ",(IF(MONTH(A180)&gt;=4,IF(MONTH(A180)&lt;=10,Inputs!$S$26,Inputs!$S$27),Inputs!$S$27))*$CX180)</f>
        <v> </v>
      </c>
      <c r="CZ180" s="317" t="str">
        <f aca="false">IF($A180="N/A"," ",BK180+BL180+BN180+BO180+BQ180+BR180)</f>
        <v> </v>
      </c>
      <c r="DA180" s="318" t="str">
        <f aca="false">IF($A180="N/A"," ",BM180+BP180+BS180)</f>
        <v> </v>
      </c>
      <c r="DB180" s="319" t="str">
        <f aca="false">IF($A180="N/A"," ",BT180+BU180+BW180+BX180+BZ180+CA180)</f>
        <v> </v>
      </c>
      <c r="DC180" s="319" t="str">
        <f aca="false">IF($A180="N/A"," ",BV180+BY180+CB180)</f>
        <v> </v>
      </c>
      <c r="DD180" s="320" t="str">
        <f aca="false">IF($A180="N/A"," ",SUM(CC180:CK180))</f>
        <v> </v>
      </c>
      <c r="DE180" s="321" t="str">
        <f aca="false">IF($A180="N/A"," ",VLOOKUP($A180,NumberofDaysTable,2)*Availability)</f>
        <v> </v>
      </c>
      <c r="DF180" s="94" t="str">
        <f aca="false">IF($A180="N/A"," ",VLOOKUP($A180,NumberofDaysTable,3)*Availability)</f>
        <v> </v>
      </c>
      <c r="DG180" s="322" t="str">
        <f aca="false">IF($A180="N/A"," ",VLOOKUP($A180,NumberofDaysTable,4)*Availability)</f>
        <v> </v>
      </c>
      <c r="DH180" s="323" t="str">
        <f aca="false">IF($A180="N/A"," ",IF(Option=1,$D180*Inputs!$S$15*SUM(AS180:BA180),0))</f>
        <v> </v>
      </c>
      <c r="DI180" s="324" t="str">
        <f aca="false">IF($A180="N/A"," ",IF(Option=1,$D180*Inputs!$S$16*SUM(AS180:BA180),0))</f>
        <v> </v>
      </c>
      <c r="DJ180" s="325" t="str">
        <f aca="false">IF($A180="N/A"," ",SUM(AS180:AT180))</f>
        <v> </v>
      </c>
      <c r="DK180" s="325" t="str">
        <f aca="false">IF($A180="N/A"," ",SUM(AU180:BA180))</f>
        <v> </v>
      </c>
      <c r="DL180" s="325" t="str">
        <f aca="false">IF($A180="N/A"," ",SUM(BB180:BC180))</f>
        <v> </v>
      </c>
      <c r="DM180" s="325" t="str">
        <f aca="false">IF($A180="N/A"," ",SUM(BD180:BJ180))</f>
        <v> </v>
      </c>
    </row>
    <row r="181" customFormat="false" ht="12.75" hidden="false" customHeight="false" outlineLevel="0" collapsed="false">
      <c r="A181" s="282" t="str">
        <f aca="false">IF(A180="N/A","N/A",IF(EDATE(A180,1)&gt;Inputs!$S$5,"N/A",EDATE(A180,1)))</f>
        <v>N/A</v>
      </c>
      <c r="B181" s="283" t="str">
        <f aca="false">IF(A181="N/A"," ",YEAR(A181))</f>
        <v> </v>
      </c>
      <c r="C181" s="284" t="str">
        <f aca="false">IF(A181="N/A"," ",VLOOKUP(A181,ScaledPrice,14))</f>
        <v> </v>
      </c>
      <c r="D181" s="285" t="str">
        <f aca="false">IF(A181="N/A"," ",(VLOOKUP(MONTH($A181),Hrtable,2))/1000)</f>
        <v> </v>
      </c>
      <c r="E181" s="286" t="str">
        <f aca="false">IF($A181="N/A"," ",(C181)*D181)</f>
        <v> </v>
      </c>
      <c r="F181" s="287" t="str">
        <f aca="false">IF(A181="N/A"," ",VOM*(1+VOMesc)^(YEAR(A181)-YEAR(Today)))</f>
        <v> </v>
      </c>
      <c r="G181" s="287" t="str">
        <f aca="false">IF(A181="N/A"," ",Perstart/VLOOKUP(Dayrun,'Pricing Inputs'!$AQ$4:$AS$14,3)/(CY181/CX181))</f>
        <v> </v>
      </c>
      <c r="H181" s="288" t="str">
        <f aca="false">IF(A181="N/A"," ",SUM(E181:G181))</f>
        <v> </v>
      </c>
      <c r="I181" s="289" t="str">
        <f aca="false">VLOOKUP($A181,ScaledPrice,6)</f>
        <v> </v>
      </c>
      <c r="J181" s="290" t="str">
        <f aca="false">VLOOKUP($A181,ScaledPrice,10)</f>
        <v> </v>
      </c>
      <c r="K181" s="290" t="str">
        <f aca="false">VLOOKUP($A181,ScaledPrice,13)</f>
        <v> </v>
      </c>
      <c r="L181" s="290" t="str">
        <f aca="false">VLOOKUP($A181,ScaledPrice,7)</f>
        <v> </v>
      </c>
      <c r="M181" s="290" t="str">
        <f aca="false">VLOOKUP($A181,ScaledPrice,11)</f>
        <v> </v>
      </c>
      <c r="N181" s="290" t="str">
        <f aca="false">VLOOKUP($A181,ScaledPrice,13)</f>
        <v> </v>
      </c>
      <c r="O181" s="290" t="str">
        <f aca="false">VLOOKUP($A181,ScaledPrice,8)</f>
        <v> </v>
      </c>
      <c r="P181" s="290" t="str">
        <f aca="false">VLOOKUP($A181,ScaledPrice,12)</f>
        <v> </v>
      </c>
      <c r="Q181" s="291" t="str">
        <f aca="false">VLOOKUP($A181,ScaledPrice,13)</f>
        <v> </v>
      </c>
      <c r="R181" s="292" t="str">
        <f aca="false">IF($A181="N/A"," ",IF(Dayrun&gt;=3,IF(Option=1,MAX($I181-$H181,0),IF(Option=2,MAX($H181-$I181,0),0)),0))</f>
        <v> </v>
      </c>
      <c r="S181" s="286" t="str">
        <f aca="false">IF($A181="N/A"," ",IF(Dayrun&gt;=6,IF(Option=1,MAX($J181-H181,0),IF(Option=2,MAX(H181-$J181,0),0)),0))</f>
        <v> </v>
      </c>
      <c r="T181" s="286" t="str">
        <f aca="false">IF($A181="N/A"," ",IF(OR(Dayrun&lt;=2,Dayrun&gt;=9),IF(Option=1,MAX($K181-$H181,0),IF(Option=2,MAX($H181-$K181,0),0)),0))</f>
        <v> </v>
      </c>
      <c r="U181" s="286" t="str">
        <f aca="false">IF($A181="N/A"," ",IF(OR(Dayrun=1,Dayrun=4,Dayrun=5,Dayrun=7,Dayrun=8,Dayrun=10,Dayrun=11),IF(Option=1,MAX($L181-H181,0),IF(Option=2,MAX(H181-$L181,0),0)),0))</f>
        <v> </v>
      </c>
      <c r="V181" s="286" t="str">
        <f aca="false">IF($A181="N/A"," ",IF(OR(Dayrun=1,Dayrun=7,Dayrun=8,Dayrun=10,Dayrun=11),IF(Option=1,MAX($M181-H181,0),IF(Option=2,MAX(H181-$M181,0),0)),0))</f>
        <v> </v>
      </c>
      <c r="W181" s="286" t="str">
        <f aca="false">IF($A181="N/A"," ",IF(OR(Dayrun&lt;=2,Dayrun&gt;=10),IF(Option=1,MAX($N181-$H181,0),IF(Option=2,MAX($H181-$N181,0),0)),0))</f>
        <v> </v>
      </c>
      <c r="X181" s="286" t="str">
        <f aca="false">IF($A181="N/A"," ",IF(OR(Dayrun=1,Dayrun=5,Dayrun=8,Dayrun=11),IF(Option=1,MAX($O181-H181,0),IF(Option=2,MAX(H181-$O181,0),0)),0))</f>
        <v> </v>
      </c>
      <c r="Y181" s="286" t="str">
        <f aca="false">IF($A181="N/A"," ",IF(OR(Dayrun=1,Dayrun=8,Dayrun=11),IF(Option=1,MAX($P181-H181,0),IF(Option=2,MAX(H181-$P181,0),0)),0))</f>
        <v> </v>
      </c>
      <c r="Z181" s="293" t="str">
        <f aca="false">IF($A181="N/A"," ",IF(OR(Dayrun&lt;=2,Dayrun&gt;=11),IF(Option=1,MAX($Q181-$H181,0),IF(Option=2,MAX($H181-$Q181,0),0)),0))</f>
        <v> </v>
      </c>
      <c r="AA181" s="289" t="str">
        <f aca="false">IF($A181="N/A"," ",IF(Dayrun&gt;=3,(MAX(0,(xSPRDOPT(I181,($E181-'Pricing Inputs'!$X216*$D181),$CV181,0,($CN181+IF(Smile=TRUE(),VLOOKUP(MAX(-5,$H181-I181),Volsmile,2),0)),$CT181,$CU181,($A181-DateToday)+15,ABS(Option-2),0)-R181))),0))</f>
        <v> </v>
      </c>
      <c r="AB181" s="290" t="str">
        <f aca="false">IF($A181="N/A"," ",IF(Dayrun&gt;=6,MAX(0,(xSPRDOPT(J181,($E181-'Pricing Inputs'!$X216*$D181),$CV181,0,($CN181+IF(Smile=TRUE(),VLOOKUP(MAX(-5,$H181-J181),Volsmile,2),0)),$CT181,$CU181,($A181-DateToday)+15,ABS(Option-2),0)-S181)),0))</f>
        <v> </v>
      </c>
      <c r="AC181" s="290" t="str">
        <f aca="false">IF($A181="N/A"," ",IF(OR(Dayrun&lt;=2,Dayrun&gt;=9),IF(OffPeakEx=TRUE(),MAX(0,(xSPRDOPT(K181,($E181-'Pricing Inputs'!$X216*$D181),$CV181,0,($CQ181+IF(Smile=TRUE(),VLOOKUP(MAX(-5,$H181-K181),Volsmile,2),0)),$CT181,$CU181,($A181-DateToday)+15,ABS(Option-2),0)-T181)),0),0))</f>
        <v> </v>
      </c>
      <c r="AD181" s="290" t="str">
        <f aca="false">IF($A181="N/A"," ",IF(OR(Dayrun=1,Dayrun=4,Dayrun=5,Dayrun=7,Dayrun=8,Dayrun=10,Dayrun=11),MAX(0,(xSPRDOPT(L181,($E181-'Pricing Inputs'!$X216*$D181),$CV181,0,($CQ181+IF(Smile=TRUE(),VLOOKUP(MAX(-5,$H181-L181),Volsmile,2),0)),$CT181,$CU181,($A181-DateToday)+15,ABS(Option-2),0)-U181)),0))</f>
        <v> </v>
      </c>
      <c r="AE181" s="290" t="str">
        <f aca="false">IF($A181="N/A"," ",IF(OR(Dayrun=1,Dayrun=7,Dayrun=8,Dayrun=10,Dayrun=11),MAX(0,(xSPRDOPT(M181,($E181-'Pricing Inputs'!$X216*$D181),$CV181,0,($CQ181+IF(Smile=TRUE(),VLOOKUP(MAX(-5,$H181-M181),Volsmile,2),0)),$CT181,$CU181,($A181-DateToday)+15,ABS(Option-2),0)-V181)),0))</f>
        <v> </v>
      </c>
      <c r="AF181" s="290" t="str">
        <f aca="false">IF($A181="N/A"," ",IF(OR(Dayrun&lt;=2,Dayrun&gt;=10),IF(OffPeakEx=TRUE(),MAX(0,(xSPRDOPT(N181,($E181-'Pricing Inputs'!$X216*$D181),$CV181,0,($CQ181+IF(Smile=TRUE(),VLOOKUP(MAX(-5,$H181-N181),Volsmile,2),0)),$CT181,$CU181,($A181-DateToday)+15,ABS(Option-2),0)-W181)),0),0))</f>
        <v> </v>
      </c>
      <c r="AG181" s="290" t="str">
        <f aca="false">IF($A181="N/A"," ",IF(OR(Dayrun=1,Dayrun=5,Dayrun=8,Dayrun=11),MAX(0,(xSPRDOPT(O181,($E181-'Pricing Inputs'!$X216*$D181),$CV181,0,($CQ181+IF(Smile=TRUE(),VLOOKUP(MAX(-5,$H181-O181),Volsmile,2),0)),$CT181,$CU181,($A181-DateToday)+15,ABS(Option-2),0)-X181)),0))</f>
        <v> </v>
      </c>
      <c r="AH181" s="290" t="str">
        <f aca="false">IF($A181="N/A"," ",IF(OR(Dayrun=1,Dayrun=8,Dayrun=11),MAX(0,(xSPRDOPT(P181,($E181-'Pricing Inputs'!$X216*$D181),$CV181,0,($CQ181+IF(Smile=TRUE(),VLOOKUP(MAX(-5,$H181-P181),Volsmile,2),0)),$CT181,$CU181,($A181-DateToday)+15,ABS(Option-2),0)-Y181)),0))</f>
        <v> </v>
      </c>
      <c r="AI181" s="290" t="str">
        <f aca="false">IF($A181="N/A"," ",IF(OR(Dayrun&lt;=2,Dayrun&gt;=11),IF(OffPeakEx=TRUE(),MAX(0,(xSPRDOPT(Q181,($E181-'Pricing Inputs'!$X216*$D181),$CV181,0,($CQ181+IF(Smile=TRUE(),VLOOKUP(MAX(-5,$H181-Q181),Volsmile,2),0)),$CT181,$CU181,($A181-DateToday)+15,ABS(Option-2),0)-Z181)),0),0))</f>
        <v> </v>
      </c>
      <c r="AJ181" s="294" t="str">
        <f aca="false">IF($A181="N/A"," ",IF(Dayrun&gt;=3,IF(Option=1,$I181-$H181,IF(Option=2,$H181-$I181)),0))</f>
        <v> </v>
      </c>
      <c r="AK181" s="295" t="str">
        <f aca="false">IF($A181="N/A"," ",IF(Dayrun&gt;=6,IF(Option=1,$J181-H181,IF(Option=2,H181-$J181)),0))</f>
        <v> </v>
      </c>
      <c r="AL181" s="295" t="str">
        <f aca="false">IF($A181="N/A"," ",IF(OR(Dayrun&lt;=2,Dayrun&gt;=9),IF(Option=1,$K181-$H181,IF(Option=2,$H181-$K181)),0))</f>
        <v> </v>
      </c>
      <c r="AM181" s="295" t="str">
        <f aca="false">IF($A181="N/A"," ",IF(OR(Dayrun=1,Dayrun=4,Dayrun=5,Dayrun=7,Dayrun=8,Dayrun=10,Dayrun=11),IF(Option=1,$L181-H181,IF(Option=2,H181-$L181)),0))</f>
        <v> </v>
      </c>
      <c r="AN181" s="295" t="str">
        <f aca="false">IF($A181="N/A"," ",IF(OR(Dayrun=1,Dayrun=7,Dayrun=8,Dayrun=10,Dayrun=11),IF(Option=1,$M181-H181,IF(Option=2,H181-$M181)),0))</f>
        <v> </v>
      </c>
      <c r="AO181" s="295" t="str">
        <f aca="false">IF($A181="N/A"," ",IF(OR(Dayrun&lt;=2,Dayrun&gt;=9),IF(Option=1,$N181-$H181,IF(Option=2,$H181-$N181)),0))</f>
        <v> </v>
      </c>
      <c r="AP181" s="295" t="str">
        <f aca="false">IF($A181="N/A"," ",IF(OR(Dayrun=1,Dayrun=5,Dayrun=8,Dayrun=11),IF(Option=1,$O181-H181,IF(Option=2,H181-$O181)),0))</f>
        <v> </v>
      </c>
      <c r="AQ181" s="295" t="str">
        <f aca="false">IF($A181="N/A"," ",IF(OR(Dayrun=1,Dayrun=8,Dayrun=11),IF(Option=1,$P181-H181,IF(Option=2,H181-$P181)),0))</f>
        <v> </v>
      </c>
      <c r="AR181" s="296" t="str">
        <f aca="false">IF($A181="N/A"," ",IF(OR(Dayrun&lt;=2,Dayrun&gt;=9),IF(Option=1,$Q181-H181,IF(Option=2,H181-$Q181)),0))</f>
        <v> </v>
      </c>
      <c r="AS181" s="297" t="str">
        <f aca="false">IF($A181="N/A"," ",IF(VLOOKUP(MONTH($A181),ManualTable,2)=1,IF(Dayrun&gt;=3,$DE181*8*$CY181,0),0))</f>
        <v> </v>
      </c>
      <c r="AT181" s="297" t="str">
        <f aca="false">IF($A181="N/A"," ",IF(VLOOKUP(MONTH($A181),ManualTable,3)=1,IF(Dayrun&gt;=6,$DE181*8*$CY181,0),0))</f>
        <v> </v>
      </c>
      <c r="AU181" s="297" t="str">
        <f aca="false">IF($A181="N/A"," ",IF(VLOOKUP(MONTH($A181),ManualTable,4)=1,IF(OR(Dayrun&lt;=2,Dayrun&gt;=9),$DE181*8*$CY181,0),0))</f>
        <v> </v>
      </c>
      <c r="AV181" s="297" t="str">
        <f aca="false">IF($A181="N/A"," ",IF(VLOOKUP(MONTH($A181),ManualTable,5)=1,IF(OR(Dayrun=1,Dayrun=4,Dayrun=5,Dayrun=7,Dayrun=8,Dayrun=10,Dayrun=11),$DF181*8*$CY181,0),0))</f>
        <v> </v>
      </c>
      <c r="AW181" s="297" t="str">
        <f aca="false">IF($A181="N/A"," ",IF(VLOOKUP(MONTH($A181),ManualTable,6)=1,IF(OR(Dayrun=1,Dayrun=7,Dayrun=8,Dayrun=10,Dayrun=11),$DF181*8*$CY181,0),0))</f>
        <v> </v>
      </c>
      <c r="AX181" s="297" t="str">
        <f aca="false">IF($A181="N/A"," ",IF(VLOOKUP(MONTH($A181),ManualTable,7)=1,IF(OR(Dayrun&lt;=2,Dayrun&gt;=9),$DF181*8*$CY181,0),0))</f>
        <v> </v>
      </c>
      <c r="AY181" s="297" t="str">
        <f aca="false">IF($A181="N/A"," ",IF(VLOOKUP(MONTH($A181),ManualTable,8)=1,IF(OR(Dayrun=1,Dayrun=5,Dayrun=8,Dayrun=11),$DG181*8*$CY181,0),0))</f>
        <v> </v>
      </c>
      <c r="AZ181" s="297" t="str">
        <f aca="false">IF($A181="N/A"," ",IF(VLOOKUP(MONTH($A181),ManualTable,9)=1,IF(OR(Dayrun=1,Dayrun=8,Dayrun=11),$DG181*8*$CY181,0),0))</f>
        <v> </v>
      </c>
      <c r="BA181" s="298" t="str">
        <f aca="false">IF($A181="N/A"," ",IF(VLOOKUP(MONTH($A181),ManualTable,10)=1,IF(OR(Dayrun&lt;=2,Dayrun&gt;=9),$DG181*8*$CY181,0),0))</f>
        <v> </v>
      </c>
      <c r="BB181" s="299" t="str">
        <f aca="false">IF($A181="N/A"," ",IF(Dayrun&gt;=3,(MAX(0,(xSPRDOPT(I181,($E181-'Pricing Inputs'!$X216*$D181),$CV181,0,($CN181+IF(Smile=TRUE(),VLOOKUP(MAX(-5,$H181-I181),Volsmile,2),0)),$CT181,$CU181,($A181-DateToday)+15,ABS(Option-2),1)*DE181*8))),0))</f>
        <v> </v>
      </c>
      <c r="BC181" s="300" t="str">
        <f aca="false">IF($A181="N/A"," ",IF(Dayrun&gt;=6,MAX(0,(xSPRDOPT(J181,($E181-'Pricing Inputs'!$X216*$D181),$CV181,0,($CN181+IF(Smile=TRUE(),VLOOKUP(MAX(-5,$H181-J181),Volsmile,2),0)),$CT181,$CU181,($A181-DateToday)+15,ABS(Option-2),1)*DE181*8)),0))</f>
        <v> </v>
      </c>
      <c r="BD181" s="300" t="str">
        <f aca="false">IF($A181="N/A"," ",IF(OR(Dayrun&lt;=2,Dayrun&gt;=9),IF(OffPeakEx=TRUE(),MAX(0,(xSPRDOPT(K181,($E181-'Pricing Inputs'!$X216*$D181),$CV181,0,($CQ181+IF(Smile=TRUE(),VLOOKUP(MAX(-5,$H181-K181),Volsmile,2),0)),$CT181,$CU181,($A181-DateToday)+15,ABS(Option-2),1)*DE181*8)),0),0))</f>
        <v> </v>
      </c>
      <c r="BE181" s="300" t="str">
        <f aca="false">IF($A181="N/A"," ",IF(OR(Dayrun=1,Dayrun=4,Dayrun=5,Dayrun=7,Dayrun=8,Dayrun=10,Dayrun=11),MAX(0,(xSPRDOPT(L181,($E181-'Pricing Inputs'!$X216*$D181),$CV181,0,($CQ181+IF(Smile=TRUE(),VLOOKUP(MAX(-5,$H181-L181),Volsmile,2),0)),$CT181,$CU181,($A181-DateToday)+15,ABS(Option-2),1)*DF181*8)),0))</f>
        <v> </v>
      </c>
      <c r="BF181" s="300" t="str">
        <f aca="false">IF($A181="N/A"," ",IF(OR(Dayrun=1,Dayrun=7,Dayrun=8,Dayrun=10,Dayrun=11),MAX(0,(xSPRDOPT(M181,($E181-'Pricing Inputs'!$X216*$D181),$CV181,0,($CQ181+IF(Smile=TRUE(),VLOOKUP(MAX(-5,$H181-M181),Volsmile,2),0)),$CT181,$CU181,($A181-DateToday)+15,ABS(Option-2),1)*DF181*8)),0))</f>
        <v> </v>
      </c>
      <c r="BG181" s="300" t="str">
        <f aca="false">IF($A181="N/A"," ",IF(OR(Dayrun&lt;=2,Dayrun&gt;=10),IF(OffPeakEx=TRUE(),MAX(0,(xSPRDOPT(N181,($E181-'Pricing Inputs'!$X216*$D181),$CV181,0,($CQ181+IF(Smile=TRUE(),VLOOKUP(MAX(-5,$H181-N181),Volsmile,2),0)),$CT181,$CU181,($A181-DateToday)+15,ABS(Option-2),1)*DF181*8)),0),0))</f>
        <v> </v>
      </c>
      <c r="BH181" s="300" t="str">
        <f aca="false">IF($A181="N/A"," ",IF(OR(Dayrun=1,Dayrun=5,Dayrun=8,Dayrun=11),MAX(0,(xSPRDOPT(O181,($E181-'Pricing Inputs'!$X216*$D181),$CV181,0,($CQ181+IF(Smile=TRUE(),VLOOKUP(MAX(-5,$H181-O181),Volsmile,2),0)),$CT181,$CU181,($A181-DateToday)+15,ABS(Option-2),1)*DG181*8)),0))</f>
        <v> </v>
      </c>
      <c r="BI181" s="300" t="str">
        <f aca="false">IF($A181="N/A"," ",IF(OR(Dayrun=1,Dayrun=8,Dayrun=11),MAX(0,(xSPRDOPT(P181,($E181-'Pricing Inputs'!$X216*$D181),$CV181,0,($CQ181+IF(Smile=TRUE(),VLOOKUP(MAX(-5,$H181-P181),Volsmile,2),0)),$CT181,$CU181,($A181-DateToday)+15,ABS(Option-2),1)*DG181*8)),0))</f>
        <v> </v>
      </c>
      <c r="BJ181" s="301" t="str">
        <f aca="false">IF($A181="N/A"," ",IF(OR(Dayrun&lt;=2,Dayrun&gt;=11),IF(OffPeakEx=TRUE(),MAX(0,(xSPRDOPT(Q181,($E181-'Pricing Inputs'!$X216*$D181),$CV181,0,($CQ181+IF(Smile=TRUE(),VLOOKUP(MAX(-5,$H181-Q181),Volsmile,2),0)),$CT181,$CU181,($A181-DateToday)+15,ABS(Option-2),1)*DG181*8)),0),0))</f>
        <v> </v>
      </c>
      <c r="BK181" s="302" t="str">
        <f aca="false">IF($A181="N/A"," ",R181*$AS181)</f>
        <v> </v>
      </c>
      <c r="BL181" s="303" t="str">
        <f aca="false">IF($A181="N/A"," ",S181*$AT181)</f>
        <v> </v>
      </c>
      <c r="BM181" s="303" t="str">
        <f aca="false">IF($A181="N/A"," ",T181*$AU181)</f>
        <v> </v>
      </c>
      <c r="BN181" s="303" t="str">
        <f aca="false">IF($A181="N/A"," ",U181*$AV181)</f>
        <v> </v>
      </c>
      <c r="BO181" s="303" t="str">
        <f aca="false">IF($A181="N/A"," ",V181*$AW181)</f>
        <v> </v>
      </c>
      <c r="BP181" s="303" t="str">
        <f aca="false">IF($A181="N/A"," ",W181*$AX181)</f>
        <v> </v>
      </c>
      <c r="BQ181" s="303" t="str">
        <f aca="false">IF($A181="N/A"," ",X181*$AY181)</f>
        <v> </v>
      </c>
      <c r="BR181" s="303" t="str">
        <f aca="false">IF($A181="N/A"," ",Y181*$AZ181)</f>
        <v> </v>
      </c>
      <c r="BS181" s="304" t="str">
        <f aca="false">IF($A181="N/A"," ",Z181*$BA181)</f>
        <v> </v>
      </c>
      <c r="BT181" s="305" t="str">
        <f aca="false">IF($A181="N/A"," ",AA181*$AS181)</f>
        <v> </v>
      </c>
      <c r="BU181" s="306" t="str">
        <f aca="false">IF($A181="N/A"," ",AB181*$AT181)</f>
        <v> </v>
      </c>
      <c r="BV181" s="306" t="str">
        <f aca="false">IF($A181="N/A"," ",AC181*$AU181)</f>
        <v> </v>
      </c>
      <c r="BW181" s="306" t="str">
        <f aca="false">IF($A181="N/A"," ",AD181*$AV181)</f>
        <v> </v>
      </c>
      <c r="BX181" s="306" t="str">
        <f aca="false">IF($A181="N/A"," ",AE181*$AW181)</f>
        <v> </v>
      </c>
      <c r="BY181" s="306" t="str">
        <f aca="false">IF($A181="N/A"," ",AF181*$AX181)</f>
        <v> </v>
      </c>
      <c r="BZ181" s="306" t="str">
        <f aca="false">IF($A181="N/A"," ",AG181*$AY181)</f>
        <v> </v>
      </c>
      <c r="CA181" s="306" t="str">
        <f aca="false">IF($A181="N/A"," ",AH181*$AZ181)</f>
        <v> </v>
      </c>
      <c r="CB181" s="307" t="str">
        <f aca="false">IF($A181="N/A"," ",AI181*$BA181)</f>
        <v> </v>
      </c>
      <c r="CC181" s="308" t="str">
        <f aca="false">IF($A181="N/A"," ",AJ181*$AS181)</f>
        <v> </v>
      </c>
      <c r="CD181" s="309" t="str">
        <f aca="false">IF($A181="N/A"," ",AK181*$AT181)</f>
        <v> </v>
      </c>
      <c r="CE181" s="309" t="str">
        <f aca="false">IF($A181="N/A"," ",AL181*$AU181)</f>
        <v> </v>
      </c>
      <c r="CF181" s="309" t="str">
        <f aca="false">IF($A181="N/A"," ",AM181*$AV181)</f>
        <v> </v>
      </c>
      <c r="CG181" s="309" t="str">
        <f aca="false">IF($A181="N/A"," ",AN181*$AW181)</f>
        <v> </v>
      </c>
      <c r="CH181" s="309" t="str">
        <f aca="false">IF($A181="N/A"," ",AO181*$AX181)</f>
        <v> </v>
      </c>
      <c r="CI181" s="309" t="str">
        <f aca="false">IF($A181="N/A"," ",AP181*$AY181)</f>
        <v> </v>
      </c>
      <c r="CJ181" s="309" t="str">
        <f aca="false">IF($A181="N/A"," ",AQ181*$AZ181)</f>
        <v> </v>
      </c>
      <c r="CK181" s="310" t="str">
        <f aca="false">IF($A181="N/A"," ",AR181*$BA181)</f>
        <v> </v>
      </c>
      <c r="CL181" s="311" t="str">
        <f aca="false">IF(A181="N/A"," ",(VLOOKUP(A181,PowerVolTable,(IF(VolBMO=2,7,IF(VolBMO=1,6,8))),FALSE())))</f>
        <v> </v>
      </c>
      <c r="CM181" s="312" t="str">
        <f aca="false">IF(A181="N/A"," ",(VLOOKUP(A181,IntraPowerVol,(IF(VolBMO=2,3,IF(VolBMO=1,2,4))),FALSE())*VLOOKUP(MONTH($A181),Volscale,2)))</f>
        <v> </v>
      </c>
      <c r="CN181" s="312" t="str">
        <f aca="false">IF($A181="N/A"," ",IF(VolType=1,CM181,CL181))</f>
        <v> </v>
      </c>
      <c r="CO181" s="312" t="str">
        <f aca="false">IF($A181="N/A"," ",(VLOOKUP($A181,OffPeakVol,(IF(VolBMO=2,7,IF(VolBMO=1,6,8))),FALSE())))</f>
        <v> </v>
      </c>
      <c r="CP181" s="312" t="str">
        <f aca="false">IF($A181="N/A"," ",(VLOOKUP($A181,OffPeakVol,(IF(VolBMO=2,3,IF(VolBMO=1,2,4))),FALSE())*VLOOKUP(MONTH($A181),Volscale,2)))</f>
        <v> </v>
      </c>
      <c r="CQ181" s="312" t="str">
        <f aca="false">IF($A181="N/A"," ",IF(VolType=1,CP181,CO181))</f>
        <v> </v>
      </c>
      <c r="CR181" s="312" t="str">
        <f aca="false">IF($A181="N/A"," ",(VLOOKUP($A181,GasVolTable,(IF(VolBMO=2,6,IF(VolBMO=1,7,5))),FALSE())))</f>
        <v> </v>
      </c>
      <c r="CS181" s="312" t="str">
        <f aca="false">IF($A181="N/A"," ",(VLOOKUP($A181,OmicronVol,(IF(VolBMO=2,3,IF(VolBMO=1,4,2))),FALSE())))</f>
        <v> </v>
      </c>
      <c r="CT181" s="312" t="str">
        <f aca="false">IF($A181="N/A"," ",(IF(DateToday&gt;$A181,$CS181,IF(VolType=1,((($CR181^2)*((($A181-1)-DateToday)/((EOMONTH($A181,0)+1)-DateToday-15)))+((($CS181)^2)*((15)/((EOMONTH($A181,0)+1)-DateToday-15))))^0.5,CR181))))</f>
        <v> </v>
      </c>
      <c r="CU181" s="312" t="str">
        <f aca="false">IF($A181="N/A"," ",IF('Pricing Inputs'!$AR$23=TRUE(),Inputs!$S$22,VLOOKUP($A181,CorrelationTable,2,FALSE())))</f>
        <v> </v>
      </c>
      <c r="CV181" s="313" t="str">
        <f aca="false">IF($A181="N/A"," ",F181+G181+(D181*('Pricing Inputs'!X216)))</f>
        <v> </v>
      </c>
      <c r="CW181" s="314" t="str">
        <f aca="false">IF($A181="N/A"," ",IF(PV=1,0,'Pricing Inputs'!Y216))</f>
        <v> </v>
      </c>
      <c r="CX181" s="315" t="str">
        <f aca="false">IF($A181="N/A"," ",(1+CW181/2)^(-2*((EOMONTH(A181,0)+20)-DateToday)/365.25))</f>
        <v> </v>
      </c>
      <c r="CY181" s="316" t="str">
        <f aca="false">IF($A181="N/A"," ",(IF(MONTH(A181)&gt;=4,IF(MONTH(A181)&lt;=10,Inputs!$S$26,Inputs!$S$27),Inputs!$S$27))*$CX181)</f>
        <v> </v>
      </c>
      <c r="CZ181" s="317" t="str">
        <f aca="false">IF($A181="N/A"," ",BK181+BL181+BN181+BO181+BQ181+BR181)</f>
        <v> </v>
      </c>
      <c r="DA181" s="318" t="str">
        <f aca="false">IF($A181="N/A"," ",BM181+BP181+BS181)</f>
        <v> </v>
      </c>
      <c r="DB181" s="319" t="str">
        <f aca="false">IF($A181="N/A"," ",BT181+BU181+BW181+BX181+BZ181+CA181)</f>
        <v> </v>
      </c>
      <c r="DC181" s="319" t="str">
        <f aca="false">IF($A181="N/A"," ",BV181+BY181+CB181)</f>
        <v> </v>
      </c>
      <c r="DD181" s="320" t="str">
        <f aca="false">IF($A181="N/A"," ",SUM(CC181:CK181))</f>
        <v> </v>
      </c>
      <c r="DE181" s="321" t="str">
        <f aca="false">IF($A181="N/A"," ",VLOOKUP($A181,NumberofDaysTable,2)*Availability)</f>
        <v> </v>
      </c>
      <c r="DF181" s="94" t="str">
        <f aca="false">IF($A181="N/A"," ",VLOOKUP($A181,NumberofDaysTable,3)*Availability)</f>
        <v> </v>
      </c>
      <c r="DG181" s="322" t="str">
        <f aca="false">IF($A181="N/A"," ",VLOOKUP($A181,NumberofDaysTable,4)*Availability)</f>
        <v> </v>
      </c>
      <c r="DH181" s="323" t="str">
        <f aca="false">IF($A181="N/A"," ",IF(Option=1,$D181*Inputs!$S$15*SUM(AS181:BA181),0))</f>
        <v> </v>
      </c>
      <c r="DI181" s="324" t="str">
        <f aca="false">IF($A181="N/A"," ",IF(Option=1,$D181*Inputs!$S$16*SUM(AS181:BA181),0))</f>
        <v> </v>
      </c>
      <c r="DJ181" s="325" t="str">
        <f aca="false">IF($A181="N/A"," ",SUM(AS181:AT181))</f>
        <v> </v>
      </c>
      <c r="DK181" s="325" t="str">
        <f aca="false">IF($A181="N/A"," ",SUM(AU181:BA181))</f>
        <v> </v>
      </c>
      <c r="DL181" s="325" t="str">
        <f aca="false">IF($A181="N/A"," ",SUM(BB181:BC181))</f>
        <v> </v>
      </c>
      <c r="DM181" s="325" t="str">
        <f aca="false">IF($A181="N/A"," ",SUM(BD181:BJ181))</f>
        <v> </v>
      </c>
    </row>
    <row r="182" customFormat="false" ht="12.75" hidden="false" customHeight="false" outlineLevel="0" collapsed="false">
      <c r="A182" s="282" t="str">
        <f aca="false">IF(A181="N/A","N/A",IF(EDATE(A181,1)&gt;Inputs!$S$5,"N/A",EDATE(A181,1)))</f>
        <v>N/A</v>
      </c>
      <c r="B182" s="283" t="str">
        <f aca="false">IF(A182="N/A"," ",YEAR(A182))</f>
        <v> </v>
      </c>
      <c r="C182" s="284" t="str">
        <f aca="false">IF(A182="N/A"," ",VLOOKUP(A182,ScaledPrice,14))</f>
        <v> </v>
      </c>
      <c r="D182" s="285" t="str">
        <f aca="false">IF(A182="N/A"," ",(VLOOKUP(MONTH($A182),Hrtable,2))/1000)</f>
        <v> </v>
      </c>
      <c r="E182" s="286" t="str">
        <f aca="false">IF($A182="N/A"," ",(C182)*D182)</f>
        <v> </v>
      </c>
      <c r="F182" s="287" t="str">
        <f aca="false">IF(A182="N/A"," ",VOM*(1+VOMesc)^(YEAR(A182)-YEAR(Today)))</f>
        <v> </v>
      </c>
      <c r="G182" s="287" t="str">
        <f aca="false">IF(A182="N/A"," ",Perstart/VLOOKUP(Dayrun,'Pricing Inputs'!$AQ$4:$AS$14,3)/(CY182/CX182))</f>
        <v> </v>
      </c>
      <c r="H182" s="288" t="str">
        <f aca="false">IF(A182="N/A"," ",SUM(E182:G182))</f>
        <v> </v>
      </c>
      <c r="I182" s="289" t="str">
        <f aca="false">VLOOKUP($A182,ScaledPrice,6)</f>
        <v> </v>
      </c>
      <c r="J182" s="290" t="str">
        <f aca="false">VLOOKUP($A182,ScaledPrice,10)</f>
        <v> </v>
      </c>
      <c r="K182" s="290" t="str">
        <f aca="false">VLOOKUP($A182,ScaledPrice,13)</f>
        <v> </v>
      </c>
      <c r="L182" s="290" t="str">
        <f aca="false">VLOOKUP($A182,ScaledPrice,7)</f>
        <v> </v>
      </c>
      <c r="M182" s="290" t="str">
        <f aca="false">VLOOKUP($A182,ScaledPrice,11)</f>
        <v> </v>
      </c>
      <c r="N182" s="290" t="str">
        <f aca="false">VLOOKUP($A182,ScaledPrice,13)</f>
        <v> </v>
      </c>
      <c r="O182" s="290" t="str">
        <f aca="false">VLOOKUP($A182,ScaledPrice,8)</f>
        <v> </v>
      </c>
      <c r="P182" s="290" t="str">
        <f aca="false">VLOOKUP($A182,ScaledPrice,12)</f>
        <v> </v>
      </c>
      <c r="Q182" s="291" t="str">
        <f aca="false">VLOOKUP($A182,ScaledPrice,13)</f>
        <v> </v>
      </c>
      <c r="R182" s="292" t="str">
        <f aca="false">IF($A182="N/A"," ",IF(Dayrun&gt;=3,IF(Option=1,MAX($I182-$H182,0),IF(Option=2,MAX($H182-$I182,0),0)),0))</f>
        <v> </v>
      </c>
      <c r="S182" s="286" t="str">
        <f aca="false">IF($A182="N/A"," ",IF(Dayrun&gt;=6,IF(Option=1,MAX($J182-H182,0),IF(Option=2,MAX(H182-$J182,0),0)),0))</f>
        <v> </v>
      </c>
      <c r="T182" s="286" t="str">
        <f aca="false">IF($A182="N/A"," ",IF(OR(Dayrun&lt;=2,Dayrun&gt;=9),IF(Option=1,MAX($K182-$H182,0),IF(Option=2,MAX($H182-$K182,0),0)),0))</f>
        <v> </v>
      </c>
      <c r="U182" s="286" t="str">
        <f aca="false">IF($A182="N/A"," ",IF(OR(Dayrun=1,Dayrun=4,Dayrun=5,Dayrun=7,Dayrun=8,Dayrun=10,Dayrun=11),IF(Option=1,MAX($L182-H182,0),IF(Option=2,MAX(H182-$L182,0),0)),0))</f>
        <v> </v>
      </c>
      <c r="V182" s="286" t="str">
        <f aca="false">IF($A182="N/A"," ",IF(OR(Dayrun=1,Dayrun=7,Dayrun=8,Dayrun=10,Dayrun=11),IF(Option=1,MAX($M182-H182,0),IF(Option=2,MAX(H182-$M182,0),0)),0))</f>
        <v> </v>
      </c>
      <c r="W182" s="286" t="str">
        <f aca="false">IF($A182="N/A"," ",IF(OR(Dayrun&lt;=2,Dayrun&gt;=10),IF(Option=1,MAX($N182-$H182,0),IF(Option=2,MAX($H182-$N182,0),0)),0))</f>
        <v> </v>
      </c>
      <c r="X182" s="286" t="str">
        <f aca="false">IF($A182="N/A"," ",IF(OR(Dayrun=1,Dayrun=5,Dayrun=8,Dayrun=11),IF(Option=1,MAX($O182-H182,0),IF(Option=2,MAX(H182-$O182,0),0)),0))</f>
        <v> </v>
      </c>
      <c r="Y182" s="286" t="str">
        <f aca="false">IF($A182="N/A"," ",IF(OR(Dayrun=1,Dayrun=8,Dayrun=11),IF(Option=1,MAX($P182-H182,0),IF(Option=2,MAX(H182-$P182,0),0)),0))</f>
        <v> </v>
      </c>
      <c r="Z182" s="293" t="str">
        <f aca="false">IF($A182="N/A"," ",IF(OR(Dayrun&lt;=2,Dayrun&gt;=11),IF(Option=1,MAX($Q182-$H182,0),IF(Option=2,MAX($H182-$Q182,0),0)),0))</f>
        <v> </v>
      </c>
      <c r="AA182" s="289" t="str">
        <f aca="false">IF($A182="N/A"," ",IF(Dayrun&gt;=3,(MAX(0,(xSPRDOPT(I182,($E182-'Pricing Inputs'!$X217*$D182),$CV182,0,($CN182+IF(Smile=TRUE(),VLOOKUP(MAX(-5,$H182-I182),Volsmile,2),0)),$CT182,$CU182,($A182-DateToday)+15,ABS(Option-2),0)-R182))),0))</f>
        <v> </v>
      </c>
      <c r="AB182" s="290" t="str">
        <f aca="false">IF($A182="N/A"," ",IF(Dayrun&gt;=6,MAX(0,(xSPRDOPT(J182,($E182-'Pricing Inputs'!$X217*$D182),$CV182,0,($CN182+IF(Smile=TRUE(),VLOOKUP(MAX(-5,$H182-J182),Volsmile,2),0)),$CT182,$CU182,($A182-DateToday)+15,ABS(Option-2),0)-S182)),0))</f>
        <v> </v>
      </c>
      <c r="AC182" s="290" t="str">
        <f aca="false">IF($A182="N/A"," ",IF(OR(Dayrun&lt;=2,Dayrun&gt;=9),IF(OffPeakEx=TRUE(),MAX(0,(xSPRDOPT(K182,($E182-'Pricing Inputs'!$X217*$D182),$CV182,0,($CQ182+IF(Smile=TRUE(),VLOOKUP(MAX(-5,$H182-K182),Volsmile,2),0)),$CT182,$CU182,($A182-DateToday)+15,ABS(Option-2),0)-T182)),0),0))</f>
        <v> </v>
      </c>
      <c r="AD182" s="290" t="str">
        <f aca="false">IF($A182="N/A"," ",IF(OR(Dayrun=1,Dayrun=4,Dayrun=5,Dayrun=7,Dayrun=8,Dayrun=10,Dayrun=11),MAX(0,(xSPRDOPT(L182,($E182-'Pricing Inputs'!$X217*$D182),$CV182,0,($CQ182+IF(Smile=TRUE(),VLOOKUP(MAX(-5,$H182-L182),Volsmile,2),0)),$CT182,$CU182,($A182-DateToday)+15,ABS(Option-2),0)-U182)),0))</f>
        <v> </v>
      </c>
      <c r="AE182" s="290" t="str">
        <f aca="false">IF($A182="N/A"," ",IF(OR(Dayrun=1,Dayrun=7,Dayrun=8,Dayrun=10,Dayrun=11),MAX(0,(xSPRDOPT(M182,($E182-'Pricing Inputs'!$X217*$D182),$CV182,0,($CQ182+IF(Smile=TRUE(),VLOOKUP(MAX(-5,$H182-M182),Volsmile,2),0)),$CT182,$CU182,($A182-DateToday)+15,ABS(Option-2),0)-V182)),0))</f>
        <v> </v>
      </c>
      <c r="AF182" s="290" t="str">
        <f aca="false">IF($A182="N/A"," ",IF(OR(Dayrun&lt;=2,Dayrun&gt;=10),IF(OffPeakEx=TRUE(),MAX(0,(xSPRDOPT(N182,($E182-'Pricing Inputs'!$X217*$D182),$CV182,0,($CQ182+IF(Smile=TRUE(),VLOOKUP(MAX(-5,$H182-N182),Volsmile,2),0)),$CT182,$CU182,($A182-DateToday)+15,ABS(Option-2),0)-W182)),0),0))</f>
        <v> </v>
      </c>
      <c r="AG182" s="290" t="str">
        <f aca="false">IF($A182="N/A"," ",IF(OR(Dayrun=1,Dayrun=5,Dayrun=8,Dayrun=11),MAX(0,(xSPRDOPT(O182,($E182-'Pricing Inputs'!$X217*$D182),$CV182,0,($CQ182+IF(Smile=TRUE(),VLOOKUP(MAX(-5,$H182-O182),Volsmile,2),0)),$CT182,$CU182,($A182-DateToday)+15,ABS(Option-2),0)-X182)),0))</f>
        <v> </v>
      </c>
      <c r="AH182" s="290" t="str">
        <f aca="false">IF($A182="N/A"," ",IF(OR(Dayrun=1,Dayrun=8,Dayrun=11),MAX(0,(xSPRDOPT(P182,($E182-'Pricing Inputs'!$X217*$D182),$CV182,0,($CQ182+IF(Smile=TRUE(),VLOOKUP(MAX(-5,$H182-P182),Volsmile,2),0)),$CT182,$CU182,($A182-DateToday)+15,ABS(Option-2),0)-Y182)),0))</f>
        <v> </v>
      </c>
      <c r="AI182" s="290" t="str">
        <f aca="false">IF($A182="N/A"," ",IF(OR(Dayrun&lt;=2,Dayrun&gt;=11),IF(OffPeakEx=TRUE(),MAX(0,(xSPRDOPT(Q182,($E182-'Pricing Inputs'!$X217*$D182),$CV182,0,($CQ182+IF(Smile=TRUE(),VLOOKUP(MAX(-5,$H182-Q182),Volsmile,2),0)),$CT182,$CU182,($A182-DateToday)+15,ABS(Option-2),0)-Z182)),0),0))</f>
        <v> </v>
      </c>
      <c r="AJ182" s="294" t="str">
        <f aca="false">IF($A182="N/A"," ",IF(Dayrun&gt;=3,IF(Option=1,$I182-$H182,IF(Option=2,$H182-$I182)),0))</f>
        <v> </v>
      </c>
      <c r="AK182" s="295" t="str">
        <f aca="false">IF($A182="N/A"," ",IF(Dayrun&gt;=6,IF(Option=1,$J182-H182,IF(Option=2,H182-$J182)),0))</f>
        <v> </v>
      </c>
      <c r="AL182" s="295" t="str">
        <f aca="false">IF($A182="N/A"," ",IF(OR(Dayrun&lt;=2,Dayrun&gt;=9),IF(Option=1,$K182-$H182,IF(Option=2,$H182-$K182)),0))</f>
        <v> </v>
      </c>
      <c r="AM182" s="295" t="str">
        <f aca="false">IF($A182="N/A"," ",IF(OR(Dayrun=1,Dayrun=4,Dayrun=5,Dayrun=7,Dayrun=8,Dayrun=10,Dayrun=11),IF(Option=1,$L182-H182,IF(Option=2,H182-$L182)),0))</f>
        <v> </v>
      </c>
      <c r="AN182" s="295" t="str">
        <f aca="false">IF($A182="N/A"," ",IF(OR(Dayrun=1,Dayrun=7,Dayrun=8,Dayrun=10,Dayrun=11),IF(Option=1,$M182-H182,IF(Option=2,H182-$M182)),0))</f>
        <v> </v>
      </c>
      <c r="AO182" s="295" t="str">
        <f aca="false">IF($A182="N/A"," ",IF(OR(Dayrun&lt;=2,Dayrun&gt;=9),IF(Option=1,$N182-$H182,IF(Option=2,$H182-$N182)),0))</f>
        <v> </v>
      </c>
      <c r="AP182" s="295" t="str">
        <f aca="false">IF($A182="N/A"," ",IF(OR(Dayrun=1,Dayrun=5,Dayrun=8,Dayrun=11),IF(Option=1,$O182-H182,IF(Option=2,H182-$O182)),0))</f>
        <v> </v>
      </c>
      <c r="AQ182" s="295" t="str">
        <f aca="false">IF($A182="N/A"," ",IF(OR(Dayrun=1,Dayrun=8,Dayrun=11),IF(Option=1,$P182-H182,IF(Option=2,H182-$P182)),0))</f>
        <v> </v>
      </c>
      <c r="AR182" s="296" t="str">
        <f aca="false">IF($A182="N/A"," ",IF(OR(Dayrun&lt;=2,Dayrun&gt;=9),IF(Option=1,$Q182-H182,IF(Option=2,H182-$Q182)),0))</f>
        <v> </v>
      </c>
      <c r="AS182" s="297" t="str">
        <f aca="false">IF($A182="N/A"," ",IF(VLOOKUP(MONTH($A182),ManualTable,2)=1,IF(Dayrun&gt;=3,$DE182*8*$CY182,0),0))</f>
        <v> </v>
      </c>
      <c r="AT182" s="297" t="str">
        <f aca="false">IF($A182="N/A"," ",IF(VLOOKUP(MONTH($A182),ManualTable,3)=1,IF(Dayrun&gt;=6,$DE182*8*$CY182,0),0))</f>
        <v> </v>
      </c>
      <c r="AU182" s="297" t="str">
        <f aca="false">IF($A182="N/A"," ",IF(VLOOKUP(MONTH($A182),ManualTable,4)=1,IF(OR(Dayrun&lt;=2,Dayrun&gt;=9),$DE182*8*$CY182,0),0))</f>
        <v> </v>
      </c>
      <c r="AV182" s="297" t="str">
        <f aca="false">IF($A182="N/A"," ",IF(VLOOKUP(MONTH($A182),ManualTable,5)=1,IF(OR(Dayrun=1,Dayrun=4,Dayrun=5,Dayrun=7,Dayrun=8,Dayrun=10,Dayrun=11),$DF182*8*$CY182,0),0))</f>
        <v> </v>
      </c>
      <c r="AW182" s="297" t="str">
        <f aca="false">IF($A182="N/A"," ",IF(VLOOKUP(MONTH($A182),ManualTable,6)=1,IF(OR(Dayrun=1,Dayrun=7,Dayrun=8,Dayrun=10,Dayrun=11),$DF182*8*$CY182,0),0))</f>
        <v> </v>
      </c>
      <c r="AX182" s="297" t="str">
        <f aca="false">IF($A182="N/A"," ",IF(VLOOKUP(MONTH($A182),ManualTable,7)=1,IF(OR(Dayrun&lt;=2,Dayrun&gt;=9),$DF182*8*$CY182,0),0))</f>
        <v> </v>
      </c>
      <c r="AY182" s="297" t="str">
        <f aca="false">IF($A182="N/A"," ",IF(VLOOKUP(MONTH($A182),ManualTable,8)=1,IF(OR(Dayrun=1,Dayrun=5,Dayrun=8,Dayrun=11),$DG182*8*$CY182,0),0))</f>
        <v> </v>
      </c>
      <c r="AZ182" s="297" t="str">
        <f aca="false">IF($A182="N/A"," ",IF(VLOOKUP(MONTH($A182),ManualTable,9)=1,IF(OR(Dayrun=1,Dayrun=8,Dayrun=11),$DG182*8*$CY182,0),0))</f>
        <v> </v>
      </c>
      <c r="BA182" s="298" t="str">
        <f aca="false">IF($A182="N/A"," ",IF(VLOOKUP(MONTH($A182),ManualTable,10)=1,IF(OR(Dayrun&lt;=2,Dayrun&gt;=9),$DG182*8*$CY182,0),0))</f>
        <v> </v>
      </c>
      <c r="BB182" s="299" t="str">
        <f aca="false">IF($A182="N/A"," ",IF(Dayrun&gt;=3,(MAX(0,(xSPRDOPT(I182,($E182-'Pricing Inputs'!$X217*$D182),$CV182,0,($CN182+IF(Smile=TRUE(),VLOOKUP(MAX(-5,$H182-I182),Volsmile,2),0)),$CT182,$CU182,($A182-DateToday)+15,ABS(Option-2),1)*DE182*8))),0))</f>
        <v> </v>
      </c>
      <c r="BC182" s="300" t="str">
        <f aca="false">IF($A182="N/A"," ",IF(Dayrun&gt;=6,MAX(0,(xSPRDOPT(J182,($E182-'Pricing Inputs'!$X217*$D182),$CV182,0,($CN182+IF(Smile=TRUE(),VLOOKUP(MAX(-5,$H182-J182),Volsmile,2),0)),$CT182,$CU182,($A182-DateToday)+15,ABS(Option-2),1)*DE182*8)),0))</f>
        <v> </v>
      </c>
      <c r="BD182" s="300" t="str">
        <f aca="false">IF($A182="N/A"," ",IF(OR(Dayrun&lt;=2,Dayrun&gt;=9),IF(OffPeakEx=TRUE(),MAX(0,(xSPRDOPT(K182,($E182-'Pricing Inputs'!$X217*$D182),$CV182,0,($CQ182+IF(Smile=TRUE(),VLOOKUP(MAX(-5,$H182-K182),Volsmile,2),0)),$CT182,$CU182,($A182-DateToday)+15,ABS(Option-2),1)*DE182*8)),0),0))</f>
        <v> </v>
      </c>
      <c r="BE182" s="300" t="str">
        <f aca="false">IF($A182="N/A"," ",IF(OR(Dayrun=1,Dayrun=4,Dayrun=5,Dayrun=7,Dayrun=8,Dayrun=10,Dayrun=11),MAX(0,(xSPRDOPT(L182,($E182-'Pricing Inputs'!$X217*$D182),$CV182,0,($CQ182+IF(Smile=TRUE(),VLOOKUP(MAX(-5,$H182-L182),Volsmile,2),0)),$CT182,$CU182,($A182-DateToday)+15,ABS(Option-2),1)*DF182*8)),0))</f>
        <v> </v>
      </c>
      <c r="BF182" s="300" t="str">
        <f aca="false">IF($A182="N/A"," ",IF(OR(Dayrun=1,Dayrun=7,Dayrun=8,Dayrun=10,Dayrun=11),MAX(0,(xSPRDOPT(M182,($E182-'Pricing Inputs'!$X217*$D182),$CV182,0,($CQ182+IF(Smile=TRUE(),VLOOKUP(MAX(-5,$H182-M182),Volsmile,2),0)),$CT182,$CU182,($A182-DateToday)+15,ABS(Option-2),1)*DF182*8)),0))</f>
        <v> </v>
      </c>
      <c r="BG182" s="300" t="str">
        <f aca="false">IF($A182="N/A"," ",IF(OR(Dayrun&lt;=2,Dayrun&gt;=10),IF(OffPeakEx=TRUE(),MAX(0,(xSPRDOPT(N182,($E182-'Pricing Inputs'!$X217*$D182),$CV182,0,($CQ182+IF(Smile=TRUE(),VLOOKUP(MAX(-5,$H182-N182),Volsmile,2),0)),$CT182,$CU182,($A182-DateToday)+15,ABS(Option-2),1)*DF182*8)),0),0))</f>
        <v> </v>
      </c>
      <c r="BH182" s="300" t="str">
        <f aca="false">IF($A182="N/A"," ",IF(OR(Dayrun=1,Dayrun=5,Dayrun=8,Dayrun=11),MAX(0,(xSPRDOPT(O182,($E182-'Pricing Inputs'!$X217*$D182),$CV182,0,($CQ182+IF(Smile=TRUE(),VLOOKUP(MAX(-5,$H182-O182),Volsmile,2),0)),$CT182,$CU182,($A182-DateToday)+15,ABS(Option-2),1)*DG182*8)),0))</f>
        <v> </v>
      </c>
      <c r="BI182" s="300" t="str">
        <f aca="false">IF($A182="N/A"," ",IF(OR(Dayrun=1,Dayrun=8,Dayrun=11),MAX(0,(xSPRDOPT(P182,($E182-'Pricing Inputs'!$X217*$D182),$CV182,0,($CQ182+IF(Smile=TRUE(),VLOOKUP(MAX(-5,$H182-P182),Volsmile,2),0)),$CT182,$CU182,($A182-DateToday)+15,ABS(Option-2),1)*DG182*8)),0))</f>
        <v> </v>
      </c>
      <c r="BJ182" s="301" t="str">
        <f aca="false">IF($A182="N/A"," ",IF(OR(Dayrun&lt;=2,Dayrun&gt;=11),IF(OffPeakEx=TRUE(),MAX(0,(xSPRDOPT(Q182,($E182-'Pricing Inputs'!$X217*$D182),$CV182,0,($CQ182+IF(Smile=TRUE(),VLOOKUP(MAX(-5,$H182-Q182),Volsmile,2),0)),$CT182,$CU182,($A182-DateToday)+15,ABS(Option-2),1)*DG182*8)),0),0))</f>
        <v> </v>
      </c>
      <c r="BK182" s="302" t="str">
        <f aca="false">IF($A182="N/A"," ",R182*$AS182)</f>
        <v> </v>
      </c>
      <c r="BL182" s="303" t="str">
        <f aca="false">IF($A182="N/A"," ",S182*$AT182)</f>
        <v> </v>
      </c>
      <c r="BM182" s="303" t="str">
        <f aca="false">IF($A182="N/A"," ",T182*$AU182)</f>
        <v> </v>
      </c>
      <c r="BN182" s="303" t="str">
        <f aca="false">IF($A182="N/A"," ",U182*$AV182)</f>
        <v> </v>
      </c>
      <c r="BO182" s="303" t="str">
        <f aca="false">IF($A182="N/A"," ",V182*$AW182)</f>
        <v> </v>
      </c>
      <c r="BP182" s="303" t="str">
        <f aca="false">IF($A182="N/A"," ",W182*$AX182)</f>
        <v> </v>
      </c>
      <c r="BQ182" s="303" t="str">
        <f aca="false">IF($A182="N/A"," ",X182*$AY182)</f>
        <v> </v>
      </c>
      <c r="BR182" s="303" t="str">
        <f aca="false">IF($A182="N/A"," ",Y182*$AZ182)</f>
        <v> </v>
      </c>
      <c r="BS182" s="304" t="str">
        <f aca="false">IF($A182="N/A"," ",Z182*$BA182)</f>
        <v> </v>
      </c>
      <c r="BT182" s="305" t="str">
        <f aca="false">IF($A182="N/A"," ",AA182*$AS182)</f>
        <v> </v>
      </c>
      <c r="BU182" s="306" t="str">
        <f aca="false">IF($A182="N/A"," ",AB182*$AT182)</f>
        <v> </v>
      </c>
      <c r="BV182" s="306" t="str">
        <f aca="false">IF($A182="N/A"," ",AC182*$AU182)</f>
        <v> </v>
      </c>
      <c r="BW182" s="306" t="str">
        <f aca="false">IF($A182="N/A"," ",AD182*$AV182)</f>
        <v> </v>
      </c>
      <c r="BX182" s="306" t="str">
        <f aca="false">IF($A182="N/A"," ",AE182*$AW182)</f>
        <v> </v>
      </c>
      <c r="BY182" s="306" t="str">
        <f aca="false">IF($A182="N/A"," ",AF182*$AX182)</f>
        <v> </v>
      </c>
      <c r="BZ182" s="306" t="str">
        <f aca="false">IF($A182="N/A"," ",AG182*$AY182)</f>
        <v> </v>
      </c>
      <c r="CA182" s="306" t="str">
        <f aca="false">IF($A182="N/A"," ",AH182*$AZ182)</f>
        <v> </v>
      </c>
      <c r="CB182" s="307" t="str">
        <f aca="false">IF($A182="N/A"," ",AI182*$BA182)</f>
        <v> </v>
      </c>
      <c r="CC182" s="308" t="str">
        <f aca="false">IF($A182="N/A"," ",AJ182*$AS182)</f>
        <v> </v>
      </c>
      <c r="CD182" s="309" t="str">
        <f aca="false">IF($A182="N/A"," ",AK182*$AT182)</f>
        <v> </v>
      </c>
      <c r="CE182" s="309" t="str">
        <f aca="false">IF($A182="N/A"," ",AL182*$AU182)</f>
        <v> </v>
      </c>
      <c r="CF182" s="309" t="str">
        <f aca="false">IF($A182="N/A"," ",AM182*$AV182)</f>
        <v> </v>
      </c>
      <c r="CG182" s="309" t="str">
        <f aca="false">IF($A182="N/A"," ",AN182*$AW182)</f>
        <v> </v>
      </c>
      <c r="CH182" s="309" t="str">
        <f aca="false">IF($A182="N/A"," ",AO182*$AX182)</f>
        <v> </v>
      </c>
      <c r="CI182" s="309" t="str">
        <f aca="false">IF($A182="N/A"," ",AP182*$AY182)</f>
        <v> </v>
      </c>
      <c r="CJ182" s="309" t="str">
        <f aca="false">IF($A182="N/A"," ",AQ182*$AZ182)</f>
        <v> </v>
      </c>
      <c r="CK182" s="310" t="str">
        <f aca="false">IF($A182="N/A"," ",AR182*$BA182)</f>
        <v> </v>
      </c>
      <c r="CL182" s="311" t="str">
        <f aca="false">IF(A182="N/A"," ",(VLOOKUP(A182,PowerVolTable,(IF(VolBMO=2,7,IF(VolBMO=1,6,8))),FALSE())))</f>
        <v> </v>
      </c>
      <c r="CM182" s="312" t="str">
        <f aca="false">IF(A182="N/A"," ",(VLOOKUP(A182,IntraPowerVol,(IF(VolBMO=2,3,IF(VolBMO=1,2,4))),FALSE())*VLOOKUP(MONTH($A182),Volscale,2)))</f>
        <v> </v>
      </c>
      <c r="CN182" s="312" t="str">
        <f aca="false">IF($A182="N/A"," ",IF(VolType=1,CM182,CL182))</f>
        <v> </v>
      </c>
      <c r="CO182" s="312" t="str">
        <f aca="false">IF($A182="N/A"," ",(VLOOKUP($A182,OffPeakVol,(IF(VolBMO=2,7,IF(VolBMO=1,6,8))),FALSE())))</f>
        <v> </v>
      </c>
      <c r="CP182" s="312" t="str">
        <f aca="false">IF($A182="N/A"," ",(VLOOKUP($A182,OffPeakVol,(IF(VolBMO=2,3,IF(VolBMO=1,2,4))),FALSE())*VLOOKUP(MONTH($A182),Volscale,2)))</f>
        <v> </v>
      </c>
      <c r="CQ182" s="312" t="str">
        <f aca="false">IF($A182="N/A"," ",IF(VolType=1,CP182,CO182))</f>
        <v> </v>
      </c>
      <c r="CR182" s="312" t="str">
        <f aca="false">IF($A182="N/A"," ",(VLOOKUP($A182,GasVolTable,(IF(VolBMO=2,6,IF(VolBMO=1,7,5))),FALSE())))</f>
        <v> </v>
      </c>
      <c r="CS182" s="312" t="str">
        <f aca="false">IF($A182="N/A"," ",(VLOOKUP($A182,OmicronVol,(IF(VolBMO=2,3,IF(VolBMO=1,4,2))),FALSE())))</f>
        <v> </v>
      </c>
      <c r="CT182" s="312" t="str">
        <f aca="false">IF($A182="N/A"," ",(IF(DateToday&gt;$A182,$CS182,IF(VolType=1,((($CR182^2)*((($A182-1)-DateToday)/((EOMONTH($A182,0)+1)-DateToday-15)))+((($CS182)^2)*((15)/((EOMONTH($A182,0)+1)-DateToday-15))))^0.5,CR182))))</f>
        <v> </v>
      </c>
      <c r="CU182" s="312" t="str">
        <f aca="false">IF($A182="N/A"," ",IF('Pricing Inputs'!$AR$23=TRUE(),Inputs!$S$22,VLOOKUP($A182,CorrelationTable,2,FALSE())))</f>
        <v> </v>
      </c>
      <c r="CV182" s="313" t="str">
        <f aca="false">IF($A182="N/A"," ",F182+G182+(D182*('Pricing Inputs'!X217)))</f>
        <v> </v>
      </c>
      <c r="CW182" s="314" t="str">
        <f aca="false">IF($A182="N/A"," ",IF(PV=1,0,'Pricing Inputs'!Y217))</f>
        <v> </v>
      </c>
      <c r="CX182" s="315" t="str">
        <f aca="false">IF($A182="N/A"," ",(1+CW182/2)^(-2*((EOMONTH(A182,0)+20)-DateToday)/365.25))</f>
        <v> </v>
      </c>
      <c r="CY182" s="316" t="str">
        <f aca="false">IF($A182="N/A"," ",(IF(MONTH(A182)&gt;=4,IF(MONTH(A182)&lt;=10,Inputs!$S$26,Inputs!$S$27),Inputs!$S$27))*$CX182)</f>
        <v> </v>
      </c>
      <c r="CZ182" s="317" t="str">
        <f aca="false">IF($A182="N/A"," ",BK182+BL182+BN182+BO182+BQ182+BR182)</f>
        <v> </v>
      </c>
      <c r="DA182" s="318" t="str">
        <f aca="false">IF($A182="N/A"," ",BM182+BP182+BS182)</f>
        <v> </v>
      </c>
      <c r="DB182" s="319" t="str">
        <f aca="false">IF($A182="N/A"," ",BT182+BU182+BW182+BX182+BZ182+CA182)</f>
        <v> </v>
      </c>
      <c r="DC182" s="319" t="str">
        <f aca="false">IF($A182="N/A"," ",BV182+BY182+CB182)</f>
        <v> </v>
      </c>
      <c r="DD182" s="320" t="str">
        <f aca="false">IF($A182="N/A"," ",SUM(CC182:CK182))</f>
        <v> </v>
      </c>
      <c r="DE182" s="321" t="str">
        <f aca="false">IF($A182="N/A"," ",VLOOKUP($A182,NumberofDaysTable,2)*Availability)</f>
        <v> </v>
      </c>
      <c r="DF182" s="94" t="str">
        <f aca="false">IF($A182="N/A"," ",VLOOKUP($A182,NumberofDaysTable,3)*Availability)</f>
        <v> </v>
      </c>
      <c r="DG182" s="322" t="str">
        <f aca="false">IF($A182="N/A"," ",VLOOKUP($A182,NumberofDaysTable,4)*Availability)</f>
        <v> </v>
      </c>
      <c r="DH182" s="323" t="str">
        <f aca="false">IF($A182="N/A"," ",IF(Option=1,$D182*Inputs!$S$15*SUM(AS182:BA182),0))</f>
        <v> </v>
      </c>
      <c r="DI182" s="324" t="str">
        <f aca="false">IF($A182="N/A"," ",IF(Option=1,$D182*Inputs!$S$16*SUM(AS182:BA182),0))</f>
        <v> </v>
      </c>
      <c r="DJ182" s="325" t="str">
        <f aca="false">IF($A182="N/A"," ",SUM(AS182:AT182))</f>
        <v> </v>
      </c>
      <c r="DK182" s="325" t="str">
        <f aca="false">IF($A182="N/A"," ",SUM(AU182:BA182))</f>
        <v> </v>
      </c>
      <c r="DL182" s="325" t="str">
        <f aca="false">IF($A182="N/A"," ",SUM(BB182:BC182))</f>
        <v> </v>
      </c>
      <c r="DM182" s="325" t="str">
        <f aca="false">IF($A182="N/A"," ",SUM(BD182:BJ182))</f>
        <v> </v>
      </c>
    </row>
    <row r="183" customFormat="false" ht="12.75" hidden="false" customHeight="false" outlineLevel="0" collapsed="false">
      <c r="A183" s="282" t="str">
        <f aca="false">IF(A182="N/A","N/A",IF(EDATE(A182,1)&gt;Inputs!$S$5,"N/A",EDATE(A182,1)))</f>
        <v>N/A</v>
      </c>
      <c r="B183" s="283" t="str">
        <f aca="false">IF(A183="N/A"," ",YEAR(A183))</f>
        <v> </v>
      </c>
      <c r="C183" s="284" t="str">
        <f aca="false">IF(A183="N/A"," ",VLOOKUP(A183,ScaledPrice,14))</f>
        <v> </v>
      </c>
      <c r="D183" s="285" t="str">
        <f aca="false">IF(A183="N/A"," ",(VLOOKUP(MONTH($A183),Hrtable,2))/1000)</f>
        <v> </v>
      </c>
      <c r="E183" s="286" t="str">
        <f aca="false">IF($A183="N/A"," ",(C183)*D183)</f>
        <v> </v>
      </c>
      <c r="F183" s="287" t="str">
        <f aca="false">IF(A183="N/A"," ",VOM*(1+VOMesc)^(YEAR(A183)-YEAR(Today)))</f>
        <v> </v>
      </c>
      <c r="G183" s="287" t="str">
        <f aca="false">IF(A183="N/A"," ",Perstart/VLOOKUP(Dayrun,'Pricing Inputs'!$AQ$4:$AS$14,3)/(CY183/CX183))</f>
        <v> </v>
      </c>
      <c r="H183" s="288" t="str">
        <f aca="false">IF(A183="N/A"," ",SUM(E183:G183))</f>
        <v> </v>
      </c>
      <c r="I183" s="289" t="str">
        <f aca="false">VLOOKUP($A183,ScaledPrice,6)</f>
        <v> </v>
      </c>
      <c r="J183" s="290" t="str">
        <f aca="false">VLOOKUP($A183,ScaledPrice,10)</f>
        <v> </v>
      </c>
      <c r="K183" s="290" t="str">
        <f aca="false">VLOOKUP($A183,ScaledPrice,13)</f>
        <v> </v>
      </c>
      <c r="L183" s="290" t="str">
        <f aca="false">VLOOKUP($A183,ScaledPrice,7)</f>
        <v> </v>
      </c>
      <c r="M183" s="290" t="str">
        <f aca="false">VLOOKUP($A183,ScaledPrice,11)</f>
        <v> </v>
      </c>
      <c r="N183" s="290" t="str">
        <f aca="false">VLOOKUP($A183,ScaledPrice,13)</f>
        <v> </v>
      </c>
      <c r="O183" s="290" t="str">
        <f aca="false">VLOOKUP($A183,ScaledPrice,8)</f>
        <v> </v>
      </c>
      <c r="P183" s="290" t="str">
        <f aca="false">VLOOKUP($A183,ScaledPrice,12)</f>
        <v> </v>
      </c>
      <c r="Q183" s="291" t="str">
        <f aca="false">VLOOKUP($A183,ScaledPrice,13)</f>
        <v> </v>
      </c>
      <c r="R183" s="292" t="str">
        <f aca="false">IF($A183="N/A"," ",IF(Dayrun&gt;=3,IF(Option=1,MAX($I183-$H183,0),IF(Option=2,MAX($H183-$I183,0),0)),0))</f>
        <v> </v>
      </c>
      <c r="S183" s="286" t="str">
        <f aca="false">IF($A183="N/A"," ",IF(Dayrun&gt;=6,IF(Option=1,MAX($J183-H183,0),IF(Option=2,MAX(H183-$J183,0),0)),0))</f>
        <v> </v>
      </c>
      <c r="T183" s="286" t="str">
        <f aca="false">IF($A183="N/A"," ",IF(OR(Dayrun&lt;=2,Dayrun&gt;=9),IF(Option=1,MAX($K183-$H183,0),IF(Option=2,MAX($H183-$K183,0),0)),0))</f>
        <v> </v>
      </c>
      <c r="U183" s="286" t="str">
        <f aca="false">IF($A183="N/A"," ",IF(OR(Dayrun=1,Dayrun=4,Dayrun=5,Dayrun=7,Dayrun=8,Dayrun=10,Dayrun=11),IF(Option=1,MAX($L183-H183,0),IF(Option=2,MAX(H183-$L183,0),0)),0))</f>
        <v> </v>
      </c>
      <c r="V183" s="286" t="str">
        <f aca="false">IF($A183="N/A"," ",IF(OR(Dayrun=1,Dayrun=7,Dayrun=8,Dayrun=10,Dayrun=11),IF(Option=1,MAX($M183-H183,0),IF(Option=2,MAX(H183-$M183,0),0)),0))</f>
        <v> </v>
      </c>
      <c r="W183" s="286" t="str">
        <f aca="false">IF($A183="N/A"," ",IF(OR(Dayrun&lt;=2,Dayrun&gt;=10),IF(Option=1,MAX($N183-$H183,0),IF(Option=2,MAX($H183-$N183,0),0)),0))</f>
        <v> </v>
      </c>
      <c r="X183" s="286" t="str">
        <f aca="false">IF($A183="N/A"," ",IF(OR(Dayrun=1,Dayrun=5,Dayrun=8,Dayrun=11),IF(Option=1,MAX($O183-H183,0),IF(Option=2,MAX(H183-$O183,0),0)),0))</f>
        <v> </v>
      </c>
      <c r="Y183" s="286" t="str">
        <f aca="false">IF($A183="N/A"," ",IF(OR(Dayrun=1,Dayrun=8,Dayrun=11),IF(Option=1,MAX($P183-H183,0),IF(Option=2,MAX(H183-$P183,0),0)),0))</f>
        <v> </v>
      </c>
      <c r="Z183" s="293" t="str">
        <f aca="false">IF($A183="N/A"," ",IF(OR(Dayrun&lt;=2,Dayrun&gt;=11),IF(Option=1,MAX($Q183-$H183,0),IF(Option=2,MAX($H183-$Q183,0),0)),0))</f>
        <v> </v>
      </c>
      <c r="AA183" s="289" t="str">
        <f aca="false">IF($A183="N/A"," ",IF(Dayrun&gt;=3,(MAX(0,(xSPRDOPT(I183,($E183-'Pricing Inputs'!$X218*$D183),$CV183,0,($CN183+IF(Smile=TRUE(),VLOOKUP(MAX(-5,$H183-I183),Volsmile,2),0)),$CT183,$CU183,($A183-DateToday)+15,ABS(Option-2),0)-R183))),0))</f>
        <v> </v>
      </c>
      <c r="AB183" s="290" t="str">
        <f aca="false">IF($A183="N/A"," ",IF(Dayrun&gt;=6,MAX(0,(xSPRDOPT(J183,($E183-'Pricing Inputs'!$X218*$D183),$CV183,0,($CN183+IF(Smile=TRUE(),VLOOKUP(MAX(-5,$H183-J183),Volsmile,2),0)),$CT183,$CU183,($A183-DateToday)+15,ABS(Option-2),0)-S183)),0))</f>
        <v> </v>
      </c>
      <c r="AC183" s="290" t="str">
        <f aca="false">IF($A183="N/A"," ",IF(OR(Dayrun&lt;=2,Dayrun&gt;=9),IF(OffPeakEx=TRUE(),MAX(0,(xSPRDOPT(K183,($E183-'Pricing Inputs'!$X218*$D183),$CV183,0,($CQ183+IF(Smile=TRUE(),VLOOKUP(MAX(-5,$H183-K183),Volsmile,2),0)),$CT183,$CU183,($A183-DateToday)+15,ABS(Option-2),0)-T183)),0),0))</f>
        <v> </v>
      </c>
      <c r="AD183" s="290" t="str">
        <f aca="false">IF($A183="N/A"," ",IF(OR(Dayrun=1,Dayrun=4,Dayrun=5,Dayrun=7,Dayrun=8,Dayrun=10,Dayrun=11),MAX(0,(xSPRDOPT(L183,($E183-'Pricing Inputs'!$X218*$D183),$CV183,0,($CQ183+IF(Smile=TRUE(),VLOOKUP(MAX(-5,$H183-L183),Volsmile,2),0)),$CT183,$CU183,($A183-DateToday)+15,ABS(Option-2),0)-U183)),0))</f>
        <v> </v>
      </c>
      <c r="AE183" s="290" t="str">
        <f aca="false">IF($A183="N/A"," ",IF(OR(Dayrun=1,Dayrun=7,Dayrun=8,Dayrun=10,Dayrun=11),MAX(0,(xSPRDOPT(M183,($E183-'Pricing Inputs'!$X218*$D183),$CV183,0,($CQ183+IF(Smile=TRUE(),VLOOKUP(MAX(-5,$H183-M183),Volsmile,2),0)),$CT183,$CU183,($A183-DateToday)+15,ABS(Option-2),0)-V183)),0))</f>
        <v> </v>
      </c>
      <c r="AF183" s="290" t="str">
        <f aca="false">IF($A183="N/A"," ",IF(OR(Dayrun&lt;=2,Dayrun&gt;=10),IF(OffPeakEx=TRUE(),MAX(0,(xSPRDOPT(N183,($E183-'Pricing Inputs'!$X218*$D183),$CV183,0,($CQ183+IF(Smile=TRUE(),VLOOKUP(MAX(-5,$H183-N183),Volsmile,2),0)),$CT183,$CU183,($A183-DateToday)+15,ABS(Option-2),0)-W183)),0),0))</f>
        <v> </v>
      </c>
      <c r="AG183" s="290" t="str">
        <f aca="false">IF($A183="N/A"," ",IF(OR(Dayrun=1,Dayrun=5,Dayrun=8,Dayrun=11),MAX(0,(xSPRDOPT(O183,($E183-'Pricing Inputs'!$X218*$D183),$CV183,0,($CQ183+IF(Smile=TRUE(),VLOOKUP(MAX(-5,$H183-O183),Volsmile,2),0)),$CT183,$CU183,($A183-DateToday)+15,ABS(Option-2),0)-X183)),0))</f>
        <v> </v>
      </c>
      <c r="AH183" s="290" t="str">
        <f aca="false">IF($A183="N/A"," ",IF(OR(Dayrun=1,Dayrun=8,Dayrun=11),MAX(0,(xSPRDOPT(P183,($E183-'Pricing Inputs'!$X218*$D183),$CV183,0,($CQ183+IF(Smile=TRUE(),VLOOKUP(MAX(-5,$H183-P183),Volsmile,2),0)),$CT183,$CU183,($A183-DateToday)+15,ABS(Option-2),0)-Y183)),0))</f>
        <v> </v>
      </c>
      <c r="AI183" s="290" t="str">
        <f aca="false">IF($A183="N/A"," ",IF(OR(Dayrun&lt;=2,Dayrun&gt;=11),IF(OffPeakEx=TRUE(),MAX(0,(xSPRDOPT(Q183,($E183-'Pricing Inputs'!$X218*$D183),$CV183,0,($CQ183+IF(Smile=TRUE(),VLOOKUP(MAX(-5,$H183-Q183),Volsmile,2),0)),$CT183,$CU183,($A183-DateToday)+15,ABS(Option-2),0)-Z183)),0),0))</f>
        <v> </v>
      </c>
      <c r="AJ183" s="294" t="str">
        <f aca="false">IF($A183="N/A"," ",IF(Dayrun&gt;=3,IF(Option=1,$I183-$H183,IF(Option=2,$H183-$I183)),0))</f>
        <v> </v>
      </c>
      <c r="AK183" s="295" t="str">
        <f aca="false">IF($A183="N/A"," ",IF(Dayrun&gt;=6,IF(Option=1,$J183-H183,IF(Option=2,H183-$J183)),0))</f>
        <v> </v>
      </c>
      <c r="AL183" s="295" t="str">
        <f aca="false">IF($A183="N/A"," ",IF(OR(Dayrun&lt;=2,Dayrun&gt;=9),IF(Option=1,$K183-$H183,IF(Option=2,$H183-$K183)),0))</f>
        <v> </v>
      </c>
      <c r="AM183" s="295" t="str">
        <f aca="false">IF($A183="N/A"," ",IF(OR(Dayrun=1,Dayrun=4,Dayrun=5,Dayrun=7,Dayrun=8,Dayrun=10,Dayrun=11),IF(Option=1,$L183-H183,IF(Option=2,H183-$L183)),0))</f>
        <v> </v>
      </c>
      <c r="AN183" s="295" t="str">
        <f aca="false">IF($A183="N/A"," ",IF(OR(Dayrun=1,Dayrun=7,Dayrun=8,Dayrun=10,Dayrun=11),IF(Option=1,$M183-H183,IF(Option=2,H183-$M183)),0))</f>
        <v> </v>
      </c>
      <c r="AO183" s="295" t="str">
        <f aca="false">IF($A183="N/A"," ",IF(OR(Dayrun&lt;=2,Dayrun&gt;=9),IF(Option=1,$N183-$H183,IF(Option=2,$H183-$N183)),0))</f>
        <v> </v>
      </c>
      <c r="AP183" s="295" t="str">
        <f aca="false">IF($A183="N/A"," ",IF(OR(Dayrun=1,Dayrun=5,Dayrun=8,Dayrun=11),IF(Option=1,$O183-H183,IF(Option=2,H183-$O183)),0))</f>
        <v> </v>
      </c>
      <c r="AQ183" s="295" t="str">
        <f aca="false">IF($A183="N/A"," ",IF(OR(Dayrun=1,Dayrun=8,Dayrun=11),IF(Option=1,$P183-H183,IF(Option=2,H183-$P183)),0))</f>
        <v> </v>
      </c>
      <c r="AR183" s="296" t="str">
        <f aca="false">IF($A183="N/A"," ",IF(OR(Dayrun&lt;=2,Dayrun&gt;=9),IF(Option=1,$Q183-H183,IF(Option=2,H183-$Q183)),0))</f>
        <v> </v>
      </c>
      <c r="AS183" s="297" t="str">
        <f aca="false">IF($A183="N/A"," ",IF(VLOOKUP(MONTH($A183),ManualTable,2)=1,IF(Dayrun&gt;=3,$DE183*8*$CY183,0),0))</f>
        <v> </v>
      </c>
      <c r="AT183" s="297" t="str">
        <f aca="false">IF($A183="N/A"," ",IF(VLOOKUP(MONTH($A183),ManualTable,3)=1,IF(Dayrun&gt;=6,$DE183*8*$CY183,0),0))</f>
        <v> </v>
      </c>
      <c r="AU183" s="297" t="str">
        <f aca="false">IF($A183="N/A"," ",IF(VLOOKUP(MONTH($A183),ManualTable,4)=1,IF(OR(Dayrun&lt;=2,Dayrun&gt;=9),$DE183*8*$CY183,0),0))</f>
        <v> </v>
      </c>
      <c r="AV183" s="297" t="str">
        <f aca="false">IF($A183="N/A"," ",IF(VLOOKUP(MONTH($A183),ManualTable,5)=1,IF(OR(Dayrun=1,Dayrun=4,Dayrun=5,Dayrun=7,Dayrun=8,Dayrun=10,Dayrun=11),$DF183*8*$CY183,0),0))</f>
        <v> </v>
      </c>
      <c r="AW183" s="297" t="str">
        <f aca="false">IF($A183="N/A"," ",IF(VLOOKUP(MONTH($A183),ManualTable,6)=1,IF(OR(Dayrun=1,Dayrun=7,Dayrun=8,Dayrun=10,Dayrun=11),$DF183*8*$CY183,0),0))</f>
        <v> </v>
      </c>
      <c r="AX183" s="297" t="str">
        <f aca="false">IF($A183="N/A"," ",IF(VLOOKUP(MONTH($A183),ManualTable,7)=1,IF(OR(Dayrun&lt;=2,Dayrun&gt;=9),$DF183*8*$CY183,0),0))</f>
        <v> </v>
      </c>
      <c r="AY183" s="297" t="str">
        <f aca="false">IF($A183="N/A"," ",IF(VLOOKUP(MONTH($A183),ManualTable,8)=1,IF(OR(Dayrun=1,Dayrun=5,Dayrun=8,Dayrun=11),$DG183*8*$CY183,0),0))</f>
        <v> </v>
      </c>
      <c r="AZ183" s="297" t="str">
        <f aca="false">IF($A183="N/A"," ",IF(VLOOKUP(MONTH($A183),ManualTable,9)=1,IF(OR(Dayrun=1,Dayrun=8,Dayrun=11),$DG183*8*$CY183,0),0))</f>
        <v> </v>
      </c>
      <c r="BA183" s="298" t="str">
        <f aca="false">IF($A183="N/A"," ",IF(VLOOKUP(MONTH($A183),ManualTable,10)=1,IF(OR(Dayrun&lt;=2,Dayrun&gt;=9),$DG183*8*$CY183,0),0))</f>
        <v> </v>
      </c>
      <c r="BB183" s="299" t="str">
        <f aca="false">IF($A183="N/A"," ",IF(Dayrun&gt;=3,(MAX(0,(xSPRDOPT(I183,($E183-'Pricing Inputs'!$X218*$D183),$CV183,0,($CN183+IF(Smile=TRUE(),VLOOKUP(MAX(-5,$H183-I183),Volsmile,2),0)),$CT183,$CU183,($A183-DateToday)+15,ABS(Option-2),1)*DE183*8))),0))</f>
        <v> </v>
      </c>
      <c r="BC183" s="300" t="str">
        <f aca="false">IF($A183="N/A"," ",IF(Dayrun&gt;=6,MAX(0,(xSPRDOPT(J183,($E183-'Pricing Inputs'!$X218*$D183),$CV183,0,($CN183+IF(Smile=TRUE(),VLOOKUP(MAX(-5,$H183-J183),Volsmile,2),0)),$CT183,$CU183,($A183-DateToday)+15,ABS(Option-2),1)*DE183*8)),0))</f>
        <v> </v>
      </c>
      <c r="BD183" s="300" t="str">
        <f aca="false">IF($A183="N/A"," ",IF(OR(Dayrun&lt;=2,Dayrun&gt;=9),IF(OffPeakEx=TRUE(),MAX(0,(xSPRDOPT(K183,($E183-'Pricing Inputs'!$X218*$D183),$CV183,0,($CQ183+IF(Smile=TRUE(),VLOOKUP(MAX(-5,$H183-K183),Volsmile,2),0)),$CT183,$CU183,($A183-DateToday)+15,ABS(Option-2),1)*DE183*8)),0),0))</f>
        <v> </v>
      </c>
      <c r="BE183" s="300" t="str">
        <f aca="false">IF($A183="N/A"," ",IF(OR(Dayrun=1,Dayrun=4,Dayrun=5,Dayrun=7,Dayrun=8,Dayrun=10,Dayrun=11),MAX(0,(xSPRDOPT(L183,($E183-'Pricing Inputs'!$X218*$D183),$CV183,0,($CQ183+IF(Smile=TRUE(),VLOOKUP(MAX(-5,$H183-L183),Volsmile,2),0)),$CT183,$CU183,($A183-DateToday)+15,ABS(Option-2),1)*DF183*8)),0))</f>
        <v> </v>
      </c>
      <c r="BF183" s="300" t="str">
        <f aca="false">IF($A183="N/A"," ",IF(OR(Dayrun=1,Dayrun=7,Dayrun=8,Dayrun=10,Dayrun=11),MAX(0,(xSPRDOPT(M183,($E183-'Pricing Inputs'!$X218*$D183),$CV183,0,($CQ183+IF(Smile=TRUE(),VLOOKUP(MAX(-5,$H183-M183),Volsmile,2),0)),$CT183,$CU183,($A183-DateToday)+15,ABS(Option-2),1)*DF183*8)),0))</f>
        <v> </v>
      </c>
      <c r="BG183" s="300" t="str">
        <f aca="false">IF($A183="N/A"," ",IF(OR(Dayrun&lt;=2,Dayrun&gt;=10),IF(OffPeakEx=TRUE(),MAX(0,(xSPRDOPT(N183,($E183-'Pricing Inputs'!$X218*$D183),$CV183,0,($CQ183+IF(Smile=TRUE(),VLOOKUP(MAX(-5,$H183-N183),Volsmile,2),0)),$CT183,$CU183,($A183-DateToday)+15,ABS(Option-2),1)*DF183*8)),0),0))</f>
        <v> </v>
      </c>
      <c r="BH183" s="300" t="str">
        <f aca="false">IF($A183="N/A"," ",IF(OR(Dayrun=1,Dayrun=5,Dayrun=8,Dayrun=11),MAX(0,(xSPRDOPT(O183,($E183-'Pricing Inputs'!$X218*$D183),$CV183,0,($CQ183+IF(Smile=TRUE(),VLOOKUP(MAX(-5,$H183-O183),Volsmile,2),0)),$CT183,$CU183,($A183-DateToday)+15,ABS(Option-2),1)*DG183*8)),0))</f>
        <v> </v>
      </c>
      <c r="BI183" s="300" t="str">
        <f aca="false">IF($A183="N/A"," ",IF(OR(Dayrun=1,Dayrun=8,Dayrun=11),MAX(0,(xSPRDOPT(P183,($E183-'Pricing Inputs'!$X218*$D183),$CV183,0,($CQ183+IF(Smile=TRUE(),VLOOKUP(MAX(-5,$H183-P183),Volsmile,2),0)),$CT183,$CU183,($A183-DateToday)+15,ABS(Option-2),1)*DG183*8)),0))</f>
        <v> </v>
      </c>
      <c r="BJ183" s="301" t="str">
        <f aca="false">IF($A183="N/A"," ",IF(OR(Dayrun&lt;=2,Dayrun&gt;=11),IF(OffPeakEx=TRUE(),MAX(0,(xSPRDOPT(Q183,($E183-'Pricing Inputs'!$X218*$D183),$CV183,0,($CQ183+IF(Smile=TRUE(),VLOOKUP(MAX(-5,$H183-Q183),Volsmile,2),0)),$CT183,$CU183,($A183-DateToday)+15,ABS(Option-2),1)*DG183*8)),0),0))</f>
        <v> </v>
      </c>
      <c r="BK183" s="302" t="str">
        <f aca="false">IF($A183="N/A"," ",R183*$AS183)</f>
        <v> </v>
      </c>
      <c r="BL183" s="303" t="str">
        <f aca="false">IF($A183="N/A"," ",S183*$AT183)</f>
        <v> </v>
      </c>
      <c r="BM183" s="303" t="str">
        <f aca="false">IF($A183="N/A"," ",T183*$AU183)</f>
        <v> </v>
      </c>
      <c r="BN183" s="303" t="str">
        <f aca="false">IF($A183="N/A"," ",U183*$AV183)</f>
        <v> </v>
      </c>
      <c r="BO183" s="303" t="str">
        <f aca="false">IF($A183="N/A"," ",V183*$AW183)</f>
        <v> </v>
      </c>
      <c r="BP183" s="303" t="str">
        <f aca="false">IF($A183="N/A"," ",W183*$AX183)</f>
        <v> </v>
      </c>
      <c r="BQ183" s="303" t="str">
        <f aca="false">IF($A183="N/A"," ",X183*$AY183)</f>
        <v> </v>
      </c>
      <c r="BR183" s="303" t="str">
        <f aca="false">IF($A183="N/A"," ",Y183*$AZ183)</f>
        <v> </v>
      </c>
      <c r="BS183" s="304" t="str">
        <f aca="false">IF($A183="N/A"," ",Z183*$BA183)</f>
        <v> </v>
      </c>
      <c r="BT183" s="305" t="str">
        <f aca="false">IF($A183="N/A"," ",AA183*$AS183)</f>
        <v> </v>
      </c>
      <c r="BU183" s="306" t="str">
        <f aca="false">IF($A183="N/A"," ",AB183*$AT183)</f>
        <v> </v>
      </c>
      <c r="BV183" s="306" t="str">
        <f aca="false">IF($A183="N/A"," ",AC183*$AU183)</f>
        <v> </v>
      </c>
      <c r="BW183" s="306" t="str">
        <f aca="false">IF($A183="N/A"," ",AD183*$AV183)</f>
        <v> </v>
      </c>
      <c r="BX183" s="306" t="str">
        <f aca="false">IF($A183="N/A"," ",AE183*$AW183)</f>
        <v> </v>
      </c>
      <c r="BY183" s="306" t="str">
        <f aca="false">IF($A183="N/A"," ",AF183*$AX183)</f>
        <v> </v>
      </c>
      <c r="BZ183" s="306" t="str">
        <f aca="false">IF($A183="N/A"," ",AG183*$AY183)</f>
        <v> </v>
      </c>
      <c r="CA183" s="306" t="str">
        <f aca="false">IF($A183="N/A"," ",AH183*$AZ183)</f>
        <v> </v>
      </c>
      <c r="CB183" s="307" t="str">
        <f aca="false">IF($A183="N/A"," ",AI183*$BA183)</f>
        <v> </v>
      </c>
      <c r="CC183" s="308" t="str">
        <f aca="false">IF($A183="N/A"," ",AJ183*$AS183)</f>
        <v> </v>
      </c>
      <c r="CD183" s="309" t="str">
        <f aca="false">IF($A183="N/A"," ",AK183*$AT183)</f>
        <v> </v>
      </c>
      <c r="CE183" s="309" t="str">
        <f aca="false">IF($A183="N/A"," ",AL183*$AU183)</f>
        <v> </v>
      </c>
      <c r="CF183" s="309" t="str">
        <f aca="false">IF($A183="N/A"," ",AM183*$AV183)</f>
        <v> </v>
      </c>
      <c r="CG183" s="309" t="str">
        <f aca="false">IF($A183="N/A"," ",AN183*$AW183)</f>
        <v> </v>
      </c>
      <c r="CH183" s="309" t="str">
        <f aca="false">IF($A183="N/A"," ",AO183*$AX183)</f>
        <v> </v>
      </c>
      <c r="CI183" s="309" t="str">
        <f aca="false">IF($A183="N/A"," ",AP183*$AY183)</f>
        <v> </v>
      </c>
      <c r="CJ183" s="309" t="str">
        <f aca="false">IF($A183="N/A"," ",AQ183*$AZ183)</f>
        <v> </v>
      </c>
      <c r="CK183" s="310" t="str">
        <f aca="false">IF($A183="N/A"," ",AR183*$BA183)</f>
        <v> </v>
      </c>
      <c r="CL183" s="311" t="str">
        <f aca="false">IF(A183="N/A"," ",(VLOOKUP(A183,PowerVolTable,(IF(VolBMO=2,7,IF(VolBMO=1,6,8))),FALSE())))</f>
        <v> </v>
      </c>
      <c r="CM183" s="312" t="str">
        <f aca="false">IF(A183="N/A"," ",(VLOOKUP(A183,IntraPowerVol,(IF(VolBMO=2,3,IF(VolBMO=1,2,4))),FALSE())*VLOOKUP(MONTH($A183),Volscale,2)))</f>
        <v> </v>
      </c>
      <c r="CN183" s="312" t="str">
        <f aca="false">IF($A183="N/A"," ",IF(VolType=1,CM183,CL183))</f>
        <v> </v>
      </c>
      <c r="CO183" s="312" t="str">
        <f aca="false">IF($A183="N/A"," ",(VLOOKUP($A183,OffPeakVol,(IF(VolBMO=2,7,IF(VolBMO=1,6,8))),FALSE())))</f>
        <v> </v>
      </c>
      <c r="CP183" s="312" t="str">
        <f aca="false">IF($A183="N/A"," ",(VLOOKUP($A183,OffPeakVol,(IF(VolBMO=2,3,IF(VolBMO=1,2,4))),FALSE())*VLOOKUP(MONTH($A183),Volscale,2)))</f>
        <v> </v>
      </c>
      <c r="CQ183" s="312" t="str">
        <f aca="false">IF($A183="N/A"," ",IF(VolType=1,CP183,CO183))</f>
        <v> </v>
      </c>
      <c r="CR183" s="312" t="str">
        <f aca="false">IF($A183="N/A"," ",(VLOOKUP($A183,GasVolTable,(IF(VolBMO=2,6,IF(VolBMO=1,7,5))),FALSE())))</f>
        <v> </v>
      </c>
      <c r="CS183" s="312" t="str">
        <f aca="false">IF($A183="N/A"," ",(VLOOKUP($A183,OmicronVol,(IF(VolBMO=2,3,IF(VolBMO=1,4,2))),FALSE())))</f>
        <v> </v>
      </c>
      <c r="CT183" s="312" t="str">
        <f aca="false">IF($A183="N/A"," ",(IF(DateToday&gt;$A183,$CS183,IF(VolType=1,((($CR183^2)*((($A183-1)-DateToday)/((EOMONTH($A183,0)+1)-DateToday-15)))+((($CS183)^2)*((15)/((EOMONTH($A183,0)+1)-DateToday-15))))^0.5,CR183))))</f>
        <v> </v>
      </c>
      <c r="CU183" s="312" t="str">
        <f aca="false">IF($A183="N/A"," ",IF('Pricing Inputs'!$AR$23=TRUE(),Inputs!$S$22,VLOOKUP($A183,CorrelationTable,2,FALSE())))</f>
        <v> </v>
      </c>
      <c r="CV183" s="313" t="str">
        <f aca="false">IF($A183="N/A"," ",F183+G183+(D183*('Pricing Inputs'!X218)))</f>
        <v> </v>
      </c>
      <c r="CW183" s="314" t="str">
        <f aca="false">IF($A183="N/A"," ",IF(PV=1,0,'Pricing Inputs'!Y218))</f>
        <v> </v>
      </c>
      <c r="CX183" s="315" t="str">
        <f aca="false">IF($A183="N/A"," ",(1+CW183/2)^(-2*((EOMONTH(A183,0)+20)-DateToday)/365.25))</f>
        <v> </v>
      </c>
      <c r="CY183" s="316" t="str">
        <f aca="false">IF($A183="N/A"," ",(IF(MONTH(A183)&gt;=4,IF(MONTH(A183)&lt;=10,Inputs!$S$26,Inputs!$S$27),Inputs!$S$27))*$CX183)</f>
        <v> </v>
      </c>
      <c r="CZ183" s="317" t="str">
        <f aca="false">IF($A183="N/A"," ",BK183+BL183+BN183+BO183+BQ183+BR183)</f>
        <v> </v>
      </c>
      <c r="DA183" s="318" t="str">
        <f aca="false">IF($A183="N/A"," ",BM183+BP183+BS183)</f>
        <v> </v>
      </c>
      <c r="DB183" s="319" t="str">
        <f aca="false">IF($A183="N/A"," ",BT183+BU183+BW183+BX183+BZ183+CA183)</f>
        <v> </v>
      </c>
      <c r="DC183" s="319" t="str">
        <f aca="false">IF($A183="N/A"," ",BV183+BY183+CB183)</f>
        <v> </v>
      </c>
      <c r="DD183" s="320" t="str">
        <f aca="false">IF($A183="N/A"," ",SUM(CC183:CK183))</f>
        <v> </v>
      </c>
      <c r="DE183" s="321" t="str">
        <f aca="false">IF($A183="N/A"," ",VLOOKUP($A183,NumberofDaysTable,2)*Availability)</f>
        <v> </v>
      </c>
      <c r="DF183" s="94" t="str">
        <f aca="false">IF($A183="N/A"," ",VLOOKUP($A183,NumberofDaysTable,3)*Availability)</f>
        <v> </v>
      </c>
      <c r="DG183" s="322" t="str">
        <f aca="false">IF($A183="N/A"," ",VLOOKUP($A183,NumberofDaysTable,4)*Availability)</f>
        <v> </v>
      </c>
      <c r="DH183" s="323" t="str">
        <f aca="false">IF($A183="N/A"," ",IF(Option=1,$D183*Inputs!$S$15*SUM(AS183:BA183),0))</f>
        <v> </v>
      </c>
      <c r="DI183" s="324" t="str">
        <f aca="false">IF($A183="N/A"," ",IF(Option=1,$D183*Inputs!$S$16*SUM(AS183:BA183),0))</f>
        <v> </v>
      </c>
      <c r="DJ183" s="325" t="str">
        <f aca="false">IF($A183="N/A"," ",SUM(AS183:AT183))</f>
        <v> </v>
      </c>
      <c r="DK183" s="325" t="str">
        <f aca="false">IF($A183="N/A"," ",SUM(AU183:BA183))</f>
        <v> </v>
      </c>
      <c r="DL183" s="325" t="str">
        <f aca="false">IF($A183="N/A"," ",SUM(BB183:BC183))</f>
        <v> </v>
      </c>
      <c r="DM183" s="325" t="str">
        <f aca="false">IF($A183="N/A"," ",SUM(BD183:BJ183))</f>
        <v> </v>
      </c>
    </row>
    <row r="184" customFormat="false" ht="12.75" hidden="false" customHeight="false" outlineLevel="0" collapsed="false">
      <c r="A184" s="282" t="str">
        <f aca="false">IF(A183="N/A","N/A",IF(EDATE(A183,1)&gt;Inputs!$S$5,"N/A",EDATE(A183,1)))</f>
        <v>N/A</v>
      </c>
      <c r="B184" s="283" t="str">
        <f aca="false">IF(A184="N/A"," ",YEAR(A184))</f>
        <v> </v>
      </c>
      <c r="C184" s="284" t="str">
        <f aca="false">IF(A184="N/A"," ",VLOOKUP(A184,ScaledPrice,14))</f>
        <v> </v>
      </c>
      <c r="D184" s="285" t="str">
        <f aca="false">IF(A184="N/A"," ",(VLOOKUP(MONTH($A184),Hrtable,2))/1000)</f>
        <v> </v>
      </c>
      <c r="E184" s="286" t="str">
        <f aca="false">IF($A184="N/A"," ",(C184)*D184)</f>
        <v> </v>
      </c>
      <c r="F184" s="287" t="str">
        <f aca="false">IF(A184="N/A"," ",VOM*(1+VOMesc)^(YEAR(A184)-YEAR(Today)))</f>
        <v> </v>
      </c>
      <c r="G184" s="287" t="str">
        <f aca="false">IF(A184="N/A"," ",Perstart/VLOOKUP(Dayrun,'Pricing Inputs'!$AQ$4:$AS$14,3)/(CY184/CX184))</f>
        <v> </v>
      </c>
      <c r="H184" s="288" t="str">
        <f aca="false">IF(A184="N/A"," ",SUM(E184:G184))</f>
        <v> </v>
      </c>
      <c r="I184" s="289" t="str">
        <f aca="false">VLOOKUP($A184,ScaledPrice,6)</f>
        <v> </v>
      </c>
      <c r="J184" s="290" t="str">
        <f aca="false">VLOOKUP($A184,ScaledPrice,10)</f>
        <v> </v>
      </c>
      <c r="K184" s="290" t="str">
        <f aca="false">VLOOKUP($A184,ScaledPrice,13)</f>
        <v> </v>
      </c>
      <c r="L184" s="290" t="str">
        <f aca="false">VLOOKUP($A184,ScaledPrice,7)</f>
        <v> </v>
      </c>
      <c r="M184" s="290" t="str">
        <f aca="false">VLOOKUP($A184,ScaledPrice,11)</f>
        <v> </v>
      </c>
      <c r="N184" s="290" t="str">
        <f aca="false">VLOOKUP($A184,ScaledPrice,13)</f>
        <v> </v>
      </c>
      <c r="O184" s="290" t="str">
        <f aca="false">VLOOKUP($A184,ScaledPrice,8)</f>
        <v> </v>
      </c>
      <c r="P184" s="290" t="str">
        <f aca="false">VLOOKUP($A184,ScaledPrice,12)</f>
        <v> </v>
      </c>
      <c r="Q184" s="291" t="str">
        <f aca="false">VLOOKUP($A184,ScaledPrice,13)</f>
        <v> </v>
      </c>
      <c r="R184" s="292" t="str">
        <f aca="false">IF($A184="N/A"," ",IF(Dayrun&gt;=3,IF(Option=1,MAX($I184-$H184,0),IF(Option=2,MAX($H184-$I184,0),0)),0))</f>
        <v> </v>
      </c>
      <c r="S184" s="286" t="str">
        <f aca="false">IF($A184="N/A"," ",IF(Dayrun&gt;=6,IF(Option=1,MAX($J184-H184,0),IF(Option=2,MAX(H184-$J184,0),0)),0))</f>
        <v> </v>
      </c>
      <c r="T184" s="286" t="str">
        <f aca="false">IF($A184="N/A"," ",IF(OR(Dayrun&lt;=2,Dayrun&gt;=9),IF(Option=1,MAX($K184-$H184,0),IF(Option=2,MAX($H184-$K184,0),0)),0))</f>
        <v> </v>
      </c>
      <c r="U184" s="286" t="str">
        <f aca="false">IF($A184="N/A"," ",IF(OR(Dayrun=1,Dayrun=4,Dayrun=5,Dayrun=7,Dayrun=8,Dayrun=10,Dayrun=11),IF(Option=1,MAX($L184-H184,0),IF(Option=2,MAX(H184-$L184,0),0)),0))</f>
        <v> </v>
      </c>
      <c r="V184" s="286" t="str">
        <f aca="false">IF($A184="N/A"," ",IF(OR(Dayrun=1,Dayrun=7,Dayrun=8,Dayrun=10,Dayrun=11),IF(Option=1,MAX($M184-H184,0),IF(Option=2,MAX(H184-$M184,0),0)),0))</f>
        <v> </v>
      </c>
      <c r="W184" s="286" t="str">
        <f aca="false">IF($A184="N/A"," ",IF(OR(Dayrun&lt;=2,Dayrun&gt;=10),IF(Option=1,MAX($N184-$H184,0),IF(Option=2,MAX($H184-$N184,0),0)),0))</f>
        <v> </v>
      </c>
      <c r="X184" s="286" t="str">
        <f aca="false">IF($A184="N/A"," ",IF(OR(Dayrun=1,Dayrun=5,Dayrun=8,Dayrun=11),IF(Option=1,MAX($O184-H184,0),IF(Option=2,MAX(H184-$O184,0),0)),0))</f>
        <v> </v>
      </c>
      <c r="Y184" s="286" t="str">
        <f aca="false">IF($A184="N/A"," ",IF(OR(Dayrun=1,Dayrun=8,Dayrun=11),IF(Option=1,MAX($P184-H184,0),IF(Option=2,MAX(H184-$P184,0),0)),0))</f>
        <v> </v>
      </c>
      <c r="Z184" s="293" t="str">
        <f aca="false">IF($A184="N/A"," ",IF(OR(Dayrun&lt;=2,Dayrun&gt;=11),IF(Option=1,MAX($Q184-$H184,0),IF(Option=2,MAX($H184-$Q184,0),0)),0))</f>
        <v> </v>
      </c>
      <c r="AA184" s="289" t="str">
        <f aca="false">IF($A184="N/A"," ",IF(Dayrun&gt;=3,(MAX(0,(xSPRDOPT(I184,($E184-'Pricing Inputs'!$X219*$D184),$CV184,0,($CN184+IF(Smile=TRUE(),VLOOKUP(MAX(-5,$H184-I184),Volsmile,2),0)),$CT184,$CU184,($A184-DateToday)+15,ABS(Option-2),0)-R184))),0))</f>
        <v> </v>
      </c>
      <c r="AB184" s="290" t="str">
        <f aca="false">IF($A184="N/A"," ",IF(Dayrun&gt;=6,MAX(0,(xSPRDOPT(J184,($E184-'Pricing Inputs'!$X219*$D184),$CV184,0,($CN184+IF(Smile=TRUE(),VLOOKUP(MAX(-5,$H184-J184),Volsmile,2),0)),$CT184,$CU184,($A184-DateToday)+15,ABS(Option-2),0)-S184)),0))</f>
        <v> </v>
      </c>
      <c r="AC184" s="290" t="str">
        <f aca="false">IF($A184="N/A"," ",IF(OR(Dayrun&lt;=2,Dayrun&gt;=9),IF(OffPeakEx=TRUE(),MAX(0,(xSPRDOPT(K184,($E184-'Pricing Inputs'!$X219*$D184),$CV184,0,($CQ184+IF(Smile=TRUE(),VLOOKUP(MAX(-5,$H184-K184),Volsmile,2),0)),$CT184,$CU184,($A184-DateToday)+15,ABS(Option-2),0)-T184)),0),0))</f>
        <v> </v>
      </c>
      <c r="AD184" s="290" t="str">
        <f aca="false">IF($A184="N/A"," ",IF(OR(Dayrun=1,Dayrun=4,Dayrun=5,Dayrun=7,Dayrun=8,Dayrun=10,Dayrun=11),MAX(0,(xSPRDOPT(L184,($E184-'Pricing Inputs'!$X219*$D184),$CV184,0,($CQ184+IF(Smile=TRUE(),VLOOKUP(MAX(-5,$H184-L184),Volsmile,2),0)),$CT184,$CU184,($A184-DateToday)+15,ABS(Option-2),0)-U184)),0))</f>
        <v> </v>
      </c>
      <c r="AE184" s="290" t="str">
        <f aca="false">IF($A184="N/A"," ",IF(OR(Dayrun=1,Dayrun=7,Dayrun=8,Dayrun=10,Dayrun=11),MAX(0,(xSPRDOPT(M184,($E184-'Pricing Inputs'!$X219*$D184),$CV184,0,($CQ184+IF(Smile=TRUE(),VLOOKUP(MAX(-5,$H184-M184),Volsmile,2),0)),$CT184,$CU184,($A184-DateToday)+15,ABS(Option-2),0)-V184)),0))</f>
        <v> </v>
      </c>
      <c r="AF184" s="290" t="str">
        <f aca="false">IF($A184="N/A"," ",IF(OR(Dayrun&lt;=2,Dayrun&gt;=10),IF(OffPeakEx=TRUE(),MAX(0,(xSPRDOPT(N184,($E184-'Pricing Inputs'!$X219*$D184),$CV184,0,($CQ184+IF(Smile=TRUE(),VLOOKUP(MAX(-5,$H184-N184),Volsmile,2),0)),$CT184,$CU184,($A184-DateToday)+15,ABS(Option-2),0)-W184)),0),0))</f>
        <v> </v>
      </c>
      <c r="AG184" s="290" t="str">
        <f aca="false">IF($A184="N/A"," ",IF(OR(Dayrun=1,Dayrun=5,Dayrun=8,Dayrun=11),MAX(0,(xSPRDOPT(O184,($E184-'Pricing Inputs'!$X219*$D184),$CV184,0,($CQ184+IF(Smile=TRUE(),VLOOKUP(MAX(-5,$H184-O184),Volsmile,2),0)),$CT184,$CU184,($A184-DateToday)+15,ABS(Option-2),0)-X184)),0))</f>
        <v> </v>
      </c>
      <c r="AH184" s="290" t="str">
        <f aca="false">IF($A184="N/A"," ",IF(OR(Dayrun=1,Dayrun=8,Dayrun=11),MAX(0,(xSPRDOPT(P184,($E184-'Pricing Inputs'!$X219*$D184),$CV184,0,($CQ184+IF(Smile=TRUE(),VLOOKUP(MAX(-5,$H184-P184),Volsmile,2),0)),$CT184,$CU184,($A184-DateToday)+15,ABS(Option-2),0)-Y184)),0))</f>
        <v> </v>
      </c>
      <c r="AI184" s="290" t="str">
        <f aca="false">IF($A184="N/A"," ",IF(OR(Dayrun&lt;=2,Dayrun&gt;=11),IF(OffPeakEx=TRUE(),MAX(0,(xSPRDOPT(Q184,($E184-'Pricing Inputs'!$X219*$D184),$CV184,0,($CQ184+IF(Smile=TRUE(),VLOOKUP(MAX(-5,$H184-Q184),Volsmile,2),0)),$CT184,$CU184,($A184-DateToday)+15,ABS(Option-2),0)-Z184)),0),0))</f>
        <v> </v>
      </c>
      <c r="AJ184" s="294" t="str">
        <f aca="false">IF($A184="N/A"," ",IF(Dayrun&gt;=3,IF(Option=1,$I184-$H184,IF(Option=2,$H184-$I184)),0))</f>
        <v> </v>
      </c>
      <c r="AK184" s="295" t="str">
        <f aca="false">IF($A184="N/A"," ",IF(Dayrun&gt;=6,IF(Option=1,$J184-H184,IF(Option=2,H184-$J184)),0))</f>
        <v> </v>
      </c>
      <c r="AL184" s="295" t="str">
        <f aca="false">IF($A184="N/A"," ",IF(OR(Dayrun&lt;=2,Dayrun&gt;=9),IF(Option=1,$K184-$H184,IF(Option=2,$H184-$K184)),0))</f>
        <v> </v>
      </c>
      <c r="AM184" s="295" t="str">
        <f aca="false">IF($A184="N/A"," ",IF(OR(Dayrun=1,Dayrun=4,Dayrun=5,Dayrun=7,Dayrun=8,Dayrun=10,Dayrun=11),IF(Option=1,$L184-H184,IF(Option=2,H184-$L184)),0))</f>
        <v> </v>
      </c>
      <c r="AN184" s="295" t="str">
        <f aca="false">IF($A184="N/A"," ",IF(OR(Dayrun=1,Dayrun=7,Dayrun=8,Dayrun=10,Dayrun=11),IF(Option=1,$M184-H184,IF(Option=2,H184-$M184)),0))</f>
        <v> </v>
      </c>
      <c r="AO184" s="295" t="str">
        <f aca="false">IF($A184="N/A"," ",IF(OR(Dayrun&lt;=2,Dayrun&gt;=9),IF(Option=1,$N184-$H184,IF(Option=2,$H184-$N184)),0))</f>
        <v> </v>
      </c>
      <c r="AP184" s="295" t="str">
        <f aca="false">IF($A184="N/A"," ",IF(OR(Dayrun=1,Dayrun=5,Dayrun=8,Dayrun=11),IF(Option=1,$O184-H184,IF(Option=2,H184-$O184)),0))</f>
        <v> </v>
      </c>
      <c r="AQ184" s="295" t="str">
        <f aca="false">IF($A184="N/A"," ",IF(OR(Dayrun=1,Dayrun=8,Dayrun=11),IF(Option=1,$P184-H184,IF(Option=2,H184-$P184)),0))</f>
        <v> </v>
      </c>
      <c r="AR184" s="296" t="str">
        <f aca="false">IF($A184="N/A"," ",IF(OR(Dayrun&lt;=2,Dayrun&gt;=9),IF(Option=1,$Q184-H184,IF(Option=2,H184-$Q184)),0))</f>
        <v> </v>
      </c>
      <c r="AS184" s="297" t="str">
        <f aca="false">IF($A184="N/A"," ",IF(VLOOKUP(MONTH($A184),ManualTable,2)=1,IF(Dayrun&gt;=3,$DE184*8*$CY184,0),0))</f>
        <v> </v>
      </c>
      <c r="AT184" s="297" t="str">
        <f aca="false">IF($A184="N/A"," ",IF(VLOOKUP(MONTH($A184),ManualTable,3)=1,IF(Dayrun&gt;=6,$DE184*8*$CY184,0),0))</f>
        <v> </v>
      </c>
      <c r="AU184" s="297" t="str">
        <f aca="false">IF($A184="N/A"," ",IF(VLOOKUP(MONTH($A184),ManualTable,4)=1,IF(OR(Dayrun&lt;=2,Dayrun&gt;=9),$DE184*8*$CY184,0),0))</f>
        <v> </v>
      </c>
      <c r="AV184" s="297" t="str">
        <f aca="false">IF($A184="N/A"," ",IF(VLOOKUP(MONTH($A184),ManualTable,5)=1,IF(OR(Dayrun=1,Dayrun=4,Dayrun=5,Dayrun=7,Dayrun=8,Dayrun=10,Dayrun=11),$DF184*8*$CY184,0),0))</f>
        <v> </v>
      </c>
      <c r="AW184" s="297" t="str">
        <f aca="false">IF($A184="N/A"," ",IF(VLOOKUP(MONTH($A184),ManualTable,6)=1,IF(OR(Dayrun=1,Dayrun=7,Dayrun=8,Dayrun=10,Dayrun=11),$DF184*8*$CY184,0),0))</f>
        <v> </v>
      </c>
      <c r="AX184" s="297" t="str">
        <f aca="false">IF($A184="N/A"," ",IF(VLOOKUP(MONTH($A184),ManualTable,7)=1,IF(OR(Dayrun&lt;=2,Dayrun&gt;=9),$DF184*8*$CY184,0),0))</f>
        <v> </v>
      </c>
      <c r="AY184" s="297" t="str">
        <f aca="false">IF($A184="N/A"," ",IF(VLOOKUP(MONTH($A184),ManualTable,8)=1,IF(OR(Dayrun=1,Dayrun=5,Dayrun=8,Dayrun=11),$DG184*8*$CY184,0),0))</f>
        <v> </v>
      </c>
      <c r="AZ184" s="297" t="str">
        <f aca="false">IF($A184="N/A"," ",IF(VLOOKUP(MONTH($A184),ManualTable,9)=1,IF(OR(Dayrun=1,Dayrun=8,Dayrun=11),$DG184*8*$CY184,0),0))</f>
        <v> </v>
      </c>
      <c r="BA184" s="298" t="str">
        <f aca="false">IF($A184="N/A"," ",IF(VLOOKUP(MONTH($A184),ManualTable,10)=1,IF(OR(Dayrun&lt;=2,Dayrun&gt;=9),$DG184*8*$CY184,0),0))</f>
        <v> </v>
      </c>
      <c r="BB184" s="299" t="str">
        <f aca="false">IF($A184="N/A"," ",IF(Dayrun&gt;=3,(MAX(0,(xSPRDOPT(I184,($E184-'Pricing Inputs'!$X219*$D184),$CV184,0,($CN184+IF(Smile=TRUE(),VLOOKUP(MAX(-5,$H184-I184),Volsmile,2),0)),$CT184,$CU184,($A184-DateToday)+15,ABS(Option-2),1)*DE184*8))),0))</f>
        <v> </v>
      </c>
      <c r="BC184" s="300" t="str">
        <f aca="false">IF($A184="N/A"," ",IF(Dayrun&gt;=6,MAX(0,(xSPRDOPT(J184,($E184-'Pricing Inputs'!$X219*$D184),$CV184,0,($CN184+IF(Smile=TRUE(),VLOOKUP(MAX(-5,$H184-J184),Volsmile,2),0)),$CT184,$CU184,($A184-DateToday)+15,ABS(Option-2),1)*DE184*8)),0))</f>
        <v> </v>
      </c>
      <c r="BD184" s="300" t="str">
        <f aca="false">IF($A184="N/A"," ",IF(OR(Dayrun&lt;=2,Dayrun&gt;=9),IF(OffPeakEx=TRUE(),MAX(0,(xSPRDOPT(K184,($E184-'Pricing Inputs'!$X219*$D184),$CV184,0,($CQ184+IF(Smile=TRUE(),VLOOKUP(MAX(-5,$H184-K184),Volsmile,2),0)),$CT184,$CU184,($A184-DateToday)+15,ABS(Option-2),1)*DE184*8)),0),0))</f>
        <v> </v>
      </c>
      <c r="BE184" s="300" t="str">
        <f aca="false">IF($A184="N/A"," ",IF(OR(Dayrun=1,Dayrun=4,Dayrun=5,Dayrun=7,Dayrun=8,Dayrun=10,Dayrun=11),MAX(0,(xSPRDOPT(L184,($E184-'Pricing Inputs'!$X219*$D184),$CV184,0,($CQ184+IF(Smile=TRUE(),VLOOKUP(MAX(-5,$H184-L184),Volsmile,2),0)),$CT184,$CU184,($A184-DateToday)+15,ABS(Option-2),1)*DF184*8)),0))</f>
        <v> </v>
      </c>
      <c r="BF184" s="300" t="str">
        <f aca="false">IF($A184="N/A"," ",IF(OR(Dayrun=1,Dayrun=7,Dayrun=8,Dayrun=10,Dayrun=11),MAX(0,(xSPRDOPT(M184,($E184-'Pricing Inputs'!$X219*$D184),$CV184,0,($CQ184+IF(Smile=TRUE(),VLOOKUP(MAX(-5,$H184-M184),Volsmile,2),0)),$CT184,$CU184,($A184-DateToday)+15,ABS(Option-2),1)*DF184*8)),0))</f>
        <v> </v>
      </c>
      <c r="BG184" s="300" t="str">
        <f aca="false">IF($A184="N/A"," ",IF(OR(Dayrun&lt;=2,Dayrun&gt;=10),IF(OffPeakEx=TRUE(),MAX(0,(xSPRDOPT(N184,($E184-'Pricing Inputs'!$X219*$D184),$CV184,0,($CQ184+IF(Smile=TRUE(),VLOOKUP(MAX(-5,$H184-N184),Volsmile,2),0)),$CT184,$CU184,($A184-DateToday)+15,ABS(Option-2),1)*DF184*8)),0),0))</f>
        <v> </v>
      </c>
      <c r="BH184" s="300" t="str">
        <f aca="false">IF($A184="N/A"," ",IF(OR(Dayrun=1,Dayrun=5,Dayrun=8,Dayrun=11),MAX(0,(xSPRDOPT(O184,($E184-'Pricing Inputs'!$X219*$D184),$CV184,0,($CQ184+IF(Smile=TRUE(),VLOOKUP(MAX(-5,$H184-O184),Volsmile,2),0)),$CT184,$CU184,($A184-DateToday)+15,ABS(Option-2),1)*DG184*8)),0))</f>
        <v> </v>
      </c>
      <c r="BI184" s="300" t="str">
        <f aca="false">IF($A184="N/A"," ",IF(OR(Dayrun=1,Dayrun=8,Dayrun=11),MAX(0,(xSPRDOPT(P184,($E184-'Pricing Inputs'!$X219*$D184),$CV184,0,($CQ184+IF(Smile=TRUE(),VLOOKUP(MAX(-5,$H184-P184),Volsmile,2),0)),$CT184,$CU184,($A184-DateToday)+15,ABS(Option-2),1)*DG184*8)),0))</f>
        <v> </v>
      </c>
      <c r="BJ184" s="301" t="str">
        <f aca="false">IF($A184="N/A"," ",IF(OR(Dayrun&lt;=2,Dayrun&gt;=11),IF(OffPeakEx=TRUE(),MAX(0,(xSPRDOPT(Q184,($E184-'Pricing Inputs'!$X219*$D184),$CV184,0,($CQ184+IF(Smile=TRUE(),VLOOKUP(MAX(-5,$H184-Q184),Volsmile,2),0)),$CT184,$CU184,($A184-DateToday)+15,ABS(Option-2),1)*DG184*8)),0),0))</f>
        <v> </v>
      </c>
      <c r="BK184" s="302" t="str">
        <f aca="false">IF($A184="N/A"," ",R184*$AS184)</f>
        <v> </v>
      </c>
      <c r="BL184" s="303" t="str">
        <f aca="false">IF($A184="N/A"," ",S184*$AT184)</f>
        <v> </v>
      </c>
      <c r="BM184" s="303" t="str">
        <f aca="false">IF($A184="N/A"," ",T184*$AU184)</f>
        <v> </v>
      </c>
      <c r="BN184" s="303" t="str">
        <f aca="false">IF($A184="N/A"," ",U184*$AV184)</f>
        <v> </v>
      </c>
      <c r="BO184" s="303" t="str">
        <f aca="false">IF($A184="N/A"," ",V184*$AW184)</f>
        <v> </v>
      </c>
      <c r="BP184" s="303" t="str">
        <f aca="false">IF($A184="N/A"," ",W184*$AX184)</f>
        <v> </v>
      </c>
      <c r="BQ184" s="303" t="str">
        <f aca="false">IF($A184="N/A"," ",X184*$AY184)</f>
        <v> </v>
      </c>
      <c r="BR184" s="303" t="str">
        <f aca="false">IF($A184="N/A"," ",Y184*$AZ184)</f>
        <v> </v>
      </c>
      <c r="BS184" s="304" t="str">
        <f aca="false">IF($A184="N/A"," ",Z184*$BA184)</f>
        <v> </v>
      </c>
      <c r="BT184" s="305" t="str">
        <f aca="false">IF($A184="N/A"," ",AA184*$AS184)</f>
        <v> </v>
      </c>
      <c r="BU184" s="306" t="str">
        <f aca="false">IF($A184="N/A"," ",AB184*$AT184)</f>
        <v> </v>
      </c>
      <c r="BV184" s="306" t="str">
        <f aca="false">IF($A184="N/A"," ",AC184*$AU184)</f>
        <v> </v>
      </c>
      <c r="BW184" s="306" t="str">
        <f aca="false">IF($A184="N/A"," ",AD184*$AV184)</f>
        <v> </v>
      </c>
      <c r="BX184" s="306" t="str">
        <f aca="false">IF($A184="N/A"," ",AE184*$AW184)</f>
        <v> </v>
      </c>
      <c r="BY184" s="306" t="str">
        <f aca="false">IF($A184="N/A"," ",AF184*$AX184)</f>
        <v> </v>
      </c>
      <c r="BZ184" s="306" t="str">
        <f aca="false">IF($A184="N/A"," ",AG184*$AY184)</f>
        <v> </v>
      </c>
      <c r="CA184" s="306" t="str">
        <f aca="false">IF($A184="N/A"," ",AH184*$AZ184)</f>
        <v> </v>
      </c>
      <c r="CB184" s="307" t="str">
        <f aca="false">IF($A184="N/A"," ",AI184*$BA184)</f>
        <v> </v>
      </c>
      <c r="CC184" s="308" t="str">
        <f aca="false">IF($A184="N/A"," ",AJ184*$AS184)</f>
        <v> </v>
      </c>
      <c r="CD184" s="309" t="str">
        <f aca="false">IF($A184="N/A"," ",AK184*$AT184)</f>
        <v> </v>
      </c>
      <c r="CE184" s="309" t="str">
        <f aca="false">IF($A184="N/A"," ",AL184*$AU184)</f>
        <v> </v>
      </c>
      <c r="CF184" s="309" t="str">
        <f aca="false">IF($A184="N/A"," ",AM184*$AV184)</f>
        <v> </v>
      </c>
      <c r="CG184" s="309" t="str">
        <f aca="false">IF($A184="N/A"," ",AN184*$AW184)</f>
        <v> </v>
      </c>
      <c r="CH184" s="309" t="str">
        <f aca="false">IF($A184="N/A"," ",AO184*$AX184)</f>
        <v> </v>
      </c>
      <c r="CI184" s="309" t="str">
        <f aca="false">IF($A184="N/A"," ",AP184*$AY184)</f>
        <v> </v>
      </c>
      <c r="CJ184" s="309" t="str">
        <f aca="false">IF($A184="N/A"," ",AQ184*$AZ184)</f>
        <v> </v>
      </c>
      <c r="CK184" s="310" t="str">
        <f aca="false">IF($A184="N/A"," ",AR184*$BA184)</f>
        <v> </v>
      </c>
      <c r="CL184" s="311" t="str">
        <f aca="false">IF(A184="N/A"," ",(VLOOKUP(A184,PowerVolTable,(IF(VolBMO=2,7,IF(VolBMO=1,6,8))),FALSE())))</f>
        <v> </v>
      </c>
      <c r="CM184" s="312" t="str">
        <f aca="false">IF(A184="N/A"," ",(VLOOKUP(A184,IntraPowerVol,(IF(VolBMO=2,3,IF(VolBMO=1,2,4))),FALSE())*VLOOKUP(MONTH($A184),Volscale,2)))</f>
        <v> </v>
      </c>
      <c r="CN184" s="312" t="str">
        <f aca="false">IF($A184="N/A"," ",IF(VolType=1,CM184,CL184))</f>
        <v> </v>
      </c>
      <c r="CO184" s="312" t="str">
        <f aca="false">IF($A184="N/A"," ",(VLOOKUP($A184,OffPeakVol,(IF(VolBMO=2,7,IF(VolBMO=1,6,8))),FALSE())))</f>
        <v> </v>
      </c>
      <c r="CP184" s="312" t="str">
        <f aca="false">IF($A184="N/A"," ",(VLOOKUP($A184,OffPeakVol,(IF(VolBMO=2,3,IF(VolBMO=1,2,4))),FALSE())*VLOOKUP(MONTH($A184),Volscale,2)))</f>
        <v> </v>
      </c>
      <c r="CQ184" s="312" t="str">
        <f aca="false">IF($A184="N/A"," ",IF(VolType=1,CP184,CO184))</f>
        <v> </v>
      </c>
      <c r="CR184" s="312" t="str">
        <f aca="false">IF($A184="N/A"," ",(VLOOKUP($A184,GasVolTable,(IF(VolBMO=2,6,IF(VolBMO=1,7,5))),FALSE())))</f>
        <v> </v>
      </c>
      <c r="CS184" s="312" t="str">
        <f aca="false">IF($A184="N/A"," ",(VLOOKUP($A184,OmicronVol,(IF(VolBMO=2,3,IF(VolBMO=1,4,2))),FALSE())))</f>
        <v> </v>
      </c>
      <c r="CT184" s="312" t="str">
        <f aca="false">IF($A184="N/A"," ",(IF(DateToday&gt;$A184,$CS184,IF(VolType=1,((($CR184^2)*((($A184-1)-DateToday)/((EOMONTH($A184,0)+1)-DateToday-15)))+((($CS184)^2)*((15)/((EOMONTH($A184,0)+1)-DateToday-15))))^0.5,CR184))))</f>
        <v> </v>
      </c>
      <c r="CU184" s="312" t="str">
        <f aca="false">IF($A184="N/A"," ",IF('Pricing Inputs'!$AR$23=TRUE(),Inputs!$S$22,VLOOKUP($A184,CorrelationTable,2,FALSE())))</f>
        <v> </v>
      </c>
      <c r="CV184" s="313" t="str">
        <f aca="false">IF($A184="N/A"," ",F184+G184+(D184*('Pricing Inputs'!X219)))</f>
        <v> </v>
      </c>
      <c r="CW184" s="314" t="str">
        <f aca="false">IF($A184="N/A"," ",IF(PV=1,0,'Pricing Inputs'!Y219))</f>
        <v> </v>
      </c>
      <c r="CX184" s="315" t="str">
        <f aca="false">IF($A184="N/A"," ",(1+CW184/2)^(-2*((EOMONTH(A184,0)+20)-DateToday)/365.25))</f>
        <v> </v>
      </c>
      <c r="CY184" s="316" t="str">
        <f aca="false">IF($A184="N/A"," ",(IF(MONTH(A184)&gt;=4,IF(MONTH(A184)&lt;=10,Inputs!$S$26,Inputs!$S$27),Inputs!$S$27))*$CX184)</f>
        <v> </v>
      </c>
      <c r="CZ184" s="317" t="str">
        <f aca="false">IF($A184="N/A"," ",BK184+BL184+BN184+BO184+BQ184+BR184)</f>
        <v> </v>
      </c>
      <c r="DA184" s="318" t="str">
        <f aca="false">IF($A184="N/A"," ",BM184+BP184+BS184)</f>
        <v> </v>
      </c>
      <c r="DB184" s="319" t="str">
        <f aca="false">IF($A184="N/A"," ",BT184+BU184+BW184+BX184+BZ184+CA184)</f>
        <v> </v>
      </c>
      <c r="DC184" s="319" t="str">
        <f aca="false">IF($A184="N/A"," ",BV184+BY184+CB184)</f>
        <v> </v>
      </c>
      <c r="DD184" s="320" t="str">
        <f aca="false">IF($A184="N/A"," ",SUM(CC184:CK184))</f>
        <v> </v>
      </c>
      <c r="DE184" s="321" t="str">
        <f aca="false">IF($A184="N/A"," ",VLOOKUP($A184,NumberofDaysTable,2)*Availability)</f>
        <v> </v>
      </c>
      <c r="DF184" s="94" t="str">
        <f aca="false">IF($A184="N/A"," ",VLOOKUP($A184,NumberofDaysTable,3)*Availability)</f>
        <v> </v>
      </c>
      <c r="DG184" s="322" t="str">
        <f aca="false">IF($A184="N/A"," ",VLOOKUP($A184,NumberofDaysTable,4)*Availability)</f>
        <v> </v>
      </c>
      <c r="DH184" s="323" t="str">
        <f aca="false">IF($A184="N/A"," ",IF(Option=1,$D184*Inputs!$S$15*SUM(AS184:BA184),0))</f>
        <v> </v>
      </c>
      <c r="DI184" s="324" t="str">
        <f aca="false">IF($A184="N/A"," ",IF(Option=1,$D184*Inputs!$S$16*SUM(AS184:BA184),0))</f>
        <v> </v>
      </c>
      <c r="DJ184" s="325" t="str">
        <f aca="false">IF($A184="N/A"," ",SUM(AS184:AT184))</f>
        <v> </v>
      </c>
      <c r="DK184" s="325" t="str">
        <f aca="false">IF($A184="N/A"," ",SUM(AU184:BA184))</f>
        <v> </v>
      </c>
      <c r="DL184" s="325" t="str">
        <f aca="false">IF($A184="N/A"," ",SUM(BB184:BC184))</f>
        <v> </v>
      </c>
      <c r="DM184" s="325" t="str">
        <f aca="false">IF($A184="N/A"," ",SUM(BD184:BJ184))</f>
        <v> </v>
      </c>
    </row>
    <row r="185" customFormat="false" ht="12.75" hidden="false" customHeight="false" outlineLevel="0" collapsed="false">
      <c r="A185" s="282" t="str">
        <f aca="false">IF(A184="N/A","N/A",IF(EDATE(A184,1)&gt;Inputs!$S$5,"N/A",EDATE(A184,1)))</f>
        <v>N/A</v>
      </c>
      <c r="B185" s="283" t="str">
        <f aca="false">IF(A185="N/A"," ",YEAR(A185))</f>
        <v> </v>
      </c>
      <c r="C185" s="284" t="str">
        <f aca="false">IF(A185="N/A"," ",VLOOKUP(A185,ScaledPrice,14))</f>
        <v> </v>
      </c>
      <c r="D185" s="285" t="str">
        <f aca="false">IF(A185="N/A"," ",(VLOOKUP(MONTH($A185),Hrtable,2))/1000)</f>
        <v> </v>
      </c>
      <c r="E185" s="286" t="str">
        <f aca="false">IF($A185="N/A"," ",(C185)*D185)</f>
        <v> </v>
      </c>
      <c r="F185" s="287" t="str">
        <f aca="false">IF(A185="N/A"," ",VOM*(1+VOMesc)^(YEAR(A185)-YEAR(Today)))</f>
        <v> </v>
      </c>
      <c r="G185" s="287" t="str">
        <f aca="false">IF(A185="N/A"," ",Perstart/VLOOKUP(Dayrun,'Pricing Inputs'!$AQ$4:$AS$14,3)/(CY185/CX185))</f>
        <v> </v>
      </c>
      <c r="H185" s="288" t="str">
        <f aca="false">IF(A185="N/A"," ",SUM(E185:G185))</f>
        <v> </v>
      </c>
      <c r="I185" s="289" t="str">
        <f aca="false">VLOOKUP($A185,ScaledPrice,6)</f>
        <v> </v>
      </c>
      <c r="J185" s="290" t="str">
        <f aca="false">VLOOKUP($A185,ScaledPrice,10)</f>
        <v> </v>
      </c>
      <c r="K185" s="290" t="str">
        <f aca="false">VLOOKUP($A185,ScaledPrice,13)</f>
        <v> </v>
      </c>
      <c r="L185" s="290" t="str">
        <f aca="false">VLOOKUP($A185,ScaledPrice,7)</f>
        <v> </v>
      </c>
      <c r="M185" s="290" t="str">
        <f aca="false">VLOOKUP($A185,ScaledPrice,11)</f>
        <v> </v>
      </c>
      <c r="N185" s="290" t="str">
        <f aca="false">VLOOKUP($A185,ScaledPrice,13)</f>
        <v> </v>
      </c>
      <c r="O185" s="290" t="str">
        <f aca="false">VLOOKUP($A185,ScaledPrice,8)</f>
        <v> </v>
      </c>
      <c r="P185" s="290" t="str">
        <f aca="false">VLOOKUP($A185,ScaledPrice,12)</f>
        <v> </v>
      </c>
      <c r="Q185" s="291" t="str">
        <f aca="false">VLOOKUP($A185,ScaledPrice,13)</f>
        <v> </v>
      </c>
      <c r="R185" s="292" t="str">
        <f aca="false">IF($A185="N/A"," ",IF(Dayrun&gt;=3,IF(Option=1,MAX($I185-$H185,0),IF(Option=2,MAX($H185-$I185,0),0)),0))</f>
        <v> </v>
      </c>
      <c r="S185" s="286" t="str">
        <f aca="false">IF($A185="N/A"," ",IF(Dayrun&gt;=6,IF(Option=1,MAX($J185-H185,0),IF(Option=2,MAX(H185-$J185,0),0)),0))</f>
        <v> </v>
      </c>
      <c r="T185" s="286" t="str">
        <f aca="false">IF($A185="N/A"," ",IF(OR(Dayrun&lt;=2,Dayrun&gt;=9),IF(Option=1,MAX($K185-$H185,0),IF(Option=2,MAX($H185-$K185,0),0)),0))</f>
        <v> </v>
      </c>
      <c r="U185" s="286" t="str">
        <f aca="false">IF($A185="N/A"," ",IF(OR(Dayrun=1,Dayrun=4,Dayrun=5,Dayrun=7,Dayrun=8,Dayrun=10,Dayrun=11),IF(Option=1,MAX($L185-H185,0),IF(Option=2,MAX(H185-$L185,0),0)),0))</f>
        <v> </v>
      </c>
      <c r="V185" s="286" t="str">
        <f aca="false">IF($A185="N/A"," ",IF(OR(Dayrun=1,Dayrun=7,Dayrun=8,Dayrun=10,Dayrun=11),IF(Option=1,MAX($M185-H185,0),IF(Option=2,MAX(H185-$M185,0),0)),0))</f>
        <v> </v>
      </c>
      <c r="W185" s="286" t="str">
        <f aca="false">IF($A185="N/A"," ",IF(OR(Dayrun&lt;=2,Dayrun&gt;=10),IF(Option=1,MAX($N185-$H185,0),IF(Option=2,MAX($H185-$N185,0),0)),0))</f>
        <v> </v>
      </c>
      <c r="X185" s="286" t="str">
        <f aca="false">IF($A185="N/A"," ",IF(OR(Dayrun=1,Dayrun=5,Dayrun=8,Dayrun=11),IF(Option=1,MAX($O185-H185,0),IF(Option=2,MAX(H185-$O185,0),0)),0))</f>
        <v> </v>
      </c>
      <c r="Y185" s="286" t="str">
        <f aca="false">IF($A185="N/A"," ",IF(OR(Dayrun=1,Dayrun=8,Dayrun=11),IF(Option=1,MAX($P185-H185,0),IF(Option=2,MAX(H185-$P185,0),0)),0))</f>
        <v> </v>
      </c>
      <c r="Z185" s="293" t="str">
        <f aca="false">IF($A185="N/A"," ",IF(OR(Dayrun&lt;=2,Dayrun&gt;=11),IF(Option=1,MAX($Q185-$H185,0),IF(Option=2,MAX($H185-$Q185,0),0)),0))</f>
        <v> </v>
      </c>
      <c r="AA185" s="289" t="str">
        <f aca="false">IF($A185="N/A"," ",IF(Dayrun&gt;=3,(MAX(0,(xSPRDOPT(I185,($E185-'Pricing Inputs'!$X220*$D185),$CV185,0,($CN185+IF(Smile=TRUE(),VLOOKUP(MAX(-5,$H185-I185),Volsmile,2),0)),$CT185,$CU185,($A185-DateToday)+15,ABS(Option-2),0)-R185))),0))</f>
        <v> </v>
      </c>
      <c r="AB185" s="290" t="str">
        <f aca="false">IF($A185="N/A"," ",IF(Dayrun&gt;=6,MAX(0,(xSPRDOPT(J185,($E185-'Pricing Inputs'!$X220*$D185),$CV185,0,($CN185+IF(Smile=TRUE(),VLOOKUP(MAX(-5,$H185-J185),Volsmile,2),0)),$CT185,$CU185,($A185-DateToday)+15,ABS(Option-2),0)-S185)),0))</f>
        <v> </v>
      </c>
      <c r="AC185" s="290" t="str">
        <f aca="false">IF($A185="N/A"," ",IF(OR(Dayrun&lt;=2,Dayrun&gt;=9),IF(OffPeakEx=TRUE(),MAX(0,(xSPRDOPT(K185,($E185-'Pricing Inputs'!$X220*$D185),$CV185,0,($CQ185+IF(Smile=TRUE(),VLOOKUP(MAX(-5,$H185-K185),Volsmile,2),0)),$CT185,$CU185,($A185-DateToday)+15,ABS(Option-2),0)-T185)),0),0))</f>
        <v> </v>
      </c>
      <c r="AD185" s="290" t="str">
        <f aca="false">IF($A185="N/A"," ",IF(OR(Dayrun=1,Dayrun=4,Dayrun=5,Dayrun=7,Dayrun=8,Dayrun=10,Dayrun=11),MAX(0,(xSPRDOPT(L185,($E185-'Pricing Inputs'!$X220*$D185),$CV185,0,($CQ185+IF(Smile=TRUE(),VLOOKUP(MAX(-5,$H185-L185),Volsmile,2),0)),$CT185,$CU185,($A185-DateToday)+15,ABS(Option-2),0)-U185)),0))</f>
        <v> </v>
      </c>
      <c r="AE185" s="290" t="str">
        <f aca="false">IF($A185="N/A"," ",IF(OR(Dayrun=1,Dayrun=7,Dayrun=8,Dayrun=10,Dayrun=11),MAX(0,(xSPRDOPT(M185,($E185-'Pricing Inputs'!$X220*$D185),$CV185,0,($CQ185+IF(Smile=TRUE(),VLOOKUP(MAX(-5,$H185-M185),Volsmile,2),0)),$CT185,$CU185,($A185-DateToday)+15,ABS(Option-2),0)-V185)),0))</f>
        <v> </v>
      </c>
      <c r="AF185" s="290" t="str">
        <f aca="false">IF($A185="N/A"," ",IF(OR(Dayrun&lt;=2,Dayrun&gt;=10),IF(OffPeakEx=TRUE(),MAX(0,(xSPRDOPT(N185,($E185-'Pricing Inputs'!$X220*$D185),$CV185,0,($CQ185+IF(Smile=TRUE(),VLOOKUP(MAX(-5,$H185-N185),Volsmile,2),0)),$CT185,$CU185,($A185-DateToday)+15,ABS(Option-2),0)-W185)),0),0))</f>
        <v> </v>
      </c>
      <c r="AG185" s="290" t="str">
        <f aca="false">IF($A185="N/A"," ",IF(OR(Dayrun=1,Dayrun=5,Dayrun=8,Dayrun=11),MAX(0,(xSPRDOPT(O185,($E185-'Pricing Inputs'!$X220*$D185),$CV185,0,($CQ185+IF(Smile=TRUE(),VLOOKUP(MAX(-5,$H185-O185),Volsmile,2),0)),$CT185,$CU185,($A185-DateToday)+15,ABS(Option-2),0)-X185)),0))</f>
        <v> </v>
      </c>
      <c r="AH185" s="290" t="str">
        <f aca="false">IF($A185="N/A"," ",IF(OR(Dayrun=1,Dayrun=8,Dayrun=11),MAX(0,(xSPRDOPT(P185,($E185-'Pricing Inputs'!$X220*$D185),$CV185,0,($CQ185+IF(Smile=TRUE(),VLOOKUP(MAX(-5,$H185-P185),Volsmile,2),0)),$CT185,$CU185,($A185-DateToday)+15,ABS(Option-2),0)-Y185)),0))</f>
        <v> </v>
      </c>
      <c r="AI185" s="290" t="str">
        <f aca="false">IF($A185="N/A"," ",IF(OR(Dayrun&lt;=2,Dayrun&gt;=11),IF(OffPeakEx=TRUE(),MAX(0,(xSPRDOPT(Q185,($E185-'Pricing Inputs'!$X220*$D185),$CV185,0,($CQ185+IF(Smile=TRUE(),VLOOKUP(MAX(-5,$H185-Q185),Volsmile,2),0)),$CT185,$CU185,($A185-DateToday)+15,ABS(Option-2),0)-Z185)),0),0))</f>
        <v> </v>
      </c>
      <c r="AJ185" s="294" t="str">
        <f aca="false">IF($A185="N/A"," ",IF(Dayrun&gt;=3,IF(Option=1,$I185-$H185,IF(Option=2,$H185-$I185)),0))</f>
        <v> </v>
      </c>
      <c r="AK185" s="295" t="str">
        <f aca="false">IF($A185="N/A"," ",IF(Dayrun&gt;=6,IF(Option=1,$J185-H185,IF(Option=2,H185-$J185)),0))</f>
        <v> </v>
      </c>
      <c r="AL185" s="295" t="str">
        <f aca="false">IF($A185="N/A"," ",IF(OR(Dayrun&lt;=2,Dayrun&gt;=9),IF(Option=1,$K185-$H185,IF(Option=2,$H185-$K185)),0))</f>
        <v> </v>
      </c>
      <c r="AM185" s="295" t="str">
        <f aca="false">IF($A185="N/A"," ",IF(OR(Dayrun=1,Dayrun=4,Dayrun=5,Dayrun=7,Dayrun=8,Dayrun=10,Dayrun=11),IF(Option=1,$L185-H185,IF(Option=2,H185-$L185)),0))</f>
        <v> </v>
      </c>
      <c r="AN185" s="295" t="str">
        <f aca="false">IF($A185="N/A"," ",IF(OR(Dayrun=1,Dayrun=7,Dayrun=8,Dayrun=10,Dayrun=11),IF(Option=1,$M185-H185,IF(Option=2,H185-$M185)),0))</f>
        <v> </v>
      </c>
      <c r="AO185" s="295" t="str">
        <f aca="false">IF($A185="N/A"," ",IF(OR(Dayrun&lt;=2,Dayrun&gt;=9),IF(Option=1,$N185-$H185,IF(Option=2,$H185-$N185)),0))</f>
        <v> </v>
      </c>
      <c r="AP185" s="295" t="str">
        <f aca="false">IF($A185="N/A"," ",IF(OR(Dayrun=1,Dayrun=5,Dayrun=8,Dayrun=11),IF(Option=1,$O185-H185,IF(Option=2,H185-$O185)),0))</f>
        <v> </v>
      </c>
      <c r="AQ185" s="295" t="str">
        <f aca="false">IF($A185="N/A"," ",IF(OR(Dayrun=1,Dayrun=8,Dayrun=11),IF(Option=1,$P185-H185,IF(Option=2,H185-$P185)),0))</f>
        <v> </v>
      </c>
      <c r="AR185" s="296" t="str">
        <f aca="false">IF($A185="N/A"," ",IF(OR(Dayrun&lt;=2,Dayrun&gt;=9),IF(Option=1,$Q185-H185,IF(Option=2,H185-$Q185)),0))</f>
        <v> </v>
      </c>
      <c r="AS185" s="297" t="str">
        <f aca="false">IF($A185="N/A"," ",IF(VLOOKUP(MONTH($A185),ManualTable,2)=1,IF(Dayrun&gt;=3,$DE185*8*$CY185,0),0))</f>
        <v> </v>
      </c>
      <c r="AT185" s="297" t="str">
        <f aca="false">IF($A185="N/A"," ",IF(VLOOKUP(MONTH($A185),ManualTable,3)=1,IF(Dayrun&gt;=6,$DE185*8*$CY185,0),0))</f>
        <v> </v>
      </c>
      <c r="AU185" s="297" t="str">
        <f aca="false">IF($A185="N/A"," ",IF(VLOOKUP(MONTH($A185),ManualTable,4)=1,IF(OR(Dayrun&lt;=2,Dayrun&gt;=9),$DE185*8*$CY185,0),0))</f>
        <v> </v>
      </c>
      <c r="AV185" s="297" t="str">
        <f aca="false">IF($A185="N/A"," ",IF(VLOOKUP(MONTH($A185),ManualTable,5)=1,IF(OR(Dayrun=1,Dayrun=4,Dayrun=5,Dayrun=7,Dayrun=8,Dayrun=10,Dayrun=11),$DF185*8*$CY185,0),0))</f>
        <v> </v>
      </c>
      <c r="AW185" s="297" t="str">
        <f aca="false">IF($A185="N/A"," ",IF(VLOOKUP(MONTH($A185),ManualTable,6)=1,IF(OR(Dayrun=1,Dayrun=7,Dayrun=8,Dayrun=10,Dayrun=11),$DF185*8*$CY185,0),0))</f>
        <v> </v>
      </c>
      <c r="AX185" s="297" t="str">
        <f aca="false">IF($A185="N/A"," ",IF(VLOOKUP(MONTH($A185),ManualTable,7)=1,IF(OR(Dayrun&lt;=2,Dayrun&gt;=9),$DF185*8*$CY185,0),0))</f>
        <v> </v>
      </c>
      <c r="AY185" s="297" t="str">
        <f aca="false">IF($A185="N/A"," ",IF(VLOOKUP(MONTH($A185),ManualTable,8)=1,IF(OR(Dayrun=1,Dayrun=5,Dayrun=8,Dayrun=11),$DG185*8*$CY185,0),0))</f>
        <v> </v>
      </c>
      <c r="AZ185" s="297" t="str">
        <f aca="false">IF($A185="N/A"," ",IF(VLOOKUP(MONTH($A185),ManualTable,9)=1,IF(OR(Dayrun=1,Dayrun=8,Dayrun=11),$DG185*8*$CY185,0),0))</f>
        <v> </v>
      </c>
      <c r="BA185" s="298" t="str">
        <f aca="false">IF($A185="N/A"," ",IF(VLOOKUP(MONTH($A185),ManualTable,10)=1,IF(OR(Dayrun&lt;=2,Dayrun&gt;=9),$DG185*8*$CY185,0),0))</f>
        <v> </v>
      </c>
      <c r="BB185" s="299" t="str">
        <f aca="false">IF($A185="N/A"," ",IF(Dayrun&gt;=3,(MAX(0,(xSPRDOPT(I185,($E185-'Pricing Inputs'!$X220*$D185),$CV185,0,($CN185+IF(Smile=TRUE(),VLOOKUP(MAX(-5,$H185-I185),Volsmile,2),0)),$CT185,$CU185,($A185-DateToday)+15,ABS(Option-2),1)*DE185*8))),0))</f>
        <v> </v>
      </c>
      <c r="BC185" s="300" t="str">
        <f aca="false">IF($A185="N/A"," ",IF(Dayrun&gt;=6,MAX(0,(xSPRDOPT(J185,($E185-'Pricing Inputs'!$X220*$D185),$CV185,0,($CN185+IF(Smile=TRUE(),VLOOKUP(MAX(-5,$H185-J185),Volsmile,2),0)),$CT185,$CU185,($A185-DateToday)+15,ABS(Option-2),1)*DE185*8)),0))</f>
        <v> </v>
      </c>
      <c r="BD185" s="300" t="str">
        <f aca="false">IF($A185="N/A"," ",IF(OR(Dayrun&lt;=2,Dayrun&gt;=9),IF(OffPeakEx=TRUE(),MAX(0,(xSPRDOPT(K185,($E185-'Pricing Inputs'!$X220*$D185),$CV185,0,($CQ185+IF(Smile=TRUE(),VLOOKUP(MAX(-5,$H185-K185),Volsmile,2),0)),$CT185,$CU185,($A185-DateToday)+15,ABS(Option-2),1)*DE185*8)),0),0))</f>
        <v> </v>
      </c>
      <c r="BE185" s="300" t="str">
        <f aca="false">IF($A185="N/A"," ",IF(OR(Dayrun=1,Dayrun=4,Dayrun=5,Dayrun=7,Dayrun=8,Dayrun=10,Dayrun=11),MAX(0,(xSPRDOPT(L185,($E185-'Pricing Inputs'!$X220*$D185),$CV185,0,($CQ185+IF(Smile=TRUE(),VLOOKUP(MAX(-5,$H185-L185),Volsmile,2),0)),$CT185,$CU185,($A185-DateToday)+15,ABS(Option-2),1)*DF185*8)),0))</f>
        <v> </v>
      </c>
      <c r="BF185" s="300" t="str">
        <f aca="false">IF($A185="N/A"," ",IF(OR(Dayrun=1,Dayrun=7,Dayrun=8,Dayrun=10,Dayrun=11),MAX(0,(xSPRDOPT(M185,($E185-'Pricing Inputs'!$X220*$D185),$CV185,0,($CQ185+IF(Smile=TRUE(),VLOOKUP(MAX(-5,$H185-M185),Volsmile,2),0)),$CT185,$CU185,($A185-DateToday)+15,ABS(Option-2),1)*DF185*8)),0))</f>
        <v> </v>
      </c>
      <c r="BG185" s="300" t="str">
        <f aca="false">IF($A185="N/A"," ",IF(OR(Dayrun&lt;=2,Dayrun&gt;=10),IF(OffPeakEx=TRUE(),MAX(0,(xSPRDOPT(N185,($E185-'Pricing Inputs'!$X220*$D185),$CV185,0,($CQ185+IF(Smile=TRUE(),VLOOKUP(MAX(-5,$H185-N185),Volsmile,2),0)),$CT185,$CU185,($A185-DateToday)+15,ABS(Option-2),1)*DF185*8)),0),0))</f>
        <v> </v>
      </c>
      <c r="BH185" s="300" t="str">
        <f aca="false">IF($A185="N/A"," ",IF(OR(Dayrun=1,Dayrun=5,Dayrun=8,Dayrun=11),MAX(0,(xSPRDOPT(O185,($E185-'Pricing Inputs'!$X220*$D185),$CV185,0,($CQ185+IF(Smile=TRUE(),VLOOKUP(MAX(-5,$H185-O185),Volsmile,2),0)),$CT185,$CU185,($A185-DateToday)+15,ABS(Option-2),1)*DG185*8)),0))</f>
        <v> </v>
      </c>
      <c r="BI185" s="300" t="str">
        <f aca="false">IF($A185="N/A"," ",IF(OR(Dayrun=1,Dayrun=8,Dayrun=11),MAX(0,(xSPRDOPT(P185,($E185-'Pricing Inputs'!$X220*$D185),$CV185,0,($CQ185+IF(Smile=TRUE(),VLOOKUP(MAX(-5,$H185-P185),Volsmile,2),0)),$CT185,$CU185,($A185-DateToday)+15,ABS(Option-2),1)*DG185*8)),0))</f>
        <v> </v>
      </c>
      <c r="BJ185" s="301" t="str">
        <f aca="false">IF($A185="N/A"," ",IF(OR(Dayrun&lt;=2,Dayrun&gt;=11),IF(OffPeakEx=TRUE(),MAX(0,(xSPRDOPT(Q185,($E185-'Pricing Inputs'!$X220*$D185),$CV185,0,($CQ185+IF(Smile=TRUE(),VLOOKUP(MAX(-5,$H185-Q185),Volsmile,2),0)),$CT185,$CU185,($A185-DateToday)+15,ABS(Option-2),1)*DG185*8)),0),0))</f>
        <v> </v>
      </c>
      <c r="BK185" s="302" t="str">
        <f aca="false">IF($A185="N/A"," ",R185*$AS185)</f>
        <v> </v>
      </c>
      <c r="BL185" s="303" t="str">
        <f aca="false">IF($A185="N/A"," ",S185*$AT185)</f>
        <v> </v>
      </c>
      <c r="BM185" s="303" t="str">
        <f aca="false">IF($A185="N/A"," ",T185*$AU185)</f>
        <v> </v>
      </c>
      <c r="BN185" s="303" t="str">
        <f aca="false">IF($A185="N/A"," ",U185*$AV185)</f>
        <v> </v>
      </c>
      <c r="BO185" s="303" t="str">
        <f aca="false">IF($A185="N/A"," ",V185*$AW185)</f>
        <v> </v>
      </c>
      <c r="BP185" s="303" t="str">
        <f aca="false">IF($A185="N/A"," ",W185*$AX185)</f>
        <v> </v>
      </c>
      <c r="BQ185" s="303" t="str">
        <f aca="false">IF($A185="N/A"," ",X185*$AY185)</f>
        <v> </v>
      </c>
      <c r="BR185" s="303" t="str">
        <f aca="false">IF($A185="N/A"," ",Y185*$AZ185)</f>
        <v> </v>
      </c>
      <c r="BS185" s="304" t="str">
        <f aca="false">IF($A185="N/A"," ",Z185*$BA185)</f>
        <v> </v>
      </c>
      <c r="BT185" s="305" t="str">
        <f aca="false">IF($A185="N/A"," ",AA185*$AS185)</f>
        <v> </v>
      </c>
      <c r="BU185" s="306" t="str">
        <f aca="false">IF($A185="N/A"," ",AB185*$AT185)</f>
        <v> </v>
      </c>
      <c r="BV185" s="306" t="str">
        <f aca="false">IF($A185="N/A"," ",AC185*$AU185)</f>
        <v> </v>
      </c>
      <c r="BW185" s="306" t="str">
        <f aca="false">IF($A185="N/A"," ",AD185*$AV185)</f>
        <v> </v>
      </c>
      <c r="BX185" s="306" t="str">
        <f aca="false">IF($A185="N/A"," ",AE185*$AW185)</f>
        <v> </v>
      </c>
      <c r="BY185" s="306" t="str">
        <f aca="false">IF($A185="N/A"," ",AF185*$AX185)</f>
        <v> </v>
      </c>
      <c r="BZ185" s="306" t="str">
        <f aca="false">IF($A185="N/A"," ",AG185*$AY185)</f>
        <v> </v>
      </c>
      <c r="CA185" s="306" t="str">
        <f aca="false">IF($A185="N/A"," ",AH185*$AZ185)</f>
        <v> </v>
      </c>
      <c r="CB185" s="307" t="str">
        <f aca="false">IF($A185="N/A"," ",AI185*$BA185)</f>
        <v> </v>
      </c>
      <c r="CC185" s="308" t="str">
        <f aca="false">IF($A185="N/A"," ",AJ185*$AS185)</f>
        <v> </v>
      </c>
      <c r="CD185" s="309" t="str">
        <f aca="false">IF($A185="N/A"," ",AK185*$AT185)</f>
        <v> </v>
      </c>
      <c r="CE185" s="309" t="str">
        <f aca="false">IF($A185="N/A"," ",AL185*$AU185)</f>
        <v> </v>
      </c>
      <c r="CF185" s="309" t="str">
        <f aca="false">IF($A185="N/A"," ",AM185*$AV185)</f>
        <v> </v>
      </c>
      <c r="CG185" s="309" t="str">
        <f aca="false">IF($A185="N/A"," ",AN185*$AW185)</f>
        <v> </v>
      </c>
      <c r="CH185" s="309" t="str">
        <f aca="false">IF($A185="N/A"," ",AO185*$AX185)</f>
        <v> </v>
      </c>
      <c r="CI185" s="309" t="str">
        <f aca="false">IF($A185="N/A"," ",AP185*$AY185)</f>
        <v> </v>
      </c>
      <c r="CJ185" s="309" t="str">
        <f aca="false">IF($A185="N/A"," ",AQ185*$AZ185)</f>
        <v> </v>
      </c>
      <c r="CK185" s="310" t="str">
        <f aca="false">IF($A185="N/A"," ",AR185*$BA185)</f>
        <v> </v>
      </c>
      <c r="CL185" s="311" t="str">
        <f aca="false">IF(A185="N/A"," ",(VLOOKUP(A185,PowerVolTable,(IF(VolBMO=2,7,IF(VolBMO=1,6,8))),FALSE())))</f>
        <v> </v>
      </c>
      <c r="CM185" s="312" t="str">
        <f aca="false">IF(A185="N/A"," ",(VLOOKUP(A185,IntraPowerVol,(IF(VolBMO=2,3,IF(VolBMO=1,2,4))),FALSE())*VLOOKUP(MONTH($A185),Volscale,2)))</f>
        <v> </v>
      </c>
      <c r="CN185" s="312" t="str">
        <f aca="false">IF($A185="N/A"," ",IF(VolType=1,CM185,CL185))</f>
        <v> </v>
      </c>
      <c r="CO185" s="312" t="str">
        <f aca="false">IF($A185="N/A"," ",(VLOOKUP($A185,OffPeakVol,(IF(VolBMO=2,7,IF(VolBMO=1,6,8))),FALSE())))</f>
        <v> </v>
      </c>
      <c r="CP185" s="312" t="str">
        <f aca="false">IF($A185="N/A"," ",(VLOOKUP($A185,OffPeakVol,(IF(VolBMO=2,3,IF(VolBMO=1,2,4))),FALSE())*VLOOKUP(MONTH($A185),Volscale,2)))</f>
        <v> </v>
      </c>
      <c r="CQ185" s="312" t="str">
        <f aca="false">IF($A185="N/A"," ",IF(VolType=1,CP185,CO185))</f>
        <v> </v>
      </c>
      <c r="CR185" s="312" t="str">
        <f aca="false">IF($A185="N/A"," ",(VLOOKUP($A185,GasVolTable,(IF(VolBMO=2,6,IF(VolBMO=1,7,5))),FALSE())))</f>
        <v> </v>
      </c>
      <c r="CS185" s="312" t="str">
        <f aca="false">IF($A185="N/A"," ",(VLOOKUP($A185,OmicronVol,(IF(VolBMO=2,3,IF(VolBMO=1,4,2))),FALSE())))</f>
        <v> </v>
      </c>
      <c r="CT185" s="312" t="str">
        <f aca="false">IF($A185="N/A"," ",(IF(DateToday&gt;$A185,$CS185,IF(VolType=1,((($CR185^2)*((($A185-1)-DateToday)/((EOMONTH($A185,0)+1)-DateToday-15)))+((($CS185)^2)*((15)/((EOMONTH($A185,0)+1)-DateToday-15))))^0.5,CR185))))</f>
        <v> </v>
      </c>
      <c r="CU185" s="312" t="str">
        <f aca="false">IF($A185="N/A"," ",IF('Pricing Inputs'!$AR$23=TRUE(),Inputs!$S$22,VLOOKUP($A185,CorrelationTable,2,FALSE())))</f>
        <v> </v>
      </c>
      <c r="CV185" s="313" t="str">
        <f aca="false">IF($A185="N/A"," ",F185+G185+(D185*('Pricing Inputs'!X220)))</f>
        <v> </v>
      </c>
      <c r="CW185" s="314" t="str">
        <f aca="false">IF($A185="N/A"," ",IF(PV=1,0,'Pricing Inputs'!Y220))</f>
        <v> </v>
      </c>
      <c r="CX185" s="315" t="str">
        <f aca="false">IF($A185="N/A"," ",(1+CW185/2)^(-2*((EOMONTH(A185,0)+20)-DateToday)/365.25))</f>
        <v> </v>
      </c>
      <c r="CY185" s="316" t="str">
        <f aca="false">IF($A185="N/A"," ",(IF(MONTH(A185)&gt;=4,IF(MONTH(A185)&lt;=10,Inputs!$S$26,Inputs!$S$27),Inputs!$S$27))*$CX185)</f>
        <v> </v>
      </c>
      <c r="CZ185" s="317" t="str">
        <f aca="false">IF($A185="N/A"," ",BK185+BL185+BN185+BO185+BQ185+BR185)</f>
        <v> </v>
      </c>
      <c r="DA185" s="318" t="str">
        <f aca="false">IF($A185="N/A"," ",BM185+BP185+BS185)</f>
        <v> </v>
      </c>
      <c r="DB185" s="319" t="str">
        <f aca="false">IF($A185="N/A"," ",BT185+BU185+BW185+BX185+BZ185+CA185)</f>
        <v> </v>
      </c>
      <c r="DC185" s="319" t="str">
        <f aca="false">IF($A185="N/A"," ",BV185+BY185+CB185)</f>
        <v> </v>
      </c>
      <c r="DD185" s="320" t="str">
        <f aca="false">IF($A185="N/A"," ",SUM(CC185:CK185))</f>
        <v> </v>
      </c>
      <c r="DE185" s="321" t="str">
        <f aca="false">IF($A185="N/A"," ",VLOOKUP($A185,NumberofDaysTable,2)*Availability)</f>
        <v> </v>
      </c>
      <c r="DF185" s="94" t="str">
        <f aca="false">IF($A185="N/A"," ",VLOOKUP($A185,NumberofDaysTable,3)*Availability)</f>
        <v> </v>
      </c>
      <c r="DG185" s="322" t="str">
        <f aca="false">IF($A185="N/A"," ",VLOOKUP($A185,NumberofDaysTable,4)*Availability)</f>
        <v> </v>
      </c>
      <c r="DH185" s="323" t="str">
        <f aca="false">IF($A185="N/A"," ",IF(Option=1,$D185*Inputs!$S$15*SUM(AS185:BA185),0))</f>
        <v> </v>
      </c>
      <c r="DI185" s="324" t="str">
        <f aca="false">IF($A185="N/A"," ",IF(Option=1,$D185*Inputs!$S$16*SUM(AS185:BA185),0))</f>
        <v> </v>
      </c>
      <c r="DJ185" s="325" t="str">
        <f aca="false">IF($A185="N/A"," ",SUM(AS185:AT185))</f>
        <v> </v>
      </c>
      <c r="DK185" s="325" t="str">
        <f aca="false">IF($A185="N/A"," ",SUM(AU185:BA185))</f>
        <v> </v>
      </c>
      <c r="DL185" s="325" t="str">
        <f aca="false">IF($A185="N/A"," ",SUM(BB185:BC185))</f>
        <v> </v>
      </c>
      <c r="DM185" s="325" t="str">
        <f aca="false">IF($A185="N/A"," ",SUM(BD185:BJ185))</f>
        <v> </v>
      </c>
    </row>
    <row r="186" customFormat="false" ht="12.75" hidden="false" customHeight="false" outlineLevel="0" collapsed="false">
      <c r="A186" s="282" t="str">
        <f aca="false">IF(A185="N/A","N/A",IF(EDATE(A185,1)&gt;Inputs!$S$5,"N/A",EDATE(A185,1)))</f>
        <v>N/A</v>
      </c>
      <c r="B186" s="283" t="str">
        <f aca="false">IF(A186="N/A"," ",YEAR(A186))</f>
        <v> </v>
      </c>
      <c r="C186" s="284" t="str">
        <f aca="false">IF(A186="N/A"," ",VLOOKUP(A186,ScaledPrice,14))</f>
        <v> </v>
      </c>
      <c r="D186" s="285" t="str">
        <f aca="false">IF(A186="N/A"," ",(VLOOKUP(MONTH($A186),Hrtable,2))/1000)</f>
        <v> </v>
      </c>
      <c r="E186" s="286" t="str">
        <f aca="false">IF($A186="N/A"," ",(C186)*D186)</f>
        <v> </v>
      </c>
      <c r="F186" s="287" t="str">
        <f aca="false">IF(A186="N/A"," ",VOM*(1+VOMesc)^(YEAR(A186)-YEAR(Today)))</f>
        <v> </v>
      </c>
      <c r="G186" s="287" t="str">
        <f aca="false">IF(A186="N/A"," ",Perstart/VLOOKUP(Dayrun,'Pricing Inputs'!$AQ$4:$AS$14,3)/(CY186/CX186))</f>
        <v> </v>
      </c>
      <c r="H186" s="288" t="str">
        <f aca="false">IF(A186="N/A"," ",SUM(E186:G186))</f>
        <v> </v>
      </c>
      <c r="I186" s="289" t="str">
        <f aca="false">VLOOKUP($A186,ScaledPrice,6)</f>
        <v> </v>
      </c>
      <c r="J186" s="290" t="str">
        <f aca="false">VLOOKUP($A186,ScaledPrice,10)</f>
        <v> </v>
      </c>
      <c r="K186" s="290" t="str">
        <f aca="false">VLOOKUP($A186,ScaledPrice,13)</f>
        <v> </v>
      </c>
      <c r="L186" s="290" t="str">
        <f aca="false">VLOOKUP($A186,ScaledPrice,7)</f>
        <v> </v>
      </c>
      <c r="M186" s="290" t="str">
        <f aca="false">VLOOKUP($A186,ScaledPrice,11)</f>
        <v> </v>
      </c>
      <c r="N186" s="290" t="str">
        <f aca="false">VLOOKUP($A186,ScaledPrice,13)</f>
        <v> </v>
      </c>
      <c r="O186" s="290" t="str">
        <f aca="false">VLOOKUP($A186,ScaledPrice,8)</f>
        <v> </v>
      </c>
      <c r="P186" s="290" t="str">
        <f aca="false">VLOOKUP($A186,ScaledPrice,12)</f>
        <v> </v>
      </c>
      <c r="Q186" s="291" t="str">
        <f aca="false">VLOOKUP($A186,ScaledPrice,13)</f>
        <v> </v>
      </c>
      <c r="R186" s="292" t="str">
        <f aca="false">IF($A186="N/A"," ",IF(Dayrun&gt;=3,IF(Option=1,MAX($I186-$H186,0),IF(Option=2,MAX($H186-$I186,0),0)),0))</f>
        <v> </v>
      </c>
      <c r="S186" s="286" t="str">
        <f aca="false">IF($A186="N/A"," ",IF(Dayrun&gt;=6,IF(Option=1,MAX($J186-H186,0),IF(Option=2,MAX(H186-$J186,0),0)),0))</f>
        <v> </v>
      </c>
      <c r="T186" s="286" t="str">
        <f aca="false">IF($A186="N/A"," ",IF(OR(Dayrun&lt;=2,Dayrun&gt;=9),IF(Option=1,MAX($K186-$H186,0),IF(Option=2,MAX($H186-$K186,0),0)),0))</f>
        <v> </v>
      </c>
      <c r="U186" s="286" t="str">
        <f aca="false">IF($A186="N/A"," ",IF(OR(Dayrun=1,Dayrun=4,Dayrun=5,Dayrun=7,Dayrun=8,Dayrun=10,Dayrun=11),IF(Option=1,MAX($L186-H186,0),IF(Option=2,MAX(H186-$L186,0),0)),0))</f>
        <v> </v>
      </c>
      <c r="V186" s="286" t="str">
        <f aca="false">IF($A186="N/A"," ",IF(OR(Dayrun=1,Dayrun=7,Dayrun=8,Dayrun=10,Dayrun=11),IF(Option=1,MAX($M186-H186,0),IF(Option=2,MAX(H186-$M186,0),0)),0))</f>
        <v> </v>
      </c>
      <c r="W186" s="286" t="str">
        <f aca="false">IF($A186="N/A"," ",IF(OR(Dayrun&lt;=2,Dayrun&gt;=10),IF(Option=1,MAX($N186-$H186,0),IF(Option=2,MAX($H186-$N186,0),0)),0))</f>
        <v> </v>
      </c>
      <c r="X186" s="286" t="str">
        <f aca="false">IF($A186="N/A"," ",IF(OR(Dayrun=1,Dayrun=5,Dayrun=8,Dayrun=11),IF(Option=1,MAX($O186-H186,0),IF(Option=2,MAX(H186-$O186,0),0)),0))</f>
        <v> </v>
      </c>
      <c r="Y186" s="286" t="str">
        <f aca="false">IF($A186="N/A"," ",IF(OR(Dayrun=1,Dayrun=8,Dayrun=11),IF(Option=1,MAX($P186-H186,0),IF(Option=2,MAX(H186-$P186,0),0)),0))</f>
        <v> </v>
      </c>
      <c r="Z186" s="293" t="str">
        <f aca="false">IF($A186="N/A"," ",IF(OR(Dayrun&lt;=2,Dayrun&gt;=11),IF(Option=1,MAX($Q186-$H186,0),IF(Option=2,MAX($H186-$Q186,0),0)),0))</f>
        <v> </v>
      </c>
      <c r="AA186" s="289" t="str">
        <f aca="false">IF($A186="N/A"," ",IF(Dayrun&gt;=3,(MAX(0,(xSPRDOPT(I186,($E186-'Pricing Inputs'!$X221*$D186),$CV186,0,($CN186+IF(Smile=TRUE(),VLOOKUP(MAX(-5,$H186-I186),Volsmile,2),0)),$CT186,$CU186,($A186-DateToday)+15,ABS(Option-2),0)-R186))),0))</f>
        <v> </v>
      </c>
      <c r="AB186" s="290" t="str">
        <f aca="false">IF($A186="N/A"," ",IF(Dayrun&gt;=6,MAX(0,(xSPRDOPT(J186,($E186-'Pricing Inputs'!$X221*$D186),$CV186,0,($CN186+IF(Smile=TRUE(),VLOOKUP(MAX(-5,$H186-J186),Volsmile,2),0)),$CT186,$CU186,($A186-DateToday)+15,ABS(Option-2),0)-S186)),0))</f>
        <v> </v>
      </c>
      <c r="AC186" s="290" t="str">
        <f aca="false">IF($A186="N/A"," ",IF(OR(Dayrun&lt;=2,Dayrun&gt;=9),IF(OffPeakEx=TRUE(),MAX(0,(xSPRDOPT(K186,($E186-'Pricing Inputs'!$X221*$D186),$CV186,0,($CQ186+IF(Smile=TRUE(),VLOOKUP(MAX(-5,$H186-K186),Volsmile,2),0)),$CT186,$CU186,($A186-DateToday)+15,ABS(Option-2),0)-T186)),0),0))</f>
        <v> </v>
      </c>
      <c r="AD186" s="290" t="str">
        <f aca="false">IF($A186="N/A"," ",IF(OR(Dayrun=1,Dayrun=4,Dayrun=5,Dayrun=7,Dayrun=8,Dayrun=10,Dayrun=11),MAX(0,(xSPRDOPT(L186,($E186-'Pricing Inputs'!$X221*$D186),$CV186,0,($CQ186+IF(Smile=TRUE(),VLOOKUP(MAX(-5,$H186-L186),Volsmile,2),0)),$CT186,$CU186,($A186-DateToday)+15,ABS(Option-2),0)-U186)),0))</f>
        <v> </v>
      </c>
      <c r="AE186" s="290" t="str">
        <f aca="false">IF($A186="N/A"," ",IF(OR(Dayrun=1,Dayrun=7,Dayrun=8,Dayrun=10,Dayrun=11),MAX(0,(xSPRDOPT(M186,($E186-'Pricing Inputs'!$X221*$D186),$CV186,0,($CQ186+IF(Smile=TRUE(),VLOOKUP(MAX(-5,$H186-M186),Volsmile,2),0)),$CT186,$CU186,($A186-DateToday)+15,ABS(Option-2),0)-V186)),0))</f>
        <v> </v>
      </c>
      <c r="AF186" s="290" t="str">
        <f aca="false">IF($A186="N/A"," ",IF(OR(Dayrun&lt;=2,Dayrun&gt;=10),IF(OffPeakEx=TRUE(),MAX(0,(xSPRDOPT(N186,($E186-'Pricing Inputs'!$X221*$D186),$CV186,0,($CQ186+IF(Smile=TRUE(),VLOOKUP(MAX(-5,$H186-N186),Volsmile,2),0)),$CT186,$CU186,($A186-DateToday)+15,ABS(Option-2),0)-W186)),0),0))</f>
        <v> </v>
      </c>
      <c r="AG186" s="290" t="str">
        <f aca="false">IF($A186="N/A"," ",IF(OR(Dayrun=1,Dayrun=5,Dayrun=8,Dayrun=11),MAX(0,(xSPRDOPT(O186,($E186-'Pricing Inputs'!$X221*$D186),$CV186,0,($CQ186+IF(Smile=TRUE(),VLOOKUP(MAX(-5,$H186-O186),Volsmile,2),0)),$CT186,$CU186,($A186-DateToday)+15,ABS(Option-2),0)-X186)),0))</f>
        <v> </v>
      </c>
      <c r="AH186" s="290" t="str">
        <f aca="false">IF($A186="N/A"," ",IF(OR(Dayrun=1,Dayrun=8,Dayrun=11),MAX(0,(xSPRDOPT(P186,($E186-'Pricing Inputs'!$X221*$D186),$CV186,0,($CQ186+IF(Smile=TRUE(),VLOOKUP(MAX(-5,$H186-P186),Volsmile,2),0)),$CT186,$CU186,($A186-DateToday)+15,ABS(Option-2),0)-Y186)),0))</f>
        <v> </v>
      </c>
      <c r="AI186" s="290" t="str">
        <f aca="false">IF($A186="N/A"," ",IF(OR(Dayrun&lt;=2,Dayrun&gt;=11),IF(OffPeakEx=TRUE(),MAX(0,(xSPRDOPT(Q186,($E186-'Pricing Inputs'!$X221*$D186),$CV186,0,($CQ186+IF(Smile=TRUE(),VLOOKUP(MAX(-5,$H186-Q186),Volsmile,2),0)),$CT186,$CU186,($A186-DateToday)+15,ABS(Option-2),0)-Z186)),0),0))</f>
        <v> </v>
      </c>
      <c r="AJ186" s="294" t="str">
        <f aca="false">IF($A186="N/A"," ",IF(Dayrun&gt;=3,IF(Option=1,$I186-$H186,IF(Option=2,$H186-$I186)),0))</f>
        <v> </v>
      </c>
      <c r="AK186" s="295" t="str">
        <f aca="false">IF($A186="N/A"," ",IF(Dayrun&gt;=6,IF(Option=1,$J186-H186,IF(Option=2,H186-$J186)),0))</f>
        <v> </v>
      </c>
      <c r="AL186" s="295" t="str">
        <f aca="false">IF($A186="N/A"," ",IF(OR(Dayrun&lt;=2,Dayrun&gt;=9),IF(Option=1,$K186-$H186,IF(Option=2,$H186-$K186)),0))</f>
        <v> </v>
      </c>
      <c r="AM186" s="295" t="str">
        <f aca="false">IF($A186="N/A"," ",IF(OR(Dayrun=1,Dayrun=4,Dayrun=5,Dayrun=7,Dayrun=8,Dayrun=10,Dayrun=11),IF(Option=1,$L186-H186,IF(Option=2,H186-$L186)),0))</f>
        <v> </v>
      </c>
      <c r="AN186" s="295" t="str">
        <f aca="false">IF($A186="N/A"," ",IF(OR(Dayrun=1,Dayrun=7,Dayrun=8,Dayrun=10,Dayrun=11),IF(Option=1,$M186-H186,IF(Option=2,H186-$M186)),0))</f>
        <v> </v>
      </c>
      <c r="AO186" s="295" t="str">
        <f aca="false">IF($A186="N/A"," ",IF(OR(Dayrun&lt;=2,Dayrun&gt;=9),IF(Option=1,$N186-$H186,IF(Option=2,$H186-$N186)),0))</f>
        <v> </v>
      </c>
      <c r="AP186" s="295" t="str">
        <f aca="false">IF($A186="N/A"," ",IF(OR(Dayrun=1,Dayrun=5,Dayrun=8,Dayrun=11),IF(Option=1,$O186-H186,IF(Option=2,H186-$O186)),0))</f>
        <v> </v>
      </c>
      <c r="AQ186" s="295" t="str">
        <f aca="false">IF($A186="N/A"," ",IF(OR(Dayrun=1,Dayrun=8,Dayrun=11),IF(Option=1,$P186-H186,IF(Option=2,H186-$P186)),0))</f>
        <v> </v>
      </c>
      <c r="AR186" s="296" t="str">
        <f aca="false">IF($A186="N/A"," ",IF(OR(Dayrun&lt;=2,Dayrun&gt;=9),IF(Option=1,$Q186-H186,IF(Option=2,H186-$Q186)),0))</f>
        <v> </v>
      </c>
      <c r="AS186" s="297" t="str">
        <f aca="false">IF($A186="N/A"," ",IF(VLOOKUP(MONTH($A186),ManualTable,2)=1,IF(Dayrun&gt;=3,$DE186*8*$CY186,0),0))</f>
        <v> </v>
      </c>
      <c r="AT186" s="297" t="str">
        <f aca="false">IF($A186="N/A"," ",IF(VLOOKUP(MONTH($A186),ManualTable,3)=1,IF(Dayrun&gt;=6,$DE186*8*$CY186,0),0))</f>
        <v> </v>
      </c>
      <c r="AU186" s="297" t="str">
        <f aca="false">IF($A186="N/A"," ",IF(VLOOKUP(MONTH($A186),ManualTable,4)=1,IF(OR(Dayrun&lt;=2,Dayrun&gt;=9),$DE186*8*$CY186,0),0))</f>
        <v> </v>
      </c>
      <c r="AV186" s="297" t="str">
        <f aca="false">IF($A186="N/A"," ",IF(VLOOKUP(MONTH($A186),ManualTable,5)=1,IF(OR(Dayrun=1,Dayrun=4,Dayrun=5,Dayrun=7,Dayrun=8,Dayrun=10,Dayrun=11),$DF186*8*$CY186,0),0))</f>
        <v> </v>
      </c>
      <c r="AW186" s="297" t="str">
        <f aca="false">IF($A186="N/A"," ",IF(VLOOKUP(MONTH($A186),ManualTable,6)=1,IF(OR(Dayrun=1,Dayrun=7,Dayrun=8,Dayrun=10,Dayrun=11),$DF186*8*$CY186,0),0))</f>
        <v> </v>
      </c>
      <c r="AX186" s="297" t="str">
        <f aca="false">IF($A186="N/A"," ",IF(VLOOKUP(MONTH($A186),ManualTable,7)=1,IF(OR(Dayrun&lt;=2,Dayrun&gt;=9),$DF186*8*$CY186,0),0))</f>
        <v> </v>
      </c>
      <c r="AY186" s="297" t="str">
        <f aca="false">IF($A186="N/A"," ",IF(VLOOKUP(MONTH($A186),ManualTable,8)=1,IF(OR(Dayrun=1,Dayrun=5,Dayrun=8,Dayrun=11),$DG186*8*$CY186,0),0))</f>
        <v> </v>
      </c>
      <c r="AZ186" s="297" t="str">
        <f aca="false">IF($A186="N/A"," ",IF(VLOOKUP(MONTH($A186),ManualTable,9)=1,IF(OR(Dayrun=1,Dayrun=8,Dayrun=11),$DG186*8*$CY186,0),0))</f>
        <v> </v>
      </c>
      <c r="BA186" s="298" t="str">
        <f aca="false">IF($A186="N/A"," ",IF(VLOOKUP(MONTH($A186),ManualTable,10)=1,IF(OR(Dayrun&lt;=2,Dayrun&gt;=9),$DG186*8*$CY186,0),0))</f>
        <v> </v>
      </c>
      <c r="BB186" s="299" t="str">
        <f aca="false">IF($A186="N/A"," ",IF(Dayrun&gt;=3,(MAX(0,(xSPRDOPT(I186,($E186-'Pricing Inputs'!$X221*$D186),$CV186,0,($CN186+IF(Smile=TRUE(),VLOOKUP(MAX(-5,$H186-I186),Volsmile,2),0)),$CT186,$CU186,($A186-DateToday)+15,ABS(Option-2),1)*DE186*8))),0))</f>
        <v> </v>
      </c>
      <c r="BC186" s="300" t="str">
        <f aca="false">IF($A186="N/A"," ",IF(Dayrun&gt;=6,MAX(0,(xSPRDOPT(J186,($E186-'Pricing Inputs'!$X221*$D186),$CV186,0,($CN186+IF(Smile=TRUE(),VLOOKUP(MAX(-5,$H186-J186),Volsmile,2),0)),$CT186,$CU186,($A186-DateToday)+15,ABS(Option-2),1)*DE186*8)),0))</f>
        <v> </v>
      </c>
      <c r="BD186" s="300" t="str">
        <f aca="false">IF($A186="N/A"," ",IF(OR(Dayrun&lt;=2,Dayrun&gt;=9),IF(OffPeakEx=TRUE(),MAX(0,(xSPRDOPT(K186,($E186-'Pricing Inputs'!$X221*$D186),$CV186,0,($CQ186+IF(Smile=TRUE(),VLOOKUP(MAX(-5,$H186-K186),Volsmile,2),0)),$CT186,$CU186,($A186-DateToday)+15,ABS(Option-2),1)*DE186*8)),0),0))</f>
        <v> </v>
      </c>
      <c r="BE186" s="300" t="str">
        <f aca="false">IF($A186="N/A"," ",IF(OR(Dayrun=1,Dayrun=4,Dayrun=5,Dayrun=7,Dayrun=8,Dayrun=10,Dayrun=11),MAX(0,(xSPRDOPT(L186,($E186-'Pricing Inputs'!$X221*$D186),$CV186,0,($CQ186+IF(Smile=TRUE(),VLOOKUP(MAX(-5,$H186-L186),Volsmile,2),0)),$CT186,$CU186,($A186-DateToday)+15,ABS(Option-2),1)*DF186*8)),0))</f>
        <v> </v>
      </c>
      <c r="BF186" s="300" t="str">
        <f aca="false">IF($A186="N/A"," ",IF(OR(Dayrun=1,Dayrun=7,Dayrun=8,Dayrun=10,Dayrun=11),MAX(0,(xSPRDOPT(M186,($E186-'Pricing Inputs'!$X221*$D186),$CV186,0,($CQ186+IF(Smile=TRUE(),VLOOKUP(MAX(-5,$H186-M186),Volsmile,2),0)),$CT186,$CU186,($A186-DateToday)+15,ABS(Option-2),1)*DF186*8)),0))</f>
        <v> </v>
      </c>
      <c r="BG186" s="300" t="str">
        <f aca="false">IF($A186="N/A"," ",IF(OR(Dayrun&lt;=2,Dayrun&gt;=10),IF(OffPeakEx=TRUE(),MAX(0,(xSPRDOPT(N186,($E186-'Pricing Inputs'!$X221*$D186),$CV186,0,($CQ186+IF(Smile=TRUE(),VLOOKUP(MAX(-5,$H186-N186),Volsmile,2),0)),$CT186,$CU186,($A186-DateToday)+15,ABS(Option-2),1)*DF186*8)),0),0))</f>
        <v> </v>
      </c>
      <c r="BH186" s="300" t="str">
        <f aca="false">IF($A186="N/A"," ",IF(OR(Dayrun=1,Dayrun=5,Dayrun=8,Dayrun=11),MAX(0,(xSPRDOPT(O186,($E186-'Pricing Inputs'!$X221*$D186),$CV186,0,($CQ186+IF(Smile=TRUE(),VLOOKUP(MAX(-5,$H186-O186),Volsmile,2),0)),$CT186,$CU186,($A186-DateToday)+15,ABS(Option-2),1)*DG186*8)),0))</f>
        <v> </v>
      </c>
      <c r="BI186" s="300" t="str">
        <f aca="false">IF($A186="N/A"," ",IF(OR(Dayrun=1,Dayrun=8,Dayrun=11),MAX(0,(xSPRDOPT(P186,($E186-'Pricing Inputs'!$X221*$D186),$CV186,0,($CQ186+IF(Smile=TRUE(),VLOOKUP(MAX(-5,$H186-P186),Volsmile,2),0)),$CT186,$CU186,($A186-DateToday)+15,ABS(Option-2),1)*DG186*8)),0))</f>
        <v> </v>
      </c>
      <c r="BJ186" s="301" t="str">
        <f aca="false">IF($A186="N/A"," ",IF(OR(Dayrun&lt;=2,Dayrun&gt;=11),IF(OffPeakEx=TRUE(),MAX(0,(xSPRDOPT(Q186,($E186-'Pricing Inputs'!$X221*$D186),$CV186,0,($CQ186+IF(Smile=TRUE(),VLOOKUP(MAX(-5,$H186-Q186),Volsmile,2),0)),$CT186,$CU186,($A186-DateToday)+15,ABS(Option-2),1)*DG186*8)),0),0))</f>
        <v> </v>
      </c>
      <c r="BK186" s="302" t="str">
        <f aca="false">IF($A186="N/A"," ",R186*$AS186)</f>
        <v> </v>
      </c>
      <c r="BL186" s="303" t="str">
        <f aca="false">IF($A186="N/A"," ",S186*$AT186)</f>
        <v> </v>
      </c>
      <c r="BM186" s="303" t="str">
        <f aca="false">IF($A186="N/A"," ",T186*$AU186)</f>
        <v> </v>
      </c>
      <c r="BN186" s="303" t="str">
        <f aca="false">IF($A186="N/A"," ",U186*$AV186)</f>
        <v> </v>
      </c>
      <c r="BO186" s="303" t="str">
        <f aca="false">IF($A186="N/A"," ",V186*$AW186)</f>
        <v> </v>
      </c>
      <c r="BP186" s="303" t="str">
        <f aca="false">IF($A186="N/A"," ",W186*$AX186)</f>
        <v> </v>
      </c>
      <c r="BQ186" s="303" t="str">
        <f aca="false">IF($A186="N/A"," ",X186*$AY186)</f>
        <v> </v>
      </c>
      <c r="BR186" s="303" t="str">
        <f aca="false">IF($A186="N/A"," ",Y186*$AZ186)</f>
        <v> </v>
      </c>
      <c r="BS186" s="304" t="str">
        <f aca="false">IF($A186="N/A"," ",Z186*$BA186)</f>
        <v> </v>
      </c>
      <c r="BT186" s="305" t="str">
        <f aca="false">IF($A186="N/A"," ",AA186*$AS186)</f>
        <v> </v>
      </c>
      <c r="BU186" s="306" t="str">
        <f aca="false">IF($A186="N/A"," ",AB186*$AT186)</f>
        <v> </v>
      </c>
      <c r="BV186" s="306" t="str">
        <f aca="false">IF($A186="N/A"," ",AC186*$AU186)</f>
        <v> </v>
      </c>
      <c r="BW186" s="306" t="str">
        <f aca="false">IF($A186="N/A"," ",AD186*$AV186)</f>
        <v> </v>
      </c>
      <c r="BX186" s="306" t="str">
        <f aca="false">IF($A186="N/A"," ",AE186*$AW186)</f>
        <v> </v>
      </c>
      <c r="BY186" s="306" t="str">
        <f aca="false">IF($A186="N/A"," ",AF186*$AX186)</f>
        <v> </v>
      </c>
      <c r="BZ186" s="306" t="str">
        <f aca="false">IF($A186="N/A"," ",AG186*$AY186)</f>
        <v> </v>
      </c>
      <c r="CA186" s="306" t="str">
        <f aca="false">IF($A186="N/A"," ",AH186*$AZ186)</f>
        <v> </v>
      </c>
      <c r="CB186" s="307" t="str">
        <f aca="false">IF($A186="N/A"," ",AI186*$BA186)</f>
        <v> </v>
      </c>
      <c r="CC186" s="308" t="str">
        <f aca="false">IF($A186="N/A"," ",AJ186*$AS186)</f>
        <v> </v>
      </c>
      <c r="CD186" s="309" t="str">
        <f aca="false">IF($A186="N/A"," ",AK186*$AT186)</f>
        <v> </v>
      </c>
      <c r="CE186" s="309" t="str">
        <f aca="false">IF($A186="N/A"," ",AL186*$AU186)</f>
        <v> </v>
      </c>
      <c r="CF186" s="309" t="str">
        <f aca="false">IF($A186="N/A"," ",AM186*$AV186)</f>
        <v> </v>
      </c>
      <c r="CG186" s="309" t="str">
        <f aca="false">IF($A186="N/A"," ",AN186*$AW186)</f>
        <v> </v>
      </c>
      <c r="CH186" s="309" t="str">
        <f aca="false">IF($A186="N/A"," ",AO186*$AX186)</f>
        <v> </v>
      </c>
      <c r="CI186" s="309" t="str">
        <f aca="false">IF($A186="N/A"," ",AP186*$AY186)</f>
        <v> </v>
      </c>
      <c r="CJ186" s="309" t="str">
        <f aca="false">IF($A186="N/A"," ",AQ186*$AZ186)</f>
        <v> </v>
      </c>
      <c r="CK186" s="310" t="str">
        <f aca="false">IF($A186="N/A"," ",AR186*$BA186)</f>
        <v> </v>
      </c>
      <c r="CL186" s="311" t="str">
        <f aca="false">IF(A186="N/A"," ",(VLOOKUP(A186,PowerVolTable,(IF(VolBMO=2,7,IF(VolBMO=1,6,8))),FALSE())))</f>
        <v> </v>
      </c>
      <c r="CM186" s="312" t="str">
        <f aca="false">IF(A186="N/A"," ",(VLOOKUP(A186,IntraPowerVol,(IF(VolBMO=2,3,IF(VolBMO=1,2,4))),FALSE())*VLOOKUP(MONTH($A186),Volscale,2)))</f>
        <v> </v>
      </c>
      <c r="CN186" s="312" t="str">
        <f aca="false">IF($A186="N/A"," ",IF(VolType=1,CM186,CL186))</f>
        <v> </v>
      </c>
      <c r="CO186" s="312" t="str">
        <f aca="false">IF($A186="N/A"," ",(VLOOKUP($A186,OffPeakVol,(IF(VolBMO=2,7,IF(VolBMO=1,6,8))),FALSE())))</f>
        <v> </v>
      </c>
      <c r="CP186" s="312" t="str">
        <f aca="false">IF($A186="N/A"," ",(VLOOKUP($A186,OffPeakVol,(IF(VolBMO=2,3,IF(VolBMO=1,2,4))),FALSE())*VLOOKUP(MONTH($A186),Volscale,2)))</f>
        <v> </v>
      </c>
      <c r="CQ186" s="312" t="str">
        <f aca="false">IF($A186="N/A"," ",IF(VolType=1,CP186,CO186))</f>
        <v> </v>
      </c>
      <c r="CR186" s="312" t="str">
        <f aca="false">IF($A186="N/A"," ",(VLOOKUP($A186,GasVolTable,(IF(VolBMO=2,6,IF(VolBMO=1,7,5))),FALSE())))</f>
        <v> </v>
      </c>
      <c r="CS186" s="312" t="str">
        <f aca="false">IF($A186="N/A"," ",(VLOOKUP($A186,OmicronVol,(IF(VolBMO=2,3,IF(VolBMO=1,4,2))),FALSE())))</f>
        <v> </v>
      </c>
      <c r="CT186" s="312" t="str">
        <f aca="false">IF($A186="N/A"," ",(IF(DateToday&gt;$A186,$CS186,IF(VolType=1,((($CR186^2)*((($A186-1)-DateToday)/((EOMONTH($A186,0)+1)-DateToday-15)))+((($CS186)^2)*((15)/((EOMONTH($A186,0)+1)-DateToday-15))))^0.5,CR186))))</f>
        <v> </v>
      </c>
      <c r="CU186" s="312" t="str">
        <f aca="false">IF($A186="N/A"," ",IF('Pricing Inputs'!$AR$23=TRUE(),Inputs!$S$22,VLOOKUP($A186,CorrelationTable,2,FALSE())))</f>
        <v> </v>
      </c>
      <c r="CV186" s="313" t="str">
        <f aca="false">IF($A186="N/A"," ",F186+G186+(D186*('Pricing Inputs'!X221)))</f>
        <v> </v>
      </c>
      <c r="CW186" s="314" t="str">
        <f aca="false">IF($A186="N/A"," ",IF(PV=1,0,'Pricing Inputs'!Y221))</f>
        <v> </v>
      </c>
      <c r="CX186" s="315" t="str">
        <f aca="false">IF($A186="N/A"," ",(1+CW186/2)^(-2*((EOMONTH(A186,0)+20)-DateToday)/365.25))</f>
        <v> </v>
      </c>
      <c r="CY186" s="316" t="str">
        <f aca="false">IF($A186="N/A"," ",(IF(MONTH(A186)&gt;=4,IF(MONTH(A186)&lt;=10,Inputs!$S$26,Inputs!$S$27),Inputs!$S$27))*$CX186)</f>
        <v> </v>
      </c>
      <c r="CZ186" s="317" t="str">
        <f aca="false">IF($A186="N/A"," ",BK186+BL186+BN186+BO186+BQ186+BR186)</f>
        <v> </v>
      </c>
      <c r="DA186" s="318" t="str">
        <f aca="false">IF($A186="N/A"," ",BM186+BP186+BS186)</f>
        <v> </v>
      </c>
      <c r="DB186" s="319" t="str">
        <f aca="false">IF($A186="N/A"," ",BT186+BU186+BW186+BX186+BZ186+CA186)</f>
        <v> </v>
      </c>
      <c r="DC186" s="319" t="str">
        <f aca="false">IF($A186="N/A"," ",BV186+BY186+CB186)</f>
        <v> </v>
      </c>
      <c r="DD186" s="320" t="str">
        <f aca="false">IF($A186="N/A"," ",SUM(CC186:CK186))</f>
        <v> </v>
      </c>
      <c r="DE186" s="321" t="str">
        <f aca="false">IF($A186="N/A"," ",VLOOKUP($A186,NumberofDaysTable,2)*Availability)</f>
        <v> </v>
      </c>
      <c r="DF186" s="94" t="str">
        <f aca="false">IF($A186="N/A"," ",VLOOKUP($A186,NumberofDaysTable,3)*Availability)</f>
        <v> </v>
      </c>
      <c r="DG186" s="322" t="str">
        <f aca="false">IF($A186="N/A"," ",VLOOKUP($A186,NumberofDaysTable,4)*Availability)</f>
        <v> </v>
      </c>
      <c r="DH186" s="323" t="str">
        <f aca="false">IF($A186="N/A"," ",IF(Option=1,$D186*Inputs!$S$15*SUM(AS186:BA186),0))</f>
        <v> </v>
      </c>
      <c r="DI186" s="324" t="str">
        <f aca="false">IF($A186="N/A"," ",IF(Option=1,$D186*Inputs!$S$16*SUM(AS186:BA186),0))</f>
        <v> </v>
      </c>
      <c r="DJ186" s="325" t="str">
        <f aca="false">IF($A186="N/A"," ",SUM(AS186:AT186))</f>
        <v> </v>
      </c>
      <c r="DK186" s="325" t="str">
        <f aca="false">IF($A186="N/A"," ",SUM(AU186:BA186))</f>
        <v> </v>
      </c>
      <c r="DL186" s="325" t="str">
        <f aca="false">IF($A186="N/A"," ",SUM(BB186:BC186))</f>
        <v> </v>
      </c>
      <c r="DM186" s="325" t="str">
        <f aca="false">IF($A186="N/A"," ",SUM(BD186:BJ186))</f>
        <v> </v>
      </c>
    </row>
    <row r="187" customFormat="false" ht="12.75" hidden="false" customHeight="false" outlineLevel="0" collapsed="false">
      <c r="A187" s="282" t="str">
        <f aca="false">IF(A186="N/A","N/A",IF(EDATE(A186,1)&gt;Inputs!$S$5,"N/A",EDATE(A186,1)))</f>
        <v>N/A</v>
      </c>
      <c r="B187" s="283" t="str">
        <f aca="false">IF(A187="N/A"," ",YEAR(A187))</f>
        <v> </v>
      </c>
      <c r="C187" s="284" t="str">
        <f aca="false">IF(A187="N/A"," ",VLOOKUP(A187,ScaledPrice,14))</f>
        <v> </v>
      </c>
      <c r="D187" s="285" t="str">
        <f aca="false">IF(A187="N/A"," ",(VLOOKUP(MONTH($A187),Hrtable,2))/1000)</f>
        <v> </v>
      </c>
      <c r="E187" s="286" t="str">
        <f aca="false">IF($A187="N/A"," ",(C187)*D187)</f>
        <v> </v>
      </c>
      <c r="F187" s="287" t="str">
        <f aca="false">IF(A187="N/A"," ",VOM*(1+VOMesc)^(YEAR(A187)-YEAR(Today)))</f>
        <v> </v>
      </c>
      <c r="G187" s="287" t="str">
        <f aca="false">IF(A187="N/A"," ",Perstart/VLOOKUP(Dayrun,'Pricing Inputs'!$AQ$4:$AS$14,3)/(CY187/CX187))</f>
        <v> </v>
      </c>
      <c r="H187" s="288" t="str">
        <f aca="false">IF(A187="N/A"," ",SUM(E187:G187))</f>
        <v> </v>
      </c>
      <c r="I187" s="289" t="str">
        <f aca="false">VLOOKUP($A187,ScaledPrice,6)</f>
        <v> </v>
      </c>
      <c r="J187" s="290" t="str">
        <f aca="false">VLOOKUP($A187,ScaledPrice,10)</f>
        <v> </v>
      </c>
      <c r="K187" s="290" t="str">
        <f aca="false">VLOOKUP($A187,ScaledPrice,13)</f>
        <v> </v>
      </c>
      <c r="L187" s="290" t="str">
        <f aca="false">VLOOKUP($A187,ScaledPrice,7)</f>
        <v> </v>
      </c>
      <c r="M187" s="290" t="str">
        <f aca="false">VLOOKUP($A187,ScaledPrice,11)</f>
        <v> </v>
      </c>
      <c r="N187" s="290" t="str">
        <f aca="false">VLOOKUP($A187,ScaledPrice,13)</f>
        <v> </v>
      </c>
      <c r="O187" s="290" t="str">
        <f aca="false">VLOOKUP($A187,ScaledPrice,8)</f>
        <v> </v>
      </c>
      <c r="P187" s="290" t="str">
        <f aca="false">VLOOKUP($A187,ScaledPrice,12)</f>
        <v> </v>
      </c>
      <c r="Q187" s="291" t="str">
        <f aca="false">VLOOKUP($A187,ScaledPrice,13)</f>
        <v> </v>
      </c>
      <c r="R187" s="292" t="str">
        <f aca="false">IF($A187="N/A"," ",IF(Dayrun&gt;=3,IF(Option=1,MAX($I187-$H187,0),IF(Option=2,MAX($H187-$I187,0),0)),0))</f>
        <v> </v>
      </c>
      <c r="S187" s="286" t="str">
        <f aca="false">IF($A187="N/A"," ",IF(Dayrun&gt;=6,IF(Option=1,MAX($J187-H187,0),IF(Option=2,MAX(H187-$J187,0),0)),0))</f>
        <v> </v>
      </c>
      <c r="T187" s="286" t="str">
        <f aca="false">IF($A187="N/A"," ",IF(OR(Dayrun&lt;=2,Dayrun&gt;=9),IF(Option=1,MAX($K187-$H187,0),IF(Option=2,MAX($H187-$K187,0),0)),0))</f>
        <v> </v>
      </c>
      <c r="U187" s="286" t="str">
        <f aca="false">IF($A187="N/A"," ",IF(OR(Dayrun=1,Dayrun=4,Dayrun=5,Dayrun=7,Dayrun=8,Dayrun=10,Dayrun=11),IF(Option=1,MAX($L187-H187,0),IF(Option=2,MAX(H187-$L187,0),0)),0))</f>
        <v> </v>
      </c>
      <c r="V187" s="286" t="str">
        <f aca="false">IF($A187="N/A"," ",IF(OR(Dayrun=1,Dayrun=7,Dayrun=8,Dayrun=10,Dayrun=11),IF(Option=1,MAX($M187-H187,0),IF(Option=2,MAX(H187-$M187,0),0)),0))</f>
        <v> </v>
      </c>
      <c r="W187" s="286" t="str">
        <f aca="false">IF($A187="N/A"," ",IF(OR(Dayrun&lt;=2,Dayrun&gt;=10),IF(Option=1,MAX($N187-$H187,0),IF(Option=2,MAX($H187-$N187,0),0)),0))</f>
        <v> </v>
      </c>
      <c r="X187" s="286" t="str">
        <f aca="false">IF($A187="N/A"," ",IF(OR(Dayrun=1,Dayrun=5,Dayrun=8,Dayrun=11),IF(Option=1,MAX($O187-H187,0),IF(Option=2,MAX(H187-$O187,0),0)),0))</f>
        <v> </v>
      </c>
      <c r="Y187" s="286" t="str">
        <f aca="false">IF($A187="N/A"," ",IF(OR(Dayrun=1,Dayrun=8,Dayrun=11),IF(Option=1,MAX($P187-H187,0),IF(Option=2,MAX(H187-$P187,0),0)),0))</f>
        <v> </v>
      </c>
      <c r="Z187" s="293" t="str">
        <f aca="false">IF($A187="N/A"," ",IF(OR(Dayrun&lt;=2,Dayrun&gt;=11),IF(Option=1,MAX($Q187-$H187,0),IF(Option=2,MAX($H187-$Q187,0),0)),0))</f>
        <v> </v>
      </c>
      <c r="AA187" s="289" t="str">
        <f aca="false">IF($A187="N/A"," ",IF(Dayrun&gt;=3,(MAX(0,(xSPRDOPT(I187,($E187-'Pricing Inputs'!$X222*$D187),$CV187,0,($CN187+IF(Smile=TRUE(),VLOOKUP(MAX(-5,$H187-I187),Volsmile,2),0)),$CT187,$CU187,($A187-DateToday)+15,ABS(Option-2),0)-R187))),0))</f>
        <v> </v>
      </c>
      <c r="AB187" s="290" t="str">
        <f aca="false">IF($A187="N/A"," ",IF(Dayrun&gt;=6,MAX(0,(xSPRDOPT(J187,($E187-'Pricing Inputs'!$X222*$D187),$CV187,0,($CN187+IF(Smile=TRUE(),VLOOKUP(MAX(-5,$H187-J187),Volsmile,2),0)),$CT187,$CU187,($A187-DateToday)+15,ABS(Option-2),0)-S187)),0))</f>
        <v> </v>
      </c>
      <c r="AC187" s="290" t="str">
        <f aca="false">IF($A187="N/A"," ",IF(OR(Dayrun&lt;=2,Dayrun&gt;=9),IF(OffPeakEx=TRUE(),MAX(0,(xSPRDOPT(K187,($E187-'Pricing Inputs'!$X222*$D187),$CV187,0,($CQ187+IF(Smile=TRUE(),VLOOKUP(MAX(-5,$H187-K187),Volsmile,2),0)),$CT187,$CU187,($A187-DateToday)+15,ABS(Option-2),0)-T187)),0),0))</f>
        <v> </v>
      </c>
      <c r="AD187" s="290" t="str">
        <f aca="false">IF($A187="N/A"," ",IF(OR(Dayrun=1,Dayrun=4,Dayrun=5,Dayrun=7,Dayrun=8,Dayrun=10,Dayrun=11),MAX(0,(xSPRDOPT(L187,($E187-'Pricing Inputs'!$X222*$D187),$CV187,0,($CQ187+IF(Smile=TRUE(),VLOOKUP(MAX(-5,$H187-L187),Volsmile,2),0)),$CT187,$CU187,($A187-DateToday)+15,ABS(Option-2),0)-U187)),0))</f>
        <v> </v>
      </c>
      <c r="AE187" s="290" t="str">
        <f aca="false">IF($A187="N/A"," ",IF(OR(Dayrun=1,Dayrun=7,Dayrun=8,Dayrun=10,Dayrun=11),MAX(0,(xSPRDOPT(M187,($E187-'Pricing Inputs'!$X222*$D187),$CV187,0,($CQ187+IF(Smile=TRUE(),VLOOKUP(MAX(-5,$H187-M187),Volsmile,2),0)),$CT187,$CU187,($A187-DateToday)+15,ABS(Option-2),0)-V187)),0))</f>
        <v> </v>
      </c>
      <c r="AF187" s="290" t="str">
        <f aca="false">IF($A187="N/A"," ",IF(OR(Dayrun&lt;=2,Dayrun&gt;=10),IF(OffPeakEx=TRUE(),MAX(0,(xSPRDOPT(N187,($E187-'Pricing Inputs'!$X222*$D187),$CV187,0,($CQ187+IF(Smile=TRUE(),VLOOKUP(MAX(-5,$H187-N187),Volsmile,2),0)),$CT187,$CU187,($A187-DateToday)+15,ABS(Option-2),0)-W187)),0),0))</f>
        <v> </v>
      </c>
      <c r="AG187" s="290" t="str">
        <f aca="false">IF($A187="N/A"," ",IF(OR(Dayrun=1,Dayrun=5,Dayrun=8,Dayrun=11),MAX(0,(xSPRDOPT(O187,($E187-'Pricing Inputs'!$X222*$D187),$CV187,0,($CQ187+IF(Smile=TRUE(),VLOOKUP(MAX(-5,$H187-O187),Volsmile,2),0)),$CT187,$CU187,($A187-DateToday)+15,ABS(Option-2),0)-X187)),0))</f>
        <v> </v>
      </c>
      <c r="AH187" s="290" t="str">
        <f aca="false">IF($A187="N/A"," ",IF(OR(Dayrun=1,Dayrun=8,Dayrun=11),MAX(0,(xSPRDOPT(P187,($E187-'Pricing Inputs'!$X222*$D187),$CV187,0,($CQ187+IF(Smile=TRUE(),VLOOKUP(MAX(-5,$H187-P187),Volsmile,2),0)),$CT187,$CU187,($A187-DateToday)+15,ABS(Option-2),0)-Y187)),0))</f>
        <v> </v>
      </c>
      <c r="AI187" s="290" t="str">
        <f aca="false">IF($A187="N/A"," ",IF(OR(Dayrun&lt;=2,Dayrun&gt;=11),IF(OffPeakEx=TRUE(),MAX(0,(xSPRDOPT(Q187,($E187-'Pricing Inputs'!$X222*$D187),$CV187,0,($CQ187+IF(Smile=TRUE(),VLOOKUP(MAX(-5,$H187-Q187),Volsmile,2),0)),$CT187,$CU187,($A187-DateToday)+15,ABS(Option-2),0)-Z187)),0),0))</f>
        <v> </v>
      </c>
      <c r="AJ187" s="294" t="str">
        <f aca="false">IF($A187="N/A"," ",IF(Dayrun&gt;=3,IF(Option=1,$I187-$H187,IF(Option=2,$H187-$I187)),0))</f>
        <v> </v>
      </c>
      <c r="AK187" s="295" t="str">
        <f aca="false">IF($A187="N/A"," ",IF(Dayrun&gt;=6,IF(Option=1,$J187-H187,IF(Option=2,H187-$J187)),0))</f>
        <v> </v>
      </c>
      <c r="AL187" s="295" t="str">
        <f aca="false">IF($A187="N/A"," ",IF(OR(Dayrun&lt;=2,Dayrun&gt;=9),IF(Option=1,$K187-$H187,IF(Option=2,$H187-$K187)),0))</f>
        <v> </v>
      </c>
      <c r="AM187" s="295" t="str">
        <f aca="false">IF($A187="N/A"," ",IF(OR(Dayrun=1,Dayrun=4,Dayrun=5,Dayrun=7,Dayrun=8,Dayrun=10,Dayrun=11),IF(Option=1,$L187-H187,IF(Option=2,H187-$L187)),0))</f>
        <v> </v>
      </c>
      <c r="AN187" s="295" t="str">
        <f aca="false">IF($A187="N/A"," ",IF(OR(Dayrun=1,Dayrun=7,Dayrun=8,Dayrun=10,Dayrun=11),IF(Option=1,$M187-H187,IF(Option=2,H187-$M187)),0))</f>
        <v> </v>
      </c>
      <c r="AO187" s="295" t="str">
        <f aca="false">IF($A187="N/A"," ",IF(OR(Dayrun&lt;=2,Dayrun&gt;=9),IF(Option=1,$N187-$H187,IF(Option=2,$H187-$N187)),0))</f>
        <v> </v>
      </c>
      <c r="AP187" s="295" t="str">
        <f aca="false">IF($A187="N/A"," ",IF(OR(Dayrun=1,Dayrun=5,Dayrun=8,Dayrun=11),IF(Option=1,$O187-H187,IF(Option=2,H187-$O187)),0))</f>
        <v> </v>
      </c>
      <c r="AQ187" s="295" t="str">
        <f aca="false">IF($A187="N/A"," ",IF(OR(Dayrun=1,Dayrun=8,Dayrun=11),IF(Option=1,$P187-H187,IF(Option=2,H187-$P187)),0))</f>
        <v> </v>
      </c>
      <c r="AR187" s="296" t="str">
        <f aca="false">IF($A187="N/A"," ",IF(OR(Dayrun&lt;=2,Dayrun&gt;=9),IF(Option=1,$Q187-H187,IF(Option=2,H187-$Q187)),0))</f>
        <v> </v>
      </c>
      <c r="AS187" s="297" t="str">
        <f aca="false">IF($A187="N/A"," ",IF(VLOOKUP(MONTH($A187),ManualTable,2)=1,IF(Dayrun&gt;=3,$DE187*8*$CY187,0),0))</f>
        <v> </v>
      </c>
      <c r="AT187" s="297" t="str">
        <f aca="false">IF($A187="N/A"," ",IF(VLOOKUP(MONTH($A187),ManualTable,3)=1,IF(Dayrun&gt;=6,$DE187*8*$CY187,0),0))</f>
        <v> </v>
      </c>
      <c r="AU187" s="297" t="str">
        <f aca="false">IF($A187="N/A"," ",IF(VLOOKUP(MONTH($A187),ManualTable,4)=1,IF(OR(Dayrun&lt;=2,Dayrun&gt;=9),$DE187*8*$CY187,0),0))</f>
        <v> </v>
      </c>
      <c r="AV187" s="297" t="str">
        <f aca="false">IF($A187="N/A"," ",IF(VLOOKUP(MONTH($A187),ManualTable,5)=1,IF(OR(Dayrun=1,Dayrun=4,Dayrun=5,Dayrun=7,Dayrun=8,Dayrun=10,Dayrun=11),$DF187*8*$CY187,0),0))</f>
        <v> </v>
      </c>
      <c r="AW187" s="297" t="str">
        <f aca="false">IF($A187="N/A"," ",IF(VLOOKUP(MONTH($A187),ManualTable,6)=1,IF(OR(Dayrun=1,Dayrun=7,Dayrun=8,Dayrun=10,Dayrun=11),$DF187*8*$CY187,0),0))</f>
        <v> </v>
      </c>
      <c r="AX187" s="297" t="str">
        <f aca="false">IF($A187="N/A"," ",IF(VLOOKUP(MONTH($A187),ManualTable,7)=1,IF(OR(Dayrun&lt;=2,Dayrun&gt;=9),$DF187*8*$CY187,0),0))</f>
        <v> </v>
      </c>
      <c r="AY187" s="297" t="str">
        <f aca="false">IF($A187="N/A"," ",IF(VLOOKUP(MONTH($A187),ManualTable,8)=1,IF(OR(Dayrun=1,Dayrun=5,Dayrun=8,Dayrun=11),$DG187*8*$CY187,0),0))</f>
        <v> </v>
      </c>
      <c r="AZ187" s="297" t="str">
        <f aca="false">IF($A187="N/A"," ",IF(VLOOKUP(MONTH($A187),ManualTable,9)=1,IF(OR(Dayrun=1,Dayrun=8,Dayrun=11),$DG187*8*$CY187,0),0))</f>
        <v> </v>
      </c>
      <c r="BA187" s="298" t="str">
        <f aca="false">IF($A187="N/A"," ",IF(VLOOKUP(MONTH($A187),ManualTable,10)=1,IF(OR(Dayrun&lt;=2,Dayrun&gt;=9),$DG187*8*$CY187,0),0))</f>
        <v> </v>
      </c>
      <c r="BB187" s="299" t="str">
        <f aca="false">IF($A187="N/A"," ",IF(Dayrun&gt;=3,(MAX(0,(xSPRDOPT(I187,($E187-'Pricing Inputs'!$X222*$D187),$CV187,0,($CN187+IF(Smile=TRUE(),VLOOKUP(MAX(-5,$H187-I187),Volsmile,2),0)),$CT187,$CU187,($A187-DateToday)+15,ABS(Option-2),1)*DE187*8))),0))</f>
        <v> </v>
      </c>
      <c r="BC187" s="300" t="str">
        <f aca="false">IF($A187="N/A"," ",IF(Dayrun&gt;=6,MAX(0,(xSPRDOPT(J187,($E187-'Pricing Inputs'!$X222*$D187),$CV187,0,($CN187+IF(Smile=TRUE(),VLOOKUP(MAX(-5,$H187-J187),Volsmile,2),0)),$CT187,$CU187,($A187-DateToday)+15,ABS(Option-2),1)*DE187*8)),0))</f>
        <v> </v>
      </c>
      <c r="BD187" s="300" t="str">
        <f aca="false">IF($A187="N/A"," ",IF(OR(Dayrun&lt;=2,Dayrun&gt;=9),IF(OffPeakEx=TRUE(),MAX(0,(xSPRDOPT(K187,($E187-'Pricing Inputs'!$X222*$D187),$CV187,0,($CQ187+IF(Smile=TRUE(),VLOOKUP(MAX(-5,$H187-K187),Volsmile,2),0)),$CT187,$CU187,($A187-DateToday)+15,ABS(Option-2),1)*DE187*8)),0),0))</f>
        <v> </v>
      </c>
      <c r="BE187" s="300" t="str">
        <f aca="false">IF($A187="N/A"," ",IF(OR(Dayrun=1,Dayrun=4,Dayrun=5,Dayrun=7,Dayrun=8,Dayrun=10,Dayrun=11),MAX(0,(xSPRDOPT(L187,($E187-'Pricing Inputs'!$X222*$D187),$CV187,0,($CQ187+IF(Smile=TRUE(),VLOOKUP(MAX(-5,$H187-L187),Volsmile,2),0)),$CT187,$CU187,($A187-DateToday)+15,ABS(Option-2),1)*DF187*8)),0))</f>
        <v> </v>
      </c>
      <c r="BF187" s="300" t="str">
        <f aca="false">IF($A187="N/A"," ",IF(OR(Dayrun=1,Dayrun=7,Dayrun=8,Dayrun=10,Dayrun=11),MAX(0,(xSPRDOPT(M187,($E187-'Pricing Inputs'!$X222*$D187),$CV187,0,($CQ187+IF(Smile=TRUE(),VLOOKUP(MAX(-5,$H187-M187),Volsmile,2),0)),$CT187,$CU187,($A187-DateToday)+15,ABS(Option-2),1)*DF187*8)),0))</f>
        <v> </v>
      </c>
      <c r="BG187" s="300" t="str">
        <f aca="false">IF($A187="N/A"," ",IF(OR(Dayrun&lt;=2,Dayrun&gt;=10),IF(OffPeakEx=TRUE(),MAX(0,(xSPRDOPT(N187,($E187-'Pricing Inputs'!$X222*$D187),$CV187,0,($CQ187+IF(Smile=TRUE(),VLOOKUP(MAX(-5,$H187-N187),Volsmile,2),0)),$CT187,$CU187,($A187-DateToday)+15,ABS(Option-2),1)*DF187*8)),0),0))</f>
        <v> </v>
      </c>
      <c r="BH187" s="300" t="str">
        <f aca="false">IF($A187="N/A"," ",IF(OR(Dayrun=1,Dayrun=5,Dayrun=8,Dayrun=11),MAX(0,(xSPRDOPT(O187,($E187-'Pricing Inputs'!$X222*$D187),$CV187,0,($CQ187+IF(Smile=TRUE(),VLOOKUP(MAX(-5,$H187-O187),Volsmile,2),0)),$CT187,$CU187,($A187-DateToday)+15,ABS(Option-2),1)*DG187*8)),0))</f>
        <v> </v>
      </c>
      <c r="BI187" s="300" t="str">
        <f aca="false">IF($A187="N/A"," ",IF(OR(Dayrun=1,Dayrun=8,Dayrun=11),MAX(0,(xSPRDOPT(P187,($E187-'Pricing Inputs'!$X222*$D187),$CV187,0,($CQ187+IF(Smile=TRUE(),VLOOKUP(MAX(-5,$H187-P187),Volsmile,2),0)),$CT187,$CU187,($A187-DateToday)+15,ABS(Option-2),1)*DG187*8)),0))</f>
        <v> </v>
      </c>
      <c r="BJ187" s="301" t="str">
        <f aca="false">IF($A187="N/A"," ",IF(OR(Dayrun&lt;=2,Dayrun&gt;=11),IF(OffPeakEx=TRUE(),MAX(0,(xSPRDOPT(Q187,($E187-'Pricing Inputs'!$X222*$D187),$CV187,0,($CQ187+IF(Smile=TRUE(),VLOOKUP(MAX(-5,$H187-Q187),Volsmile,2),0)),$CT187,$CU187,($A187-DateToday)+15,ABS(Option-2),1)*DG187*8)),0),0))</f>
        <v> </v>
      </c>
      <c r="BK187" s="302" t="str">
        <f aca="false">IF($A187="N/A"," ",R187*$AS187)</f>
        <v> </v>
      </c>
      <c r="BL187" s="303" t="str">
        <f aca="false">IF($A187="N/A"," ",S187*$AT187)</f>
        <v> </v>
      </c>
      <c r="BM187" s="303" t="str">
        <f aca="false">IF($A187="N/A"," ",T187*$AU187)</f>
        <v> </v>
      </c>
      <c r="BN187" s="303" t="str">
        <f aca="false">IF($A187="N/A"," ",U187*$AV187)</f>
        <v> </v>
      </c>
      <c r="BO187" s="303" t="str">
        <f aca="false">IF($A187="N/A"," ",V187*$AW187)</f>
        <v> </v>
      </c>
      <c r="BP187" s="303" t="str">
        <f aca="false">IF($A187="N/A"," ",W187*$AX187)</f>
        <v> </v>
      </c>
      <c r="BQ187" s="303" t="str">
        <f aca="false">IF($A187="N/A"," ",X187*$AY187)</f>
        <v> </v>
      </c>
      <c r="BR187" s="303" t="str">
        <f aca="false">IF($A187="N/A"," ",Y187*$AZ187)</f>
        <v> </v>
      </c>
      <c r="BS187" s="304" t="str">
        <f aca="false">IF($A187="N/A"," ",Z187*$BA187)</f>
        <v> </v>
      </c>
      <c r="BT187" s="305" t="str">
        <f aca="false">IF($A187="N/A"," ",AA187*$AS187)</f>
        <v> </v>
      </c>
      <c r="BU187" s="306" t="str">
        <f aca="false">IF($A187="N/A"," ",AB187*$AT187)</f>
        <v> </v>
      </c>
      <c r="BV187" s="306" t="str">
        <f aca="false">IF($A187="N/A"," ",AC187*$AU187)</f>
        <v> </v>
      </c>
      <c r="BW187" s="306" t="str">
        <f aca="false">IF($A187="N/A"," ",AD187*$AV187)</f>
        <v> </v>
      </c>
      <c r="BX187" s="306" t="str">
        <f aca="false">IF($A187="N/A"," ",AE187*$AW187)</f>
        <v> </v>
      </c>
      <c r="BY187" s="306" t="str">
        <f aca="false">IF($A187="N/A"," ",AF187*$AX187)</f>
        <v> </v>
      </c>
      <c r="BZ187" s="306" t="str">
        <f aca="false">IF($A187="N/A"," ",AG187*$AY187)</f>
        <v> </v>
      </c>
      <c r="CA187" s="306" t="str">
        <f aca="false">IF($A187="N/A"," ",AH187*$AZ187)</f>
        <v> </v>
      </c>
      <c r="CB187" s="307" t="str">
        <f aca="false">IF($A187="N/A"," ",AI187*$BA187)</f>
        <v> </v>
      </c>
      <c r="CC187" s="308" t="str">
        <f aca="false">IF($A187="N/A"," ",AJ187*$AS187)</f>
        <v> </v>
      </c>
      <c r="CD187" s="309" t="str">
        <f aca="false">IF($A187="N/A"," ",AK187*$AT187)</f>
        <v> </v>
      </c>
      <c r="CE187" s="309" t="str">
        <f aca="false">IF($A187="N/A"," ",AL187*$AU187)</f>
        <v> </v>
      </c>
      <c r="CF187" s="309" t="str">
        <f aca="false">IF($A187="N/A"," ",AM187*$AV187)</f>
        <v> </v>
      </c>
      <c r="CG187" s="309" t="str">
        <f aca="false">IF($A187="N/A"," ",AN187*$AW187)</f>
        <v> </v>
      </c>
      <c r="CH187" s="309" t="str">
        <f aca="false">IF($A187="N/A"," ",AO187*$AX187)</f>
        <v> </v>
      </c>
      <c r="CI187" s="309" t="str">
        <f aca="false">IF($A187="N/A"," ",AP187*$AY187)</f>
        <v> </v>
      </c>
      <c r="CJ187" s="309" t="str">
        <f aca="false">IF($A187="N/A"," ",AQ187*$AZ187)</f>
        <v> </v>
      </c>
      <c r="CK187" s="310" t="str">
        <f aca="false">IF($A187="N/A"," ",AR187*$BA187)</f>
        <v> </v>
      </c>
      <c r="CL187" s="311" t="str">
        <f aca="false">IF(A187="N/A"," ",(VLOOKUP(A187,PowerVolTable,(IF(VolBMO=2,7,IF(VolBMO=1,6,8))),FALSE())))</f>
        <v> </v>
      </c>
      <c r="CM187" s="312" t="str">
        <f aca="false">IF(A187="N/A"," ",(VLOOKUP(A187,IntraPowerVol,(IF(VolBMO=2,3,IF(VolBMO=1,2,4))),FALSE())*VLOOKUP(MONTH($A187),Volscale,2)))</f>
        <v> </v>
      </c>
      <c r="CN187" s="312" t="str">
        <f aca="false">IF($A187="N/A"," ",IF(VolType=1,CM187,CL187))</f>
        <v> </v>
      </c>
      <c r="CO187" s="312" t="str">
        <f aca="false">IF($A187="N/A"," ",(VLOOKUP($A187,OffPeakVol,(IF(VolBMO=2,7,IF(VolBMO=1,6,8))),FALSE())))</f>
        <v> </v>
      </c>
      <c r="CP187" s="312" t="str">
        <f aca="false">IF($A187="N/A"," ",(VLOOKUP($A187,OffPeakVol,(IF(VolBMO=2,3,IF(VolBMO=1,2,4))),FALSE())*VLOOKUP(MONTH($A187),Volscale,2)))</f>
        <v> </v>
      </c>
      <c r="CQ187" s="312" t="str">
        <f aca="false">IF($A187="N/A"," ",IF(VolType=1,CP187,CO187))</f>
        <v> </v>
      </c>
      <c r="CR187" s="312" t="str">
        <f aca="false">IF($A187="N/A"," ",(VLOOKUP($A187,GasVolTable,(IF(VolBMO=2,6,IF(VolBMO=1,7,5))),FALSE())))</f>
        <v> </v>
      </c>
      <c r="CS187" s="312" t="str">
        <f aca="false">IF($A187="N/A"," ",(VLOOKUP($A187,OmicronVol,(IF(VolBMO=2,3,IF(VolBMO=1,4,2))),FALSE())))</f>
        <v> </v>
      </c>
      <c r="CT187" s="312" t="str">
        <f aca="false">IF($A187="N/A"," ",(IF(DateToday&gt;$A187,$CS187,IF(VolType=1,((($CR187^2)*((($A187-1)-DateToday)/((EOMONTH($A187,0)+1)-DateToday-15)))+((($CS187)^2)*((15)/((EOMONTH($A187,0)+1)-DateToday-15))))^0.5,CR187))))</f>
        <v> </v>
      </c>
      <c r="CU187" s="312" t="str">
        <f aca="false">IF($A187="N/A"," ",IF('Pricing Inputs'!$AR$23=TRUE(),Inputs!$S$22,VLOOKUP($A187,CorrelationTable,2,FALSE())))</f>
        <v> </v>
      </c>
      <c r="CV187" s="313" t="str">
        <f aca="false">IF($A187="N/A"," ",F187+G187+(D187*('Pricing Inputs'!X222)))</f>
        <v> </v>
      </c>
      <c r="CW187" s="314" t="str">
        <f aca="false">IF($A187="N/A"," ",IF(PV=1,0,'Pricing Inputs'!Y222))</f>
        <v> </v>
      </c>
      <c r="CX187" s="315" t="str">
        <f aca="false">IF($A187="N/A"," ",(1+CW187/2)^(-2*((EOMONTH(A187,0)+20)-DateToday)/365.25))</f>
        <v> </v>
      </c>
      <c r="CY187" s="316" t="str">
        <f aca="false">IF($A187="N/A"," ",(IF(MONTH(A187)&gt;=4,IF(MONTH(A187)&lt;=10,Inputs!$S$26,Inputs!$S$27),Inputs!$S$27))*$CX187)</f>
        <v> </v>
      </c>
      <c r="CZ187" s="317" t="str">
        <f aca="false">IF($A187="N/A"," ",BK187+BL187+BN187+BO187+BQ187+BR187)</f>
        <v> </v>
      </c>
      <c r="DA187" s="318" t="str">
        <f aca="false">IF($A187="N/A"," ",BM187+BP187+BS187)</f>
        <v> </v>
      </c>
      <c r="DB187" s="319" t="str">
        <f aca="false">IF($A187="N/A"," ",BT187+BU187+BW187+BX187+BZ187+CA187)</f>
        <v> </v>
      </c>
      <c r="DC187" s="319" t="str">
        <f aca="false">IF($A187="N/A"," ",BV187+BY187+CB187)</f>
        <v> </v>
      </c>
      <c r="DD187" s="320" t="str">
        <f aca="false">IF($A187="N/A"," ",SUM(CC187:CK187))</f>
        <v> </v>
      </c>
      <c r="DE187" s="321" t="str">
        <f aca="false">IF($A187="N/A"," ",VLOOKUP($A187,NumberofDaysTable,2)*Availability)</f>
        <v> </v>
      </c>
      <c r="DF187" s="94" t="str">
        <f aca="false">IF($A187="N/A"," ",VLOOKUP($A187,NumberofDaysTable,3)*Availability)</f>
        <v> </v>
      </c>
      <c r="DG187" s="322" t="str">
        <f aca="false">IF($A187="N/A"," ",VLOOKUP($A187,NumberofDaysTable,4)*Availability)</f>
        <v> </v>
      </c>
      <c r="DH187" s="323" t="str">
        <f aca="false">IF($A187="N/A"," ",IF(Option=1,$D187*Inputs!$S$15*SUM(AS187:BA187),0))</f>
        <v> </v>
      </c>
      <c r="DI187" s="324" t="str">
        <f aca="false">IF($A187="N/A"," ",IF(Option=1,$D187*Inputs!$S$16*SUM(AS187:BA187),0))</f>
        <v> </v>
      </c>
      <c r="DJ187" s="325" t="str">
        <f aca="false">IF($A187="N/A"," ",SUM(AS187:AT187))</f>
        <v> </v>
      </c>
      <c r="DK187" s="325" t="str">
        <f aca="false">IF($A187="N/A"," ",SUM(AU187:BA187))</f>
        <v> </v>
      </c>
      <c r="DL187" s="325" t="str">
        <f aca="false">IF($A187="N/A"," ",SUM(BB187:BC187))</f>
        <v> </v>
      </c>
      <c r="DM187" s="325" t="str">
        <f aca="false">IF($A187="N/A"," ",SUM(BD187:BJ187))</f>
        <v> </v>
      </c>
    </row>
    <row r="188" customFormat="false" ht="12.75" hidden="false" customHeight="false" outlineLevel="0" collapsed="false">
      <c r="A188" s="282" t="str">
        <f aca="false">IF(A187="N/A","N/A",IF(EDATE(A187,1)&gt;Inputs!$S$5,"N/A",EDATE(A187,1)))</f>
        <v>N/A</v>
      </c>
      <c r="B188" s="283" t="str">
        <f aca="false">IF(A188="N/A"," ",YEAR(A188))</f>
        <v> </v>
      </c>
      <c r="C188" s="284" t="str">
        <f aca="false">IF(A188="N/A"," ",VLOOKUP(A188,ScaledPrice,14))</f>
        <v> </v>
      </c>
      <c r="D188" s="285" t="str">
        <f aca="false">IF(A188="N/A"," ",(VLOOKUP(MONTH($A188),Hrtable,2))/1000)</f>
        <v> </v>
      </c>
      <c r="E188" s="286" t="str">
        <f aca="false">IF($A188="N/A"," ",(C188)*D188)</f>
        <v> </v>
      </c>
      <c r="F188" s="287" t="str">
        <f aca="false">IF(A188="N/A"," ",VOM*(1+VOMesc)^(YEAR(A188)-YEAR(Today)))</f>
        <v> </v>
      </c>
      <c r="G188" s="287" t="str">
        <f aca="false">IF(A188="N/A"," ",Perstart/VLOOKUP(Dayrun,'Pricing Inputs'!$AQ$4:$AS$14,3)/(CY188/CX188))</f>
        <v> </v>
      </c>
      <c r="H188" s="288" t="str">
        <f aca="false">IF(A188="N/A"," ",SUM(E188:G188))</f>
        <v> </v>
      </c>
      <c r="I188" s="289" t="str">
        <f aca="false">VLOOKUP($A188,ScaledPrice,6)</f>
        <v> </v>
      </c>
      <c r="J188" s="290" t="str">
        <f aca="false">VLOOKUP($A188,ScaledPrice,10)</f>
        <v> </v>
      </c>
      <c r="K188" s="290" t="str">
        <f aca="false">VLOOKUP($A188,ScaledPrice,13)</f>
        <v> </v>
      </c>
      <c r="L188" s="290" t="str">
        <f aca="false">VLOOKUP($A188,ScaledPrice,7)</f>
        <v> </v>
      </c>
      <c r="M188" s="290" t="str">
        <f aca="false">VLOOKUP($A188,ScaledPrice,11)</f>
        <v> </v>
      </c>
      <c r="N188" s="290" t="str">
        <f aca="false">VLOOKUP($A188,ScaledPrice,13)</f>
        <v> </v>
      </c>
      <c r="O188" s="290" t="str">
        <f aca="false">VLOOKUP($A188,ScaledPrice,8)</f>
        <v> </v>
      </c>
      <c r="P188" s="290" t="str">
        <f aca="false">VLOOKUP($A188,ScaledPrice,12)</f>
        <v> </v>
      </c>
      <c r="Q188" s="291" t="str">
        <f aca="false">VLOOKUP($A188,ScaledPrice,13)</f>
        <v> </v>
      </c>
      <c r="R188" s="292" t="str">
        <f aca="false">IF($A188="N/A"," ",IF(Dayrun&gt;=3,IF(Option=1,MAX($I188-$H188,0),IF(Option=2,MAX($H188-$I188,0),0)),0))</f>
        <v> </v>
      </c>
      <c r="S188" s="286" t="str">
        <f aca="false">IF($A188="N/A"," ",IF(Dayrun&gt;=6,IF(Option=1,MAX($J188-H188,0),IF(Option=2,MAX(H188-$J188,0),0)),0))</f>
        <v> </v>
      </c>
      <c r="T188" s="286" t="str">
        <f aca="false">IF($A188="N/A"," ",IF(OR(Dayrun&lt;=2,Dayrun&gt;=9),IF(Option=1,MAX($K188-$H188,0),IF(Option=2,MAX($H188-$K188,0),0)),0))</f>
        <v> </v>
      </c>
      <c r="U188" s="286" t="str">
        <f aca="false">IF($A188="N/A"," ",IF(OR(Dayrun=1,Dayrun=4,Dayrun=5,Dayrun=7,Dayrun=8,Dayrun=10,Dayrun=11),IF(Option=1,MAX($L188-H188,0),IF(Option=2,MAX(H188-$L188,0),0)),0))</f>
        <v> </v>
      </c>
      <c r="V188" s="286" t="str">
        <f aca="false">IF($A188="N/A"," ",IF(OR(Dayrun=1,Dayrun=7,Dayrun=8,Dayrun=10,Dayrun=11),IF(Option=1,MAX($M188-H188,0),IF(Option=2,MAX(H188-$M188,0),0)),0))</f>
        <v> </v>
      </c>
      <c r="W188" s="286" t="str">
        <f aca="false">IF($A188="N/A"," ",IF(OR(Dayrun&lt;=2,Dayrun&gt;=10),IF(Option=1,MAX($N188-$H188,0),IF(Option=2,MAX($H188-$N188,0),0)),0))</f>
        <v> </v>
      </c>
      <c r="X188" s="286" t="str">
        <f aca="false">IF($A188="N/A"," ",IF(OR(Dayrun=1,Dayrun=5,Dayrun=8,Dayrun=11),IF(Option=1,MAX($O188-H188,0),IF(Option=2,MAX(H188-$O188,0),0)),0))</f>
        <v> </v>
      </c>
      <c r="Y188" s="286" t="str">
        <f aca="false">IF($A188="N/A"," ",IF(OR(Dayrun=1,Dayrun=8,Dayrun=11),IF(Option=1,MAX($P188-H188,0),IF(Option=2,MAX(H188-$P188,0),0)),0))</f>
        <v> </v>
      </c>
      <c r="Z188" s="293" t="str">
        <f aca="false">IF($A188="N/A"," ",IF(OR(Dayrun&lt;=2,Dayrun&gt;=11),IF(Option=1,MAX($Q188-$H188,0),IF(Option=2,MAX($H188-$Q188,0),0)),0))</f>
        <v> </v>
      </c>
      <c r="AA188" s="289" t="str">
        <f aca="false">IF($A188="N/A"," ",IF(Dayrun&gt;=3,(MAX(0,(xSPRDOPT(I188,($E188-'Pricing Inputs'!$X223*$D188),$CV188,0,($CN188+IF(Smile=TRUE(),VLOOKUP(MAX(-5,$H188-I188),Volsmile,2),0)),$CT188,$CU188,($A188-DateToday)+15,ABS(Option-2),0)-R188))),0))</f>
        <v> </v>
      </c>
      <c r="AB188" s="290" t="str">
        <f aca="false">IF($A188="N/A"," ",IF(Dayrun&gt;=6,MAX(0,(xSPRDOPT(J188,($E188-'Pricing Inputs'!$X223*$D188),$CV188,0,($CN188+IF(Smile=TRUE(),VLOOKUP(MAX(-5,$H188-J188),Volsmile,2),0)),$CT188,$CU188,($A188-DateToday)+15,ABS(Option-2),0)-S188)),0))</f>
        <v> </v>
      </c>
      <c r="AC188" s="290" t="str">
        <f aca="false">IF($A188="N/A"," ",IF(OR(Dayrun&lt;=2,Dayrun&gt;=9),IF(OffPeakEx=TRUE(),MAX(0,(xSPRDOPT(K188,($E188-'Pricing Inputs'!$X223*$D188),$CV188,0,($CQ188+IF(Smile=TRUE(),VLOOKUP(MAX(-5,$H188-K188),Volsmile,2),0)),$CT188,$CU188,($A188-DateToday)+15,ABS(Option-2),0)-T188)),0),0))</f>
        <v> </v>
      </c>
      <c r="AD188" s="290" t="str">
        <f aca="false">IF($A188="N/A"," ",IF(OR(Dayrun=1,Dayrun=4,Dayrun=5,Dayrun=7,Dayrun=8,Dayrun=10,Dayrun=11),MAX(0,(xSPRDOPT(L188,($E188-'Pricing Inputs'!$X223*$D188),$CV188,0,($CQ188+IF(Smile=TRUE(),VLOOKUP(MAX(-5,$H188-L188),Volsmile,2),0)),$CT188,$CU188,($A188-DateToday)+15,ABS(Option-2),0)-U188)),0))</f>
        <v> </v>
      </c>
      <c r="AE188" s="290" t="str">
        <f aca="false">IF($A188="N/A"," ",IF(OR(Dayrun=1,Dayrun=7,Dayrun=8,Dayrun=10,Dayrun=11),MAX(0,(xSPRDOPT(M188,($E188-'Pricing Inputs'!$X223*$D188),$CV188,0,($CQ188+IF(Smile=TRUE(),VLOOKUP(MAX(-5,$H188-M188),Volsmile,2),0)),$CT188,$CU188,($A188-DateToday)+15,ABS(Option-2),0)-V188)),0))</f>
        <v> </v>
      </c>
      <c r="AF188" s="290" t="str">
        <f aca="false">IF($A188="N/A"," ",IF(OR(Dayrun&lt;=2,Dayrun&gt;=10),IF(OffPeakEx=TRUE(),MAX(0,(xSPRDOPT(N188,($E188-'Pricing Inputs'!$X223*$D188),$CV188,0,($CQ188+IF(Smile=TRUE(),VLOOKUP(MAX(-5,$H188-N188),Volsmile,2),0)),$CT188,$CU188,($A188-DateToday)+15,ABS(Option-2),0)-W188)),0),0))</f>
        <v> </v>
      </c>
      <c r="AG188" s="290" t="str">
        <f aca="false">IF($A188="N/A"," ",IF(OR(Dayrun=1,Dayrun=5,Dayrun=8,Dayrun=11),MAX(0,(xSPRDOPT(O188,($E188-'Pricing Inputs'!$X223*$D188),$CV188,0,($CQ188+IF(Smile=TRUE(),VLOOKUP(MAX(-5,$H188-O188),Volsmile,2),0)),$CT188,$CU188,($A188-DateToday)+15,ABS(Option-2),0)-X188)),0))</f>
        <v> </v>
      </c>
      <c r="AH188" s="290" t="str">
        <f aca="false">IF($A188="N/A"," ",IF(OR(Dayrun=1,Dayrun=8,Dayrun=11),MAX(0,(xSPRDOPT(P188,($E188-'Pricing Inputs'!$X223*$D188),$CV188,0,($CQ188+IF(Smile=TRUE(),VLOOKUP(MAX(-5,$H188-P188),Volsmile,2),0)),$CT188,$CU188,($A188-DateToday)+15,ABS(Option-2),0)-Y188)),0))</f>
        <v> </v>
      </c>
      <c r="AI188" s="290" t="str">
        <f aca="false">IF($A188="N/A"," ",IF(OR(Dayrun&lt;=2,Dayrun&gt;=11),IF(OffPeakEx=TRUE(),MAX(0,(xSPRDOPT(Q188,($E188-'Pricing Inputs'!$X223*$D188),$CV188,0,($CQ188+IF(Smile=TRUE(),VLOOKUP(MAX(-5,$H188-Q188),Volsmile,2),0)),$CT188,$CU188,($A188-DateToday)+15,ABS(Option-2),0)-Z188)),0),0))</f>
        <v> </v>
      </c>
      <c r="AJ188" s="294" t="str">
        <f aca="false">IF($A188="N/A"," ",IF(Dayrun&gt;=3,IF(Option=1,$I188-$H188,IF(Option=2,$H188-$I188)),0))</f>
        <v> </v>
      </c>
      <c r="AK188" s="295" t="str">
        <f aca="false">IF($A188="N/A"," ",IF(Dayrun&gt;=6,IF(Option=1,$J188-H188,IF(Option=2,H188-$J188)),0))</f>
        <v> </v>
      </c>
      <c r="AL188" s="295" t="str">
        <f aca="false">IF($A188="N/A"," ",IF(OR(Dayrun&lt;=2,Dayrun&gt;=9),IF(Option=1,$K188-$H188,IF(Option=2,$H188-$K188)),0))</f>
        <v> </v>
      </c>
      <c r="AM188" s="295" t="str">
        <f aca="false">IF($A188="N/A"," ",IF(OR(Dayrun=1,Dayrun=4,Dayrun=5,Dayrun=7,Dayrun=8,Dayrun=10,Dayrun=11),IF(Option=1,$L188-H188,IF(Option=2,H188-$L188)),0))</f>
        <v> </v>
      </c>
      <c r="AN188" s="295" t="str">
        <f aca="false">IF($A188="N/A"," ",IF(OR(Dayrun=1,Dayrun=7,Dayrun=8,Dayrun=10,Dayrun=11),IF(Option=1,$M188-H188,IF(Option=2,H188-$M188)),0))</f>
        <v> </v>
      </c>
      <c r="AO188" s="295" t="str">
        <f aca="false">IF($A188="N/A"," ",IF(OR(Dayrun&lt;=2,Dayrun&gt;=9),IF(Option=1,$N188-$H188,IF(Option=2,$H188-$N188)),0))</f>
        <v> </v>
      </c>
      <c r="AP188" s="295" t="str">
        <f aca="false">IF($A188="N/A"," ",IF(OR(Dayrun=1,Dayrun=5,Dayrun=8,Dayrun=11),IF(Option=1,$O188-H188,IF(Option=2,H188-$O188)),0))</f>
        <v> </v>
      </c>
      <c r="AQ188" s="295" t="str">
        <f aca="false">IF($A188="N/A"," ",IF(OR(Dayrun=1,Dayrun=8,Dayrun=11),IF(Option=1,$P188-H188,IF(Option=2,H188-$P188)),0))</f>
        <v> </v>
      </c>
      <c r="AR188" s="296" t="str">
        <f aca="false">IF($A188="N/A"," ",IF(OR(Dayrun&lt;=2,Dayrun&gt;=9),IF(Option=1,$Q188-H188,IF(Option=2,H188-$Q188)),0))</f>
        <v> </v>
      </c>
      <c r="AS188" s="297" t="str">
        <f aca="false">IF($A188="N/A"," ",IF(VLOOKUP(MONTH($A188),ManualTable,2)=1,IF(Dayrun&gt;=3,$DE188*8*$CY188,0),0))</f>
        <v> </v>
      </c>
      <c r="AT188" s="297" t="str">
        <f aca="false">IF($A188="N/A"," ",IF(VLOOKUP(MONTH($A188),ManualTable,3)=1,IF(Dayrun&gt;=6,$DE188*8*$CY188,0),0))</f>
        <v> </v>
      </c>
      <c r="AU188" s="297" t="str">
        <f aca="false">IF($A188="N/A"," ",IF(VLOOKUP(MONTH($A188),ManualTable,4)=1,IF(OR(Dayrun&lt;=2,Dayrun&gt;=9),$DE188*8*$CY188,0),0))</f>
        <v> </v>
      </c>
      <c r="AV188" s="297" t="str">
        <f aca="false">IF($A188="N/A"," ",IF(VLOOKUP(MONTH($A188),ManualTable,5)=1,IF(OR(Dayrun=1,Dayrun=4,Dayrun=5,Dayrun=7,Dayrun=8,Dayrun=10,Dayrun=11),$DF188*8*$CY188,0),0))</f>
        <v> </v>
      </c>
      <c r="AW188" s="297" t="str">
        <f aca="false">IF($A188="N/A"," ",IF(VLOOKUP(MONTH($A188),ManualTable,6)=1,IF(OR(Dayrun=1,Dayrun=7,Dayrun=8,Dayrun=10,Dayrun=11),$DF188*8*$CY188,0),0))</f>
        <v> </v>
      </c>
      <c r="AX188" s="297" t="str">
        <f aca="false">IF($A188="N/A"," ",IF(VLOOKUP(MONTH($A188),ManualTable,7)=1,IF(OR(Dayrun&lt;=2,Dayrun&gt;=9),$DF188*8*$CY188,0),0))</f>
        <v> </v>
      </c>
      <c r="AY188" s="297" t="str">
        <f aca="false">IF($A188="N/A"," ",IF(VLOOKUP(MONTH($A188),ManualTable,8)=1,IF(OR(Dayrun=1,Dayrun=5,Dayrun=8,Dayrun=11),$DG188*8*$CY188,0),0))</f>
        <v> </v>
      </c>
      <c r="AZ188" s="297" t="str">
        <f aca="false">IF($A188="N/A"," ",IF(VLOOKUP(MONTH($A188),ManualTable,9)=1,IF(OR(Dayrun=1,Dayrun=8,Dayrun=11),$DG188*8*$CY188,0),0))</f>
        <v> </v>
      </c>
      <c r="BA188" s="298" t="str">
        <f aca="false">IF($A188="N/A"," ",IF(VLOOKUP(MONTH($A188),ManualTable,10)=1,IF(OR(Dayrun&lt;=2,Dayrun&gt;=9),$DG188*8*$CY188,0),0))</f>
        <v> </v>
      </c>
      <c r="BB188" s="299" t="str">
        <f aca="false">IF($A188="N/A"," ",IF(Dayrun&gt;=3,(MAX(0,(xSPRDOPT(I188,($E188-'Pricing Inputs'!$X223*$D188),$CV188,0,($CN188+IF(Smile=TRUE(),VLOOKUP(MAX(-5,$H188-I188),Volsmile,2),0)),$CT188,$CU188,($A188-DateToday)+15,ABS(Option-2),1)*DE188*8))),0))</f>
        <v> </v>
      </c>
      <c r="BC188" s="300" t="str">
        <f aca="false">IF($A188="N/A"," ",IF(Dayrun&gt;=6,MAX(0,(xSPRDOPT(J188,($E188-'Pricing Inputs'!$X223*$D188),$CV188,0,($CN188+IF(Smile=TRUE(),VLOOKUP(MAX(-5,$H188-J188),Volsmile,2),0)),$CT188,$CU188,($A188-DateToday)+15,ABS(Option-2),1)*DE188*8)),0))</f>
        <v> </v>
      </c>
      <c r="BD188" s="300" t="str">
        <f aca="false">IF($A188="N/A"," ",IF(OR(Dayrun&lt;=2,Dayrun&gt;=9),IF(OffPeakEx=TRUE(),MAX(0,(xSPRDOPT(K188,($E188-'Pricing Inputs'!$X223*$D188),$CV188,0,($CQ188+IF(Smile=TRUE(),VLOOKUP(MAX(-5,$H188-K188),Volsmile,2),0)),$CT188,$CU188,($A188-DateToday)+15,ABS(Option-2),1)*DE188*8)),0),0))</f>
        <v> </v>
      </c>
      <c r="BE188" s="300" t="str">
        <f aca="false">IF($A188="N/A"," ",IF(OR(Dayrun=1,Dayrun=4,Dayrun=5,Dayrun=7,Dayrun=8,Dayrun=10,Dayrun=11),MAX(0,(xSPRDOPT(L188,($E188-'Pricing Inputs'!$X223*$D188),$CV188,0,($CQ188+IF(Smile=TRUE(),VLOOKUP(MAX(-5,$H188-L188),Volsmile,2),0)),$CT188,$CU188,($A188-DateToday)+15,ABS(Option-2),1)*DF188*8)),0))</f>
        <v> </v>
      </c>
      <c r="BF188" s="300" t="str">
        <f aca="false">IF($A188="N/A"," ",IF(OR(Dayrun=1,Dayrun=7,Dayrun=8,Dayrun=10,Dayrun=11),MAX(0,(xSPRDOPT(M188,($E188-'Pricing Inputs'!$X223*$D188),$CV188,0,($CQ188+IF(Smile=TRUE(),VLOOKUP(MAX(-5,$H188-M188),Volsmile,2),0)),$CT188,$CU188,($A188-DateToday)+15,ABS(Option-2),1)*DF188*8)),0))</f>
        <v> </v>
      </c>
      <c r="BG188" s="300" t="str">
        <f aca="false">IF($A188="N/A"," ",IF(OR(Dayrun&lt;=2,Dayrun&gt;=10),IF(OffPeakEx=TRUE(),MAX(0,(xSPRDOPT(N188,($E188-'Pricing Inputs'!$X223*$D188),$CV188,0,($CQ188+IF(Smile=TRUE(),VLOOKUP(MAX(-5,$H188-N188),Volsmile,2),0)),$CT188,$CU188,($A188-DateToday)+15,ABS(Option-2),1)*DF188*8)),0),0))</f>
        <v> </v>
      </c>
      <c r="BH188" s="300" t="str">
        <f aca="false">IF($A188="N/A"," ",IF(OR(Dayrun=1,Dayrun=5,Dayrun=8,Dayrun=11),MAX(0,(xSPRDOPT(O188,($E188-'Pricing Inputs'!$X223*$D188),$CV188,0,($CQ188+IF(Smile=TRUE(),VLOOKUP(MAX(-5,$H188-O188),Volsmile,2),0)),$CT188,$CU188,($A188-DateToday)+15,ABS(Option-2),1)*DG188*8)),0))</f>
        <v> </v>
      </c>
      <c r="BI188" s="300" t="str">
        <f aca="false">IF($A188="N/A"," ",IF(OR(Dayrun=1,Dayrun=8,Dayrun=11),MAX(0,(xSPRDOPT(P188,($E188-'Pricing Inputs'!$X223*$D188),$CV188,0,($CQ188+IF(Smile=TRUE(),VLOOKUP(MAX(-5,$H188-P188),Volsmile,2),0)),$CT188,$CU188,($A188-DateToday)+15,ABS(Option-2),1)*DG188*8)),0))</f>
        <v> </v>
      </c>
      <c r="BJ188" s="301" t="str">
        <f aca="false">IF($A188="N/A"," ",IF(OR(Dayrun&lt;=2,Dayrun&gt;=11),IF(OffPeakEx=TRUE(),MAX(0,(xSPRDOPT(Q188,($E188-'Pricing Inputs'!$X223*$D188),$CV188,0,($CQ188+IF(Smile=TRUE(),VLOOKUP(MAX(-5,$H188-Q188),Volsmile,2),0)),$CT188,$CU188,($A188-DateToday)+15,ABS(Option-2),1)*DG188*8)),0),0))</f>
        <v> </v>
      </c>
      <c r="BK188" s="302" t="str">
        <f aca="false">IF($A188="N/A"," ",R188*$AS188)</f>
        <v> </v>
      </c>
      <c r="BL188" s="303" t="str">
        <f aca="false">IF($A188="N/A"," ",S188*$AT188)</f>
        <v> </v>
      </c>
      <c r="BM188" s="303" t="str">
        <f aca="false">IF($A188="N/A"," ",T188*$AU188)</f>
        <v> </v>
      </c>
      <c r="BN188" s="303" t="str">
        <f aca="false">IF($A188="N/A"," ",U188*$AV188)</f>
        <v> </v>
      </c>
      <c r="BO188" s="303" t="str">
        <f aca="false">IF($A188="N/A"," ",V188*$AW188)</f>
        <v> </v>
      </c>
      <c r="BP188" s="303" t="str">
        <f aca="false">IF($A188="N/A"," ",W188*$AX188)</f>
        <v> </v>
      </c>
      <c r="BQ188" s="303" t="str">
        <f aca="false">IF($A188="N/A"," ",X188*$AY188)</f>
        <v> </v>
      </c>
      <c r="BR188" s="303" t="str">
        <f aca="false">IF($A188="N/A"," ",Y188*$AZ188)</f>
        <v> </v>
      </c>
      <c r="BS188" s="304" t="str">
        <f aca="false">IF($A188="N/A"," ",Z188*$BA188)</f>
        <v> </v>
      </c>
      <c r="BT188" s="305" t="str">
        <f aca="false">IF($A188="N/A"," ",AA188*$AS188)</f>
        <v> </v>
      </c>
      <c r="BU188" s="306" t="str">
        <f aca="false">IF($A188="N/A"," ",AB188*$AT188)</f>
        <v> </v>
      </c>
      <c r="BV188" s="306" t="str">
        <f aca="false">IF($A188="N/A"," ",AC188*$AU188)</f>
        <v> </v>
      </c>
      <c r="BW188" s="306" t="str">
        <f aca="false">IF($A188="N/A"," ",AD188*$AV188)</f>
        <v> </v>
      </c>
      <c r="BX188" s="306" t="str">
        <f aca="false">IF($A188="N/A"," ",AE188*$AW188)</f>
        <v> </v>
      </c>
      <c r="BY188" s="306" t="str">
        <f aca="false">IF($A188="N/A"," ",AF188*$AX188)</f>
        <v> </v>
      </c>
      <c r="BZ188" s="306" t="str">
        <f aca="false">IF($A188="N/A"," ",AG188*$AY188)</f>
        <v> </v>
      </c>
      <c r="CA188" s="306" t="str">
        <f aca="false">IF($A188="N/A"," ",AH188*$AZ188)</f>
        <v> </v>
      </c>
      <c r="CB188" s="307" t="str">
        <f aca="false">IF($A188="N/A"," ",AI188*$BA188)</f>
        <v> </v>
      </c>
      <c r="CC188" s="308" t="str">
        <f aca="false">IF($A188="N/A"," ",AJ188*$AS188)</f>
        <v> </v>
      </c>
      <c r="CD188" s="309" t="str">
        <f aca="false">IF($A188="N/A"," ",AK188*$AT188)</f>
        <v> </v>
      </c>
      <c r="CE188" s="309" t="str">
        <f aca="false">IF($A188="N/A"," ",AL188*$AU188)</f>
        <v> </v>
      </c>
      <c r="CF188" s="309" t="str">
        <f aca="false">IF($A188="N/A"," ",AM188*$AV188)</f>
        <v> </v>
      </c>
      <c r="CG188" s="309" t="str">
        <f aca="false">IF($A188="N/A"," ",AN188*$AW188)</f>
        <v> </v>
      </c>
      <c r="CH188" s="309" t="str">
        <f aca="false">IF($A188="N/A"," ",AO188*$AX188)</f>
        <v> </v>
      </c>
      <c r="CI188" s="309" t="str">
        <f aca="false">IF($A188="N/A"," ",AP188*$AY188)</f>
        <v> </v>
      </c>
      <c r="CJ188" s="309" t="str">
        <f aca="false">IF($A188="N/A"," ",AQ188*$AZ188)</f>
        <v> </v>
      </c>
      <c r="CK188" s="310" t="str">
        <f aca="false">IF($A188="N/A"," ",AR188*$BA188)</f>
        <v> </v>
      </c>
      <c r="CL188" s="311" t="str">
        <f aca="false">IF(A188="N/A"," ",(VLOOKUP(A188,PowerVolTable,(IF(VolBMO=2,7,IF(VolBMO=1,6,8))),FALSE())))</f>
        <v> </v>
      </c>
      <c r="CM188" s="312" t="str">
        <f aca="false">IF(A188="N/A"," ",(VLOOKUP(A188,IntraPowerVol,(IF(VolBMO=2,3,IF(VolBMO=1,2,4))),FALSE())*VLOOKUP(MONTH($A188),Volscale,2)))</f>
        <v> </v>
      </c>
      <c r="CN188" s="312" t="str">
        <f aca="false">IF($A188="N/A"," ",IF(VolType=1,CM188,CL188))</f>
        <v> </v>
      </c>
      <c r="CO188" s="312" t="str">
        <f aca="false">IF($A188="N/A"," ",(VLOOKUP($A188,OffPeakVol,(IF(VolBMO=2,7,IF(VolBMO=1,6,8))),FALSE())))</f>
        <v> </v>
      </c>
      <c r="CP188" s="312" t="str">
        <f aca="false">IF($A188="N/A"," ",(VLOOKUP($A188,OffPeakVol,(IF(VolBMO=2,3,IF(VolBMO=1,2,4))),FALSE())*VLOOKUP(MONTH($A188),Volscale,2)))</f>
        <v> </v>
      </c>
      <c r="CQ188" s="312" t="str">
        <f aca="false">IF($A188="N/A"," ",IF(VolType=1,CP188,CO188))</f>
        <v> </v>
      </c>
      <c r="CR188" s="312" t="str">
        <f aca="false">IF($A188="N/A"," ",(VLOOKUP($A188,GasVolTable,(IF(VolBMO=2,6,IF(VolBMO=1,7,5))),FALSE())))</f>
        <v> </v>
      </c>
      <c r="CS188" s="312" t="str">
        <f aca="false">IF($A188="N/A"," ",(VLOOKUP($A188,OmicronVol,(IF(VolBMO=2,3,IF(VolBMO=1,4,2))),FALSE())))</f>
        <v> </v>
      </c>
      <c r="CT188" s="312" t="str">
        <f aca="false">IF($A188="N/A"," ",(IF(DateToday&gt;$A188,$CS188,IF(VolType=1,((($CR188^2)*((($A188-1)-DateToday)/((EOMONTH($A188,0)+1)-DateToday-15)))+((($CS188)^2)*((15)/((EOMONTH($A188,0)+1)-DateToday-15))))^0.5,CR188))))</f>
        <v> </v>
      </c>
      <c r="CU188" s="312" t="str">
        <f aca="false">IF($A188="N/A"," ",IF('Pricing Inputs'!$AR$23=TRUE(),Inputs!$S$22,VLOOKUP($A188,CorrelationTable,2,FALSE())))</f>
        <v> </v>
      </c>
      <c r="CV188" s="313" t="str">
        <f aca="false">IF($A188="N/A"," ",F188+G188+(D188*('Pricing Inputs'!X223)))</f>
        <v> </v>
      </c>
      <c r="CW188" s="314" t="str">
        <f aca="false">IF($A188="N/A"," ",IF(PV=1,0,'Pricing Inputs'!Y223))</f>
        <v> </v>
      </c>
      <c r="CX188" s="315" t="str">
        <f aca="false">IF($A188="N/A"," ",(1+CW188/2)^(-2*((EOMONTH(A188,0)+20)-DateToday)/365.25))</f>
        <v> </v>
      </c>
      <c r="CY188" s="316" t="str">
        <f aca="false">IF($A188="N/A"," ",(IF(MONTH(A188)&gt;=4,IF(MONTH(A188)&lt;=10,Inputs!$S$26,Inputs!$S$27),Inputs!$S$27))*$CX188)</f>
        <v> </v>
      </c>
      <c r="CZ188" s="317" t="str">
        <f aca="false">IF($A188="N/A"," ",BK188+BL188+BN188+BO188+BQ188+BR188)</f>
        <v> </v>
      </c>
      <c r="DA188" s="318" t="str">
        <f aca="false">IF($A188="N/A"," ",BM188+BP188+BS188)</f>
        <v> </v>
      </c>
      <c r="DB188" s="319" t="str">
        <f aca="false">IF($A188="N/A"," ",BT188+BU188+BW188+BX188+BZ188+CA188)</f>
        <v> </v>
      </c>
      <c r="DC188" s="319" t="str">
        <f aca="false">IF($A188="N/A"," ",BV188+BY188+CB188)</f>
        <v> </v>
      </c>
      <c r="DD188" s="320" t="str">
        <f aca="false">IF($A188="N/A"," ",SUM(CC188:CK188))</f>
        <v> </v>
      </c>
      <c r="DE188" s="321" t="str">
        <f aca="false">IF($A188="N/A"," ",VLOOKUP($A188,NumberofDaysTable,2)*Availability)</f>
        <v> </v>
      </c>
      <c r="DF188" s="94" t="str">
        <f aca="false">IF($A188="N/A"," ",VLOOKUP($A188,NumberofDaysTable,3)*Availability)</f>
        <v> </v>
      </c>
      <c r="DG188" s="322" t="str">
        <f aca="false">IF($A188="N/A"," ",VLOOKUP($A188,NumberofDaysTable,4)*Availability)</f>
        <v> </v>
      </c>
      <c r="DH188" s="323" t="str">
        <f aca="false">IF($A188="N/A"," ",IF(Option=1,$D188*Inputs!$S$15*SUM(AS188:BA188),0))</f>
        <v> </v>
      </c>
      <c r="DI188" s="324" t="str">
        <f aca="false">IF($A188="N/A"," ",IF(Option=1,$D188*Inputs!$S$16*SUM(AS188:BA188),0))</f>
        <v> </v>
      </c>
      <c r="DJ188" s="325" t="str">
        <f aca="false">IF($A188="N/A"," ",SUM(AS188:AT188))</f>
        <v> </v>
      </c>
      <c r="DK188" s="325" t="str">
        <f aca="false">IF($A188="N/A"," ",SUM(AU188:BA188))</f>
        <v> </v>
      </c>
      <c r="DL188" s="325" t="str">
        <f aca="false">IF($A188="N/A"," ",SUM(BB188:BC188))</f>
        <v> </v>
      </c>
      <c r="DM188" s="325" t="str">
        <f aca="false">IF($A188="N/A"," ",SUM(BD188:BJ188))</f>
        <v> </v>
      </c>
    </row>
    <row r="189" customFormat="false" ht="12.75" hidden="false" customHeight="false" outlineLevel="0" collapsed="false">
      <c r="A189" s="282" t="str">
        <f aca="false">IF(A188="N/A","N/A",IF(EDATE(A188,1)&gt;Inputs!$S$5,"N/A",EDATE(A188,1)))</f>
        <v>N/A</v>
      </c>
      <c r="B189" s="283" t="str">
        <f aca="false">IF(A189="N/A"," ",YEAR(A189))</f>
        <v> </v>
      </c>
      <c r="C189" s="284" t="str">
        <f aca="false">IF(A189="N/A"," ",VLOOKUP(A189,ScaledPrice,14))</f>
        <v> </v>
      </c>
      <c r="D189" s="285" t="str">
        <f aca="false">IF(A189="N/A"," ",(VLOOKUP(MONTH($A189),Hrtable,2))/1000)</f>
        <v> </v>
      </c>
      <c r="E189" s="286" t="str">
        <f aca="false">IF($A189="N/A"," ",(C189)*D189)</f>
        <v> </v>
      </c>
      <c r="F189" s="287" t="str">
        <f aca="false">IF(A189="N/A"," ",VOM*(1+VOMesc)^(YEAR(A189)-YEAR(Today)))</f>
        <v> </v>
      </c>
      <c r="G189" s="287" t="str">
        <f aca="false">IF(A189="N/A"," ",Perstart/VLOOKUP(Dayrun,'Pricing Inputs'!$AQ$4:$AS$14,3)/(CY189/CX189))</f>
        <v> </v>
      </c>
      <c r="H189" s="288" t="str">
        <f aca="false">IF(A189="N/A"," ",SUM(E189:G189))</f>
        <v> </v>
      </c>
      <c r="I189" s="289" t="str">
        <f aca="false">VLOOKUP($A189,ScaledPrice,6)</f>
        <v> </v>
      </c>
      <c r="J189" s="290" t="str">
        <f aca="false">VLOOKUP($A189,ScaledPrice,10)</f>
        <v> </v>
      </c>
      <c r="K189" s="290" t="str">
        <f aca="false">VLOOKUP($A189,ScaledPrice,13)</f>
        <v> </v>
      </c>
      <c r="L189" s="290" t="str">
        <f aca="false">VLOOKUP($A189,ScaledPrice,7)</f>
        <v> </v>
      </c>
      <c r="M189" s="290" t="str">
        <f aca="false">VLOOKUP($A189,ScaledPrice,11)</f>
        <v> </v>
      </c>
      <c r="N189" s="290" t="str">
        <f aca="false">VLOOKUP($A189,ScaledPrice,13)</f>
        <v> </v>
      </c>
      <c r="O189" s="290" t="str">
        <f aca="false">VLOOKUP($A189,ScaledPrice,8)</f>
        <v> </v>
      </c>
      <c r="P189" s="290" t="str">
        <f aca="false">VLOOKUP($A189,ScaledPrice,12)</f>
        <v> </v>
      </c>
      <c r="Q189" s="291" t="str">
        <f aca="false">VLOOKUP($A189,ScaledPrice,13)</f>
        <v> </v>
      </c>
      <c r="R189" s="292" t="str">
        <f aca="false">IF($A189="N/A"," ",IF(Dayrun&gt;=3,IF(Option=1,MAX($I189-$H189,0),IF(Option=2,MAX($H189-$I189,0),0)),0))</f>
        <v> </v>
      </c>
      <c r="S189" s="286" t="str">
        <f aca="false">IF($A189="N/A"," ",IF(Dayrun&gt;=6,IF(Option=1,MAX($J189-H189,0),IF(Option=2,MAX(H189-$J189,0),0)),0))</f>
        <v> </v>
      </c>
      <c r="T189" s="286" t="str">
        <f aca="false">IF($A189="N/A"," ",IF(OR(Dayrun&lt;=2,Dayrun&gt;=9),IF(Option=1,MAX($K189-$H189,0),IF(Option=2,MAX($H189-$K189,0),0)),0))</f>
        <v> </v>
      </c>
      <c r="U189" s="286" t="str">
        <f aca="false">IF($A189="N/A"," ",IF(OR(Dayrun=1,Dayrun=4,Dayrun=5,Dayrun=7,Dayrun=8,Dayrun=10,Dayrun=11),IF(Option=1,MAX($L189-H189,0),IF(Option=2,MAX(H189-$L189,0),0)),0))</f>
        <v> </v>
      </c>
      <c r="V189" s="286" t="str">
        <f aca="false">IF($A189="N/A"," ",IF(OR(Dayrun=1,Dayrun=7,Dayrun=8,Dayrun=10,Dayrun=11),IF(Option=1,MAX($M189-H189,0),IF(Option=2,MAX(H189-$M189,0),0)),0))</f>
        <v> </v>
      </c>
      <c r="W189" s="286" t="str">
        <f aca="false">IF($A189="N/A"," ",IF(OR(Dayrun&lt;=2,Dayrun&gt;=10),IF(Option=1,MAX($N189-$H189,0),IF(Option=2,MAX($H189-$N189,0),0)),0))</f>
        <v> </v>
      </c>
      <c r="X189" s="286" t="str">
        <f aca="false">IF($A189="N/A"," ",IF(OR(Dayrun=1,Dayrun=5,Dayrun=8,Dayrun=11),IF(Option=1,MAX($O189-H189,0),IF(Option=2,MAX(H189-$O189,0),0)),0))</f>
        <v> </v>
      </c>
      <c r="Y189" s="286" t="str">
        <f aca="false">IF($A189="N/A"," ",IF(OR(Dayrun=1,Dayrun=8,Dayrun=11),IF(Option=1,MAX($P189-H189,0),IF(Option=2,MAX(H189-$P189,0),0)),0))</f>
        <v> </v>
      </c>
      <c r="Z189" s="293" t="str">
        <f aca="false">IF($A189="N/A"," ",IF(OR(Dayrun&lt;=2,Dayrun&gt;=11),IF(Option=1,MAX($Q189-$H189,0),IF(Option=2,MAX($H189-$Q189,0),0)),0))</f>
        <v> </v>
      </c>
      <c r="AA189" s="289" t="str">
        <f aca="false">IF($A189="N/A"," ",IF(Dayrun&gt;=3,(MAX(0,(xSPRDOPT(I189,($E189-'Pricing Inputs'!$X224*$D189),$CV189,0,($CN189+IF(Smile=TRUE(),VLOOKUP(MAX(-5,$H189-I189),Volsmile,2),0)),$CT189,$CU189,($A189-DateToday)+15,ABS(Option-2),0)-R189))),0))</f>
        <v> </v>
      </c>
      <c r="AB189" s="290" t="str">
        <f aca="false">IF($A189="N/A"," ",IF(Dayrun&gt;=6,MAX(0,(xSPRDOPT(J189,($E189-'Pricing Inputs'!$X224*$D189),$CV189,0,($CN189+IF(Smile=TRUE(),VLOOKUP(MAX(-5,$H189-J189),Volsmile,2),0)),$CT189,$CU189,($A189-DateToday)+15,ABS(Option-2),0)-S189)),0))</f>
        <v> </v>
      </c>
      <c r="AC189" s="290" t="str">
        <f aca="false">IF($A189="N/A"," ",IF(OR(Dayrun&lt;=2,Dayrun&gt;=9),IF(OffPeakEx=TRUE(),MAX(0,(xSPRDOPT(K189,($E189-'Pricing Inputs'!$X224*$D189),$CV189,0,($CQ189+IF(Smile=TRUE(),VLOOKUP(MAX(-5,$H189-K189),Volsmile,2),0)),$CT189,$CU189,($A189-DateToday)+15,ABS(Option-2),0)-T189)),0),0))</f>
        <v> </v>
      </c>
      <c r="AD189" s="290" t="str">
        <f aca="false">IF($A189="N/A"," ",IF(OR(Dayrun=1,Dayrun=4,Dayrun=5,Dayrun=7,Dayrun=8,Dayrun=10,Dayrun=11),MAX(0,(xSPRDOPT(L189,($E189-'Pricing Inputs'!$X224*$D189),$CV189,0,($CQ189+IF(Smile=TRUE(),VLOOKUP(MAX(-5,$H189-L189),Volsmile,2),0)),$CT189,$CU189,($A189-DateToday)+15,ABS(Option-2),0)-U189)),0))</f>
        <v> </v>
      </c>
      <c r="AE189" s="290" t="str">
        <f aca="false">IF($A189="N/A"," ",IF(OR(Dayrun=1,Dayrun=7,Dayrun=8,Dayrun=10,Dayrun=11),MAX(0,(xSPRDOPT(M189,($E189-'Pricing Inputs'!$X224*$D189),$CV189,0,($CQ189+IF(Smile=TRUE(),VLOOKUP(MAX(-5,$H189-M189),Volsmile,2),0)),$CT189,$CU189,($A189-DateToday)+15,ABS(Option-2),0)-V189)),0))</f>
        <v> </v>
      </c>
      <c r="AF189" s="290" t="str">
        <f aca="false">IF($A189="N/A"," ",IF(OR(Dayrun&lt;=2,Dayrun&gt;=10),IF(OffPeakEx=TRUE(),MAX(0,(xSPRDOPT(N189,($E189-'Pricing Inputs'!$X224*$D189),$CV189,0,($CQ189+IF(Smile=TRUE(),VLOOKUP(MAX(-5,$H189-N189),Volsmile,2),0)),$CT189,$CU189,($A189-DateToday)+15,ABS(Option-2),0)-W189)),0),0))</f>
        <v> </v>
      </c>
      <c r="AG189" s="290" t="str">
        <f aca="false">IF($A189="N/A"," ",IF(OR(Dayrun=1,Dayrun=5,Dayrun=8,Dayrun=11),MAX(0,(xSPRDOPT(O189,($E189-'Pricing Inputs'!$X224*$D189),$CV189,0,($CQ189+IF(Smile=TRUE(),VLOOKUP(MAX(-5,$H189-O189),Volsmile,2),0)),$CT189,$CU189,($A189-DateToday)+15,ABS(Option-2),0)-X189)),0))</f>
        <v> </v>
      </c>
      <c r="AH189" s="290" t="str">
        <f aca="false">IF($A189="N/A"," ",IF(OR(Dayrun=1,Dayrun=8,Dayrun=11),MAX(0,(xSPRDOPT(P189,($E189-'Pricing Inputs'!$X224*$D189),$CV189,0,($CQ189+IF(Smile=TRUE(),VLOOKUP(MAX(-5,$H189-P189),Volsmile,2),0)),$CT189,$CU189,($A189-DateToday)+15,ABS(Option-2),0)-Y189)),0))</f>
        <v> </v>
      </c>
      <c r="AI189" s="290" t="str">
        <f aca="false">IF($A189="N/A"," ",IF(OR(Dayrun&lt;=2,Dayrun&gt;=11),IF(OffPeakEx=TRUE(),MAX(0,(xSPRDOPT(Q189,($E189-'Pricing Inputs'!$X224*$D189),$CV189,0,($CQ189+IF(Smile=TRUE(),VLOOKUP(MAX(-5,$H189-Q189),Volsmile,2),0)),$CT189,$CU189,($A189-DateToday)+15,ABS(Option-2),0)-Z189)),0),0))</f>
        <v> </v>
      </c>
      <c r="AJ189" s="294" t="str">
        <f aca="false">IF($A189="N/A"," ",IF(Dayrun&gt;=3,IF(Option=1,$I189-$H189,IF(Option=2,$H189-$I189)),0))</f>
        <v> </v>
      </c>
      <c r="AK189" s="295" t="str">
        <f aca="false">IF($A189="N/A"," ",IF(Dayrun&gt;=6,IF(Option=1,$J189-H189,IF(Option=2,H189-$J189)),0))</f>
        <v> </v>
      </c>
      <c r="AL189" s="295" t="str">
        <f aca="false">IF($A189="N/A"," ",IF(OR(Dayrun&lt;=2,Dayrun&gt;=9),IF(Option=1,$K189-$H189,IF(Option=2,$H189-$K189)),0))</f>
        <v> </v>
      </c>
      <c r="AM189" s="295" t="str">
        <f aca="false">IF($A189="N/A"," ",IF(OR(Dayrun=1,Dayrun=4,Dayrun=5,Dayrun=7,Dayrun=8,Dayrun=10,Dayrun=11),IF(Option=1,$L189-H189,IF(Option=2,H189-$L189)),0))</f>
        <v> </v>
      </c>
      <c r="AN189" s="295" t="str">
        <f aca="false">IF($A189="N/A"," ",IF(OR(Dayrun=1,Dayrun=7,Dayrun=8,Dayrun=10,Dayrun=11),IF(Option=1,$M189-H189,IF(Option=2,H189-$M189)),0))</f>
        <v> </v>
      </c>
      <c r="AO189" s="295" t="str">
        <f aca="false">IF($A189="N/A"," ",IF(OR(Dayrun&lt;=2,Dayrun&gt;=9),IF(Option=1,$N189-$H189,IF(Option=2,$H189-$N189)),0))</f>
        <v> </v>
      </c>
      <c r="AP189" s="295" t="str">
        <f aca="false">IF($A189="N/A"," ",IF(OR(Dayrun=1,Dayrun=5,Dayrun=8,Dayrun=11),IF(Option=1,$O189-H189,IF(Option=2,H189-$O189)),0))</f>
        <v> </v>
      </c>
      <c r="AQ189" s="295" t="str">
        <f aca="false">IF($A189="N/A"," ",IF(OR(Dayrun=1,Dayrun=8,Dayrun=11),IF(Option=1,$P189-H189,IF(Option=2,H189-$P189)),0))</f>
        <v> </v>
      </c>
      <c r="AR189" s="296" t="str">
        <f aca="false">IF($A189="N/A"," ",IF(OR(Dayrun&lt;=2,Dayrun&gt;=9),IF(Option=1,$Q189-H189,IF(Option=2,H189-$Q189)),0))</f>
        <v> </v>
      </c>
      <c r="AS189" s="297" t="str">
        <f aca="false">IF($A189="N/A"," ",IF(VLOOKUP(MONTH($A189),ManualTable,2)=1,IF(Dayrun&gt;=3,$DE189*8*$CY189,0),0))</f>
        <v> </v>
      </c>
      <c r="AT189" s="297" t="str">
        <f aca="false">IF($A189="N/A"," ",IF(VLOOKUP(MONTH($A189),ManualTable,3)=1,IF(Dayrun&gt;=6,$DE189*8*$CY189,0),0))</f>
        <v> </v>
      </c>
      <c r="AU189" s="297" t="str">
        <f aca="false">IF($A189="N/A"," ",IF(VLOOKUP(MONTH($A189),ManualTable,4)=1,IF(OR(Dayrun&lt;=2,Dayrun&gt;=9),$DE189*8*$CY189,0),0))</f>
        <v> </v>
      </c>
      <c r="AV189" s="297" t="str">
        <f aca="false">IF($A189="N/A"," ",IF(VLOOKUP(MONTH($A189),ManualTable,5)=1,IF(OR(Dayrun=1,Dayrun=4,Dayrun=5,Dayrun=7,Dayrun=8,Dayrun=10,Dayrun=11),$DF189*8*$CY189,0),0))</f>
        <v> </v>
      </c>
      <c r="AW189" s="297" t="str">
        <f aca="false">IF($A189="N/A"," ",IF(VLOOKUP(MONTH($A189),ManualTable,6)=1,IF(OR(Dayrun=1,Dayrun=7,Dayrun=8,Dayrun=10,Dayrun=11),$DF189*8*$CY189,0),0))</f>
        <v> </v>
      </c>
      <c r="AX189" s="297" t="str">
        <f aca="false">IF($A189="N/A"," ",IF(VLOOKUP(MONTH($A189),ManualTable,7)=1,IF(OR(Dayrun&lt;=2,Dayrun&gt;=9),$DF189*8*$CY189,0),0))</f>
        <v> </v>
      </c>
      <c r="AY189" s="297" t="str">
        <f aca="false">IF($A189="N/A"," ",IF(VLOOKUP(MONTH($A189),ManualTable,8)=1,IF(OR(Dayrun=1,Dayrun=5,Dayrun=8,Dayrun=11),$DG189*8*$CY189,0),0))</f>
        <v> </v>
      </c>
      <c r="AZ189" s="297" t="str">
        <f aca="false">IF($A189="N/A"," ",IF(VLOOKUP(MONTH($A189),ManualTable,9)=1,IF(OR(Dayrun=1,Dayrun=8,Dayrun=11),$DG189*8*$CY189,0),0))</f>
        <v> </v>
      </c>
      <c r="BA189" s="298" t="str">
        <f aca="false">IF($A189="N/A"," ",IF(VLOOKUP(MONTH($A189),ManualTable,10)=1,IF(OR(Dayrun&lt;=2,Dayrun&gt;=9),$DG189*8*$CY189,0),0))</f>
        <v> </v>
      </c>
      <c r="BB189" s="299" t="str">
        <f aca="false">IF($A189="N/A"," ",IF(Dayrun&gt;=3,(MAX(0,(xSPRDOPT(I189,($E189-'Pricing Inputs'!$X224*$D189),$CV189,0,($CN189+IF(Smile=TRUE(),VLOOKUP(MAX(-5,$H189-I189),Volsmile,2),0)),$CT189,$CU189,($A189-DateToday)+15,ABS(Option-2),1)*DE189*8))),0))</f>
        <v> </v>
      </c>
      <c r="BC189" s="300" t="str">
        <f aca="false">IF($A189="N/A"," ",IF(Dayrun&gt;=6,MAX(0,(xSPRDOPT(J189,($E189-'Pricing Inputs'!$X224*$D189),$CV189,0,($CN189+IF(Smile=TRUE(),VLOOKUP(MAX(-5,$H189-J189),Volsmile,2),0)),$CT189,$CU189,($A189-DateToday)+15,ABS(Option-2),1)*DE189*8)),0))</f>
        <v> </v>
      </c>
      <c r="BD189" s="300" t="str">
        <f aca="false">IF($A189="N/A"," ",IF(OR(Dayrun&lt;=2,Dayrun&gt;=9),IF(OffPeakEx=TRUE(),MAX(0,(xSPRDOPT(K189,($E189-'Pricing Inputs'!$X224*$D189),$CV189,0,($CQ189+IF(Smile=TRUE(),VLOOKUP(MAX(-5,$H189-K189),Volsmile,2),0)),$CT189,$CU189,($A189-DateToday)+15,ABS(Option-2),1)*DE189*8)),0),0))</f>
        <v> </v>
      </c>
      <c r="BE189" s="300" t="str">
        <f aca="false">IF($A189="N/A"," ",IF(OR(Dayrun=1,Dayrun=4,Dayrun=5,Dayrun=7,Dayrun=8,Dayrun=10,Dayrun=11),MAX(0,(xSPRDOPT(L189,($E189-'Pricing Inputs'!$X224*$D189),$CV189,0,($CQ189+IF(Smile=TRUE(),VLOOKUP(MAX(-5,$H189-L189),Volsmile,2),0)),$CT189,$CU189,($A189-DateToday)+15,ABS(Option-2),1)*DF189*8)),0))</f>
        <v> </v>
      </c>
      <c r="BF189" s="300" t="str">
        <f aca="false">IF($A189="N/A"," ",IF(OR(Dayrun=1,Dayrun=7,Dayrun=8,Dayrun=10,Dayrun=11),MAX(0,(xSPRDOPT(M189,($E189-'Pricing Inputs'!$X224*$D189),$CV189,0,($CQ189+IF(Smile=TRUE(),VLOOKUP(MAX(-5,$H189-M189),Volsmile,2),0)),$CT189,$CU189,($A189-DateToday)+15,ABS(Option-2),1)*DF189*8)),0))</f>
        <v> </v>
      </c>
      <c r="BG189" s="300" t="str">
        <f aca="false">IF($A189="N/A"," ",IF(OR(Dayrun&lt;=2,Dayrun&gt;=10),IF(OffPeakEx=TRUE(),MAX(0,(xSPRDOPT(N189,($E189-'Pricing Inputs'!$X224*$D189),$CV189,0,($CQ189+IF(Smile=TRUE(),VLOOKUP(MAX(-5,$H189-N189),Volsmile,2),0)),$CT189,$CU189,($A189-DateToday)+15,ABS(Option-2),1)*DF189*8)),0),0))</f>
        <v> </v>
      </c>
      <c r="BH189" s="300" t="str">
        <f aca="false">IF($A189="N/A"," ",IF(OR(Dayrun=1,Dayrun=5,Dayrun=8,Dayrun=11),MAX(0,(xSPRDOPT(O189,($E189-'Pricing Inputs'!$X224*$D189),$CV189,0,($CQ189+IF(Smile=TRUE(),VLOOKUP(MAX(-5,$H189-O189),Volsmile,2),0)),$CT189,$CU189,($A189-DateToday)+15,ABS(Option-2),1)*DG189*8)),0))</f>
        <v> </v>
      </c>
      <c r="BI189" s="300" t="str">
        <f aca="false">IF($A189="N/A"," ",IF(OR(Dayrun=1,Dayrun=8,Dayrun=11),MAX(0,(xSPRDOPT(P189,($E189-'Pricing Inputs'!$X224*$D189),$CV189,0,($CQ189+IF(Smile=TRUE(),VLOOKUP(MAX(-5,$H189-P189),Volsmile,2),0)),$CT189,$CU189,($A189-DateToday)+15,ABS(Option-2),1)*DG189*8)),0))</f>
        <v> </v>
      </c>
      <c r="BJ189" s="301" t="str">
        <f aca="false">IF($A189="N/A"," ",IF(OR(Dayrun&lt;=2,Dayrun&gt;=11),IF(OffPeakEx=TRUE(),MAX(0,(xSPRDOPT(Q189,($E189-'Pricing Inputs'!$X224*$D189),$CV189,0,($CQ189+IF(Smile=TRUE(),VLOOKUP(MAX(-5,$H189-Q189),Volsmile,2),0)),$CT189,$CU189,($A189-DateToday)+15,ABS(Option-2),1)*DG189*8)),0),0))</f>
        <v> </v>
      </c>
      <c r="BK189" s="302" t="str">
        <f aca="false">IF($A189="N/A"," ",R189*$AS189)</f>
        <v> </v>
      </c>
      <c r="BL189" s="303" t="str">
        <f aca="false">IF($A189="N/A"," ",S189*$AT189)</f>
        <v> </v>
      </c>
      <c r="BM189" s="303" t="str">
        <f aca="false">IF($A189="N/A"," ",T189*$AU189)</f>
        <v> </v>
      </c>
      <c r="BN189" s="303" t="str">
        <f aca="false">IF($A189="N/A"," ",U189*$AV189)</f>
        <v> </v>
      </c>
      <c r="BO189" s="303" t="str">
        <f aca="false">IF($A189="N/A"," ",V189*$AW189)</f>
        <v> </v>
      </c>
      <c r="BP189" s="303" t="str">
        <f aca="false">IF($A189="N/A"," ",W189*$AX189)</f>
        <v> </v>
      </c>
      <c r="BQ189" s="303" t="str">
        <f aca="false">IF($A189="N/A"," ",X189*$AY189)</f>
        <v> </v>
      </c>
      <c r="BR189" s="303" t="str">
        <f aca="false">IF($A189="N/A"," ",Y189*$AZ189)</f>
        <v> </v>
      </c>
      <c r="BS189" s="304" t="str">
        <f aca="false">IF($A189="N/A"," ",Z189*$BA189)</f>
        <v> </v>
      </c>
      <c r="BT189" s="305" t="str">
        <f aca="false">IF($A189="N/A"," ",AA189*$AS189)</f>
        <v> </v>
      </c>
      <c r="BU189" s="306" t="str">
        <f aca="false">IF($A189="N/A"," ",AB189*$AT189)</f>
        <v> </v>
      </c>
      <c r="BV189" s="306" t="str">
        <f aca="false">IF($A189="N/A"," ",AC189*$AU189)</f>
        <v> </v>
      </c>
      <c r="BW189" s="306" t="str">
        <f aca="false">IF($A189="N/A"," ",AD189*$AV189)</f>
        <v> </v>
      </c>
      <c r="BX189" s="306" t="str">
        <f aca="false">IF($A189="N/A"," ",AE189*$AW189)</f>
        <v> </v>
      </c>
      <c r="BY189" s="306" t="str">
        <f aca="false">IF($A189="N/A"," ",AF189*$AX189)</f>
        <v> </v>
      </c>
      <c r="BZ189" s="306" t="str">
        <f aca="false">IF($A189="N/A"," ",AG189*$AY189)</f>
        <v> </v>
      </c>
      <c r="CA189" s="306" t="str">
        <f aca="false">IF($A189="N/A"," ",AH189*$AZ189)</f>
        <v> </v>
      </c>
      <c r="CB189" s="307" t="str">
        <f aca="false">IF($A189="N/A"," ",AI189*$BA189)</f>
        <v> </v>
      </c>
      <c r="CC189" s="308" t="str">
        <f aca="false">IF($A189="N/A"," ",AJ189*$AS189)</f>
        <v> </v>
      </c>
      <c r="CD189" s="309" t="str">
        <f aca="false">IF($A189="N/A"," ",AK189*$AT189)</f>
        <v> </v>
      </c>
      <c r="CE189" s="309" t="str">
        <f aca="false">IF($A189="N/A"," ",AL189*$AU189)</f>
        <v> </v>
      </c>
      <c r="CF189" s="309" t="str">
        <f aca="false">IF($A189="N/A"," ",AM189*$AV189)</f>
        <v> </v>
      </c>
      <c r="CG189" s="309" t="str">
        <f aca="false">IF($A189="N/A"," ",AN189*$AW189)</f>
        <v> </v>
      </c>
      <c r="CH189" s="309" t="str">
        <f aca="false">IF($A189="N/A"," ",AO189*$AX189)</f>
        <v> </v>
      </c>
      <c r="CI189" s="309" t="str">
        <f aca="false">IF($A189="N/A"," ",AP189*$AY189)</f>
        <v> </v>
      </c>
      <c r="CJ189" s="309" t="str">
        <f aca="false">IF($A189="N/A"," ",AQ189*$AZ189)</f>
        <v> </v>
      </c>
      <c r="CK189" s="310" t="str">
        <f aca="false">IF($A189="N/A"," ",AR189*$BA189)</f>
        <v> </v>
      </c>
      <c r="CL189" s="311" t="str">
        <f aca="false">IF(A189="N/A"," ",(VLOOKUP(A189,PowerVolTable,(IF(VolBMO=2,7,IF(VolBMO=1,6,8))),FALSE())))</f>
        <v> </v>
      </c>
      <c r="CM189" s="312" t="str">
        <f aca="false">IF(A189="N/A"," ",(VLOOKUP(A189,IntraPowerVol,(IF(VolBMO=2,3,IF(VolBMO=1,2,4))),FALSE())*VLOOKUP(MONTH($A189),Volscale,2)))</f>
        <v> </v>
      </c>
      <c r="CN189" s="312" t="str">
        <f aca="false">IF($A189="N/A"," ",IF(VolType=1,CM189,CL189))</f>
        <v> </v>
      </c>
      <c r="CO189" s="312" t="str">
        <f aca="false">IF($A189="N/A"," ",(VLOOKUP($A189,OffPeakVol,(IF(VolBMO=2,7,IF(VolBMO=1,6,8))),FALSE())))</f>
        <v> </v>
      </c>
      <c r="CP189" s="312" t="str">
        <f aca="false">IF($A189="N/A"," ",(VLOOKUP($A189,OffPeakVol,(IF(VolBMO=2,3,IF(VolBMO=1,2,4))),FALSE())*VLOOKUP(MONTH($A189),Volscale,2)))</f>
        <v> </v>
      </c>
      <c r="CQ189" s="312" t="str">
        <f aca="false">IF($A189="N/A"," ",IF(VolType=1,CP189,CO189))</f>
        <v> </v>
      </c>
      <c r="CR189" s="312" t="str">
        <f aca="false">IF($A189="N/A"," ",(VLOOKUP($A189,GasVolTable,(IF(VolBMO=2,6,IF(VolBMO=1,7,5))),FALSE())))</f>
        <v> </v>
      </c>
      <c r="CS189" s="312" t="str">
        <f aca="false">IF($A189="N/A"," ",(VLOOKUP($A189,OmicronVol,(IF(VolBMO=2,3,IF(VolBMO=1,4,2))),FALSE())))</f>
        <v> </v>
      </c>
      <c r="CT189" s="312" t="str">
        <f aca="false">IF($A189="N/A"," ",(IF(DateToday&gt;$A189,$CS189,IF(VolType=1,((($CR189^2)*((($A189-1)-DateToday)/((EOMONTH($A189,0)+1)-DateToday-15)))+((($CS189)^2)*((15)/((EOMONTH($A189,0)+1)-DateToday-15))))^0.5,CR189))))</f>
        <v> </v>
      </c>
      <c r="CU189" s="312" t="str">
        <f aca="false">IF($A189="N/A"," ",IF('Pricing Inputs'!$AR$23=TRUE(),Inputs!$S$22,VLOOKUP($A189,CorrelationTable,2,FALSE())))</f>
        <v> </v>
      </c>
      <c r="CV189" s="313" t="str">
        <f aca="false">IF($A189="N/A"," ",F189+G189+(D189*('Pricing Inputs'!X224)))</f>
        <v> </v>
      </c>
      <c r="CW189" s="314" t="str">
        <f aca="false">IF($A189="N/A"," ",IF(PV=1,0,'Pricing Inputs'!Y224))</f>
        <v> </v>
      </c>
      <c r="CX189" s="315" t="str">
        <f aca="false">IF($A189="N/A"," ",(1+CW189/2)^(-2*((EOMONTH(A189,0)+20)-DateToday)/365.25))</f>
        <v> </v>
      </c>
      <c r="CY189" s="316" t="str">
        <f aca="false">IF($A189="N/A"," ",(IF(MONTH(A189)&gt;=4,IF(MONTH(A189)&lt;=10,Inputs!$S$26,Inputs!$S$27),Inputs!$S$27))*$CX189)</f>
        <v> </v>
      </c>
      <c r="CZ189" s="317" t="str">
        <f aca="false">IF($A189="N/A"," ",BK189+BL189+BN189+BO189+BQ189+BR189)</f>
        <v> </v>
      </c>
      <c r="DA189" s="318" t="str">
        <f aca="false">IF($A189="N/A"," ",BM189+BP189+BS189)</f>
        <v> </v>
      </c>
      <c r="DB189" s="319" t="str">
        <f aca="false">IF($A189="N/A"," ",BT189+BU189+BW189+BX189+BZ189+CA189)</f>
        <v> </v>
      </c>
      <c r="DC189" s="319" t="str">
        <f aca="false">IF($A189="N/A"," ",BV189+BY189+CB189)</f>
        <v> </v>
      </c>
      <c r="DD189" s="320" t="str">
        <f aca="false">IF($A189="N/A"," ",SUM(CC189:CK189))</f>
        <v> </v>
      </c>
      <c r="DE189" s="321" t="str">
        <f aca="false">IF($A189="N/A"," ",VLOOKUP($A189,NumberofDaysTable,2)*Availability)</f>
        <v> </v>
      </c>
      <c r="DF189" s="94" t="str">
        <f aca="false">IF($A189="N/A"," ",VLOOKUP($A189,NumberofDaysTable,3)*Availability)</f>
        <v> </v>
      </c>
      <c r="DG189" s="322" t="str">
        <f aca="false">IF($A189="N/A"," ",VLOOKUP($A189,NumberofDaysTable,4)*Availability)</f>
        <v> </v>
      </c>
      <c r="DH189" s="323" t="str">
        <f aca="false">IF($A189="N/A"," ",IF(Option=1,$D189*Inputs!$S$15*SUM(AS189:BA189),0))</f>
        <v> </v>
      </c>
      <c r="DI189" s="324" t="str">
        <f aca="false">IF($A189="N/A"," ",IF(Option=1,$D189*Inputs!$S$16*SUM(AS189:BA189),0))</f>
        <v> </v>
      </c>
      <c r="DJ189" s="325" t="str">
        <f aca="false">IF($A189="N/A"," ",SUM(AS189:AT189))</f>
        <v> </v>
      </c>
      <c r="DK189" s="325" t="str">
        <f aca="false">IF($A189="N/A"," ",SUM(AU189:BA189))</f>
        <v> </v>
      </c>
      <c r="DL189" s="325" t="str">
        <f aca="false">IF($A189="N/A"," ",SUM(BB189:BC189))</f>
        <v> </v>
      </c>
      <c r="DM189" s="325" t="str">
        <f aca="false">IF($A189="N/A"," ",SUM(BD189:BJ189))</f>
        <v> </v>
      </c>
    </row>
    <row r="190" customFormat="false" ht="12.75" hidden="false" customHeight="false" outlineLevel="0" collapsed="false">
      <c r="A190" s="282" t="str">
        <f aca="false">IF(A189="N/A","N/A",IF(EDATE(A189,1)&gt;Inputs!$S$5,"N/A",EDATE(A189,1)))</f>
        <v>N/A</v>
      </c>
      <c r="B190" s="283" t="str">
        <f aca="false">IF(A190="N/A"," ",YEAR(A190))</f>
        <v> </v>
      </c>
      <c r="C190" s="284" t="str">
        <f aca="false">IF(A190="N/A"," ",VLOOKUP(A190,ScaledPrice,14))</f>
        <v> </v>
      </c>
      <c r="D190" s="285" t="str">
        <f aca="false">IF(A190="N/A"," ",(VLOOKUP(MONTH($A190),Hrtable,2))/1000)</f>
        <v> </v>
      </c>
      <c r="E190" s="286" t="str">
        <f aca="false">IF($A190="N/A"," ",(C190)*D190)</f>
        <v> </v>
      </c>
      <c r="F190" s="287" t="str">
        <f aca="false">IF(A190="N/A"," ",VOM*(1+VOMesc)^(YEAR(A190)-YEAR(Today)))</f>
        <v> </v>
      </c>
      <c r="G190" s="287" t="str">
        <f aca="false">IF(A190="N/A"," ",Perstart/VLOOKUP(Dayrun,'Pricing Inputs'!$AQ$4:$AS$14,3)/(CY190/CX190))</f>
        <v> </v>
      </c>
      <c r="H190" s="288" t="str">
        <f aca="false">IF(A190="N/A"," ",SUM(E190:G190))</f>
        <v> </v>
      </c>
      <c r="I190" s="289" t="str">
        <f aca="false">VLOOKUP($A190,ScaledPrice,6)</f>
        <v> </v>
      </c>
      <c r="J190" s="290" t="str">
        <f aca="false">VLOOKUP($A190,ScaledPrice,10)</f>
        <v> </v>
      </c>
      <c r="K190" s="290" t="str">
        <f aca="false">VLOOKUP($A190,ScaledPrice,13)</f>
        <v> </v>
      </c>
      <c r="L190" s="290" t="str">
        <f aca="false">VLOOKUP($A190,ScaledPrice,7)</f>
        <v> </v>
      </c>
      <c r="M190" s="290" t="str">
        <f aca="false">VLOOKUP($A190,ScaledPrice,11)</f>
        <v> </v>
      </c>
      <c r="N190" s="290" t="str">
        <f aca="false">VLOOKUP($A190,ScaledPrice,13)</f>
        <v> </v>
      </c>
      <c r="O190" s="290" t="str">
        <f aca="false">VLOOKUP($A190,ScaledPrice,8)</f>
        <v> </v>
      </c>
      <c r="P190" s="290" t="str">
        <f aca="false">VLOOKUP($A190,ScaledPrice,12)</f>
        <v> </v>
      </c>
      <c r="Q190" s="291" t="str">
        <f aca="false">VLOOKUP($A190,ScaledPrice,13)</f>
        <v> </v>
      </c>
      <c r="R190" s="292" t="str">
        <f aca="false">IF($A190="N/A"," ",IF(Dayrun&gt;=3,IF(Option=1,MAX($I190-$H190,0),IF(Option=2,MAX($H190-$I190,0),0)),0))</f>
        <v> </v>
      </c>
      <c r="S190" s="286" t="str">
        <f aca="false">IF($A190="N/A"," ",IF(Dayrun&gt;=6,IF(Option=1,MAX($J190-H190,0),IF(Option=2,MAX(H190-$J190,0),0)),0))</f>
        <v> </v>
      </c>
      <c r="T190" s="286" t="str">
        <f aca="false">IF($A190="N/A"," ",IF(OR(Dayrun&lt;=2,Dayrun&gt;=9),IF(Option=1,MAX($K190-$H190,0),IF(Option=2,MAX($H190-$K190,0),0)),0))</f>
        <v> </v>
      </c>
      <c r="U190" s="286" t="str">
        <f aca="false">IF($A190="N/A"," ",IF(OR(Dayrun=1,Dayrun=4,Dayrun=5,Dayrun=7,Dayrun=8,Dayrun=10,Dayrun=11),IF(Option=1,MAX($L190-H190,0),IF(Option=2,MAX(H190-$L190,0),0)),0))</f>
        <v> </v>
      </c>
      <c r="V190" s="286" t="str">
        <f aca="false">IF($A190="N/A"," ",IF(OR(Dayrun=1,Dayrun=7,Dayrun=8,Dayrun=10,Dayrun=11),IF(Option=1,MAX($M190-H190,0),IF(Option=2,MAX(H190-$M190,0),0)),0))</f>
        <v> </v>
      </c>
      <c r="W190" s="286" t="str">
        <f aca="false">IF($A190="N/A"," ",IF(OR(Dayrun&lt;=2,Dayrun&gt;=10),IF(Option=1,MAX($N190-$H190,0),IF(Option=2,MAX($H190-$N190,0),0)),0))</f>
        <v> </v>
      </c>
      <c r="X190" s="286" t="str">
        <f aca="false">IF($A190="N/A"," ",IF(OR(Dayrun=1,Dayrun=5,Dayrun=8,Dayrun=11),IF(Option=1,MAX($O190-H190,0),IF(Option=2,MAX(H190-$O190,0),0)),0))</f>
        <v> </v>
      </c>
      <c r="Y190" s="286" t="str">
        <f aca="false">IF($A190="N/A"," ",IF(OR(Dayrun=1,Dayrun=8,Dayrun=11),IF(Option=1,MAX($P190-H190,0),IF(Option=2,MAX(H190-$P190,0),0)),0))</f>
        <v> </v>
      </c>
      <c r="Z190" s="293" t="str">
        <f aca="false">IF($A190="N/A"," ",IF(OR(Dayrun&lt;=2,Dayrun&gt;=11),IF(Option=1,MAX($Q190-$H190,0),IF(Option=2,MAX($H190-$Q190,0),0)),0))</f>
        <v> </v>
      </c>
      <c r="AA190" s="289" t="str">
        <f aca="false">IF($A190="N/A"," ",IF(Dayrun&gt;=3,(MAX(0,(xSPRDOPT(I190,($E190-'Pricing Inputs'!$X225*$D190),$CV190,0,($CN190+IF(Smile=TRUE(),VLOOKUP(MAX(-5,$H190-I190),Volsmile,2),0)),$CT190,$CU190,($A190-DateToday)+15,ABS(Option-2),0)-R190))),0))</f>
        <v> </v>
      </c>
      <c r="AB190" s="290" t="str">
        <f aca="false">IF($A190="N/A"," ",IF(Dayrun&gt;=6,MAX(0,(xSPRDOPT(J190,($E190-'Pricing Inputs'!$X225*$D190),$CV190,0,($CN190+IF(Smile=TRUE(),VLOOKUP(MAX(-5,$H190-J190),Volsmile,2),0)),$CT190,$CU190,($A190-DateToday)+15,ABS(Option-2),0)-S190)),0))</f>
        <v> </v>
      </c>
      <c r="AC190" s="290" t="str">
        <f aca="false">IF($A190="N/A"," ",IF(OR(Dayrun&lt;=2,Dayrun&gt;=9),IF(OffPeakEx=TRUE(),MAX(0,(xSPRDOPT(K190,($E190-'Pricing Inputs'!$X225*$D190),$CV190,0,($CQ190+IF(Smile=TRUE(),VLOOKUP(MAX(-5,$H190-K190),Volsmile,2),0)),$CT190,$CU190,($A190-DateToday)+15,ABS(Option-2),0)-T190)),0),0))</f>
        <v> </v>
      </c>
      <c r="AD190" s="290" t="str">
        <f aca="false">IF($A190="N/A"," ",IF(OR(Dayrun=1,Dayrun=4,Dayrun=5,Dayrun=7,Dayrun=8,Dayrun=10,Dayrun=11),MAX(0,(xSPRDOPT(L190,($E190-'Pricing Inputs'!$X225*$D190),$CV190,0,($CQ190+IF(Smile=TRUE(),VLOOKUP(MAX(-5,$H190-L190),Volsmile,2),0)),$CT190,$CU190,($A190-DateToday)+15,ABS(Option-2),0)-U190)),0))</f>
        <v> </v>
      </c>
      <c r="AE190" s="290" t="str">
        <f aca="false">IF($A190="N/A"," ",IF(OR(Dayrun=1,Dayrun=7,Dayrun=8,Dayrun=10,Dayrun=11),MAX(0,(xSPRDOPT(M190,($E190-'Pricing Inputs'!$X225*$D190),$CV190,0,($CQ190+IF(Smile=TRUE(),VLOOKUP(MAX(-5,$H190-M190),Volsmile,2),0)),$CT190,$CU190,($A190-DateToday)+15,ABS(Option-2),0)-V190)),0))</f>
        <v> </v>
      </c>
      <c r="AF190" s="290" t="str">
        <f aca="false">IF($A190="N/A"," ",IF(OR(Dayrun&lt;=2,Dayrun&gt;=10),IF(OffPeakEx=TRUE(),MAX(0,(xSPRDOPT(N190,($E190-'Pricing Inputs'!$X225*$D190),$CV190,0,($CQ190+IF(Smile=TRUE(),VLOOKUP(MAX(-5,$H190-N190),Volsmile,2),0)),$CT190,$CU190,($A190-DateToday)+15,ABS(Option-2),0)-W190)),0),0))</f>
        <v> </v>
      </c>
      <c r="AG190" s="290" t="str">
        <f aca="false">IF($A190="N/A"," ",IF(OR(Dayrun=1,Dayrun=5,Dayrun=8,Dayrun=11),MAX(0,(xSPRDOPT(O190,($E190-'Pricing Inputs'!$X225*$D190),$CV190,0,($CQ190+IF(Smile=TRUE(),VLOOKUP(MAX(-5,$H190-O190),Volsmile,2),0)),$CT190,$CU190,($A190-DateToday)+15,ABS(Option-2),0)-X190)),0))</f>
        <v> </v>
      </c>
      <c r="AH190" s="290" t="str">
        <f aca="false">IF($A190="N/A"," ",IF(OR(Dayrun=1,Dayrun=8,Dayrun=11),MAX(0,(xSPRDOPT(P190,($E190-'Pricing Inputs'!$X225*$D190),$CV190,0,($CQ190+IF(Smile=TRUE(),VLOOKUP(MAX(-5,$H190-P190),Volsmile,2),0)),$CT190,$CU190,($A190-DateToday)+15,ABS(Option-2),0)-Y190)),0))</f>
        <v> </v>
      </c>
      <c r="AI190" s="290" t="str">
        <f aca="false">IF($A190="N/A"," ",IF(OR(Dayrun&lt;=2,Dayrun&gt;=11),IF(OffPeakEx=TRUE(),MAX(0,(xSPRDOPT(Q190,($E190-'Pricing Inputs'!$X225*$D190),$CV190,0,($CQ190+IF(Smile=TRUE(),VLOOKUP(MAX(-5,$H190-Q190),Volsmile,2),0)),$CT190,$CU190,($A190-DateToday)+15,ABS(Option-2),0)-Z190)),0),0))</f>
        <v> </v>
      </c>
      <c r="AJ190" s="294" t="str">
        <f aca="false">IF($A190="N/A"," ",IF(Dayrun&gt;=3,IF(Option=1,$I190-$H190,IF(Option=2,$H190-$I190)),0))</f>
        <v> </v>
      </c>
      <c r="AK190" s="295" t="str">
        <f aca="false">IF($A190="N/A"," ",IF(Dayrun&gt;=6,IF(Option=1,$J190-H190,IF(Option=2,H190-$J190)),0))</f>
        <v> </v>
      </c>
      <c r="AL190" s="295" t="str">
        <f aca="false">IF($A190="N/A"," ",IF(OR(Dayrun&lt;=2,Dayrun&gt;=9),IF(Option=1,$K190-$H190,IF(Option=2,$H190-$K190)),0))</f>
        <v> </v>
      </c>
      <c r="AM190" s="295" t="str">
        <f aca="false">IF($A190="N/A"," ",IF(OR(Dayrun=1,Dayrun=4,Dayrun=5,Dayrun=7,Dayrun=8,Dayrun=10,Dayrun=11),IF(Option=1,$L190-H190,IF(Option=2,H190-$L190)),0))</f>
        <v> </v>
      </c>
      <c r="AN190" s="295" t="str">
        <f aca="false">IF($A190="N/A"," ",IF(OR(Dayrun=1,Dayrun=7,Dayrun=8,Dayrun=10,Dayrun=11),IF(Option=1,$M190-H190,IF(Option=2,H190-$M190)),0))</f>
        <v> </v>
      </c>
      <c r="AO190" s="295" t="str">
        <f aca="false">IF($A190="N/A"," ",IF(OR(Dayrun&lt;=2,Dayrun&gt;=9),IF(Option=1,$N190-$H190,IF(Option=2,$H190-$N190)),0))</f>
        <v> </v>
      </c>
      <c r="AP190" s="295" t="str">
        <f aca="false">IF($A190="N/A"," ",IF(OR(Dayrun=1,Dayrun=5,Dayrun=8,Dayrun=11),IF(Option=1,$O190-H190,IF(Option=2,H190-$O190)),0))</f>
        <v> </v>
      </c>
      <c r="AQ190" s="295" t="str">
        <f aca="false">IF($A190="N/A"," ",IF(OR(Dayrun=1,Dayrun=8,Dayrun=11),IF(Option=1,$P190-H190,IF(Option=2,H190-$P190)),0))</f>
        <v> </v>
      </c>
      <c r="AR190" s="296" t="str">
        <f aca="false">IF($A190="N/A"," ",IF(OR(Dayrun&lt;=2,Dayrun&gt;=9),IF(Option=1,$Q190-H190,IF(Option=2,H190-$Q190)),0))</f>
        <v> </v>
      </c>
      <c r="AS190" s="297" t="str">
        <f aca="false">IF($A190="N/A"," ",IF(VLOOKUP(MONTH($A190),ManualTable,2)=1,IF(Dayrun&gt;=3,$DE190*8*$CY190,0),0))</f>
        <v> </v>
      </c>
      <c r="AT190" s="297" t="str">
        <f aca="false">IF($A190="N/A"," ",IF(VLOOKUP(MONTH($A190),ManualTable,3)=1,IF(Dayrun&gt;=6,$DE190*8*$CY190,0),0))</f>
        <v> </v>
      </c>
      <c r="AU190" s="297" t="str">
        <f aca="false">IF($A190="N/A"," ",IF(VLOOKUP(MONTH($A190),ManualTable,4)=1,IF(OR(Dayrun&lt;=2,Dayrun&gt;=9),$DE190*8*$CY190,0),0))</f>
        <v> </v>
      </c>
      <c r="AV190" s="297" t="str">
        <f aca="false">IF($A190="N/A"," ",IF(VLOOKUP(MONTH($A190),ManualTable,5)=1,IF(OR(Dayrun=1,Dayrun=4,Dayrun=5,Dayrun=7,Dayrun=8,Dayrun=10,Dayrun=11),$DF190*8*$CY190,0),0))</f>
        <v> </v>
      </c>
      <c r="AW190" s="297" t="str">
        <f aca="false">IF($A190="N/A"," ",IF(VLOOKUP(MONTH($A190),ManualTable,6)=1,IF(OR(Dayrun=1,Dayrun=7,Dayrun=8,Dayrun=10,Dayrun=11),$DF190*8*$CY190,0),0))</f>
        <v> </v>
      </c>
      <c r="AX190" s="297" t="str">
        <f aca="false">IF($A190="N/A"," ",IF(VLOOKUP(MONTH($A190),ManualTable,7)=1,IF(OR(Dayrun&lt;=2,Dayrun&gt;=9),$DF190*8*$CY190,0),0))</f>
        <v> </v>
      </c>
      <c r="AY190" s="297" t="str">
        <f aca="false">IF($A190="N/A"," ",IF(VLOOKUP(MONTH($A190),ManualTable,8)=1,IF(OR(Dayrun=1,Dayrun=5,Dayrun=8,Dayrun=11),$DG190*8*$CY190,0),0))</f>
        <v> </v>
      </c>
      <c r="AZ190" s="297" t="str">
        <f aca="false">IF($A190="N/A"," ",IF(VLOOKUP(MONTH($A190),ManualTable,9)=1,IF(OR(Dayrun=1,Dayrun=8,Dayrun=11),$DG190*8*$CY190,0),0))</f>
        <v> </v>
      </c>
      <c r="BA190" s="298" t="str">
        <f aca="false">IF($A190="N/A"," ",IF(VLOOKUP(MONTH($A190),ManualTable,10)=1,IF(OR(Dayrun&lt;=2,Dayrun&gt;=9),$DG190*8*$CY190,0),0))</f>
        <v> </v>
      </c>
      <c r="BB190" s="299" t="str">
        <f aca="false">IF($A190="N/A"," ",IF(Dayrun&gt;=3,(MAX(0,(xSPRDOPT(I190,($E190-'Pricing Inputs'!$X225*$D190),$CV190,0,($CN190+IF(Smile=TRUE(),VLOOKUP(MAX(-5,$H190-I190),Volsmile,2),0)),$CT190,$CU190,($A190-DateToday)+15,ABS(Option-2),1)*DE190*8))),0))</f>
        <v> </v>
      </c>
      <c r="BC190" s="300" t="str">
        <f aca="false">IF($A190="N/A"," ",IF(Dayrun&gt;=6,MAX(0,(xSPRDOPT(J190,($E190-'Pricing Inputs'!$X225*$D190),$CV190,0,($CN190+IF(Smile=TRUE(),VLOOKUP(MAX(-5,$H190-J190),Volsmile,2),0)),$CT190,$CU190,($A190-DateToday)+15,ABS(Option-2),1)*DE190*8)),0))</f>
        <v> </v>
      </c>
      <c r="BD190" s="300" t="str">
        <f aca="false">IF($A190="N/A"," ",IF(OR(Dayrun&lt;=2,Dayrun&gt;=9),IF(OffPeakEx=TRUE(),MAX(0,(xSPRDOPT(K190,($E190-'Pricing Inputs'!$X225*$D190),$CV190,0,($CQ190+IF(Smile=TRUE(),VLOOKUP(MAX(-5,$H190-K190),Volsmile,2),0)),$CT190,$CU190,($A190-DateToday)+15,ABS(Option-2),1)*DE190*8)),0),0))</f>
        <v> </v>
      </c>
      <c r="BE190" s="300" t="str">
        <f aca="false">IF($A190="N/A"," ",IF(OR(Dayrun=1,Dayrun=4,Dayrun=5,Dayrun=7,Dayrun=8,Dayrun=10,Dayrun=11),MAX(0,(xSPRDOPT(L190,($E190-'Pricing Inputs'!$X225*$D190),$CV190,0,($CQ190+IF(Smile=TRUE(),VLOOKUP(MAX(-5,$H190-L190),Volsmile,2),0)),$CT190,$CU190,($A190-DateToday)+15,ABS(Option-2),1)*DF190*8)),0))</f>
        <v> </v>
      </c>
      <c r="BF190" s="300" t="str">
        <f aca="false">IF($A190="N/A"," ",IF(OR(Dayrun=1,Dayrun=7,Dayrun=8,Dayrun=10,Dayrun=11),MAX(0,(xSPRDOPT(M190,($E190-'Pricing Inputs'!$X225*$D190),$CV190,0,($CQ190+IF(Smile=TRUE(),VLOOKUP(MAX(-5,$H190-M190),Volsmile,2),0)),$CT190,$CU190,($A190-DateToday)+15,ABS(Option-2),1)*DF190*8)),0))</f>
        <v> </v>
      </c>
      <c r="BG190" s="300" t="str">
        <f aca="false">IF($A190="N/A"," ",IF(OR(Dayrun&lt;=2,Dayrun&gt;=10),IF(OffPeakEx=TRUE(),MAX(0,(xSPRDOPT(N190,($E190-'Pricing Inputs'!$X225*$D190),$CV190,0,($CQ190+IF(Smile=TRUE(),VLOOKUP(MAX(-5,$H190-N190),Volsmile,2),0)),$CT190,$CU190,($A190-DateToday)+15,ABS(Option-2),1)*DF190*8)),0),0))</f>
        <v> </v>
      </c>
      <c r="BH190" s="300" t="str">
        <f aca="false">IF($A190="N/A"," ",IF(OR(Dayrun=1,Dayrun=5,Dayrun=8,Dayrun=11),MAX(0,(xSPRDOPT(O190,($E190-'Pricing Inputs'!$X225*$D190),$CV190,0,($CQ190+IF(Smile=TRUE(),VLOOKUP(MAX(-5,$H190-O190),Volsmile,2),0)),$CT190,$CU190,($A190-DateToday)+15,ABS(Option-2),1)*DG190*8)),0))</f>
        <v> </v>
      </c>
      <c r="BI190" s="300" t="str">
        <f aca="false">IF($A190="N/A"," ",IF(OR(Dayrun=1,Dayrun=8,Dayrun=11),MAX(0,(xSPRDOPT(P190,($E190-'Pricing Inputs'!$X225*$D190),$CV190,0,($CQ190+IF(Smile=TRUE(),VLOOKUP(MAX(-5,$H190-P190),Volsmile,2),0)),$CT190,$CU190,($A190-DateToday)+15,ABS(Option-2),1)*DG190*8)),0))</f>
        <v> </v>
      </c>
      <c r="BJ190" s="301" t="str">
        <f aca="false">IF($A190="N/A"," ",IF(OR(Dayrun&lt;=2,Dayrun&gt;=11),IF(OffPeakEx=TRUE(),MAX(0,(xSPRDOPT(Q190,($E190-'Pricing Inputs'!$X225*$D190),$CV190,0,($CQ190+IF(Smile=TRUE(),VLOOKUP(MAX(-5,$H190-Q190),Volsmile,2),0)),$CT190,$CU190,($A190-DateToday)+15,ABS(Option-2),1)*DG190*8)),0),0))</f>
        <v> </v>
      </c>
      <c r="BK190" s="302" t="str">
        <f aca="false">IF($A190="N/A"," ",R190*$AS190)</f>
        <v> </v>
      </c>
      <c r="BL190" s="303" t="str">
        <f aca="false">IF($A190="N/A"," ",S190*$AT190)</f>
        <v> </v>
      </c>
      <c r="BM190" s="303" t="str">
        <f aca="false">IF($A190="N/A"," ",T190*$AU190)</f>
        <v> </v>
      </c>
      <c r="BN190" s="303" t="str">
        <f aca="false">IF($A190="N/A"," ",U190*$AV190)</f>
        <v> </v>
      </c>
      <c r="BO190" s="303" t="str">
        <f aca="false">IF($A190="N/A"," ",V190*$AW190)</f>
        <v> </v>
      </c>
      <c r="BP190" s="303" t="str">
        <f aca="false">IF($A190="N/A"," ",W190*$AX190)</f>
        <v> </v>
      </c>
      <c r="BQ190" s="303" t="str">
        <f aca="false">IF($A190="N/A"," ",X190*$AY190)</f>
        <v> </v>
      </c>
      <c r="BR190" s="303" t="str">
        <f aca="false">IF($A190="N/A"," ",Y190*$AZ190)</f>
        <v> </v>
      </c>
      <c r="BS190" s="304" t="str">
        <f aca="false">IF($A190="N/A"," ",Z190*$BA190)</f>
        <v> </v>
      </c>
      <c r="BT190" s="305" t="str">
        <f aca="false">IF($A190="N/A"," ",AA190*$AS190)</f>
        <v> </v>
      </c>
      <c r="BU190" s="306" t="str">
        <f aca="false">IF($A190="N/A"," ",AB190*$AT190)</f>
        <v> </v>
      </c>
      <c r="BV190" s="306" t="str">
        <f aca="false">IF($A190="N/A"," ",AC190*$AU190)</f>
        <v> </v>
      </c>
      <c r="BW190" s="306" t="str">
        <f aca="false">IF($A190="N/A"," ",AD190*$AV190)</f>
        <v> </v>
      </c>
      <c r="BX190" s="306" t="str">
        <f aca="false">IF($A190="N/A"," ",AE190*$AW190)</f>
        <v> </v>
      </c>
      <c r="BY190" s="306" t="str">
        <f aca="false">IF($A190="N/A"," ",AF190*$AX190)</f>
        <v> </v>
      </c>
      <c r="BZ190" s="306" t="str">
        <f aca="false">IF($A190="N/A"," ",AG190*$AY190)</f>
        <v> </v>
      </c>
      <c r="CA190" s="306" t="str">
        <f aca="false">IF($A190="N/A"," ",AH190*$AZ190)</f>
        <v> </v>
      </c>
      <c r="CB190" s="307" t="str">
        <f aca="false">IF($A190="N/A"," ",AI190*$BA190)</f>
        <v> </v>
      </c>
      <c r="CC190" s="308" t="str">
        <f aca="false">IF($A190="N/A"," ",AJ190*$AS190)</f>
        <v> </v>
      </c>
      <c r="CD190" s="309" t="str">
        <f aca="false">IF($A190="N/A"," ",AK190*$AT190)</f>
        <v> </v>
      </c>
      <c r="CE190" s="309" t="str">
        <f aca="false">IF($A190="N/A"," ",AL190*$AU190)</f>
        <v> </v>
      </c>
      <c r="CF190" s="309" t="str">
        <f aca="false">IF($A190="N/A"," ",AM190*$AV190)</f>
        <v> </v>
      </c>
      <c r="CG190" s="309" t="str">
        <f aca="false">IF($A190="N/A"," ",AN190*$AW190)</f>
        <v> </v>
      </c>
      <c r="CH190" s="309" t="str">
        <f aca="false">IF($A190="N/A"," ",AO190*$AX190)</f>
        <v> </v>
      </c>
      <c r="CI190" s="309" t="str">
        <f aca="false">IF($A190="N/A"," ",AP190*$AY190)</f>
        <v> </v>
      </c>
      <c r="CJ190" s="309" t="str">
        <f aca="false">IF($A190="N/A"," ",AQ190*$AZ190)</f>
        <v> </v>
      </c>
      <c r="CK190" s="310" t="str">
        <f aca="false">IF($A190="N/A"," ",AR190*$BA190)</f>
        <v> </v>
      </c>
      <c r="CL190" s="311" t="str">
        <f aca="false">IF(A190="N/A"," ",(VLOOKUP(A190,PowerVolTable,(IF(VolBMO=2,7,IF(VolBMO=1,6,8))),FALSE())))</f>
        <v> </v>
      </c>
      <c r="CM190" s="312" t="str">
        <f aca="false">IF(A190="N/A"," ",(VLOOKUP(A190,IntraPowerVol,(IF(VolBMO=2,3,IF(VolBMO=1,2,4))),FALSE())*VLOOKUP(MONTH($A190),Volscale,2)))</f>
        <v> </v>
      </c>
      <c r="CN190" s="312" t="str">
        <f aca="false">IF($A190="N/A"," ",IF(VolType=1,CM190,CL190))</f>
        <v> </v>
      </c>
      <c r="CO190" s="312" t="str">
        <f aca="false">IF($A190="N/A"," ",(VLOOKUP($A190,OffPeakVol,(IF(VolBMO=2,7,IF(VolBMO=1,6,8))),FALSE())))</f>
        <v> </v>
      </c>
      <c r="CP190" s="312" t="str">
        <f aca="false">IF($A190="N/A"," ",(VLOOKUP($A190,OffPeakVol,(IF(VolBMO=2,3,IF(VolBMO=1,2,4))),FALSE())*VLOOKUP(MONTH($A190),Volscale,2)))</f>
        <v> </v>
      </c>
      <c r="CQ190" s="312" t="str">
        <f aca="false">IF($A190="N/A"," ",IF(VolType=1,CP190,CO190))</f>
        <v> </v>
      </c>
      <c r="CR190" s="312" t="str">
        <f aca="false">IF($A190="N/A"," ",(VLOOKUP($A190,GasVolTable,(IF(VolBMO=2,6,IF(VolBMO=1,7,5))),FALSE())))</f>
        <v> </v>
      </c>
      <c r="CS190" s="312" t="str">
        <f aca="false">IF($A190="N/A"," ",(VLOOKUP($A190,OmicronVol,(IF(VolBMO=2,3,IF(VolBMO=1,4,2))),FALSE())))</f>
        <v> </v>
      </c>
      <c r="CT190" s="312" t="str">
        <f aca="false">IF($A190="N/A"," ",(IF(DateToday&gt;$A190,$CS190,IF(VolType=1,((($CR190^2)*((($A190-1)-DateToday)/((EOMONTH($A190,0)+1)-DateToday-15)))+((($CS190)^2)*((15)/((EOMONTH($A190,0)+1)-DateToday-15))))^0.5,CR190))))</f>
        <v> </v>
      </c>
      <c r="CU190" s="312" t="str">
        <f aca="false">IF($A190="N/A"," ",IF('Pricing Inputs'!$AR$23=TRUE(),Inputs!$S$22,VLOOKUP($A190,CorrelationTable,2,FALSE())))</f>
        <v> </v>
      </c>
      <c r="CV190" s="313" t="str">
        <f aca="false">IF($A190="N/A"," ",F190+G190+(D190*('Pricing Inputs'!X225)))</f>
        <v> </v>
      </c>
      <c r="CW190" s="314" t="str">
        <f aca="false">IF($A190="N/A"," ",IF(PV=1,0,'Pricing Inputs'!Y225))</f>
        <v> </v>
      </c>
      <c r="CX190" s="315" t="str">
        <f aca="false">IF($A190="N/A"," ",(1+CW190/2)^(-2*((EOMONTH(A190,0)+20)-DateToday)/365.25))</f>
        <v> </v>
      </c>
      <c r="CY190" s="316" t="str">
        <f aca="false">IF($A190="N/A"," ",(IF(MONTH(A190)&gt;=4,IF(MONTH(A190)&lt;=10,Inputs!$S$26,Inputs!$S$27),Inputs!$S$27))*$CX190)</f>
        <v> </v>
      </c>
      <c r="CZ190" s="317" t="str">
        <f aca="false">IF($A190="N/A"," ",BK190+BL190+BN190+BO190+BQ190+BR190)</f>
        <v> </v>
      </c>
      <c r="DA190" s="318" t="str">
        <f aca="false">IF($A190="N/A"," ",BM190+BP190+BS190)</f>
        <v> </v>
      </c>
      <c r="DB190" s="319" t="str">
        <f aca="false">IF($A190="N/A"," ",BT190+BU190+BW190+BX190+BZ190+CA190)</f>
        <v> </v>
      </c>
      <c r="DC190" s="319" t="str">
        <f aca="false">IF($A190="N/A"," ",BV190+BY190+CB190)</f>
        <v> </v>
      </c>
      <c r="DD190" s="320" t="str">
        <f aca="false">IF($A190="N/A"," ",SUM(CC190:CK190))</f>
        <v> </v>
      </c>
      <c r="DE190" s="321" t="str">
        <f aca="false">IF($A190="N/A"," ",VLOOKUP($A190,NumberofDaysTable,2)*Availability)</f>
        <v> </v>
      </c>
      <c r="DF190" s="94" t="str">
        <f aca="false">IF($A190="N/A"," ",VLOOKUP($A190,NumberofDaysTable,3)*Availability)</f>
        <v> </v>
      </c>
      <c r="DG190" s="322" t="str">
        <f aca="false">IF($A190="N/A"," ",VLOOKUP($A190,NumberofDaysTable,4)*Availability)</f>
        <v> </v>
      </c>
      <c r="DH190" s="323" t="str">
        <f aca="false">IF($A190="N/A"," ",IF(Option=1,$D190*Inputs!$S$15*SUM(AS190:BA190),0))</f>
        <v> </v>
      </c>
      <c r="DI190" s="324" t="str">
        <f aca="false">IF($A190="N/A"," ",IF(Option=1,$D190*Inputs!$S$16*SUM(AS190:BA190),0))</f>
        <v> </v>
      </c>
      <c r="DJ190" s="325" t="str">
        <f aca="false">IF($A190="N/A"," ",SUM(AS190:AT190))</f>
        <v> </v>
      </c>
      <c r="DK190" s="325" t="str">
        <f aca="false">IF($A190="N/A"," ",SUM(AU190:BA190))</f>
        <v> </v>
      </c>
      <c r="DL190" s="325" t="str">
        <f aca="false">IF($A190="N/A"," ",SUM(BB190:BC190))</f>
        <v> </v>
      </c>
      <c r="DM190" s="325" t="str">
        <f aca="false">IF($A190="N/A"," ",SUM(BD190:BJ190))</f>
        <v> </v>
      </c>
    </row>
    <row r="191" customFormat="false" ht="12.75" hidden="false" customHeight="false" outlineLevel="0" collapsed="false">
      <c r="A191" s="282" t="str">
        <f aca="false">IF(A190="N/A","N/A",IF(EDATE(A190,1)&gt;Inputs!$S$5,"N/A",EDATE(A190,1)))</f>
        <v>N/A</v>
      </c>
      <c r="B191" s="283" t="str">
        <f aca="false">IF(A191="N/A"," ",YEAR(A191))</f>
        <v> </v>
      </c>
      <c r="C191" s="284" t="str">
        <f aca="false">IF(A191="N/A"," ",VLOOKUP(A191,ScaledPrice,14))</f>
        <v> </v>
      </c>
      <c r="D191" s="285" t="str">
        <f aca="false">IF(A191="N/A"," ",(VLOOKUP(MONTH($A191),Hrtable,2))/1000)</f>
        <v> </v>
      </c>
      <c r="E191" s="286" t="str">
        <f aca="false">IF($A191="N/A"," ",(C191)*D191)</f>
        <v> </v>
      </c>
      <c r="F191" s="287" t="str">
        <f aca="false">IF(A191="N/A"," ",VOM*(1+VOMesc)^(YEAR(A191)-YEAR(Today)))</f>
        <v> </v>
      </c>
      <c r="G191" s="287" t="str">
        <f aca="false">IF(A191="N/A"," ",Perstart/VLOOKUP(Dayrun,'Pricing Inputs'!$AQ$4:$AS$14,3)/(CY191/CX191))</f>
        <v> </v>
      </c>
      <c r="H191" s="288" t="str">
        <f aca="false">IF(A191="N/A"," ",SUM(E191:G191))</f>
        <v> </v>
      </c>
      <c r="I191" s="289" t="str">
        <f aca="false">VLOOKUP($A191,ScaledPrice,6)</f>
        <v> </v>
      </c>
      <c r="J191" s="290" t="str">
        <f aca="false">VLOOKUP($A191,ScaledPrice,10)</f>
        <v> </v>
      </c>
      <c r="K191" s="290" t="str">
        <f aca="false">VLOOKUP($A191,ScaledPrice,13)</f>
        <v> </v>
      </c>
      <c r="L191" s="290" t="str">
        <f aca="false">VLOOKUP($A191,ScaledPrice,7)</f>
        <v> </v>
      </c>
      <c r="M191" s="290" t="str">
        <f aca="false">VLOOKUP($A191,ScaledPrice,11)</f>
        <v> </v>
      </c>
      <c r="N191" s="290" t="str">
        <f aca="false">VLOOKUP($A191,ScaledPrice,13)</f>
        <v> </v>
      </c>
      <c r="O191" s="290" t="str">
        <f aca="false">VLOOKUP($A191,ScaledPrice,8)</f>
        <v> </v>
      </c>
      <c r="P191" s="290" t="str">
        <f aca="false">VLOOKUP($A191,ScaledPrice,12)</f>
        <v> </v>
      </c>
      <c r="Q191" s="291" t="str">
        <f aca="false">VLOOKUP($A191,ScaledPrice,13)</f>
        <v> </v>
      </c>
      <c r="R191" s="292" t="str">
        <f aca="false">IF($A191="N/A"," ",IF(Dayrun&gt;=3,IF(Option=1,MAX($I191-$H191,0),IF(Option=2,MAX($H191-$I191,0),0)),0))</f>
        <v> </v>
      </c>
      <c r="S191" s="286" t="str">
        <f aca="false">IF($A191="N/A"," ",IF(Dayrun&gt;=6,IF(Option=1,MAX($J191-H191,0),IF(Option=2,MAX(H191-$J191,0),0)),0))</f>
        <v> </v>
      </c>
      <c r="T191" s="286" t="str">
        <f aca="false">IF($A191="N/A"," ",IF(OR(Dayrun&lt;=2,Dayrun&gt;=9),IF(Option=1,MAX($K191-$H191,0),IF(Option=2,MAX($H191-$K191,0),0)),0))</f>
        <v> </v>
      </c>
      <c r="U191" s="286" t="str">
        <f aca="false">IF($A191="N/A"," ",IF(OR(Dayrun=1,Dayrun=4,Dayrun=5,Dayrun=7,Dayrun=8,Dayrun=10,Dayrun=11),IF(Option=1,MAX($L191-H191,0),IF(Option=2,MAX(H191-$L191,0),0)),0))</f>
        <v> </v>
      </c>
      <c r="V191" s="286" t="str">
        <f aca="false">IF($A191="N/A"," ",IF(OR(Dayrun=1,Dayrun=7,Dayrun=8,Dayrun=10,Dayrun=11),IF(Option=1,MAX($M191-H191,0),IF(Option=2,MAX(H191-$M191,0),0)),0))</f>
        <v> </v>
      </c>
      <c r="W191" s="286" t="str">
        <f aca="false">IF($A191="N/A"," ",IF(OR(Dayrun&lt;=2,Dayrun&gt;=10),IF(Option=1,MAX($N191-$H191,0),IF(Option=2,MAX($H191-$N191,0),0)),0))</f>
        <v> </v>
      </c>
      <c r="X191" s="286" t="str">
        <f aca="false">IF($A191="N/A"," ",IF(OR(Dayrun=1,Dayrun=5,Dayrun=8,Dayrun=11),IF(Option=1,MAX($O191-H191,0),IF(Option=2,MAX(H191-$O191,0),0)),0))</f>
        <v> </v>
      </c>
      <c r="Y191" s="286" t="str">
        <f aca="false">IF($A191="N/A"," ",IF(OR(Dayrun=1,Dayrun=8,Dayrun=11),IF(Option=1,MAX($P191-H191,0),IF(Option=2,MAX(H191-$P191,0),0)),0))</f>
        <v> </v>
      </c>
      <c r="Z191" s="293" t="str">
        <f aca="false">IF($A191="N/A"," ",IF(OR(Dayrun&lt;=2,Dayrun&gt;=11),IF(Option=1,MAX($Q191-$H191,0),IF(Option=2,MAX($H191-$Q191,0),0)),0))</f>
        <v> </v>
      </c>
      <c r="AA191" s="289" t="str">
        <f aca="false">IF($A191="N/A"," ",IF(Dayrun&gt;=3,(MAX(0,(xSPRDOPT(I191,($E191-'Pricing Inputs'!$X226*$D191),$CV191,0,($CN191+IF(Smile=TRUE(),VLOOKUP(MAX(-5,$H191-I191),Volsmile,2),0)),$CT191,$CU191,($A191-DateToday)+15,ABS(Option-2),0)-R191))),0))</f>
        <v> </v>
      </c>
      <c r="AB191" s="290" t="str">
        <f aca="false">IF($A191="N/A"," ",IF(Dayrun&gt;=6,MAX(0,(xSPRDOPT(J191,($E191-'Pricing Inputs'!$X226*$D191),$CV191,0,($CN191+IF(Smile=TRUE(),VLOOKUP(MAX(-5,$H191-J191),Volsmile,2),0)),$CT191,$CU191,($A191-DateToday)+15,ABS(Option-2),0)-S191)),0))</f>
        <v> </v>
      </c>
      <c r="AC191" s="290" t="str">
        <f aca="false">IF($A191="N/A"," ",IF(OR(Dayrun&lt;=2,Dayrun&gt;=9),IF(OffPeakEx=TRUE(),MAX(0,(xSPRDOPT(K191,($E191-'Pricing Inputs'!$X226*$D191),$CV191,0,($CQ191+IF(Smile=TRUE(),VLOOKUP(MAX(-5,$H191-K191),Volsmile,2),0)),$CT191,$CU191,($A191-DateToday)+15,ABS(Option-2),0)-T191)),0),0))</f>
        <v> </v>
      </c>
      <c r="AD191" s="290" t="str">
        <f aca="false">IF($A191="N/A"," ",IF(OR(Dayrun=1,Dayrun=4,Dayrun=5,Dayrun=7,Dayrun=8,Dayrun=10,Dayrun=11),MAX(0,(xSPRDOPT(L191,($E191-'Pricing Inputs'!$X226*$D191),$CV191,0,($CQ191+IF(Smile=TRUE(),VLOOKUP(MAX(-5,$H191-L191),Volsmile,2),0)),$CT191,$CU191,($A191-DateToday)+15,ABS(Option-2),0)-U191)),0))</f>
        <v> </v>
      </c>
      <c r="AE191" s="290" t="str">
        <f aca="false">IF($A191="N/A"," ",IF(OR(Dayrun=1,Dayrun=7,Dayrun=8,Dayrun=10,Dayrun=11),MAX(0,(xSPRDOPT(M191,($E191-'Pricing Inputs'!$X226*$D191),$CV191,0,($CQ191+IF(Smile=TRUE(),VLOOKUP(MAX(-5,$H191-M191),Volsmile,2),0)),$CT191,$CU191,($A191-DateToday)+15,ABS(Option-2),0)-V191)),0))</f>
        <v> </v>
      </c>
      <c r="AF191" s="290" t="str">
        <f aca="false">IF($A191="N/A"," ",IF(OR(Dayrun&lt;=2,Dayrun&gt;=10),IF(OffPeakEx=TRUE(),MAX(0,(xSPRDOPT(N191,($E191-'Pricing Inputs'!$X226*$D191),$CV191,0,($CQ191+IF(Smile=TRUE(),VLOOKUP(MAX(-5,$H191-N191),Volsmile,2),0)),$CT191,$CU191,($A191-DateToday)+15,ABS(Option-2),0)-W191)),0),0))</f>
        <v> </v>
      </c>
      <c r="AG191" s="290" t="str">
        <f aca="false">IF($A191="N/A"," ",IF(OR(Dayrun=1,Dayrun=5,Dayrun=8,Dayrun=11),MAX(0,(xSPRDOPT(O191,($E191-'Pricing Inputs'!$X226*$D191),$CV191,0,($CQ191+IF(Smile=TRUE(),VLOOKUP(MAX(-5,$H191-O191),Volsmile,2),0)),$CT191,$CU191,($A191-DateToday)+15,ABS(Option-2),0)-X191)),0))</f>
        <v> </v>
      </c>
      <c r="AH191" s="290" t="str">
        <f aca="false">IF($A191="N/A"," ",IF(OR(Dayrun=1,Dayrun=8,Dayrun=11),MAX(0,(xSPRDOPT(P191,($E191-'Pricing Inputs'!$X226*$D191),$CV191,0,($CQ191+IF(Smile=TRUE(),VLOOKUP(MAX(-5,$H191-P191),Volsmile,2),0)),$CT191,$CU191,($A191-DateToday)+15,ABS(Option-2),0)-Y191)),0))</f>
        <v> </v>
      </c>
      <c r="AI191" s="290" t="str">
        <f aca="false">IF($A191="N/A"," ",IF(OR(Dayrun&lt;=2,Dayrun&gt;=11),IF(OffPeakEx=TRUE(),MAX(0,(xSPRDOPT(Q191,($E191-'Pricing Inputs'!$X226*$D191),$CV191,0,($CQ191+IF(Smile=TRUE(),VLOOKUP(MAX(-5,$H191-Q191),Volsmile,2),0)),$CT191,$CU191,($A191-DateToday)+15,ABS(Option-2),0)-Z191)),0),0))</f>
        <v> </v>
      </c>
      <c r="AJ191" s="294" t="str">
        <f aca="false">IF($A191="N/A"," ",IF(Dayrun&gt;=3,IF(Option=1,$I191-$H191,IF(Option=2,$H191-$I191)),0))</f>
        <v> </v>
      </c>
      <c r="AK191" s="295" t="str">
        <f aca="false">IF($A191="N/A"," ",IF(Dayrun&gt;=6,IF(Option=1,$J191-H191,IF(Option=2,H191-$J191)),0))</f>
        <v> </v>
      </c>
      <c r="AL191" s="295" t="str">
        <f aca="false">IF($A191="N/A"," ",IF(OR(Dayrun&lt;=2,Dayrun&gt;=9),IF(Option=1,$K191-$H191,IF(Option=2,$H191-$K191)),0))</f>
        <v> </v>
      </c>
      <c r="AM191" s="295" t="str">
        <f aca="false">IF($A191="N/A"," ",IF(OR(Dayrun=1,Dayrun=4,Dayrun=5,Dayrun=7,Dayrun=8,Dayrun=10,Dayrun=11),IF(Option=1,$L191-H191,IF(Option=2,H191-$L191)),0))</f>
        <v> </v>
      </c>
      <c r="AN191" s="295" t="str">
        <f aca="false">IF($A191="N/A"," ",IF(OR(Dayrun=1,Dayrun=7,Dayrun=8,Dayrun=10,Dayrun=11),IF(Option=1,$M191-H191,IF(Option=2,H191-$M191)),0))</f>
        <v> </v>
      </c>
      <c r="AO191" s="295" t="str">
        <f aca="false">IF($A191="N/A"," ",IF(OR(Dayrun&lt;=2,Dayrun&gt;=9),IF(Option=1,$N191-$H191,IF(Option=2,$H191-$N191)),0))</f>
        <v> </v>
      </c>
      <c r="AP191" s="295" t="str">
        <f aca="false">IF($A191="N/A"," ",IF(OR(Dayrun=1,Dayrun=5,Dayrun=8,Dayrun=11),IF(Option=1,$O191-H191,IF(Option=2,H191-$O191)),0))</f>
        <v> </v>
      </c>
      <c r="AQ191" s="295" t="str">
        <f aca="false">IF($A191="N/A"," ",IF(OR(Dayrun=1,Dayrun=8,Dayrun=11),IF(Option=1,$P191-H191,IF(Option=2,H191-$P191)),0))</f>
        <v> </v>
      </c>
      <c r="AR191" s="296" t="str">
        <f aca="false">IF($A191="N/A"," ",IF(OR(Dayrun&lt;=2,Dayrun&gt;=9),IF(Option=1,$Q191-H191,IF(Option=2,H191-$Q191)),0))</f>
        <v> </v>
      </c>
      <c r="AS191" s="297" t="str">
        <f aca="false">IF($A191="N/A"," ",IF(VLOOKUP(MONTH($A191),ManualTable,2)=1,IF(Dayrun&gt;=3,$DE191*8*$CY191,0),0))</f>
        <v> </v>
      </c>
      <c r="AT191" s="297" t="str">
        <f aca="false">IF($A191="N/A"," ",IF(VLOOKUP(MONTH($A191),ManualTable,3)=1,IF(Dayrun&gt;=6,$DE191*8*$CY191,0),0))</f>
        <v> </v>
      </c>
      <c r="AU191" s="297" t="str">
        <f aca="false">IF($A191="N/A"," ",IF(VLOOKUP(MONTH($A191),ManualTable,4)=1,IF(OR(Dayrun&lt;=2,Dayrun&gt;=9),$DE191*8*$CY191,0),0))</f>
        <v> </v>
      </c>
      <c r="AV191" s="297" t="str">
        <f aca="false">IF($A191="N/A"," ",IF(VLOOKUP(MONTH($A191),ManualTable,5)=1,IF(OR(Dayrun=1,Dayrun=4,Dayrun=5,Dayrun=7,Dayrun=8,Dayrun=10,Dayrun=11),$DF191*8*$CY191,0),0))</f>
        <v> </v>
      </c>
      <c r="AW191" s="297" t="str">
        <f aca="false">IF($A191="N/A"," ",IF(VLOOKUP(MONTH($A191),ManualTable,6)=1,IF(OR(Dayrun=1,Dayrun=7,Dayrun=8,Dayrun=10,Dayrun=11),$DF191*8*$CY191,0),0))</f>
        <v> </v>
      </c>
      <c r="AX191" s="297" t="str">
        <f aca="false">IF($A191="N/A"," ",IF(VLOOKUP(MONTH($A191),ManualTable,7)=1,IF(OR(Dayrun&lt;=2,Dayrun&gt;=9),$DF191*8*$CY191,0),0))</f>
        <v> </v>
      </c>
      <c r="AY191" s="297" t="str">
        <f aca="false">IF($A191="N/A"," ",IF(VLOOKUP(MONTH($A191),ManualTable,8)=1,IF(OR(Dayrun=1,Dayrun=5,Dayrun=8,Dayrun=11),$DG191*8*$CY191,0),0))</f>
        <v> </v>
      </c>
      <c r="AZ191" s="297" t="str">
        <f aca="false">IF($A191="N/A"," ",IF(VLOOKUP(MONTH($A191),ManualTable,9)=1,IF(OR(Dayrun=1,Dayrun=8,Dayrun=11),$DG191*8*$CY191,0),0))</f>
        <v> </v>
      </c>
      <c r="BA191" s="298" t="str">
        <f aca="false">IF($A191="N/A"," ",IF(VLOOKUP(MONTH($A191),ManualTable,10)=1,IF(OR(Dayrun&lt;=2,Dayrun&gt;=9),$DG191*8*$CY191,0),0))</f>
        <v> </v>
      </c>
      <c r="BB191" s="299" t="str">
        <f aca="false">IF($A191="N/A"," ",IF(Dayrun&gt;=3,(MAX(0,(xSPRDOPT(I191,($E191-'Pricing Inputs'!$X226*$D191),$CV191,0,($CN191+IF(Smile=TRUE(),VLOOKUP(MAX(-5,$H191-I191),Volsmile,2),0)),$CT191,$CU191,($A191-DateToday)+15,ABS(Option-2),1)*DE191*8))),0))</f>
        <v> </v>
      </c>
      <c r="BC191" s="300" t="str">
        <f aca="false">IF($A191="N/A"," ",IF(Dayrun&gt;=6,MAX(0,(xSPRDOPT(J191,($E191-'Pricing Inputs'!$X226*$D191),$CV191,0,($CN191+IF(Smile=TRUE(),VLOOKUP(MAX(-5,$H191-J191),Volsmile,2),0)),$CT191,$CU191,($A191-DateToday)+15,ABS(Option-2),1)*DE191*8)),0))</f>
        <v> </v>
      </c>
      <c r="BD191" s="300" t="str">
        <f aca="false">IF($A191="N/A"," ",IF(OR(Dayrun&lt;=2,Dayrun&gt;=9),IF(OffPeakEx=TRUE(),MAX(0,(xSPRDOPT(K191,($E191-'Pricing Inputs'!$X226*$D191),$CV191,0,($CQ191+IF(Smile=TRUE(),VLOOKUP(MAX(-5,$H191-K191),Volsmile,2),0)),$CT191,$CU191,($A191-DateToday)+15,ABS(Option-2),1)*DE191*8)),0),0))</f>
        <v> </v>
      </c>
      <c r="BE191" s="300" t="str">
        <f aca="false">IF($A191="N/A"," ",IF(OR(Dayrun=1,Dayrun=4,Dayrun=5,Dayrun=7,Dayrun=8,Dayrun=10,Dayrun=11),MAX(0,(xSPRDOPT(L191,($E191-'Pricing Inputs'!$X226*$D191),$CV191,0,($CQ191+IF(Smile=TRUE(),VLOOKUP(MAX(-5,$H191-L191),Volsmile,2),0)),$CT191,$CU191,($A191-DateToday)+15,ABS(Option-2),1)*DF191*8)),0))</f>
        <v> </v>
      </c>
      <c r="BF191" s="300" t="str">
        <f aca="false">IF($A191="N/A"," ",IF(OR(Dayrun=1,Dayrun=7,Dayrun=8,Dayrun=10,Dayrun=11),MAX(0,(xSPRDOPT(M191,($E191-'Pricing Inputs'!$X226*$D191),$CV191,0,($CQ191+IF(Smile=TRUE(),VLOOKUP(MAX(-5,$H191-M191),Volsmile,2),0)),$CT191,$CU191,($A191-DateToday)+15,ABS(Option-2),1)*DF191*8)),0))</f>
        <v> </v>
      </c>
      <c r="BG191" s="300" t="str">
        <f aca="false">IF($A191="N/A"," ",IF(OR(Dayrun&lt;=2,Dayrun&gt;=10),IF(OffPeakEx=TRUE(),MAX(0,(xSPRDOPT(N191,($E191-'Pricing Inputs'!$X226*$D191),$CV191,0,($CQ191+IF(Smile=TRUE(),VLOOKUP(MAX(-5,$H191-N191),Volsmile,2),0)),$CT191,$CU191,($A191-DateToday)+15,ABS(Option-2),1)*DF191*8)),0),0))</f>
        <v> </v>
      </c>
      <c r="BH191" s="300" t="str">
        <f aca="false">IF($A191="N/A"," ",IF(OR(Dayrun=1,Dayrun=5,Dayrun=8,Dayrun=11),MAX(0,(xSPRDOPT(O191,($E191-'Pricing Inputs'!$X226*$D191),$CV191,0,($CQ191+IF(Smile=TRUE(),VLOOKUP(MAX(-5,$H191-O191),Volsmile,2),0)),$CT191,$CU191,($A191-DateToday)+15,ABS(Option-2),1)*DG191*8)),0))</f>
        <v> </v>
      </c>
      <c r="BI191" s="300" t="str">
        <f aca="false">IF($A191="N/A"," ",IF(OR(Dayrun=1,Dayrun=8,Dayrun=11),MAX(0,(xSPRDOPT(P191,($E191-'Pricing Inputs'!$X226*$D191),$CV191,0,($CQ191+IF(Smile=TRUE(),VLOOKUP(MAX(-5,$H191-P191),Volsmile,2),0)),$CT191,$CU191,($A191-DateToday)+15,ABS(Option-2),1)*DG191*8)),0))</f>
        <v> </v>
      </c>
      <c r="BJ191" s="301" t="str">
        <f aca="false">IF($A191="N/A"," ",IF(OR(Dayrun&lt;=2,Dayrun&gt;=11),IF(OffPeakEx=TRUE(),MAX(0,(xSPRDOPT(Q191,($E191-'Pricing Inputs'!$X226*$D191),$CV191,0,($CQ191+IF(Smile=TRUE(),VLOOKUP(MAX(-5,$H191-Q191),Volsmile,2),0)),$CT191,$CU191,($A191-DateToday)+15,ABS(Option-2),1)*DG191*8)),0),0))</f>
        <v> </v>
      </c>
      <c r="BK191" s="302" t="str">
        <f aca="false">IF($A191="N/A"," ",R191*$AS191)</f>
        <v> </v>
      </c>
      <c r="BL191" s="303" t="str">
        <f aca="false">IF($A191="N/A"," ",S191*$AT191)</f>
        <v> </v>
      </c>
      <c r="BM191" s="303" t="str">
        <f aca="false">IF($A191="N/A"," ",T191*$AU191)</f>
        <v> </v>
      </c>
      <c r="BN191" s="303" t="str">
        <f aca="false">IF($A191="N/A"," ",U191*$AV191)</f>
        <v> </v>
      </c>
      <c r="BO191" s="303" t="str">
        <f aca="false">IF($A191="N/A"," ",V191*$AW191)</f>
        <v> </v>
      </c>
      <c r="BP191" s="303" t="str">
        <f aca="false">IF($A191="N/A"," ",W191*$AX191)</f>
        <v> </v>
      </c>
      <c r="BQ191" s="303" t="str">
        <f aca="false">IF($A191="N/A"," ",X191*$AY191)</f>
        <v> </v>
      </c>
      <c r="BR191" s="303" t="str">
        <f aca="false">IF($A191="N/A"," ",Y191*$AZ191)</f>
        <v> </v>
      </c>
      <c r="BS191" s="304" t="str">
        <f aca="false">IF($A191="N/A"," ",Z191*$BA191)</f>
        <v> </v>
      </c>
      <c r="BT191" s="305" t="str">
        <f aca="false">IF($A191="N/A"," ",AA191*$AS191)</f>
        <v> </v>
      </c>
      <c r="BU191" s="306" t="str">
        <f aca="false">IF($A191="N/A"," ",AB191*$AT191)</f>
        <v> </v>
      </c>
      <c r="BV191" s="306" t="str">
        <f aca="false">IF($A191="N/A"," ",AC191*$AU191)</f>
        <v> </v>
      </c>
      <c r="BW191" s="306" t="str">
        <f aca="false">IF($A191="N/A"," ",AD191*$AV191)</f>
        <v> </v>
      </c>
      <c r="BX191" s="306" t="str">
        <f aca="false">IF($A191="N/A"," ",AE191*$AW191)</f>
        <v> </v>
      </c>
      <c r="BY191" s="306" t="str">
        <f aca="false">IF($A191="N/A"," ",AF191*$AX191)</f>
        <v> </v>
      </c>
      <c r="BZ191" s="306" t="str">
        <f aca="false">IF($A191="N/A"," ",AG191*$AY191)</f>
        <v> </v>
      </c>
      <c r="CA191" s="306" t="str">
        <f aca="false">IF($A191="N/A"," ",AH191*$AZ191)</f>
        <v> </v>
      </c>
      <c r="CB191" s="307" t="str">
        <f aca="false">IF($A191="N/A"," ",AI191*$BA191)</f>
        <v> </v>
      </c>
      <c r="CC191" s="308" t="str">
        <f aca="false">IF($A191="N/A"," ",AJ191*$AS191)</f>
        <v> </v>
      </c>
      <c r="CD191" s="309" t="str">
        <f aca="false">IF($A191="N/A"," ",AK191*$AT191)</f>
        <v> </v>
      </c>
      <c r="CE191" s="309" t="str">
        <f aca="false">IF($A191="N/A"," ",AL191*$AU191)</f>
        <v> </v>
      </c>
      <c r="CF191" s="309" t="str">
        <f aca="false">IF($A191="N/A"," ",AM191*$AV191)</f>
        <v> </v>
      </c>
      <c r="CG191" s="309" t="str">
        <f aca="false">IF($A191="N/A"," ",AN191*$AW191)</f>
        <v> </v>
      </c>
      <c r="CH191" s="309" t="str">
        <f aca="false">IF($A191="N/A"," ",AO191*$AX191)</f>
        <v> </v>
      </c>
      <c r="CI191" s="309" t="str">
        <f aca="false">IF($A191="N/A"," ",AP191*$AY191)</f>
        <v> </v>
      </c>
      <c r="CJ191" s="309" t="str">
        <f aca="false">IF($A191="N/A"," ",AQ191*$AZ191)</f>
        <v> </v>
      </c>
      <c r="CK191" s="310" t="str">
        <f aca="false">IF($A191="N/A"," ",AR191*$BA191)</f>
        <v> </v>
      </c>
      <c r="CL191" s="311" t="str">
        <f aca="false">IF(A191="N/A"," ",(VLOOKUP(A191,PowerVolTable,(IF(VolBMO=2,7,IF(VolBMO=1,6,8))),FALSE())))</f>
        <v> </v>
      </c>
      <c r="CM191" s="312" t="str">
        <f aca="false">IF(A191="N/A"," ",(VLOOKUP(A191,IntraPowerVol,(IF(VolBMO=2,3,IF(VolBMO=1,2,4))),FALSE())*VLOOKUP(MONTH($A191),Volscale,2)))</f>
        <v> </v>
      </c>
      <c r="CN191" s="312" t="str">
        <f aca="false">IF($A191="N/A"," ",IF(VolType=1,CM191,CL191))</f>
        <v> </v>
      </c>
      <c r="CO191" s="312" t="str">
        <f aca="false">IF($A191="N/A"," ",(VLOOKUP($A191,OffPeakVol,(IF(VolBMO=2,7,IF(VolBMO=1,6,8))),FALSE())))</f>
        <v> </v>
      </c>
      <c r="CP191" s="312" t="str">
        <f aca="false">IF($A191="N/A"," ",(VLOOKUP($A191,OffPeakVol,(IF(VolBMO=2,3,IF(VolBMO=1,2,4))),FALSE())*VLOOKUP(MONTH($A191),Volscale,2)))</f>
        <v> </v>
      </c>
      <c r="CQ191" s="312" t="str">
        <f aca="false">IF($A191="N/A"," ",IF(VolType=1,CP191,CO191))</f>
        <v> </v>
      </c>
      <c r="CR191" s="312" t="str">
        <f aca="false">IF($A191="N/A"," ",(VLOOKUP($A191,GasVolTable,(IF(VolBMO=2,6,IF(VolBMO=1,7,5))),FALSE())))</f>
        <v> </v>
      </c>
      <c r="CS191" s="312" t="str">
        <f aca="false">IF($A191="N/A"," ",(VLOOKUP($A191,OmicronVol,(IF(VolBMO=2,3,IF(VolBMO=1,4,2))),FALSE())))</f>
        <v> </v>
      </c>
      <c r="CT191" s="312" t="str">
        <f aca="false">IF($A191="N/A"," ",(IF(DateToday&gt;$A191,$CS191,IF(VolType=1,((($CR191^2)*((($A191-1)-DateToday)/((EOMONTH($A191,0)+1)-DateToday-15)))+((($CS191)^2)*((15)/((EOMONTH($A191,0)+1)-DateToday-15))))^0.5,CR191))))</f>
        <v> </v>
      </c>
      <c r="CU191" s="312" t="str">
        <f aca="false">IF($A191="N/A"," ",IF('Pricing Inputs'!$AR$23=TRUE(),Inputs!$S$22,VLOOKUP($A191,CorrelationTable,2,FALSE())))</f>
        <v> </v>
      </c>
      <c r="CV191" s="313" t="str">
        <f aca="false">IF($A191="N/A"," ",F191+G191+(D191*('Pricing Inputs'!X226)))</f>
        <v> </v>
      </c>
      <c r="CW191" s="314" t="str">
        <f aca="false">IF($A191="N/A"," ",IF(PV=1,0,'Pricing Inputs'!Y226))</f>
        <v> </v>
      </c>
      <c r="CX191" s="315" t="str">
        <f aca="false">IF($A191="N/A"," ",(1+CW191/2)^(-2*((EOMONTH(A191,0)+20)-DateToday)/365.25))</f>
        <v> </v>
      </c>
      <c r="CY191" s="316" t="str">
        <f aca="false">IF($A191="N/A"," ",(IF(MONTH(A191)&gt;=4,IF(MONTH(A191)&lt;=10,Inputs!$S$26,Inputs!$S$27),Inputs!$S$27))*$CX191)</f>
        <v> </v>
      </c>
      <c r="CZ191" s="317" t="str">
        <f aca="false">IF($A191="N/A"," ",BK191+BL191+BN191+BO191+BQ191+BR191)</f>
        <v> </v>
      </c>
      <c r="DA191" s="318" t="str">
        <f aca="false">IF($A191="N/A"," ",BM191+BP191+BS191)</f>
        <v> </v>
      </c>
      <c r="DB191" s="319" t="str">
        <f aca="false">IF($A191="N/A"," ",BT191+BU191+BW191+BX191+BZ191+CA191)</f>
        <v> </v>
      </c>
      <c r="DC191" s="319" t="str">
        <f aca="false">IF($A191="N/A"," ",BV191+BY191+CB191)</f>
        <v> </v>
      </c>
      <c r="DD191" s="320" t="str">
        <f aca="false">IF($A191="N/A"," ",SUM(CC191:CK191))</f>
        <v> </v>
      </c>
      <c r="DE191" s="321" t="str">
        <f aca="false">IF($A191="N/A"," ",VLOOKUP($A191,NumberofDaysTable,2)*Availability)</f>
        <v> </v>
      </c>
      <c r="DF191" s="94" t="str">
        <f aca="false">IF($A191="N/A"," ",VLOOKUP($A191,NumberofDaysTable,3)*Availability)</f>
        <v> </v>
      </c>
      <c r="DG191" s="322" t="str">
        <f aca="false">IF($A191="N/A"," ",VLOOKUP($A191,NumberofDaysTable,4)*Availability)</f>
        <v> </v>
      </c>
      <c r="DH191" s="323" t="str">
        <f aca="false">IF($A191="N/A"," ",IF(Option=1,$D191*Inputs!$S$15*SUM(AS191:BA191),0))</f>
        <v> </v>
      </c>
      <c r="DI191" s="324" t="str">
        <f aca="false">IF($A191="N/A"," ",IF(Option=1,$D191*Inputs!$S$16*SUM(AS191:BA191),0))</f>
        <v> </v>
      </c>
      <c r="DJ191" s="325" t="str">
        <f aca="false">IF($A191="N/A"," ",SUM(AS191:AT191))</f>
        <v> </v>
      </c>
      <c r="DK191" s="325" t="str">
        <f aca="false">IF($A191="N/A"," ",SUM(AU191:BA191))</f>
        <v> </v>
      </c>
      <c r="DL191" s="325" t="str">
        <f aca="false">IF($A191="N/A"," ",SUM(BB191:BC191))</f>
        <v> </v>
      </c>
      <c r="DM191" s="325" t="str">
        <f aca="false">IF($A191="N/A"," ",SUM(BD191:BJ191))</f>
        <v> </v>
      </c>
    </row>
    <row r="192" customFormat="false" ht="12.75" hidden="false" customHeight="false" outlineLevel="0" collapsed="false">
      <c r="A192" s="282" t="str">
        <f aca="false">IF(A191="N/A","N/A",IF(EDATE(A191,1)&gt;Inputs!$S$5,"N/A",EDATE(A191,1)))</f>
        <v>N/A</v>
      </c>
      <c r="B192" s="283" t="str">
        <f aca="false">IF(A192="N/A"," ",YEAR(A192))</f>
        <v> </v>
      </c>
      <c r="C192" s="284" t="str">
        <f aca="false">IF(A192="N/A"," ",VLOOKUP(A192,ScaledPrice,14))</f>
        <v> </v>
      </c>
      <c r="D192" s="285" t="str">
        <f aca="false">IF(A192="N/A"," ",(VLOOKUP(MONTH($A192),Hrtable,2))/1000)</f>
        <v> </v>
      </c>
      <c r="E192" s="286" t="str">
        <f aca="false">IF($A192="N/A"," ",(C192)*D192)</f>
        <v> </v>
      </c>
      <c r="F192" s="287" t="str">
        <f aca="false">IF(A192="N/A"," ",VOM*(1+VOMesc)^(YEAR(A192)-YEAR(Today)))</f>
        <v> </v>
      </c>
      <c r="G192" s="287" t="str">
        <f aca="false">IF(A192="N/A"," ",Perstart/VLOOKUP(Dayrun,'Pricing Inputs'!$AQ$4:$AS$14,3)/(CY192/CX192))</f>
        <v> </v>
      </c>
      <c r="H192" s="288" t="str">
        <f aca="false">IF(A192="N/A"," ",SUM(E192:G192))</f>
        <v> </v>
      </c>
      <c r="I192" s="289" t="str">
        <f aca="false">VLOOKUP($A192,ScaledPrice,6)</f>
        <v> </v>
      </c>
      <c r="J192" s="290" t="str">
        <f aca="false">VLOOKUP($A192,ScaledPrice,10)</f>
        <v> </v>
      </c>
      <c r="K192" s="290" t="str">
        <f aca="false">VLOOKUP($A192,ScaledPrice,13)</f>
        <v> </v>
      </c>
      <c r="L192" s="290" t="str">
        <f aca="false">VLOOKUP($A192,ScaledPrice,7)</f>
        <v> </v>
      </c>
      <c r="M192" s="290" t="str">
        <f aca="false">VLOOKUP($A192,ScaledPrice,11)</f>
        <v> </v>
      </c>
      <c r="N192" s="290" t="str">
        <f aca="false">VLOOKUP($A192,ScaledPrice,13)</f>
        <v> </v>
      </c>
      <c r="O192" s="290" t="str">
        <f aca="false">VLOOKUP($A192,ScaledPrice,8)</f>
        <v> </v>
      </c>
      <c r="P192" s="290" t="str">
        <f aca="false">VLOOKUP($A192,ScaledPrice,12)</f>
        <v> </v>
      </c>
      <c r="Q192" s="291" t="str">
        <f aca="false">VLOOKUP($A192,ScaledPrice,13)</f>
        <v> </v>
      </c>
      <c r="R192" s="292" t="str">
        <f aca="false">IF($A192="N/A"," ",IF(Dayrun&gt;=3,IF(Option=1,MAX($I192-$H192,0),IF(Option=2,MAX($H192-$I192,0),0)),0))</f>
        <v> </v>
      </c>
      <c r="S192" s="286" t="str">
        <f aca="false">IF($A192="N/A"," ",IF(Dayrun&gt;=6,IF(Option=1,MAX($J192-H192,0),IF(Option=2,MAX(H192-$J192,0),0)),0))</f>
        <v> </v>
      </c>
      <c r="T192" s="286" t="str">
        <f aca="false">IF($A192="N/A"," ",IF(OR(Dayrun&lt;=2,Dayrun&gt;=9),IF(Option=1,MAX($K192-$H192,0),IF(Option=2,MAX($H192-$K192,0),0)),0))</f>
        <v> </v>
      </c>
      <c r="U192" s="286" t="str">
        <f aca="false">IF($A192="N/A"," ",IF(OR(Dayrun=1,Dayrun=4,Dayrun=5,Dayrun=7,Dayrun=8,Dayrun=10,Dayrun=11),IF(Option=1,MAX($L192-H192,0),IF(Option=2,MAX(H192-$L192,0),0)),0))</f>
        <v> </v>
      </c>
      <c r="V192" s="286" t="str">
        <f aca="false">IF($A192="N/A"," ",IF(OR(Dayrun=1,Dayrun=7,Dayrun=8,Dayrun=10,Dayrun=11),IF(Option=1,MAX($M192-H192,0),IF(Option=2,MAX(H192-$M192,0),0)),0))</f>
        <v> </v>
      </c>
      <c r="W192" s="286" t="str">
        <f aca="false">IF($A192="N/A"," ",IF(OR(Dayrun&lt;=2,Dayrun&gt;=10),IF(Option=1,MAX($N192-$H192,0),IF(Option=2,MAX($H192-$N192,0),0)),0))</f>
        <v> </v>
      </c>
      <c r="X192" s="286" t="str">
        <f aca="false">IF($A192="N/A"," ",IF(OR(Dayrun=1,Dayrun=5,Dayrun=8,Dayrun=11),IF(Option=1,MAX($O192-H192,0),IF(Option=2,MAX(H192-$O192,0),0)),0))</f>
        <v> </v>
      </c>
      <c r="Y192" s="286" t="str">
        <f aca="false">IF($A192="N/A"," ",IF(OR(Dayrun=1,Dayrun=8,Dayrun=11),IF(Option=1,MAX($P192-H192,0),IF(Option=2,MAX(H192-$P192,0),0)),0))</f>
        <v> </v>
      </c>
      <c r="Z192" s="293" t="str">
        <f aca="false">IF($A192="N/A"," ",IF(OR(Dayrun&lt;=2,Dayrun&gt;=11),IF(Option=1,MAX($Q192-$H192,0),IF(Option=2,MAX($H192-$Q192,0),0)),0))</f>
        <v> </v>
      </c>
      <c r="AA192" s="289" t="str">
        <f aca="false">IF($A192="N/A"," ",IF(Dayrun&gt;=3,(MAX(0,(xSPRDOPT(I192,($E192-'Pricing Inputs'!$X227*$D192),$CV192,0,($CN192+IF(Smile=TRUE(),VLOOKUP(MAX(-5,$H192-I192),Volsmile,2),0)),$CT192,$CU192,($A192-DateToday)+15,ABS(Option-2),0)-R192))),0))</f>
        <v> </v>
      </c>
      <c r="AB192" s="290" t="str">
        <f aca="false">IF($A192="N/A"," ",IF(Dayrun&gt;=6,MAX(0,(xSPRDOPT(J192,($E192-'Pricing Inputs'!$X227*$D192),$CV192,0,($CN192+IF(Smile=TRUE(),VLOOKUP(MAX(-5,$H192-J192),Volsmile,2),0)),$CT192,$CU192,($A192-DateToday)+15,ABS(Option-2),0)-S192)),0))</f>
        <v> </v>
      </c>
      <c r="AC192" s="290" t="str">
        <f aca="false">IF($A192="N/A"," ",IF(OR(Dayrun&lt;=2,Dayrun&gt;=9),IF(OffPeakEx=TRUE(),MAX(0,(xSPRDOPT(K192,($E192-'Pricing Inputs'!$X227*$D192),$CV192,0,($CQ192+IF(Smile=TRUE(),VLOOKUP(MAX(-5,$H192-K192),Volsmile,2),0)),$CT192,$CU192,($A192-DateToday)+15,ABS(Option-2),0)-T192)),0),0))</f>
        <v> </v>
      </c>
      <c r="AD192" s="290" t="str">
        <f aca="false">IF($A192="N/A"," ",IF(OR(Dayrun=1,Dayrun=4,Dayrun=5,Dayrun=7,Dayrun=8,Dayrun=10,Dayrun=11),MAX(0,(xSPRDOPT(L192,($E192-'Pricing Inputs'!$X227*$D192),$CV192,0,($CQ192+IF(Smile=TRUE(),VLOOKUP(MAX(-5,$H192-L192),Volsmile,2),0)),$CT192,$CU192,($A192-DateToday)+15,ABS(Option-2),0)-U192)),0))</f>
        <v> </v>
      </c>
      <c r="AE192" s="290" t="str">
        <f aca="false">IF($A192="N/A"," ",IF(OR(Dayrun=1,Dayrun=7,Dayrun=8,Dayrun=10,Dayrun=11),MAX(0,(xSPRDOPT(M192,($E192-'Pricing Inputs'!$X227*$D192),$CV192,0,($CQ192+IF(Smile=TRUE(),VLOOKUP(MAX(-5,$H192-M192),Volsmile,2),0)),$CT192,$CU192,($A192-DateToday)+15,ABS(Option-2),0)-V192)),0))</f>
        <v> </v>
      </c>
      <c r="AF192" s="290" t="str">
        <f aca="false">IF($A192="N/A"," ",IF(OR(Dayrun&lt;=2,Dayrun&gt;=10),IF(OffPeakEx=TRUE(),MAX(0,(xSPRDOPT(N192,($E192-'Pricing Inputs'!$X227*$D192),$CV192,0,($CQ192+IF(Smile=TRUE(),VLOOKUP(MAX(-5,$H192-N192),Volsmile,2),0)),$CT192,$CU192,($A192-DateToday)+15,ABS(Option-2),0)-W192)),0),0))</f>
        <v> </v>
      </c>
      <c r="AG192" s="290" t="str">
        <f aca="false">IF($A192="N/A"," ",IF(OR(Dayrun=1,Dayrun=5,Dayrun=8,Dayrun=11),MAX(0,(xSPRDOPT(O192,($E192-'Pricing Inputs'!$X227*$D192),$CV192,0,($CQ192+IF(Smile=TRUE(),VLOOKUP(MAX(-5,$H192-O192),Volsmile,2),0)),$CT192,$CU192,($A192-DateToday)+15,ABS(Option-2),0)-X192)),0))</f>
        <v> </v>
      </c>
      <c r="AH192" s="290" t="str">
        <f aca="false">IF($A192="N/A"," ",IF(OR(Dayrun=1,Dayrun=8,Dayrun=11),MAX(0,(xSPRDOPT(P192,($E192-'Pricing Inputs'!$X227*$D192),$CV192,0,($CQ192+IF(Smile=TRUE(),VLOOKUP(MAX(-5,$H192-P192),Volsmile,2),0)),$CT192,$CU192,($A192-DateToday)+15,ABS(Option-2),0)-Y192)),0))</f>
        <v> </v>
      </c>
      <c r="AI192" s="290" t="str">
        <f aca="false">IF($A192="N/A"," ",IF(OR(Dayrun&lt;=2,Dayrun&gt;=11),IF(OffPeakEx=TRUE(),MAX(0,(xSPRDOPT(Q192,($E192-'Pricing Inputs'!$X227*$D192),$CV192,0,($CQ192+IF(Smile=TRUE(),VLOOKUP(MAX(-5,$H192-Q192),Volsmile,2),0)),$CT192,$CU192,($A192-DateToday)+15,ABS(Option-2),0)-Z192)),0),0))</f>
        <v> </v>
      </c>
      <c r="AJ192" s="294" t="str">
        <f aca="false">IF($A192="N/A"," ",IF(Dayrun&gt;=3,IF(Option=1,$I192-$H192,IF(Option=2,$H192-$I192)),0))</f>
        <v> </v>
      </c>
      <c r="AK192" s="295" t="str">
        <f aca="false">IF($A192="N/A"," ",IF(Dayrun&gt;=6,IF(Option=1,$J192-H192,IF(Option=2,H192-$J192)),0))</f>
        <v> </v>
      </c>
      <c r="AL192" s="295" t="str">
        <f aca="false">IF($A192="N/A"," ",IF(OR(Dayrun&lt;=2,Dayrun&gt;=9),IF(Option=1,$K192-$H192,IF(Option=2,$H192-$K192)),0))</f>
        <v> </v>
      </c>
      <c r="AM192" s="295" t="str">
        <f aca="false">IF($A192="N/A"," ",IF(OR(Dayrun=1,Dayrun=4,Dayrun=5,Dayrun=7,Dayrun=8,Dayrun=10,Dayrun=11),IF(Option=1,$L192-H192,IF(Option=2,H192-$L192)),0))</f>
        <v> </v>
      </c>
      <c r="AN192" s="295" t="str">
        <f aca="false">IF($A192="N/A"," ",IF(OR(Dayrun=1,Dayrun=7,Dayrun=8,Dayrun=10,Dayrun=11),IF(Option=1,$M192-H192,IF(Option=2,H192-$M192)),0))</f>
        <v> </v>
      </c>
      <c r="AO192" s="295" t="str">
        <f aca="false">IF($A192="N/A"," ",IF(OR(Dayrun&lt;=2,Dayrun&gt;=9),IF(Option=1,$N192-$H192,IF(Option=2,$H192-$N192)),0))</f>
        <v> </v>
      </c>
      <c r="AP192" s="295" t="str">
        <f aca="false">IF($A192="N/A"," ",IF(OR(Dayrun=1,Dayrun=5,Dayrun=8,Dayrun=11),IF(Option=1,$O192-H192,IF(Option=2,H192-$O192)),0))</f>
        <v> </v>
      </c>
      <c r="AQ192" s="295" t="str">
        <f aca="false">IF($A192="N/A"," ",IF(OR(Dayrun=1,Dayrun=8,Dayrun=11),IF(Option=1,$P192-H192,IF(Option=2,H192-$P192)),0))</f>
        <v> </v>
      </c>
      <c r="AR192" s="296" t="str">
        <f aca="false">IF($A192="N/A"," ",IF(OR(Dayrun&lt;=2,Dayrun&gt;=9),IF(Option=1,$Q192-H192,IF(Option=2,H192-$Q192)),0))</f>
        <v> </v>
      </c>
      <c r="AS192" s="297" t="str">
        <f aca="false">IF($A192="N/A"," ",IF(VLOOKUP(MONTH($A192),ManualTable,2)=1,IF(Dayrun&gt;=3,$DE192*8*$CY192,0),0))</f>
        <v> </v>
      </c>
      <c r="AT192" s="297" t="str">
        <f aca="false">IF($A192="N/A"," ",IF(VLOOKUP(MONTH($A192),ManualTable,3)=1,IF(Dayrun&gt;=6,$DE192*8*$CY192,0),0))</f>
        <v> </v>
      </c>
      <c r="AU192" s="297" t="str">
        <f aca="false">IF($A192="N/A"," ",IF(VLOOKUP(MONTH($A192),ManualTable,4)=1,IF(OR(Dayrun&lt;=2,Dayrun&gt;=9),$DE192*8*$CY192,0),0))</f>
        <v> </v>
      </c>
      <c r="AV192" s="297" t="str">
        <f aca="false">IF($A192="N/A"," ",IF(VLOOKUP(MONTH($A192),ManualTable,5)=1,IF(OR(Dayrun=1,Dayrun=4,Dayrun=5,Dayrun=7,Dayrun=8,Dayrun=10,Dayrun=11),$DF192*8*$CY192,0),0))</f>
        <v> </v>
      </c>
      <c r="AW192" s="297" t="str">
        <f aca="false">IF($A192="N/A"," ",IF(VLOOKUP(MONTH($A192),ManualTable,6)=1,IF(OR(Dayrun=1,Dayrun=7,Dayrun=8,Dayrun=10,Dayrun=11),$DF192*8*$CY192,0),0))</f>
        <v> </v>
      </c>
      <c r="AX192" s="297" t="str">
        <f aca="false">IF($A192="N/A"," ",IF(VLOOKUP(MONTH($A192),ManualTable,7)=1,IF(OR(Dayrun&lt;=2,Dayrun&gt;=9),$DF192*8*$CY192,0),0))</f>
        <v> </v>
      </c>
      <c r="AY192" s="297" t="str">
        <f aca="false">IF($A192="N/A"," ",IF(VLOOKUP(MONTH($A192),ManualTable,8)=1,IF(OR(Dayrun=1,Dayrun=5,Dayrun=8,Dayrun=11),$DG192*8*$CY192,0),0))</f>
        <v> </v>
      </c>
      <c r="AZ192" s="297" t="str">
        <f aca="false">IF($A192="N/A"," ",IF(VLOOKUP(MONTH($A192),ManualTable,9)=1,IF(OR(Dayrun=1,Dayrun=8,Dayrun=11),$DG192*8*$CY192,0),0))</f>
        <v> </v>
      </c>
      <c r="BA192" s="298" t="str">
        <f aca="false">IF($A192="N/A"," ",IF(VLOOKUP(MONTH($A192),ManualTable,10)=1,IF(OR(Dayrun&lt;=2,Dayrun&gt;=9),$DG192*8*$CY192,0),0))</f>
        <v> </v>
      </c>
      <c r="BB192" s="299" t="str">
        <f aca="false">IF($A192="N/A"," ",IF(Dayrun&gt;=3,(MAX(0,(xSPRDOPT(I192,($E192-'Pricing Inputs'!$X227*$D192),$CV192,0,($CN192+IF(Smile=TRUE(),VLOOKUP(MAX(-5,$H192-I192),Volsmile,2),0)),$CT192,$CU192,($A192-DateToday)+15,ABS(Option-2),1)*DE192*8))),0))</f>
        <v> </v>
      </c>
      <c r="BC192" s="300" t="str">
        <f aca="false">IF($A192="N/A"," ",IF(Dayrun&gt;=6,MAX(0,(xSPRDOPT(J192,($E192-'Pricing Inputs'!$X227*$D192),$CV192,0,($CN192+IF(Smile=TRUE(),VLOOKUP(MAX(-5,$H192-J192),Volsmile,2),0)),$CT192,$CU192,($A192-DateToday)+15,ABS(Option-2),1)*DE192*8)),0))</f>
        <v> </v>
      </c>
      <c r="BD192" s="300" t="str">
        <f aca="false">IF($A192="N/A"," ",IF(OR(Dayrun&lt;=2,Dayrun&gt;=9),IF(OffPeakEx=TRUE(),MAX(0,(xSPRDOPT(K192,($E192-'Pricing Inputs'!$X227*$D192),$CV192,0,($CQ192+IF(Smile=TRUE(),VLOOKUP(MAX(-5,$H192-K192),Volsmile,2),0)),$CT192,$CU192,($A192-DateToday)+15,ABS(Option-2),1)*DE192*8)),0),0))</f>
        <v> </v>
      </c>
      <c r="BE192" s="300" t="str">
        <f aca="false">IF($A192="N/A"," ",IF(OR(Dayrun=1,Dayrun=4,Dayrun=5,Dayrun=7,Dayrun=8,Dayrun=10,Dayrun=11),MAX(0,(xSPRDOPT(L192,($E192-'Pricing Inputs'!$X227*$D192),$CV192,0,($CQ192+IF(Smile=TRUE(),VLOOKUP(MAX(-5,$H192-L192),Volsmile,2),0)),$CT192,$CU192,($A192-DateToday)+15,ABS(Option-2),1)*DF192*8)),0))</f>
        <v> </v>
      </c>
      <c r="BF192" s="300" t="str">
        <f aca="false">IF($A192="N/A"," ",IF(OR(Dayrun=1,Dayrun=7,Dayrun=8,Dayrun=10,Dayrun=11),MAX(0,(xSPRDOPT(M192,($E192-'Pricing Inputs'!$X227*$D192),$CV192,0,($CQ192+IF(Smile=TRUE(),VLOOKUP(MAX(-5,$H192-M192),Volsmile,2),0)),$CT192,$CU192,($A192-DateToday)+15,ABS(Option-2),1)*DF192*8)),0))</f>
        <v> </v>
      </c>
      <c r="BG192" s="300" t="str">
        <f aca="false">IF($A192="N/A"," ",IF(OR(Dayrun&lt;=2,Dayrun&gt;=10),IF(OffPeakEx=TRUE(),MAX(0,(xSPRDOPT(N192,($E192-'Pricing Inputs'!$X227*$D192),$CV192,0,($CQ192+IF(Smile=TRUE(),VLOOKUP(MAX(-5,$H192-N192),Volsmile,2),0)),$CT192,$CU192,($A192-DateToday)+15,ABS(Option-2),1)*DF192*8)),0),0))</f>
        <v> </v>
      </c>
      <c r="BH192" s="300" t="str">
        <f aca="false">IF($A192="N/A"," ",IF(OR(Dayrun=1,Dayrun=5,Dayrun=8,Dayrun=11),MAX(0,(xSPRDOPT(O192,($E192-'Pricing Inputs'!$X227*$D192),$CV192,0,($CQ192+IF(Smile=TRUE(),VLOOKUP(MAX(-5,$H192-O192),Volsmile,2),0)),$CT192,$CU192,($A192-DateToday)+15,ABS(Option-2),1)*DG192*8)),0))</f>
        <v> </v>
      </c>
      <c r="BI192" s="300" t="str">
        <f aca="false">IF($A192="N/A"," ",IF(OR(Dayrun=1,Dayrun=8,Dayrun=11),MAX(0,(xSPRDOPT(P192,($E192-'Pricing Inputs'!$X227*$D192),$CV192,0,($CQ192+IF(Smile=TRUE(),VLOOKUP(MAX(-5,$H192-P192),Volsmile,2),0)),$CT192,$CU192,($A192-DateToday)+15,ABS(Option-2),1)*DG192*8)),0))</f>
        <v> </v>
      </c>
      <c r="BJ192" s="301" t="str">
        <f aca="false">IF($A192="N/A"," ",IF(OR(Dayrun&lt;=2,Dayrun&gt;=11),IF(OffPeakEx=TRUE(),MAX(0,(xSPRDOPT(Q192,($E192-'Pricing Inputs'!$X227*$D192),$CV192,0,($CQ192+IF(Smile=TRUE(),VLOOKUP(MAX(-5,$H192-Q192),Volsmile,2),0)),$CT192,$CU192,($A192-DateToday)+15,ABS(Option-2),1)*DG192*8)),0),0))</f>
        <v> </v>
      </c>
      <c r="BK192" s="302" t="str">
        <f aca="false">IF($A192="N/A"," ",R192*$AS192)</f>
        <v> </v>
      </c>
      <c r="BL192" s="303" t="str">
        <f aca="false">IF($A192="N/A"," ",S192*$AT192)</f>
        <v> </v>
      </c>
      <c r="BM192" s="303" t="str">
        <f aca="false">IF($A192="N/A"," ",T192*$AU192)</f>
        <v> </v>
      </c>
      <c r="BN192" s="303" t="str">
        <f aca="false">IF($A192="N/A"," ",U192*$AV192)</f>
        <v> </v>
      </c>
      <c r="BO192" s="303" t="str">
        <f aca="false">IF($A192="N/A"," ",V192*$AW192)</f>
        <v> </v>
      </c>
      <c r="BP192" s="303" t="str">
        <f aca="false">IF($A192="N/A"," ",W192*$AX192)</f>
        <v> </v>
      </c>
      <c r="BQ192" s="303" t="str">
        <f aca="false">IF($A192="N/A"," ",X192*$AY192)</f>
        <v> </v>
      </c>
      <c r="BR192" s="303" t="str">
        <f aca="false">IF($A192="N/A"," ",Y192*$AZ192)</f>
        <v> </v>
      </c>
      <c r="BS192" s="304" t="str">
        <f aca="false">IF($A192="N/A"," ",Z192*$BA192)</f>
        <v> </v>
      </c>
      <c r="BT192" s="305" t="str">
        <f aca="false">IF($A192="N/A"," ",AA192*$AS192)</f>
        <v> </v>
      </c>
      <c r="BU192" s="306" t="str">
        <f aca="false">IF($A192="N/A"," ",AB192*$AT192)</f>
        <v> </v>
      </c>
      <c r="BV192" s="306" t="str">
        <f aca="false">IF($A192="N/A"," ",AC192*$AU192)</f>
        <v> </v>
      </c>
      <c r="BW192" s="306" t="str">
        <f aca="false">IF($A192="N/A"," ",AD192*$AV192)</f>
        <v> </v>
      </c>
      <c r="BX192" s="306" t="str">
        <f aca="false">IF($A192="N/A"," ",AE192*$AW192)</f>
        <v> </v>
      </c>
      <c r="BY192" s="306" t="str">
        <f aca="false">IF($A192="N/A"," ",AF192*$AX192)</f>
        <v> </v>
      </c>
      <c r="BZ192" s="306" t="str">
        <f aca="false">IF($A192="N/A"," ",AG192*$AY192)</f>
        <v> </v>
      </c>
      <c r="CA192" s="306" t="str">
        <f aca="false">IF($A192="N/A"," ",AH192*$AZ192)</f>
        <v> </v>
      </c>
      <c r="CB192" s="307" t="str">
        <f aca="false">IF($A192="N/A"," ",AI192*$BA192)</f>
        <v> </v>
      </c>
      <c r="CC192" s="308" t="str">
        <f aca="false">IF($A192="N/A"," ",AJ192*$AS192)</f>
        <v> </v>
      </c>
      <c r="CD192" s="309" t="str">
        <f aca="false">IF($A192="N/A"," ",AK192*$AT192)</f>
        <v> </v>
      </c>
      <c r="CE192" s="309" t="str">
        <f aca="false">IF($A192="N/A"," ",AL192*$AU192)</f>
        <v> </v>
      </c>
      <c r="CF192" s="309" t="str">
        <f aca="false">IF($A192="N/A"," ",AM192*$AV192)</f>
        <v> </v>
      </c>
      <c r="CG192" s="309" t="str">
        <f aca="false">IF($A192="N/A"," ",AN192*$AW192)</f>
        <v> </v>
      </c>
      <c r="CH192" s="309" t="str">
        <f aca="false">IF($A192="N/A"," ",AO192*$AX192)</f>
        <v> </v>
      </c>
      <c r="CI192" s="309" t="str">
        <f aca="false">IF($A192="N/A"," ",AP192*$AY192)</f>
        <v> </v>
      </c>
      <c r="CJ192" s="309" t="str">
        <f aca="false">IF($A192="N/A"," ",AQ192*$AZ192)</f>
        <v> </v>
      </c>
      <c r="CK192" s="310" t="str">
        <f aca="false">IF($A192="N/A"," ",AR192*$BA192)</f>
        <v> </v>
      </c>
      <c r="CL192" s="311" t="str">
        <f aca="false">IF(A192="N/A"," ",(VLOOKUP(A192,PowerVolTable,(IF(VolBMO=2,7,IF(VolBMO=1,6,8))),FALSE())))</f>
        <v> </v>
      </c>
      <c r="CM192" s="312" t="str">
        <f aca="false">IF(A192="N/A"," ",(VLOOKUP(A192,IntraPowerVol,(IF(VolBMO=2,3,IF(VolBMO=1,2,4))),FALSE())*VLOOKUP(MONTH($A192),Volscale,2)))</f>
        <v> </v>
      </c>
      <c r="CN192" s="312" t="str">
        <f aca="false">IF($A192="N/A"," ",IF(VolType=1,CM192,CL192))</f>
        <v> </v>
      </c>
      <c r="CO192" s="312" t="str">
        <f aca="false">IF($A192="N/A"," ",(VLOOKUP($A192,OffPeakVol,(IF(VolBMO=2,7,IF(VolBMO=1,6,8))),FALSE())))</f>
        <v> </v>
      </c>
      <c r="CP192" s="312" t="str">
        <f aca="false">IF($A192="N/A"," ",(VLOOKUP($A192,OffPeakVol,(IF(VolBMO=2,3,IF(VolBMO=1,2,4))),FALSE())*VLOOKUP(MONTH($A192),Volscale,2)))</f>
        <v> </v>
      </c>
      <c r="CQ192" s="312" t="str">
        <f aca="false">IF($A192="N/A"," ",IF(VolType=1,CP192,CO192))</f>
        <v> </v>
      </c>
      <c r="CR192" s="312" t="str">
        <f aca="false">IF($A192="N/A"," ",(VLOOKUP($A192,GasVolTable,(IF(VolBMO=2,6,IF(VolBMO=1,7,5))),FALSE())))</f>
        <v> </v>
      </c>
      <c r="CS192" s="312" t="str">
        <f aca="false">IF($A192="N/A"," ",(VLOOKUP($A192,OmicronVol,(IF(VolBMO=2,3,IF(VolBMO=1,4,2))),FALSE())))</f>
        <v> </v>
      </c>
      <c r="CT192" s="312" t="str">
        <f aca="false">IF($A192="N/A"," ",(IF(DateToday&gt;$A192,$CS192,IF(VolType=1,((($CR192^2)*((($A192-1)-DateToday)/((EOMONTH($A192,0)+1)-DateToday-15)))+((($CS192)^2)*((15)/((EOMONTH($A192,0)+1)-DateToday-15))))^0.5,CR192))))</f>
        <v> </v>
      </c>
      <c r="CU192" s="312" t="str">
        <f aca="false">IF($A192="N/A"," ",IF('Pricing Inputs'!$AR$23=TRUE(),Inputs!$S$22,VLOOKUP($A192,CorrelationTable,2,FALSE())))</f>
        <v> </v>
      </c>
      <c r="CV192" s="313" t="str">
        <f aca="false">IF($A192="N/A"," ",F192+G192+(D192*('Pricing Inputs'!X227)))</f>
        <v> </v>
      </c>
      <c r="CW192" s="314" t="str">
        <f aca="false">IF($A192="N/A"," ",IF(PV=1,0,'Pricing Inputs'!Y227))</f>
        <v> </v>
      </c>
      <c r="CX192" s="315" t="str">
        <f aca="false">IF($A192="N/A"," ",(1+CW192/2)^(-2*((EOMONTH(A192,0)+20)-DateToday)/365.25))</f>
        <v> </v>
      </c>
      <c r="CY192" s="316" t="str">
        <f aca="false">IF($A192="N/A"," ",(IF(MONTH(A192)&gt;=4,IF(MONTH(A192)&lt;=10,Inputs!$S$26,Inputs!$S$27),Inputs!$S$27))*$CX192)</f>
        <v> </v>
      </c>
      <c r="CZ192" s="317" t="str">
        <f aca="false">IF($A192="N/A"," ",BK192+BL192+BN192+BO192+BQ192+BR192)</f>
        <v> </v>
      </c>
      <c r="DA192" s="318" t="str">
        <f aca="false">IF($A192="N/A"," ",BM192+BP192+BS192)</f>
        <v> </v>
      </c>
      <c r="DB192" s="319" t="str">
        <f aca="false">IF($A192="N/A"," ",BT192+BU192+BW192+BX192+BZ192+CA192)</f>
        <v> </v>
      </c>
      <c r="DC192" s="319" t="str">
        <f aca="false">IF($A192="N/A"," ",BV192+BY192+CB192)</f>
        <v> </v>
      </c>
      <c r="DD192" s="320" t="str">
        <f aca="false">IF($A192="N/A"," ",SUM(CC192:CK192))</f>
        <v> </v>
      </c>
      <c r="DE192" s="321" t="str">
        <f aca="false">IF($A192="N/A"," ",VLOOKUP($A192,NumberofDaysTable,2)*Availability)</f>
        <v> </v>
      </c>
      <c r="DF192" s="94" t="str">
        <f aca="false">IF($A192="N/A"," ",VLOOKUP($A192,NumberofDaysTable,3)*Availability)</f>
        <v> </v>
      </c>
      <c r="DG192" s="322" t="str">
        <f aca="false">IF($A192="N/A"," ",VLOOKUP($A192,NumberofDaysTable,4)*Availability)</f>
        <v> </v>
      </c>
      <c r="DH192" s="323" t="str">
        <f aca="false">IF($A192="N/A"," ",IF(Option=1,$D192*Inputs!$S$15*SUM(AS192:BA192),0))</f>
        <v> </v>
      </c>
      <c r="DI192" s="324" t="str">
        <f aca="false">IF($A192="N/A"," ",IF(Option=1,$D192*Inputs!$S$16*SUM(AS192:BA192),0))</f>
        <v> </v>
      </c>
      <c r="DJ192" s="325" t="str">
        <f aca="false">IF($A192="N/A"," ",SUM(AS192:AT192))</f>
        <v> </v>
      </c>
      <c r="DK192" s="325" t="str">
        <f aca="false">IF($A192="N/A"," ",SUM(AU192:BA192))</f>
        <v> </v>
      </c>
      <c r="DL192" s="325" t="str">
        <f aca="false">IF($A192="N/A"," ",SUM(BB192:BC192))</f>
        <v> </v>
      </c>
      <c r="DM192" s="325" t="str">
        <f aca="false">IF($A192="N/A"," ",SUM(BD192:BJ192))</f>
        <v> </v>
      </c>
    </row>
    <row r="193" customFormat="false" ht="12.75" hidden="false" customHeight="false" outlineLevel="0" collapsed="false">
      <c r="A193" s="282" t="str">
        <f aca="false">IF(A192="N/A","N/A",IF(EDATE(A192,1)&gt;Inputs!$S$5,"N/A",EDATE(A192,1)))</f>
        <v>N/A</v>
      </c>
      <c r="B193" s="283" t="str">
        <f aca="false">IF(A193="N/A"," ",YEAR(A193))</f>
        <v> </v>
      </c>
      <c r="C193" s="284" t="str">
        <f aca="false">IF(A193="N/A"," ",VLOOKUP(A193,ScaledPrice,14))</f>
        <v> </v>
      </c>
      <c r="D193" s="285" t="str">
        <f aca="false">IF(A193="N/A"," ",(VLOOKUP(MONTH($A193),Hrtable,2))/1000)</f>
        <v> </v>
      </c>
      <c r="E193" s="286" t="str">
        <f aca="false">IF($A193="N/A"," ",(C193)*D193)</f>
        <v> </v>
      </c>
      <c r="F193" s="287" t="str">
        <f aca="false">IF(A193="N/A"," ",VOM*(1+VOMesc)^(YEAR(A193)-YEAR(Today)))</f>
        <v> </v>
      </c>
      <c r="G193" s="287" t="str">
        <f aca="false">IF(A193="N/A"," ",Perstart/VLOOKUP(Dayrun,'Pricing Inputs'!$AQ$4:$AS$14,3)/(CY193/CX193))</f>
        <v> </v>
      </c>
      <c r="H193" s="288" t="str">
        <f aca="false">IF(A193="N/A"," ",SUM(E193:G193))</f>
        <v> </v>
      </c>
      <c r="I193" s="289" t="str">
        <f aca="false">VLOOKUP($A193,ScaledPrice,6)</f>
        <v> </v>
      </c>
      <c r="J193" s="290" t="str">
        <f aca="false">VLOOKUP($A193,ScaledPrice,10)</f>
        <v> </v>
      </c>
      <c r="K193" s="290" t="str">
        <f aca="false">VLOOKUP($A193,ScaledPrice,13)</f>
        <v> </v>
      </c>
      <c r="L193" s="290" t="str">
        <f aca="false">VLOOKUP($A193,ScaledPrice,7)</f>
        <v> </v>
      </c>
      <c r="M193" s="290" t="str">
        <f aca="false">VLOOKUP($A193,ScaledPrice,11)</f>
        <v> </v>
      </c>
      <c r="N193" s="290" t="str">
        <f aca="false">VLOOKUP($A193,ScaledPrice,13)</f>
        <v> </v>
      </c>
      <c r="O193" s="290" t="str">
        <f aca="false">VLOOKUP($A193,ScaledPrice,8)</f>
        <v> </v>
      </c>
      <c r="P193" s="290" t="str">
        <f aca="false">VLOOKUP($A193,ScaledPrice,12)</f>
        <v> </v>
      </c>
      <c r="Q193" s="291" t="str">
        <f aca="false">VLOOKUP($A193,ScaledPrice,13)</f>
        <v> </v>
      </c>
      <c r="R193" s="292" t="str">
        <f aca="false">IF($A193="N/A"," ",IF(Dayrun&gt;=3,IF(Option=1,MAX($I193-$H193,0),IF(Option=2,MAX($H193-$I193,0),0)),0))</f>
        <v> </v>
      </c>
      <c r="S193" s="286" t="str">
        <f aca="false">IF($A193="N/A"," ",IF(Dayrun&gt;=6,IF(Option=1,MAX($J193-H193,0),IF(Option=2,MAX(H193-$J193,0),0)),0))</f>
        <v> </v>
      </c>
      <c r="T193" s="286" t="str">
        <f aca="false">IF($A193="N/A"," ",IF(OR(Dayrun&lt;=2,Dayrun&gt;=9),IF(Option=1,MAX($K193-$H193,0),IF(Option=2,MAX($H193-$K193,0),0)),0))</f>
        <v> </v>
      </c>
      <c r="U193" s="286" t="str">
        <f aca="false">IF($A193="N/A"," ",IF(OR(Dayrun=1,Dayrun=4,Dayrun=5,Dayrun=7,Dayrun=8,Dayrun=10,Dayrun=11),IF(Option=1,MAX($L193-H193,0),IF(Option=2,MAX(H193-$L193,0),0)),0))</f>
        <v> </v>
      </c>
      <c r="V193" s="286" t="str">
        <f aca="false">IF($A193="N/A"," ",IF(OR(Dayrun=1,Dayrun=7,Dayrun=8,Dayrun=10,Dayrun=11),IF(Option=1,MAX($M193-H193,0),IF(Option=2,MAX(H193-$M193,0),0)),0))</f>
        <v> </v>
      </c>
      <c r="W193" s="286" t="str">
        <f aca="false">IF($A193="N/A"," ",IF(OR(Dayrun&lt;=2,Dayrun&gt;=10),IF(Option=1,MAX($N193-$H193,0),IF(Option=2,MAX($H193-$N193,0),0)),0))</f>
        <v> </v>
      </c>
      <c r="X193" s="286" t="str">
        <f aca="false">IF($A193="N/A"," ",IF(OR(Dayrun=1,Dayrun=5,Dayrun=8,Dayrun=11),IF(Option=1,MAX($O193-H193,0),IF(Option=2,MAX(H193-$O193,0),0)),0))</f>
        <v> </v>
      </c>
      <c r="Y193" s="286" t="str">
        <f aca="false">IF($A193="N/A"," ",IF(OR(Dayrun=1,Dayrun=8,Dayrun=11),IF(Option=1,MAX($P193-H193,0),IF(Option=2,MAX(H193-$P193,0),0)),0))</f>
        <v> </v>
      </c>
      <c r="Z193" s="293" t="str">
        <f aca="false">IF($A193="N/A"," ",IF(OR(Dayrun&lt;=2,Dayrun&gt;=11),IF(Option=1,MAX($Q193-$H193,0),IF(Option=2,MAX($H193-$Q193,0),0)),0))</f>
        <v> </v>
      </c>
      <c r="AA193" s="289" t="str">
        <f aca="false">IF($A193="N/A"," ",IF(Dayrun&gt;=3,(MAX(0,(xSPRDOPT(I193,($E193-'Pricing Inputs'!$X228*$D193),$CV193,0,($CN193+IF(Smile=TRUE(),VLOOKUP(MAX(-5,$H193-I193),Volsmile,2),0)),$CT193,$CU193,($A193-DateToday)+15,ABS(Option-2),0)-R193))),0))</f>
        <v> </v>
      </c>
      <c r="AB193" s="290" t="str">
        <f aca="false">IF($A193="N/A"," ",IF(Dayrun&gt;=6,MAX(0,(xSPRDOPT(J193,($E193-'Pricing Inputs'!$X228*$D193),$CV193,0,($CN193+IF(Smile=TRUE(),VLOOKUP(MAX(-5,$H193-J193),Volsmile,2),0)),$CT193,$CU193,($A193-DateToday)+15,ABS(Option-2),0)-S193)),0))</f>
        <v> </v>
      </c>
      <c r="AC193" s="290" t="str">
        <f aca="false">IF($A193="N/A"," ",IF(OR(Dayrun&lt;=2,Dayrun&gt;=9),IF(OffPeakEx=TRUE(),MAX(0,(xSPRDOPT(K193,($E193-'Pricing Inputs'!$X228*$D193),$CV193,0,($CQ193+IF(Smile=TRUE(),VLOOKUP(MAX(-5,$H193-K193),Volsmile,2),0)),$CT193,$CU193,($A193-DateToday)+15,ABS(Option-2),0)-T193)),0),0))</f>
        <v> </v>
      </c>
      <c r="AD193" s="290" t="str">
        <f aca="false">IF($A193="N/A"," ",IF(OR(Dayrun=1,Dayrun=4,Dayrun=5,Dayrun=7,Dayrun=8,Dayrun=10,Dayrun=11),MAX(0,(xSPRDOPT(L193,($E193-'Pricing Inputs'!$X228*$D193),$CV193,0,($CQ193+IF(Smile=TRUE(),VLOOKUP(MAX(-5,$H193-L193),Volsmile,2),0)),$CT193,$CU193,($A193-DateToday)+15,ABS(Option-2),0)-U193)),0))</f>
        <v> </v>
      </c>
      <c r="AE193" s="290" t="str">
        <f aca="false">IF($A193="N/A"," ",IF(OR(Dayrun=1,Dayrun=7,Dayrun=8,Dayrun=10,Dayrun=11),MAX(0,(xSPRDOPT(M193,($E193-'Pricing Inputs'!$X228*$D193),$CV193,0,($CQ193+IF(Smile=TRUE(),VLOOKUP(MAX(-5,$H193-M193),Volsmile,2),0)),$CT193,$CU193,($A193-DateToday)+15,ABS(Option-2),0)-V193)),0))</f>
        <v> </v>
      </c>
      <c r="AF193" s="290" t="str">
        <f aca="false">IF($A193="N/A"," ",IF(OR(Dayrun&lt;=2,Dayrun&gt;=10),IF(OffPeakEx=TRUE(),MAX(0,(xSPRDOPT(N193,($E193-'Pricing Inputs'!$X228*$D193),$CV193,0,($CQ193+IF(Smile=TRUE(),VLOOKUP(MAX(-5,$H193-N193),Volsmile,2),0)),$CT193,$CU193,($A193-DateToday)+15,ABS(Option-2),0)-W193)),0),0))</f>
        <v> </v>
      </c>
      <c r="AG193" s="290" t="str">
        <f aca="false">IF($A193="N/A"," ",IF(OR(Dayrun=1,Dayrun=5,Dayrun=8,Dayrun=11),MAX(0,(xSPRDOPT(O193,($E193-'Pricing Inputs'!$X228*$D193),$CV193,0,($CQ193+IF(Smile=TRUE(),VLOOKUP(MAX(-5,$H193-O193),Volsmile,2),0)),$CT193,$CU193,($A193-DateToday)+15,ABS(Option-2),0)-X193)),0))</f>
        <v> </v>
      </c>
      <c r="AH193" s="290" t="str">
        <f aca="false">IF($A193="N/A"," ",IF(OR(Dayrun=1,Dayrun=8,Dayrun=11),MAX(0,(xSPRDOPT(P193,($E193-'Pricing Inputs'!$X228*$D193),$CV193,0,($CQ193+IF(Smile=TRUE(),VLOOKUP(MAX(-5,$H193-P193),Volsmile,2),0)),$CT193,$CU193,($A193-DateToday)+15,ABS(Option-2),0)-Y193)),0))</f>
        <v> </v>
      </c>
      <c r="AI193" s="290" t="str">
        <f aca="false">IF($A193="N/A"," ",IF(OR(Dayrun&lt;=2,Dayrun&gt;=11),IF(OffPeakEx=TRUE(),MAX(0,(xSPRDOPT(Q193,($E193-'Pricing Inputs'!$X228*$D193),$CV193,0,($CQ193+IF(Smile=TRUE(),VLOOKUP(MAX(-5,$H193-Q193),Volsmile,2),0)),$CT193,$CU193,($A193-DateToday)+15,ABS(Option-2),0)-Z193)),0),0))</f>
        <v> </v>
      </c>
      <c r="AJ193" s="294" t="str">
        <f aca="false">IF($A193="N/A"," ",IF(Dayrun&gt;=3,IF(Option=1,$I193-$H193,IF(Option=2,$H193-$I193)),0))</f>
        <v> </v>
      </c>
      <c r="AK193" s="295" t="str">
        <f aca="false">IF($A193="N/A"," ",IF(Dayrun&gt;=6,IF(Option=1,$J193-H193,IF(Option=2,H193-$J193)),0))</f>
        <v> </v>
      </c>
      <c r="AL193" s="295" t="str">
        <f aca="false">IF($A193="N/A"," ",IF(OR(Dayrun&lt;=2,Dayrun&gt;=9),IF(Option=1,$K193-$H193,IF(Option=2,$H193-$K193)),0))</f>
        <v> </v>
      </c>
      <c r="AM193" s="295" t="str">
        <f aca="false">IF($A193="N/A"," ",IF(OR(Dayrun=1,Dayrun=4,Dayrun=5,Dayrun=7,Dayrun=8,Dayrun=10,Dayrun=11),IF(Option=1,$L193-H193,IF(Option=2,H193-$L193)),0))</f>
        <v> </v>
      </c>
      <c r="AN193" s="295" t="str">
        <f aca="false">IF($A193="N/A"," ",IF(OR(Dayrun=1,Dayrun=7,Dayrun=8,Dayrun=10,Dayrun=11),IF(Option=1,$M193-H193,IF(Option=2,H193-$M193)),0))</f>
        <v> </v>
      </c>
      <c r="AO193" s="295" t="str">
        <f aca="false">IF($A193="N/A"," ",IF(OR(Dayrun&lt;=2,Dayrun&gt;=9),IF(Option=1,$N193-$H193,IF(Option=2,$H193-$N193)),0))</f>
        <v> </v>
      </c>
      <c r="AP193" s="295" t="str">
        <f aca="false">IF($A193="N/A"," ",IF(OR(Dayrun=1,Dayrun=5,Dayrun=8,Dayrun=11),IF(Option=1,$O193-H193,IF(Option=2,H193-$O193)),0))</f>
        <v> </v>
      </c>
      <c r="AQ193" s="295" t="str">
        <f aca="false">IF($A193="N/A"," ",IF(OR(Dayrun=1,Dayrun=8,Dayrun=11),IF(Option=1,$P193-H193,IF(Option=2,H193-$P193)),0))</f>
        <v> </v>
      </c>
      <c r="AR193" s="296" t="str">
        <f aca="false">IF($A193="N/A"," ",IF(OR(Dayrun&lt;=2,Dayrun&gt;=9),IF(Option=1,$Q193-H193,IF(Option=2,H193-$Q193)),0))</f>
        <v> </v>
      </c>
      <c r="AS193" s="297" t="str">
        <f aca="false">IF($A193="N/A"," ",IF(VLOOKUP(MONTH($A193),ManualTable,2)=1,IF(Dayrun&gt;=3,$DE193*8*$CY193,0),0))</f>
        <v> </v>
      </c>
      <c r="AT193" s="297" t="str">
        <f aca="false">IF($A193="N/A"," ",IF(VLOOKUP(MONTH($A193),ManualTable,3)=1,IF(Dayrun&gt;=6,$DE193*8*$CY193,0),0))</f>
        <v> </v>
      </c>
      <c r="AU193" s="297" t="str">
        <f aca="false">IF($A193="N/A"," ",IF(VLOOKUP(MONTH($A193),ManualTable,4)=1,IF(OR(Dayrun&lt;=2,Dayrun&gt;=9),$DE193*8*$CY193,0),0))</f>
        <v> </v>
      </c>
      <c r="AV193" s="297" t="str">
        <f aca="false">IF($A193="N/A"," ",IF(VLOOKUP(MONTH($A193),ManualTable,5)=1,IF(OR(Dayrun=1,Dayrun=4,Dayrun=5,Dayrun=7,Dayrun=8,Dayrun=10,Dayrun=11),$DF193*8*$CY193,0),0))</f>
        <v> </v>
      </c>
      <c r="AW193" s="297" t="str">
        <f aca="false">IF($A193="N/A"," ",IF(VLOOKUP(MONTH($A193),ManualTable,6)=1,IF(OR(Dayrun=1,Dayrun=7,Dayrun=8,Dayrun=10,Dayrun=11),$DF193*8*$CY193,0),0))</f>
        <v> </v>
      </c>
      <c r="AX193" s="297" t="str">
        <f aca="false">IF($A193="N/A"," ",IF(VLOOKUP(MONTH($A193),ManualTable,7)=1,IF(OR(Dayrun&lt;=2,Dayrun&gt;=9),$DF193*8*$CY193,0),0))</f>
        <v> </v>
      </c>
      <c r="AY193" s="297" t="str">
        <f aca="false">IF($A193="N/A"," ",IF(VLOOKUP(MONTH($A193),ManualTable,8)=1,IF(OR(Dayrun=1,Dayrun=5,Dayrun=8,Dayrun=11),$DG193*8*$CY193,0),0))</f>
        <v> </v>
      </c>
      <c r="AZ193" s="297" t="str">
        <f aca="false">IF($A193="N/A"," ",IF(VLOOKUP(MONTH($A193),ManualTable,9)=1,IF(OR(Dayrun=1,Dayrun=8,Dayrun=11),$DG193*8*$CY193,0),0))</f>
        <v> </v>
      </c>
      <c r="BA193" s="298" t="str">
        <f aca="false">IF($A193="N/A"," ",IF(VLOOKUP(MONTH($A193),ManualTable,10)=1,IF(OR(Dayrun&lt;=2,Dayrun&gt;=9),$DG193*8*$CY193,0),0))</f>
        <v> </v>
      </c>
      <c r="BB193" s="299" t="str">
        <f aca="false">IF($A193="N/A"," ",IF(Dayrun&gt;=3,(MAX(0,(xSPRDOPT(I193,($E193-'Pricing Inputs'!$X228*$D193),$CV193,0,($CN193+IF(Smile=TRUE(),VLOOKUP(MAX(-5,$H193-I193),Volsmile,2),0)),$CT193,$CU193,($A193-DateToday)+15,ABS(Option-2),1)*DE193*8))),0))</f>
        <v> </v>
      </c>
      <c r="BC193" s="300" t="str">
        <f aca="false">IF($A193="N/A"," ",IF(Dayrun&gt;=6,MAX(0,(xSPRDOPT(J193,($E193-'Pricing Inputs'!$X228*$D193),$CV193,0,($CN193+IF(Smile=TRUE(),VLOOKUP(MAX(-5,$H193-J193),Volsmile,2),0)),$CT193,$CU193,($A193-DateToday)+15,ABS(Option-2),1)*DE193*8)),0))</f>
        <v> </v>
      </c>
      <c r="BD193" s="300" t="str">
        <f aca="false">IF($A193="N/A"," ",IF(OR(Dayrun&lt;=2,Dayrun&gt;=9),IF(OffPeakEx=TRUE(),MAX(0,(xSPRDOPT(K193,($E193-'Pricing Inputs'!$X228*$D193),$CV193,0,($CQ193+IF(Smile=TRUE(),VLOOKUP(MAX(-5,$H193-K193),Volsmile,2),0)),$CT193,$CU193,($A193-DateToday)+15,ABS(Option-2),1)*DE193*8)),0),0))</f>
        <v> </v>
      </c>
      <c r="BE193" s="300" t="str">
        <f aca="false">IF($A193="N/A"," ",IF(OR(Dayrun=1,Dayrun=4,Dayrun=5,Dayrun=7,Dayrun=8,Dayrun=10,Dayrun=11),MAX(0,(xSPRDOPT(L193,($E193-'Pricing Inputs'!$X228*$D193),$CV193,0,($CQ193+IF(Smile=TRUE(),VLOOKUP(MAX(-5,$H193-L193),Volsmile,2),0)),$CT193,$CU193,($A193-DateToday)+15,ABS(Option-2),1)*DF193*8)),0))</f>
        <v> </v>
      </c>
      <c r="BF193" s="300" t="str">
        <f aca="false">IF($A193="N/A"," ",IF(OR(Dayrun=1,Dayrun=7,Dayrun=8,Dayrun=10,Dayrun=11),MAX(0,(xSPRDOPT(M193,($E193-'Pricing Inputs'!$X228*$D193),$CV193,0,($CQ193+IF(Smile=TRUE(),VLOOKUP(MAX(-5,$H193-M193),Volsmile,2),0)),$CT193,$CU193,($A193-DateToday)+15,ABS(Option-2),1)*DF193*8)),0))</f>
        <v> </v>
      </c>
      <c r="BG193" s="300" t="str">
        <f aca="false">IF($A193="N/A"," ",IF(OR(Dayrun&lt;=2,Dayrun&gt;=10),IF(OffPeakEx=TRUE(),MAX(0,(xSPRDOPT(N193,($E193-'Pricing Inputs'!$X228*$D193),$CV193,0,($CQ193+IF(Smile=TRUE(),VLOOKUP(MAX(-5,$H193-N193),Volsmile,2),0)),$CT193,$CU193,($A193-DateToday)+15,ABS(Option-2),1)*DF193*8)),0),0))</f>
        <v> </v>
      </c>
      <c r="BH193" s="300" t="str">
        <f aca="false">IF($A193="N/A"," ",IF(OR(Dayrun=1,Dayrun=5,Dayrun=8,Dayrun=11),MAX(0,(xSPRDOPT(O193,($E193-'Pricing Inputs'!$X228*$D193),$CV193,0,($CQ193+IF(Smile=TRUE(),VLOOKUP(MAX(-5,$H193-O193),Volsmile,2),0)),$CT193,$CU193,($A193-DateToday)+15,ABS(Option-2),1)*DG193*8)),0))</f>
        <v> </v>
      </c>
      <c r="BI193" s="300" t="str">
        <f aca="false">IF($A193="N/A"," ",IF(OR(Dayrun=1,Dayrun=8,Dayrun=11),MAX(0,(xSPRDOPT(P193,($E193-'Pricing Inputs'!$X228*$D193),$CV193,0,($CQ193+IF(Smile=TRUE(),VLOOKUP(MAX(-5,$H193-P193),Volsmile,2),0)),$CT193,$CU193,($A193-DateToday)+15,ABS(Option-2),1)*DG193*8)),0))</f>
        <v> </v>
      </c>
      <c r="BJ193" s="301" t="str">
        <f aca="false">IF($A193="N/A"," ",IF(OR(Dayrun&lt;=2,Dayrun&gt;=11),IF(OffPeakEx=TRUE(),MAX(0,(xSPRDOPT(Q193,($E193-'Pricing Inputs'!$X228*$D193),$CV193,0,($CQ193+IF(Smile=TRUE(),VLOOKUP(MAX(-5,$H193-Q193),Volsmile,2),0)),$CT193,$CU193,($A193-DateToday)+15,ABS(Option-2),1)*DG193*8)),0),0))</f>
        <v> </v>
      </c>
      <c r="BK193" s="302" t="str">
        <f aca="false">IF($A193="N/A"," ",R193*$AS193)</f>
        <v> </v>
      </c>
      <c r="BL193" s="303" t="str">
        <f aca="false">IF($A193="N/A"," ",S193*$AT193)</f>
        <v> </v>
      </c>
      <c r="BM193" s="303" t="str">
        <f aca="false">IF($A193="N/A"," ",T193*$AU193)</f>
        <v> </v>
      </c>
      <c r="BN193" s="303" t="str">
        <f aca="false">IF($A193="N/A"," ",U193*$AV193)</f>
        <v> </v>
      </c>
      <c r="BO193" s="303" t="str">
        <f aca="false">IF($A193="N/A"," ",V193*$AW193)</f>
        <v> </v>
      </c>
      <c r="BP193" s="303" t="str">
        <f aca="false">IF($A193="N/A"," ",W193*$AX193)</f>
        <v> </v>
      </c>
      <c r="BQ193" s="303" t="str">
        <f aca="false">IF($A193="N/A"," ",X193*$AY193)</f>
        <v> </v>
      </c>
      <c r="BR193" s="303" t="str">
        <f aca="false">IF($A193="N/A"," ",Y193*$AZ193)</f>
        <v> </v>
      </c>
      <c r="BS193" s="304" t="str">
        <f aca="false">IF($A193="N/A"," ",Z193*$BA193)</f>
        <v> </v>
      </c>
      <c r="BT193" s="305" t="str">
        <f aca="false">IF($A193="N/A"," ",AA193*$AS193)</f>
        <v> </v>
      </c>
      <c r="BU193" s="306" t="str">
        <f aca="false">IF($A193="N/A"," ",AB193*$AT193)</f>
        <v> </v>
      </c>
      <c r="BV193" s="306" t="str">
        <f aca="false">IF($A193="N/A"," ",AC193*$AU193)</f>
        <v> </v>
      </c>
      <c r="BW193" s="306" t="str">
        <f aca="false">IF($A193="N/A"," ",AD193*$AV193)</f>
        <v> </v>
      </c>
      <c r="BX193" s="306" t="str">
        <f aca="false">IF($A193="N/A"," ",AE193*$AW193)</f>
        <v> </v>
      </c>
      <c r="BY193" s="306" t="str">
        <f aca="false">IF($A193="N/A"," ",AF193*$AX193)</f>
        <v> </v>
      </c>
      <c r="BZ193" s="306" t="str">
        <f aca="false">IF($A193="N/A"," ",AG193*$AY193)</f>
        <v> </v>
      </c>
      <c r="CA193" s="306" t="str">
        <f aca="false">IF($A193="N/A"," ",AH193*$AZ193)</f>
        <v> </v>
      </c>
      <c r="CB193" s="307" t="str">
        <f aca="false">IF($A193="N/A"," ",AI193*$BA193)</f>
        <v> </v>
      </c>
      <c r="CC193" s="308" t="str">
        <f aca="false">IF($A193="N/A"," ",AJ193*$AS193)</f>
        <v> </v>
      </c>
      <c r="CD193" s="309" t="str">
        <f aca="false">IF($A193="N/A"," ",AK193*$AT193)</f>
        <v> </v>
      </c>
      <c r="CE193" s="309" t="str">
        <f aca="false">IF($A193="N/A"," ",AL193*$AU193)</f>
        <v> </v>
      </c>
      <c r="CF193" s="309" t="str">
        <f aca="false">IF($A193="N/A"," ",AM193*$AV193)</f>
        <v> </v>
      </c>
      <c r="CG193" s="309" t="str">
        <f aca="false">IF($A193="N/A"," ",AN193*$AW193)</f>
        <v> </v>
      </c>
      <c r="CH193" s="309" t="str">
        <f aca="false">IF($A193="N/A"," ",AO193*$AX193)</f>
        <v> </v>
      </c>
      <c r="CI193" s="309" t="str">
        <f aca="false">IF($A193="N/A"," ",AP193*$AY193)</f>
        <v> </v>
      </c>
      <c r="CJ193" s="309" t="str">
        <f aca="false">IF($A193="N/A"," ",AQ193*$AZ193)</f>
        <v> </v>
      </c>
      <c r="CK193" s="310" t="str">
        <f aca="false">IF($A193="N/A"," ",AR193*$BA193)</f>
        <v> </v>
      </c>
      <c r="CL193" s="311" t="str">
        <f aca="false">IF(A193="N/A"," ",(VLOOKUP(A193,PowerVolTable,(IF(VolBMO=2,7,IF(VolBMO=1,6,8))),FALSE())))</f>
        <v> </v>
      </c>
      <c r="CM193" s="312" t="str">
        <f aca="false">IF(A193="N/A"," ",(VLOOKUP(A193,IntraPowerVol,(IF(VolBMO=2,3,IF(VolBMO=1,2,4))),FALSE())*VLOOKUP(MONTH($A193),Volscale,2)))</f>
        <v> </v>
      </c>
      <c r="CN193" s="312" t="str">
        <f aca="false">IF($A193="N/A"," ",IF(VolType=1,CM193,CL193))</f>
        <v> </v>
      </c>
      <c r="CO193" s="312" t="str">
        <f aca="false">IF($A193="N/A"," ",(VLOOKUP($A193,OffPeakVol,(IF(VolBMO=2,7,IF(VolBMO=1,6,8))),FALSE())))</f>
        <v> </v>
      </c>
      <c r="CP193" s="312" t="str">
        <f aca="false">IF($A193="N/A"," ",(VLOOKUP($A193,OffPeakVol,(IF(VolBMO=2,3,IF(VolBMO=1,2,4))),FALSE())*VLOOKUP(MONTH($A193),Volscale,2)))</f>
        <v> </v>
      </c>
      <c r="CQ193" s="312" t="str">
        <f aca="false">IF($A193="N/A"," ",IF(VolType=1,CP193,CO193))</f>
        <v> </v>
      </c>
      <c r="CR193" s="312" t="str">
        <f aca="false">IF($A193="N/A"," ",(VLOOKUP($A193,GasVolTable,(IF(VolBMO=2,6,IF(VolBMO=1,7,5))),FALSE())))</f>
        <v> </v>
      </c>
      <c r="CS193" s="312" t="str">
        <f aca="false">IF($A193="N/A"," ",(VLOOKUP($A193,OmicronVol,(IF(VolBMO=2,3,IF(VolBMO=1,4,2))),FALSE())))</f>
        <v> </v>
      </c>
      <c r="CT193" s="312" t="str">
        <f aca="false">IF($A193="N/A"," ",(IF(DateToday&gt;$A193,$CS193,IF(VolType=1,((($CR193^2)*((($A193-1)-DateToday)/((EOMONTH($A193,0)+1)-DateToday-15)))+((($CS193)^2)*((15)/((EOMONTH($A193,0)+1)-DateToday-15))))^0.5,CR193))))</f>
        <v> </v>
      </c>
      <c r="CU193" s="312" t="str">
        <f aca="false">IF($A193="N/A"," ",IF('Pricing Inputs'!$AR$23=TRUE(),Inputs!$S$22,VLOOKUP($A193,CorrelationTable,2,FALSE())))</f>
        <v> </v>
      </c>
      <c r="CV193" s="313" t="str">
        <f aca="false">IF($A193="N/A"," ",F193+G193+(D193*('Pricing Inputs'!X228)))</f>
        <v> </v>
      </c>
      <c r="CW193" s="314" t="str">
        <f aca="false">IF($A193="N/A"," ",IF(PV=1,0,'Pricing Inputs'!Y228))</f>
        <v> </v>
      </c>
      <c r="CX193" s="315" t="str">
        <f aca="false">IF($A193="N/A"," ",(1+CW193/2)^(-2*((EOMONTH(A193,0)+20)-DateToday)/365.25))</f>
        <v> </v>
      </c>
      <c r="CY193" s="316" t="str">
        <f aca="false">IF($A193="N/A"," ",(IF(MONTH(A193)&gt;=4,IF(MONTH(A193)&lt;=10,Inputs!$S$26,Inputs!$S$27),Inputs!$S$27))*$CX193)</f>
        <v> </v>
      </c>
      <c r="CZ193" s="317" t="str">
        <f aca="false">IF($A193="N/A"," ",BK193+BL193+BN193+BO193+BQ193+BR193)</f>
        <v> </v>
      </c>
      <c r="DA193" s="318" t="str">
        <f aca="false">IF($A193="N/A"," ",BM193+BP193+BS193)</f>
        <v> </v>
      </c>
      <c r="DB193" s="319" t="str">
        <f aca="false">IF($A193="N/A"," ",BT193+BU193+BW193+BX193+BZ193+CA193)</f>
        <v> </v>
      </c>
      <c r="DC193" s="319" t="str">
        <f aca="false">IF($A193="N/A"," ",BV193+BY193+CB193)</f>
        <v> </v>
      </c>
      <c r="DD193" s="320" t="str">
        <f aca="false">IF($A193="N/A"," ",SUM(CC193:CK193))</f>
        <v> </v>
      </c>
      <c r="DE193" s="321" t="str">
        <f aca="false">IF($A193="N/A"," ",VLOOKUP($A193,NumberofDaysTable,2)*Availability)</f>
        <v> </v>
      </c>
      <c r="DF193" s="94" t="str">
        <f aca="false">IF($A193="N/A"," ",VLOOKUP($A193,NumberofDaysTable,3)*Availability)</f>
        <v> </v>
      </c>
      <c r="DG193" s="322" t="str">
        <f aca="false">IF($A193="N/A"," ",VLOOKUP($A193,NumberofDaysTable,4)*Availability)</f>
        <v> </v>
      </c>
      <c r="DH193" s="323" t="str">
        <f aca="false">IF($A193="N/A"," ",IF(Option=1,$D193*Inputs!$S$15*SUM(AS193:BA193),0))</f>
        <v> </v>
      </c>
      <c r="DI193" s="324" t="str">
        <f aca="false">IF($A193="N/A"," ",IF(Option=1,$D193*Inputs!$S$16*SUM(AS193:BA193),0))</f>
        <v> </v>
      </c>
      <c r="DJ193" s="325" t="str">
        <f aca="false">IF($A193="N/A"," ",SUM(AS193:AT193))</f>
        <v> </v>
      </c>
      <c r="DK193" s="325" t="str">
        <f aca="false">IF($A193="N/A"," ",SUM(AU193:BA193))</f>
        <v> </v>
      </c>
      <c r="DL193" s="325" t="str">
        <f aca="false">IF($A193="N/A"," ",SUM(BB193:BC193))</f>
        <v> </v>
      </c>
      <c r="DM193" s="325" t="str">
        <f aca="false">IF($A193="N/A"," ",SUM(BD193:BJ193))</f>
        <v> </v>
      </c>
    </row>
    <row r="194" customFormat="false" ht="12.75" hidden="false" customHeight="false" outlineLevel="0" collapsed="false">
      <c r="A194" s="282" t="str">
        <f aca="false">IF(A193="N/A","N/A",IF(EDATE(A193,1)&gt;Inputs!$S$5,"N/A",EDATE(A193,1)))</f>
        <v>N/A</v>
      </c>
      <c r="B194" s="283" t="str">
        <f aca="false">IF(A194="N/A"," ",YEAR(A194))</f>
        <v> </v>
      </c>
      <c r="C194" s="284" t="str">
        <f aca="false">IF(A194="N/A"," ",VLOOKUP(A194,ScaledPrice,14))</f>
        <v> </v>
      </c>
      <c r="D194" s="285" t="str">
        <f aca="false">IF(A194="N/A"," ",(VLOOKUP(MONTH($A194),Hrtable,2))/1000)</f>
        <v> </v>
      </c>
      <c r="E194" s="286" t="str">
        <f aca="false">IF($A194="N/A"," ",(C194)*D194)</f>
        <v> </v>
      </c>
      <c r="F194" s="287" t="str">
        <f aca="false">IF(A194="N/A"," ",VOM*(1+VOMesc)^(YEAR(A194)-YEAR(Today)))</f>
        <v> </v>
      </c>
      <c r="G194" s="287" t="str">
        <f aca="false">IF(A194="N/A"," ",Perstart/VLOOKUP(Dayrun,'Pricing Inputs'!$AQ$4:$AS$14,3)/(CY194/CX194))</f>
        <v> </v>
      </c>
      <c r="H194" s="288" t="str">
        <f aca="false">IF(A194="N/A"," ",SUM(E194:G194))</f>
        <v> </v>
      </c>
      <c r="I194" s="289" t="str">
        <f aca="false">VLOOKUP($A194,ScaledPrice,6)</f>
        <v> </v>
      </c>
      <c r="J194" s="290" t="str">
        <f aca="false">VLOOKUP($A194,ScaledPrice,10)</f>
        <v> </v>
      </c>
      <c r="K194" s="290" t="str">
        <f aca="false">VLOOKUP($A194,ScaledPrice,13)</f>
        <v> </v>
      </c>
      <c r="L194" s="290" t="str">
        <f aca="false">VLOOKUP($A194,ScaledPrice,7)</f>
        <v> </v>
      </c>
      <c r="M194" s="290" t="str">
        <f aca="false">VLOOKUP($A194,ScaledPrice,11)</f>
        <v> </v>
      </c>
      <c r="N194" s="290" t="str">
        <f aca="false">VLOOKUP($A194,ScaledPrice,13)</f>
        <v> </v>
      </c>
      <c r="O194" s="290" t="str">
        <f aca="false">VLOOKUP($A194,ScaledPrice,8)</f>
        <v> </v>
      </c>
      <c r="P194" s="290" t="str">
        <f aca="false">VLOOKUP($A194,ScaledPrice,12)</f>
        <v> </v>
      </c>
      <c r="Q194" s="291" t="str">
        <f aca="false">VLOOKUP($A194,ScaledPrice,13)</f>
        <v> </v>
      </c>
      <c r="R194" s="292" t="str">
        <f aca="false">IF($A194="N/A"," ",IF(Dayrun&gt;=3,IF(Option=1,MAX($I194-$H194,0),IF(Option=2,MAX($H194-$I194,0),0)),0))</f>
        <v> </v>
      </c>
      <c r="S194" s="286" t="str">
        <f aca="false">IF($A194="N/A"," ",IF(Dayrun&gt;=6,IF(Option=1,MAX($J194-H194,0),IF(Option=2,MAX(H194-$J194,0),0)),0))</f>
        <v> </v>
      </c>
      <c r="T194" s="286" t="str">
        <f aca="false">IF($A194="N/A"," ",IF(OR(Dayrun&lt;=2,Dayrun&gt;=9),IF(Option=1,MAX($K194-$H194,0),IF(Option=2,MAX($H194-$K194,0),0)),0))</f>
        <v> </v>
      </c>
      <c r="U194" s="286" t="str">
        <f aca="false">IF($A194="N/A"," ",IF(OR(Dayrun=1,Dayrun=4,Dayrun=5,Dayrun=7,Dayrun=8,Dayrun=10,Dayrun=11),IF(Option=1,MAX($L194-H194,0),IF(Option=2,MAX(H194-$L194,0),0)),0))</f>
        <v> </v>
      </c>
      <c r="V194" s="286" t="str">
        <f aca="false">IF($A194="N/A"," ",IF(OR(Dayrun=1,Dayrun=7,Dayrun=8,Dayrun=10,Dayrun=11),IF(Option=1,MAX($M194-H194,0),IF(Option=2,MAX(H194-$M194,0),0)),0))</f>
        <v> </v>
      </c>
      <c r="W194" s="286" t="str">
        <f aca="false">IF($A194="N/A"," ",IF(OR(Dayrun&lt;=2,Dayrun&gt;=10),IF(Option=1,MAX($N194-$H194,0),IF(Option=2,MAX($H194-$N194,0),0)),0))</f>
        <v> </v>
      </c>
      <c r="X194" s="286" t="str">
        <f aca="false">IF($A194="N/A"," ",IF(OR(Dayrun=1,Dayrun=5,Dayrun=8,Dayrun=11),IF(Option=1,MAX($O194-H194,0),IF(Option=2,MAX(H194-$O194,0),0)),0))</f>
        <v> </v>
      </c>
      <c r="Y194" s="286" t="str">
        <f aca="false">IF($A194="N/A"," ",IF(OR(Dayrun=1,Dayrun=8,Dayrun=11),IF(Option=1,MAX($P194-H194,0),IF(Option=2,MAX(H194-$P194,0),0)),0))</f>
        <v> </v>
      </c>
      <c r="Z194" s="293" t="str">
        <f aca="false">IF($A194="N/A"," ",IF(OR(Dayrun&lt;=2,Dayrun&gt;=11),IF(Option=1,MAX($Q194-$H194,0),IF(Option=2,MAX($H194-$Q194,0),0)),0))</f>
        <v> </v>
      </c>
      <c r="AA194" s="289" t="str">
        <f aca="false">IF($A194="N/A"," ",IF(Dayrun&gt;=3,(MAX(0,(xSPRDOPT(I194,($E194-'Pricing Inputs'!$X229*$D194),$CV194,0,($CN194+IF(Smile=TRUE(),VLOOKUP(MAX(-5,$H194-I194),Volsmile,2),0)),$CT194,$CU194,($A194-DateToday)+15,ABS(Option-2),0)-R194))),0))</f>
        <v> </v>
      </c>
      <c r="AB194" s="290" t="str">
        <f aca="false">IF($A194="N/A"," ",IF(Dayrun&gt;=6,MAX(0,(xSPRDOPT(J194,($E194-'Pricing Inputs'!$X229*$D194),$CV194,0,($CN194+IF(Smile=TRUE(),VLOOKUP(MAX(-5,$H194-J194),Volsmile,2),0)),$CT194,$CU194,($A194-DateToday)+15,ABS(Option-2),0)-S194)),0))</f>
        <v> </v>
      </c>
      <c r="AC194" s="290" t="str">
        <f aca="false">IF($A194="N/A"," ",IF(OR(Dayrun&lt;=2,Dayrun&gt;=9),IF(OffPeakEx=TRUE(),MAX(0,(xSPRDOPT(K194,($E194-'Pricing Inputs'!$X229*$D194),$CV194,0,($CQ194+IF(Smile=TRUE(),VLOOKUP(MAX(-5,$H194-K194),Volsmile,2),0)),$CT194,$CU194,($A194-DateToday)+15,ABS(Option-2),0)-T194)),0),0))</f>
        <v> </v>
      </c>
      <c r="AD194" s="290" t="str">
        <f aca="false">IF($A194="N/A"," ",IF(OR(Dayrun=1,Dayrun=4,Dayrun=5,Dayrun=7,Dayrun=8,Dayrun=10,Dayrun=11),MAX(0,(xSPRDOPT(L194,($E194-'Pricing Inputs'!$X229*$D194),$CV194,0,($CQ194+IF(Smile=TRUE(),VLOOKUP(MAX(-5,$H194-L194),Volsmile,2),0)),$CT194,$CU194,($A194-DateToday)+15,ABS(Option-2),0)-U194)),0))</f>
        <v> </v>
      </c>
      <c r="AE194" s="290" t="str">
        <f aca="false">IF($A194="N/A"," ",IF(OR(Dayrun=1,Dayrun=7,Dayrun=8,Dayrun=10,Dayrun=11),MAX(0,(xSPRDOPT(M194,($E194-'Pricing Inputs'!$X229*$D194),$CV194,0,($CQ194+IF(Smile=TRUE(),VLOOKUP(MAX(-5,$H194-M194),Volsmile,2),0)),$CT194,$CU194,($A194-DateToday)+15,ABS(Option-2),0)-V194)),0))</f>
        <v> </v>
      </c>
      <c r="AF194" s="290" t="str">
        <f aca="false">IF($A194="N/A"," ",IF(OR(Dayrun&lt;=2,Dayrun&gt;=10),IF(OffPeakEx=TRUE(),MAX(0,(xSPRDOPT(N194,($E194-'Pricing Inputs'!$X229*$D194),$CV194,0,($CQ194+IF(Smile=TRUE(),VLOOKUP(MAX(-5,$H194-N194),Volsmile,2),0)),$CT194,$CU194,($A194-DateToday)+15,ABS(Option-2),0)-W194)),0),0))</f>
        <v> </v>
      </c>
      <c r="AG194" s="290" t="str">
        <f aca="false">IF($A194="N/A"," ",IF(OR(Dayrun=1,Dayrun=5,Dayrun=8,Dayrun=11),MAX(0,(xSPRDOPT(O194,($E194-'Pricing Inputs'!$X229*$D194),$CV194,0,($CQ194+IF(Smile=TRUE(),VLOOKUP(MAX(-5,$H194-O194),Volsmile,2),0)),$CT194,$CU194,($A194-DateToday)+15,ABS(Option-2),0)-X194)),0))</f>
        <v> </v>
      </c>
      <c r="AH194" s="290" t="str">
        <f aca="false">IF($A194="N/A"," ",IF(OR(Dayrun=1,Dayrun=8,Dayrun=11),MAX(0,(xSPRDOPT(P194,($E194-'Pricing Inputs'!$X229*$D194),$CV194,0,($CQ194+IF(Smile=TRUE(),VLOOKUP(MAX(-5,$H194-P194),Volsmile,2),0)),$CT194,$CU194,($A194-DateToday)+15,ABS(Option-2),0)-Y194)),0))</f>
        <v> </v>
      </c>
      <c r="AI194" s="290" t="str">
        <f aca="false">IF($A194="N/A"," ",IF(OR(Dayrun&lt;=2,Dayrun&gt;=11),IF(OffPeakEx=TRUE(),MAX(0,(xSPRDOPT(Q194,($E194-'Pricing Inputs'!$X229*$D194),$CV194,0,($CQ194+IF(Smile=TRUE(),VLOOKUP(MAX(-5,$H194-Q194),Volsmile,2),0)),$CT194,$CU194,($A194-DateToday)+15,ABS(Option-2),0)-Z194)),0),0))</f>
        <v> </v>
      </c>
      <c r="AJ194" s="294" t="str">
        <f aca="false">IF($A194="N/A"," ",IF(Dayrun&gt;=3,IF(Option=1,$I194-$H194,IF(Option=2,$H194-$I194)),0))</f>
        <v> </v>
      </c>
      <c r="AK194" s="295" t="str">
        <f aca="false">IF($A194="N/A"," ",IF(Dayrun&gt;=6,IF(Option=1,$J194-H194,IF(Option=2,H194-$J194)),0))</f>
        <v> </v>
      </c>
      <c r="AL194" s="295" t="str">
        <f aca="false">IF($A194="N/A"," ",IF(OR(Dayrun&lt;=2,Dayrun&gt;=9),IF(Option=1,$K194-$H194,IF(Option=2,$H194-$K194)),0))</f>
        <v> </v>
      </c>
      <c r="AM194" s="295" t="str">
        <f aca="false">IF($A194="N/A"," ",IF(OR(Dayrun=1,Dayrun=4,Dayrun=5,Dayrun=7,Dayrun=8,Dayrun=10,Dayrun=11),IF(Option=1,$L194-H194,IF(Option=2,H194-$L194)),0))</f>
        <v> </v>
      </c>
      <c r="AN194" s="295" t="str">
        <f aca="false">IF($A194="N/A"," ",IF(OR(Dayrun=1,Dayrun=7,Dayrun=8,Dayrun=10,Dayrun=11),IF(Option=1,$M194-H194,IF(Option=2,H194-$M194)),0))</f>
        <v> </v>
      </c>
      <c r="AO194" s="295" t="str">
        <f aca="false">IF($A194="N/A"," ",IF(OR(Dayrun&lt;=2,Dayrun&gt;=9),IF(Option=1,$N194-$H194,IF(Option=2,$H194-$N194)),0))</f>
        <v> </v>
      </c>
      <c r="AP194" s="295" t="str">
        <f aca="false">IF($A194="N/A"," ",IF(OR(Dayrun=1,Dayrun=5,Dayrun=8,Dayrun=11),IF(Option=1,$O194-H194,IF(Option=2,H194-$O194)),0))</f>
        <v> </v>
      </c>
      <c r="AQ194" s="295" t="str">
        <f aca="false">IF($A194="N/A"," ",IF(OR(Dayrun=1,Dayrun=8,Dayrun=11),IF(Option=1,$P194-H194,IF(Option=2,H194-$P194)),0))</f>
        <v> </v>
      </c>
      <c r="AR194" s="296" t="str">
        <f aca="false">IF($A194="N/A"," ",IF(OR(Dayrun&lt;=2,Dayrun&gt;=9),IF(Option=1,$Q194-H194,IF(Option=2,H194-$Q194)),0))</f>
        <v> </v>
      </c>
      <c r="AS194" s="297" t="str">
        <f aca="false">IF($A194="N/A"," ",IF(VLOOKUP(MONTH($A194),ManualTable,2)=1,IF(Dayrun&gt;=3,$DE194*8*$CY194,0),0))</f>
        <v> </v>
      </c>
      <c r="AT194" s="297" t="str">
        <f aca="false">IF($A194="N/A"," ",IF(VLOOKUP(MONTH($A194),ManualTable,3)=1,IF(Dayrun&gt;=6,$DE194*8*$CY194,0),0))</f>
        <v> </v>
      </c>
      <c r="AU194" s="297" t="str">
        <f aca="false">IF($A194="N/A"," ",IF(VLOOKUP(MONTH($A194),ManualTable,4)=1,IF(OR(Dayrun&lt;=2,Dayrun&gt;=9),$DE194*8*$CY194,0),0))</f>
        <v> </v>
      </c>
      <c r="AV194" s="297" t="str">
        <f aca="false">IF($A194="N/A"," ",IF(VLOOKUP(MONTH($A194),ManualTable,5)=1,IF(OR(Dayrun=1,Dayrun=4,Dayrun=5,Dayrun=7,Dayrun=8,Dayrun=10,Dayrun=11),$DF194*8*$CY194,0),0))</f>
        <v> </v>
      </c>
      <c r="AW194" s="297" t="str">
        <f aca="false">IF($A194="N/A"," ",IF(VLOOKUP(MONTH($A194),ManualTable,6)=1,IF(OR(Dayrun=1,Dayrun=7,Dayrun=8,Dayrun=10,Dayrun=11),$DF194*8*$CY194,0),0))</f>
        <v> </v>
      </c>
      <c r="AX194" s="297" t="str">
        <f aca="false">IF($A194="N/A"," ",IF(VLOOKUP(MONTH($A194),ManualTable,7)=1,IF(OR(Dayrun&lt;=2,Dayrun&gt;=9),$DF194*8*$CY194,0),0))</f>
        <v> </v>
      </c>
      <c r="AY194" s="297" t="str">
        <f aca="false">IF($A194="N/A"," ",IF(VLOOKUP(MONTH($A194),ManualTable,8)=1,IF(OR(Dayrun=1,Dayrun=5,Dayrun=8,Dayrun=11),$DG194*8*$CY194,0),0))</f>
        <v> </v>
      </c>
      <c r="AZ194" s="297" t="str">
        <f aca="false">IF($A194="N/A"," ",IF(VLOOKUP(MONTH($A194),ManualTable,9)=1,IF(OR(Dayrun=1,Dayrun=8,Dayrun=11),$DG194*8*$CY194,0),0))</f>
        <v> </v>
      </c>
      <c r="BA194" s="298" t="str">
        <f aca="false">IF($A194="N/A"," ",IF(VLOOKUP(MONTH($A194),ManualTable,10)=1,IF(OR(Dayrun&lt;=2,Dayrun&gt;=9),$DG194*8*$CY194,0),0))</f>
        <v> </v>
      </c>
      <c r="BB194" s="299" t="str">
        <f aca="false">IF($A194="N/A"," ",IF(Dayrun&gt;=3,(MAX(0,(xSPRDOPT(I194,($E194-'Pricing Inputs'!$X229*$D194),$CV194,0,($CN194+IF(Smile=TRUE(),VLOOKUP(MAX(-5,$H194-I194),Volsmile,2),0)),$CT194,$CU194,($A194-DateToday)+15,ABS(Option-2),1)*DE194*8))),0))</f>
        <v> </v>
      </c>
      <c r="BC194" s="300" t="str">
        <f aca="false">IF($A194="N/A"," ",IF(Dayrun&gt;=6,MAX(0,(xSPRDOPT(J194,($E194-'Pricing Inputs'!$X229*$D194),$CV194,0,($CN194+IF(Smile=TRUE(),VLOOKUP(MAX(-5,$H194-J194),Volsmile,2),0)),$CT194,$CU194,($A194-DateToday)+15,ABS(Option-2),1)*DE194*8)),0))</f>
        <v> </v>
      </c>
      <c r="BD194" s="300" t="str">
        <f aca="false">IF($A194="N/A"," ",IF(OR(Dayrun&lt;=2,Dayrun&gt;=9),IF(OffPeakEx=TRUE(),MAX(0,(xSPRDOPT(K194,($E194-'Pricing Inputs'!$X229*$D194),$CV194,0,($CQ194+IF(Smile=TRUE(),VLOOKUP(MAX(-5,$H194-K194),Volsmile,2),0)),$CT194,$CU194,($A194-DateToday)+15,ABS(Option-2),1)*DE194*8)),0),0))</f>
        <v> </v>
      </c>
      <c r="BE194" s="300" t="str">
        <f aca="false">IF($A194="N/A"," ",IF(OR(Dayrun=1,Dayrun=4,Dayrun=5,Dayrun=7,Dayrun=8,Dayrun=10,Dayrun=11),MAX(0,(xSPRDOPT(L194,($E194-'Pricing Inputs'!$X229*$D194),$CV194,0,($CQ194+IF(Smile=TRUE(),VLOOKUP(MAX(-5,$H194-L194),Volsmile,2),0)),$CT194,$CU194,($A194-DateToday)+15,ABS(Option-2),1)*DF194*8)),0))</f>
        <v> </v>
      </c>
      <c r="BF194" s="300" t="str">
        <f aca="false">IF($A194="N/A"," ",IF(OR(Dayrun=1,Dayrun=7,Dayrun=8,Dayrun=10,Dayrun=11),MAX(0,(xSPRDOPT(M194,($E194-'Pricing Inputs'!$X229*$D194),$CV194,0,($CQ194+IF(Smile=TRUE(),VLOOKUP(MAX(-5,$H194-M194),Volsmile,2),0)),$CT194,$CU194,($A194-DateToday)+15,ABS(Option-2),1)*DF194*8)),0))</f>
        <v> </v>
      </c>
      <c r="BG194" s="300" t="str">
        <f aca="false">IF($A194="N/A"," ",IF(OR(Dayrun&lt;=2,Dayrun&gt;=10),IF(OffPeakEx=TRUE(),MAX(0,(xSPRDOPT(N194,($E194-'Pricing Inputs'!$X229*$D194),$CV194,0,($CQ194+IF(Smile=TRUE(),VLOOKUP(MAX(-5,$H194-N194),Volsmile,2),0)),$CT194,$CU194,($A194-DateToday)+15,ABS(Option-2),1)*DF194*8)),0),0))</f>
        <v> </v>
      </c>
      <c r="BH194" s="300" t="str">
        <f aca="false">IF($A194="N/A"," ",IF(OR(Dayrun=1,Dayrun=5,Dayrun=8,Dayrun=11),MAX(0,(xSPRDOPT(O194,($E194-'Pricing Inputs'!$X229*$D194),$CV194,0,($CQ194+IF(Smile=TRUE(),VLOOKUP(MAX(-5,$H194-O194),Volsmile,2),0)),$CT194,$CU194,($A194-DateToday)+15,ABS(Option-2),1)*DG194*8)),0))</f>
        <v> </v>
      </c>
      <c r="BI194" s="300" t="str">
        <f aca="false">IF($A194="N/A"," ",IF(OR(Dayrun=1,Dayrun=8,Dayrun=11),MAX(0,(xSPRDOPT(P194,($E194-'Pricing Inputs'!$X229*$D194),$CV194,0,($CQ194+IF(Smile=TRUE(),VLOOKUP(MAX(-5,$H194-P194),Volsmile,2),0)),$CT194,$CU194,($A194-DateToday)+15,ABS(Option-2),1)*DG194*8)),0))</f>
        <v> </v>
      </c>
      <c r="BJ194" s="301" t="str">
        <f aca="false">IF($A194="N/A"," ",IF(OR(Dayrun&lt;=2,Dayrun&gt;=11),IF(OffPeakEx=TRUE(),MAX(0,(xSPRDOPT(Q194,($E194-'Pricing Inputs'!$X229*$D194),$CV194,0,($CQ194+IF(Smile=TRUE(),VLOOKUP(MAX(-5,$H194-Q194),Volsmile,2),0)),$CT194,$CU194,($A194-DateToday)+15,ABS(Option-2),1)*DG194*8)),0),0))</f>
        <v> </v>
      </c>
      <c r="BK194" s="302" t="str">
        <f aca="false">IF($A194="N/A"," ",R194*$AS194)</f>
        <v> </v>
      </c>
      <c r="BL194" s="303" t="str">
        <f aca="false">IF($A194="N/A"," ",S194*$AT194)</f>
        <v> </v>
      </c>
      <c r="BM194" s="303" t="str">
        <f aca="false">IF($A194="N/A"," ",T194*$AU194)</f>
        <v> </v>
      </c>
      <c r="BN194" s="303" t="str">
        <f aca="false">IF($A194="N/A"," ",U194*$AV194)</f>
        <v> </v>
      </c>
      <c r="BO194" s="303" t="str">
        <f aca="false">IF($A194="N/A"," ",V194*$AW194)</f>
        <v> </v>
      </c>
      <c r="BP194" s="303" t="str">
        <f aca="false">IF($A194="N/A"," ",W194*$AX194)</f>
        <v> </v>
      </c>
      <c r="BQ194" s="303" t="str">
        <f aca="false">IF($A194="N/A"," ",X194*$AY194)</f>
        <v> </v>
      </c>
      <c r="BR194" s="303" t="str">
        <f aca="false">IF($A194="N/A"," ",Y194*$AZ194)</f>
        <v> </v>
      </c>
      <c r="BS194" s="304" t="str">
        <f aca="false">IF($A194="N/A"," ",Z194*$BA194)</f>
        <v> </v>
      </c>
      <c r="BT194" s="305" t="str">
        <f aca="false">IF($A194="N/A"," ",AA194*$AS194)</f>
        <v> </v>
      </c>
      <c r="BU194" s="306" t="str">
        <f aca="false">IF($A194="N/A"," ",AB194*$AT194)</f>
        <v> </v>
      </c>
      <c r="BV194" s="306" t="str">
        <f aca="false">IF($A194="N/A"," ",AC194*$AU194)</f>
        <v> </v>
      </c>
      <c r="BW194" s="306" t="str">
        <f aca="false">IF($A194="N/A"," ",AD194*$AV194)</f>
        <v> </v>
      </c>
      <c r="BX194" s="306" t="str">
        <f aca="false">IF($A194="N/A"," ",AE194*$AW194)</f>
        <v> </v>
      </c>
      <c r="BY194" s="306" t="str">
        <f aca="false">IF($A194="N/A"," ",AF194*$AX194)</f>
        <v> </v>
      </c>
      <c r="BZ194" s="306" t="str">
        <f aca="false">IF($A194="N/A"," ",AG194*$AY194)</f>
        <v> </v>
      </c>
      <c r="CA194" s="306" t="str">
        <f aca="false">IF($A194="N/A"," ",AH194*$AZ194)</f>
        <v> </v>
      </c>
      <c r="CB194" s="307" t="str">
        <f aca="false">IF($A194="N/A"," ",AI194*$BA194)</f>
        <v> </v>
      </c>
      <c r="CC194" s="308" t="str">
        <f aca="false">IF($A194="N/A"," ",AJ194*$AS194)</f>
        <v> </v>
      </c>
      <c r="CD194" s="309" t="str">
        <f aca="false">IF($A194="N/A"," ",AK194*$AT194)</f>
        <v> </v>
      </c>
      <c r="CE194" s="309" t="str">
        <f aca="false">IF($A194="N/A"," ",AL194*$AU194)</f>
        <v> </v>
      </c>
      <c r="CF194" s="309" t="str">
        <f aca="false">IF($A194="N/A"," ",AM194*$AV194)</f>
        <v> </v>
      </c>
      <c r="CG194" s="309" t="str">
        <f aca="false">IF($A194="N/A"," ",AN194*$AW194)</f>
        <v> </v>
      </c>
      <c r="CH194" s="309" t="str">
        <f aca="false">IF($A194="N/A"," ",AO194*$AX194)</f>
        <v> </v>
      </c>
      <c r="CI194" s="309" t="str">
        <f aca="false">IF($A194="N/A"," ",AP194*$AY194)</f>
        <v> </v>
      </c>
      <c r="CJ194" s="309" t="str">
        <f aca="false">IF($A194="N/A"," ",AQ194*$AZ194)</f>
        <v> </v>
      </c>
      <c r="CK194" s="310" t="str">
        <f aca="false">IF($A194="N/A"," ",AR194*$BA194)</f>
        <v> </v>
      </c>
      <c r="CL194" s="311" t="str">
        <f aca="false">IF(A194="N/A"," ",(VLOOKUP(A194,PowerVolTable,(IF(VolBMO=2,7,IF(VolBMO=1,6,8))),FALSE())))</f>
        <v> </v>
      </c>
      <c r="CM194" s="312" t="str">
        <f aca="false">IF(A194="N/A"," ",(VLOOKUP(A194,IntraPowerVol,(IF(VolBMO=2,3,IF(VolBMO=1,2,4))),FALSE())*VLOOKUP(MONTH($A194),Volscale,2)))</f>
        <v> </v>
      </c>
      <c r="CN194" s="312" t="str">
        <f aca="false">IF($A194="N/A"," ",IF(VolType=1,CM194,CL194))</f>
        <v> </v>
      </c>
      <c r="CO194" s="312" t="str">
        <f aca="false">IF($A194="N/A"," ",(VLOOKUP($A194,OffPeakVol,(IF(VolBMO=2,7,IF(VolBMO=1,6,8))),FALSE())))</f>
        <v> </v>
      </c>
      <c r="CP194" s="312" t="str">
        <f aca="false">IF($A194="N/A"," ",(VLOOKUP($A194,OffPeakVol,(IF(VolBMO=2,3,IF(VolBMO=1,2,4))),FALSE())*VLOOKUP(MONTH($A194),Volscale,2)))</f>
        <v> </v>
      </c>
      <c r="CQ194" s="312" t="str">
        <f aca="false">IF($A194="N/A"," ",IF(VolType=1,CP194,CO194))</f>
        <v> </v>
      </c>
      <c r="CR194" s="312" t="str">
        <f aca="false">IF($A194="N/A"," ",(VLOOKUP($A194,GasVolTable,(IF(VolBMO=2,6,IF(VolBMO=1,7,5))),FALSE())))</f>
        <v> </v>
      </c>
      <c r="CS194" s="312" t="str">
        <f aca="false">IF($A194="N/A"," ",(VLOOKUP($A194,OmicronVol,(IF(VolBMO=2,3,IF(VolBMO=1,4,2))),FALSE())))</f>
        <v> </v>
      </c>
      <c r="CT194" s="312" t="str">
        <f aca="false">IF($A194="N/A"," ",(IF(DateToday&gt;$A194,$CS194,IF(VolType=1,((($CR194^2)*((($A194-1)-DateToday)/((EOMONTH($A194,0)+1)-DateToday-15)))+((($CS194)^2)*((15)/((EOMONTH($A194,0)+1)-DateToday-15))))^0.5,CR194))))</f>
        <v> </v>
      </c>
      <c r="CU194" s="312" t="str">
        <f aca="false">IF($A194="N/A"," ",IF('Pricing Inputs'!$AR$23=TRUE(),Inputs!$S$22,VLOOKUP($A194,CorrelationTable,2,FALSE())))</f>
        <v> </v>
      </c>
      <c r="CV194" s="313" t="str">
        <f aca="false">IF($A194="N/A"," ",F194+G194+(D194*('Pricing Inputs'!X229)))</f>
        <v> </v>
      </c>
      <c r="CW194" s="314" t="str">
        <f aca="false">IF($A194="N/A"," ",IF(PV=1,0,'Pricing Inputs'!Y229))</f>
        <v> </v>
      </c>
      <c r="CX194" s="315" t="str">
        <f aca="false">IF($A194="N/A"," ",(1+CW194/2)^(-2*((EOMONTH(A194,0)+20)-DateToday)/365.25))</f>
        <v> </v>
      </c>
      <c r="CY194" s="316" t="str">
        <f aca="false">IF($A194="N/A"," ",(IF(MONTH(A194)&gt;=4,IF(MONTH(A194)&lt;=10,Inputs!$S$26,Inputs!$S$27),Inputs!$S$27))*$CX194)</f>
        <v> </v>
      </c>
      <c r="CZ194" s="317" t="str">
        <f aca="false">IF($A194="N/A"," ",BK194+BL194+BN194+BO194+BQ194+BR194)</f>
        <v> </v>
      </c>
      <c r="DA194" s="318" t="str">
        <f aca="false">IF($A194="N/A"," ",BM194+BP194+BS194)</f>
        <v> </v>
      </c>
      <c r="DB194" s="319" t="str">
        <f aca="false">IF($A194="N/A"," ",BT194+BU194+BW194+BX194+BZ194+CA194)</f>
        <v> </v>
      </c>
      <c r="DC194" s="319" t="str">
        <f aca="false">IF($A194="N/A"," ",BV194+BY194+CB194)</f>
        <v> </v>
      </c>
      <c r="DD194" s="320" t="str">
        <f aca="false">IF($A194="N/A"," ",SUM(CC194:CK194))</f>
        <v> </v>
      </c>
      <c r="DE194" s="321" t="str">
        <f aca="false">IF($A194="N/A"," ",VLOOKUP($A194,NumberofDaysTable,2)*Availability)</f>
        <v> </v>
      </c>
      <c r="DF194" s="94" t="str">
        <f aca="false">IF($A194="N/A"," ",VLOOKUP($A194,NumberofDaysTable,3)*Availability)</f>
        <v> </v>
      </c>
      <c r="DG194" s="322" t="str">
        <f aca="false">IF($A194="N/A"," ",VLOOKUP($A194,NumberofDaysTable,4)*Availability)</f>
        <v> </v>
      </c>
      <c r="DH194" s="323" t="str">
        <f aca="false">IF($A194="N/A"," ",IF(Option=1,$D194*Inputs!$S$15*SUM(AS194:BA194),0))</f>
        <v> </v>
      </c>
      <c r="DI194" s="324" t="str">
        <f aca="false">IF($A194="N/A"," ",IF(Option=1,$D194*Inputs!$S$16*SUM(AS194:BA194),0))</f>
        <v> </v>
      </c>
      <c r="DJ194" s="325" t="str">
        <f aca="false">IF($A194="N/A"," ",SUM(AS194:AT194))</f>
        <v> </v>
      </c>
      <c r="DK194" s="325" t="str">
        <f aca="false">IF($A194="N/A"," ",SUM(AU194:BA194))</f>
        <v> </v>
      </c>
      <c r="DL194" s="325" t="str">
        <f aca="false">IF($A194="N/A"," ",SUM(BB194:BC194))</f>
        <v> </v>
      </c>
      <c r="DM194" s="325" t="str">
        <f aca="false">IF($A194="N/A"," ",SUM(BD194:BJ194))</f>
        <v> </v>
      </c>
    </row>
    <row r="195" customFormat="false" ht="12.75" hidden="false" customHeight="false" outlineLevel="0" collapsed="false">
      <c r="A195" s="282" t="str">
        <f aca="false">IF(A194="N/A","N/A",IF(EDATE(A194,1)&gt;Inputs!$S$5,"N/A",EDATE(A194,1)))</f>
        <v>N/A</v>
      </c>
      <c r="B195" s="283" t="str">
        <f aca="false">IF(A195="N/A"," ",YEAR(A195))</f>
        <v> </v>
      </c>
      <c r="C195" s="284" t="str">
        <f aca="false">IF(A195="N/A"," ",VLOOKUP(A195,ScaledPrice,14))</f>
        <v> </v>
      </c>
      <c r="D195" s="285" t="str">
        <f aca="false">IF(A195="N/A"," ",(VLOOKUP(MONTH($A195),Hrtable,2))/1000)</f>
        <v> </v>
      </c>
      <c r="E195" s="286" t="str">
        <f aca="false">IF($A195="N/A"," ",(C195)*D195)</f>
        <v> </v>
      </c>
      <c r="F195" s="287" t="str">
        <f aca="false">IF(A195="N/A"," ",VOM*(1+VOMesc)^(YEAR(A195)-YEAR(Today)))</f>
        <v> </v>
      </c>
      <c r="G195" s="287" t="str">
        <f aca="false">IF(A195="N/A"," ",Perstart/VLOOKUP(Dayrun,'Pricing Inputs'!$AQ$4:$AS$14,3)/(CY195/CX195))</f>
        <v> </v>
      </c>
      <c r="H195" s="288" t="str">
        <f aca="false">IF(A195="N/A"," ",SUM(E195:G195))</f>
        <v> </v>
      </c>
      <c r="I195" s="289" t="str">
        <f aca="false">VLOOKUP($A195,ScaledPrice,6)</f>
        <v> </v>
      </c>
      <c r="J195" s="290" t="str">
        <f aca="false">VLOOKUP($A195,ScaledPrice,10)</f>
        <v> </v>
      </c>
      <c r="K195" s="290" t="str">
        <f aca="false">VLOOKUP($A195,ScaledPrice,13)</f>
        <v> </v>
      </c>
      <c r="L195" s="290" t="str">
        <f aca="false">VLOOKUP($A195,ScaledPrice,7)</f>
        <v> </v>
      </c>
      <c r="M195" s="290" t="str">
        <f aca="false">VLOOKUP($A195,ScaledPrice,11)</f>
        <v> </v>
      </c>
      <c r="N195" s="290" t="str">
        <f aca="false">VLOOKUP($A195,ScaledPrice,13)</f>
        <v> </v>
      </c>
      <c r="O195" s="290" t="str">
        <f aca="false">VLOOKUP($A195,ScaledPrice,8)</f>
        <v> </v>
      </c>
      <c r="P195" s="290" t="str">
        <f aca="false">VLOOKUP($A195,ScaledPrice,12)</f>
        <v> </v>
      </c>
      <c r="Q195" s="291" t="str">
        <f aca="false">VLOOKUP($A195,ScaledPrice,13)</f>
        <v> </v>
      </c>
      <c r="R195" s="292" t="str">
        <f aca="false">IF($A195="N/A"," ",IF(Dayrun&gt;=3,IF(Option=1,MAX($I195-$H195,0),IF(Option=2,MAX($H195-$I195,0),0)),0))</f>
        <v> </v>
      </c>
      <c r="S195" s="286" t="str">
        <f aca="false">IF($A195="N/A"," ",IF(Dayrun&gt;=6,IF(Option=1,MAX($J195-H195,0),IF(Option=2,MAX(H195-$J195,0),0)),0))</f>
        <v> </v>
      </c>
      <c r="T195" s="286" t="str">
        <f aca="false">IF($A195="N/A"," ",IF(OR(Dayrun&lt;=2,Dayrun&gt;=9),IF(Option=1,MAX($K195-$H195,0),IF(Option=2,MAX($H195-$K195,0),0)),0))</f>
        <v> </v>
      </c>
      <c r="U195" s="286" t="str">
        <f aca="false">IF($A195="N/A"," ",IF(OR(Dayrun=1,Dayrun=4,Dayrun=5,Dayrun=7,Dayrun=8,Dayrun=10,Dayrun=11),IF(Option=1,MAX($L195-H195,0),IF(Option=2,MAX(H195-$L195,0),0)),0))</f>
        <v> </v>
      </c>
      <c r="V195" s="286" t="str">
        <f aca="false">IF($A195="N/A"," ",IF(OR(Dayrun=1,Dayrun=7,Dayrun=8,Dayrun=10,Dayrun=11),IF(Option=1,MAX($M195-H195,0),IF(Option=2,MAX(H195-$M195,0),0)),0))</f>
        <v> </v>
      </c>
      <c r="W195" s="286" t="str">
        <f aca="false">IF($A195="N/A"," ",IF(OR(Dayrun&lt;=2,Dayrun&gt;=10),IF(Option=1,MAX($N195-$H195,0),IF(Option=2,MAX($H195-$N195,0),0)),0))</f>
        <v> </v>
      </c>
      <c r="X195" s="286" t="str">
        <f aca="false">IF($A195="N/A"," ",IF(OR(Dayrun=1,Dayrun=5,Dayrun=8,Dayrun=11),IF(Option=1,MAX($O195-H195,0),IF(Option=2,MAX(H195-$O195,0),0)),0))</f>
        <v> </v>
      </c>
      <c r="Y195" s="286" t="str">
        <f aca="false">IF($A195="N/A"," ",IF(OR(Dayrun=1,Dayrun=8,Dayrun=11),IF(Option=1,MAX($P195-H195,0),IF(Option=2,MAX(H195-$P195,0),0)),0))</f>
        <v> </v>
      </c>
      <c r="Z195" s="293" t="str">
        <f aca="false">IF($A195="N/A"," ",IF(OR(Dayrun&lt;=2,Dayrun&gt;=11),IF(Option=1,MAX($Q195-$H195,0),IF(Option=2,MAX($H195-$Q195,0),0)),0))</f>
        <v> </v>
      </c>
      <c r="AA195" s="289" t="str">
        <f aca="false">IF($A195="N/A"," ",IF(Dayrun&gt;=3,(MAX(0,(xSPRDOPT(I195,($E195-'Pricing Inputs'!$X230*$D195),$CV195,0,($CN195+IF(Smile=TRUE(),VLOOKUP(MAX(-5,$H195-I195),Volsmile,2),0)),$CT195,$CU195,($A195-DateToday)+15,ABS(Option-2),0)-R195))),0))</f>
        <v> </v>
      </c>
      <c r="AB195" s="290" t="str">
        <f aca="false">IF($A195="N/A"," ",IF(Dayrun&gt;=6,MAX(0,(xSPRDOPT(J195,($E195-'Pricing Inputs'!$X230*$D195),$CV195,0,($CN195+IF(Smile=TRUE(),VLOOKUP(MAX(-5,$H195-J195),Volsmile,2),0)),$CT195,$CU195,($A195-DateToday)+15,ABS(Option-2),0)-S195)),0))</f>
        <v> </v>
      </c>
      <c r="AC195" s="290" t="str">
        <f aca="false">IF($A195="N/A"," ",IF(OR(Dayrun&lt;=2,Dayrun&gt;=9),IF(OffPeakEx=TRUE(),MAX(0,(xSPRDOPT(K195,($E195-'Pricing Inputs'!$X230*$D195),$CV195,0,($CQ195+IF(Smile=TRUE(),VLOOKUP(MAX(-5,$H195-K195),Volsmile,2),0)),$CT195,$CU195,($A195-DateToday)+15,ABS(Option-2),0)-T195)),0),0))</f>
        <v> </v>
      </c>
      <c r="AD195" s="290" t="str">
        <f aca="false">IF($A195="N/A"," ",IF(OR(Dayrun=1,Dayrun=4,Dayrun=5,Dayrun=7,Dayrun=8,Dayrun=10,Dayrun=11),MAX(0,(xSPRDOPT(L195,($E195-'Pricing Inputs'!$X230*$D195),$CV195,0,($CQ195+IF(Smile=TRUE(),VLOOKUP(MAX(-5,$H195-L195),Volsmile,2),0)),$CT195,$CU195,($A195-DateToday)+15,ABS(Option-2),0)-U195)),0))</f>
        <v> </v>
      </c>
      <c r="AE195" s="290" t="str">
        <f aca="false">IF($A195="N/A"," ",IF(OR(Dayrun=1,Dayrun=7,Dayrun=8,Dayrun=10,Dayrun=11),MAX(0,(xSPRDOPT(M195,($E195-'Pricing Inputs'!$X230*$D195),$CV195,0,($CQ195+IF(Smile=TRUE(),VLOOKUP(MAX(-5,$H195-M195),Volsmile,2),0)),$CT195,$CU195,($A195-DateToday)+15,ABS(Option-2),0)-V195)),0))</f>
        <v> </v>
      </c>
      <c r="AF195" s="290" t="str">
        <f aca="false">IF($A195="N/A"," ",IF(OR(Dayrun&lt;=2,Dayrun&gt;=10),IF(OffPeakEx=TRUE(),MAX(0,(xSPRDOPT(N195,($E195-'Pricing Inputs'!$X230*$D195),$CV195,0,($CQ195+IF(Smile=TRUE(),VLOOKUP(MAX(-5,$H195-N195),Volsmile,2),0)),$CT195,$CU195,($A195-DateToday)+15,ABS(Option-2),0)-W195)),0),0))</f>
        <v> </v>
      </c>
      <c r="AG195" s="290" t="str">
        <f aca="false">IF($A195="N/A"," ",IF(OR(Dayrun=1,Dayrun=5,Dayrun=8,Dayrun=11),MAX(0,(xSPRDOPT(O195,($E195-'Pricing Inputs'!$X230*$D195),$CV195,0,($CQ195+IF(Smile=TRUE(),VLOOKUP(MAX(-5,$H195-O195),Volsmile,2),0)),$CT195,$CU195,($A195-DateToday)+15,ABS(Option-2),0)-X195)),0))</f>
        <v> </v>
      </c>
      <c r="AH195" s="290" t="str">
        <f aca="false">IF($A195="N/A"," ",IF(OR(Dayrun=1,Dayrun=8,Dayrun=11),MAX(0,(xSPRDOPT(P195,($E195-'Pricing Inputs'!$X230*$D195),$CV195,0,($CQ195+IF(Smile=TRUE(),VLOOKUP(MAX(-5,$H195-P195),Volsmile,2),0)),$CT195,$CU195,($A195-DateToday)+15,ABS(Option-2),0)-Y195)),0))</f>
        <v> </v>
      </c>
      <c r="AI195" s="290" t="str">
        <f aca="false">IF($A195="N/A"," ",IF(OR(Dayrun&lt;=2,Dayrun&gt;=11),IF(OffPeakEx=TRUE(),MAX(0,(xSPRDOPT(Q195,($E195-'Pricing Inputs'!$X230*$D195),$CV195,0,($CQ195+IF(Smile=TRUE(),VLOOKUP(MAX(-5,$H195-Q195),Volsmile,2),0)),$CT195,$CU195,($A195-DateToday)+15,ABS(Option-2),0)-Z195)),0),0))</f>
        <v> </v>
      </c>
      <c r="AJ195" s="294" t="str">
        <f aca="false">IF($A195="N/A"," ",IF(Dayrun&gt;=3,IF(Option=1,$I195-$H195,IF(Option=2,$H195-$I195)),0))</f>
        <v> </v>
      </c>
      <c r="AK195" s="295" t="str">
        <f aca="false">IF($A195="N/A"," ",IF(Dayrun&gt;=6,IF(Option=1,$J195-H195,IF(Option=2,H195-$J195)),0))</f>
        <v> </v>
      </c>
      <c r="AL195" s="295" t="str">
        <f aca="false">IF($A195="N/A"," ",IF(OR(Dayrun&lt;=2,Dayrun&gt;=9),IF(Option=1,$K195-$H195,IF(Option=2,$H195-$K195)),0))</f>
        <v> </v>
      </c>
      <c r="AM195" s="295" t="str">
        <f aca="false">IF($A195="N/A"," ",IF(OR(Dayrun=1,Dayrun=4,Dayrun=5,Dayrun=7,Dayrun=8,Dayrun=10,Dayrun=11),IF(Option=1,$L195-H195,IF(Option=2,H195-$L195)),0))</f>
        <v> </v>
      </c>
      <c r="AN195" s="295" t="str">
        <f aca="false">IF($A195="N/A"," ",IF(OR(Dayrun=1,Dayrun=7,Dayrun=8,Dayrun=10,Dayrun=11),IF(Option=1,$M195-H195,IF(Option=2,H195-$M195)),0))</f>
        <v> </v>
      </c>
      <c r="AO195" s="295" t="str">
        <f aca="false">IF($A195="N/A"," ",IF(OR(Dayrun&lt;=2,Dayrun&gt;=9),IF(Option=1,$N195-$H195,IF(Option=2,$H195-$N195)),0))</f>
        <v> </v>
      </c>
      <c r="AP195" s="295" t="str">
        <f aca="false">IF($A195="N/A"," ",IF(OR(Dayrun=1,Dayrun=5,Dayrun=8,Dayrun=11),IF(Option=1,$O195-H195,IF(Option=2,H195-$O195)),0))</f>
        <v> </v>
      </c>
      <c r="AQ195" s="295" t="str">
        <f aca="false">IF($A195="N/A"," ",IF(OR(Dayrun=1,Dayrun=8,Dayrun=11),IF(Option=1,$P195-H195,IF(Option=2,H195-$P195)),0))</f>
        <v> </v>
      </c>
      <c r="AR195" s="296" t="str">
        <f aca="false">IF($A195="N/A"," ",IF(OR(Dayrun&lt;=2,Dayrun&gt;=9),IF(Option=1,$Q195-H195,IF(Option=2,H195-$Q195)),0))</f>
        <v> </v>
      </c>
      <c r="AS195" s="297" t="str">
        <f aca="false">IF($A195="N/A"," ",IF(VLOOKUP(MONTH($A195),ManualTable,2)=1,IF(Dayrun&gt;=3,$DE195*8*$CY195,0),0))</f>
        <v> </v>
      </c>
      <c r="AT195" s="297" t="str">
        <f aca="false">IF($A195="N/A"," ",IF(VLOOKUP(MONTH($A195),ManualTable,3)=1,IF(Dayrun&gt;=6,$DE195*8*$CY195,0),0))</f>
        <v> </v>
      </c>
      <c r="AU195" s="297" t="str">
        <f aca="false">IF($A195="N/A"," ",IF(VLOOKUP(MONTH($A195),ManualTable,4)=1,IF(OR(Dayrun&lt;=2,Dayrun&gt;=9),$DE195*8*$CY195,0),0))</f>
        <v> </v>
      </c>
      <c r="AV195" s="297" t="str">
        <f aca="false">IF($A195="N/A"," ",IF(VLOOKUP(MONTH($A195),ManualTable,5)=1,IF(OR(Dayrun=1,Dayrun=4,Dayrun=5,Dayrun=7,Dayrun=8,Dayrun=10,Dayrun=11),$DF195*8*$CY195,0),0))</f>
        <v> </v>
      </c>
      <c r="AW195" s="297" t="str">
        <f aca="false">IF($A195="N/A"," ",IF(VLOOKUP(MONTH($A195),ManualTable,6)=1,IF(OR(Dayrun=1,Dayrun=7,Dayrun=8,Dayrun=10,Dayrun=11),$DF195*8*$CY195,0),0))</f>
        <v> </v>
      </c>
      <c r="AX195" s="297" t="str">
        <f aca="false">IF($A195="N/A"," ",IF(VLOOKUP(MONTH($A195),ManualTable,7)=1,IF(OR(Dayrun&lt;=2,Dayrun&gt;=9),$DF195*8*$CY195,0),0))</f>
        <v> </v>
      </c>
      <c r="AY195" s="297" t="str">
        <f aca="false">IF($A195="N/A"," ",IF(VLOOKUP(MONTH($A195),ManualTable,8)=1,IF(OR(Dayrun=1,Dayrun=5,Dayrun=8,Dayrun=11),$DG195*8*$CY195,0),0))</f>
        <v> </v>
      </c>
      <c r="AZ195" s="297" t="str">
        <f aca="false">IF($A195="N/A"," ",IF(VLOOKUP(MONTH($A195),ManualTable,9)=1,IF(OR(Dayrun=1,Dayrun=8,Dayrun=11),$DG195*8*$CY195,0),0))</f>
        <v> </v>
      </c>
      <c r="BA195" s="298" t="str">
        <f aca="false">IF($A195="N/A"," ",IF(VLOOKUP(MONTH($A195),ManualTable,10)=1,IF(OR(Dayrun&lt;=2,Dayrun&gt;=9),$DG195*8*$CY195,0),0))</f>
        <v> </v>
      </c>
      <c r="BB195" s="299" t="str">
        <f aca="false">IF($A195="N/A"," ",IF(Dayrun&gt;=3,(MAX(0,(xSPRDOPT(I195,($E195-'Pricing Inputs'!$X230*$D195),$CV195,0,($CN195+IF(Smile=TRUE(),VLOOKUP(MAX(-5,$H195-I195),Volsmile,2),0)),$CT195,$CU195,($A195-DateToday)+15,ABS(Option-2),1)*DE195*8))),0))</f>
        <v> </v>
      </c>
      <c r="BC195" s="300" t="str">
        <f aca="false">IF($A195="N/A"," ",IF(Dayrun&gt;=6,MAX(0,(xSPRDOPT(J195,($E195-'Pricing Inputs'!$X230*$D195),$CV195,0,($CN195+IF(Smile=TRUE(),VLOOKUP(MAX(-5,$H195-J195),Volsmile,2),0)),$CT195,$CU195,($A195-DateToday)+15,ABS(Option-2),1)*DE195*8)),0))</f>
        <v> </v>
      </c>
      <c r="BD195" s="300" t="str">
        <f aca="false">IF($A195="N/A"," ",IF(OR(Dayrun&lt;=2,Dayrun&gt;=9),IF(OffPeakEx=TRUE(),MAX(0,(xSPRDOPT(K195,($E195-'Pricing Inputs'!$X230*$D195),$CV195,0,($CQ195+IF(Smile=TRUE(),VLOOKUP(MAX(-5,$H195-K195),Volsmile,2),0)),$CT195,$CU195,($A195-DateToday)+15,ABS(Option-2),1)*DE195*8)),0),0))</f>
        <v> </v>
      </c>
      <c r="BE195" s="300" t="str">
        <f aca="false">IF($A195="N/A"," ",IF(OR(Dayrun=1,Dayrun=4,Dayrun=5,Dayrun=7,Dayrun=8,Dayrun=10,Dayrun=11),MAX(0,(xSPRDOPT(L195,($E195-'Pricing Inputs'!$X230*$D195),$CV195,0,($CQ195+IF(Smile=TRUE(),VLOOKUP(MAX(-5,$H195-L195),Volsmile,2),0)),$CT195,$CU195,($A195-DateToday)+15,ABS(Option-2),1)*DF195*8)),0))</f>
        <v> </v>
      </c>
      <c r="BF195" s="300" t="str">
        <f aca="false">IF($A195="N/A"," ",IF(OR(Dayrun=1,Dayrun=7,Dayrun=8,Dayrun=10,Dayrun=11),MAX(0,(xSPRDOPT(M195,($E195-'Pricing Inputs'!$X230*$D195),$CV195,0,($CQ195+IF(Smile=TRUE(),VLOOKUP(MAX(-5,$H195-M195),Volsmile,2),0)),$CT195,$CU195,($A195-DateToday)+15,ABS(Option-2),1)*DF195*8)),0))</f>
        <v> </v>
      </c>
      <c r="BG195" s="300" t="str">
        <f aca="false">IF($A195="N/A"," ",IF(OR(Dayrun&lt;=2,Dayrun&gt;=10),IF(OffPeakEx=TRUE(),MAX(0,(xSPRDOPT(N195,($E195-'Pricing Inputs'!$X230*$D195),$CV195,0,($CQ195+IF(Smile=TRUE(),VLOOKUP(MAX(-5,$H195-N195),Volsmile,2),0)),$CT195,$CU195,($A195-DateToday)+15,ABS(Option-2),1)*DF195*8)),0),0))</f>
        <v> </v>
      </c>
      <c r="BH195" s="300" t="str">
        <f aca="false">IF($A195="N/A"," ",IF(OR(Dayrun=1,Dayrun=5,Dayrun=8,Dayrun=11),MAX(0,(xSPRDOPT(O195,($E195-'Pricing Inputs'!$X230*$D195),$CV195,0,($CQ195+IF(Smile=TRUE(),VLOOKUP(MAX(-5,$H195-O195),Volsmile,2),0)),$CT195,$CU195,($A195-DateToday)+15,ABS(Option-2),1)*DG195*8)),0))</f>
        <v> </v>
      </c>
      <c r="BI195" s="300" t="str">
        <f aca="false">IF($A195="N/A"," ",IF(OR(Dayrun=1,Dayrun=8,Dayrun=11),MAX(0,(xSPRDOPT(P195,($E195-'Pricing Inputs'!$X230*$D195),$CV195,0,($CQ195+IF(Smile=TRUE(),VLOOKUP(MAX(-5,$H195-P195),Volsmile,2),0)),$CT195,$CU195,($A195-DateToday)+15,ABS(Option-2),1)*DG195*8)),0))</f>
        <v> </v>
      </c>
      <c r="BJ195" s="301" t="str">
        <f aca="false">IF($A195="N/A"," ",IF(OR(Dayrun&lt;=2,Dayrun&gt;=11),IF(OffPeakEx=TRUE(),MAX(0,(xSPRDOPT(Q195,($E195-'Pricing Inputs'!$X230*$D195),$CV195,0,($CQ195+IF(Smile=TRUE(),VLOOKUP(MAX(-5,$H195-Q195),Volsmile,2),0)),$CT195,$CU195,($A195-DateToday)+15,ABS(Option-2),1)*DG195*8)),0),0))</f>
        <v> </v>
      </c>
      <c r="BK195" s="302" t="str">
        <f aca="false">IF($A195="N/A"," ",R195*$AS195)</f>
        <v> </v>
      </c>
      <c r="BL195" s="303" t="str">
        <f aca="false">IF($A195="N/A"," ",S195*$AT195)</f>
        <v> </v>
      </c>
      <c r="BM195" s="303" t="str">
        <f aca="false">IF($A195="N/A"," ",T195*$AU195)</f>
        <v> </v>
      </c>
      <c r="BN195" s="303" t="str">
        <f aca="false">IF($A195="N/A"," ",U195*$AV195)</f>
        <v> </v>
      </c>
      <c r="BO195" s="303" t="str">
        <f aca="false">IF($A195="N/A"," ",V195*$AW195)</f>
        <v> </v>
      </c>
      <c r="BP195" s="303" t="str">
        <f aca="false">IF($A195="N/A"," ",W195*$AX195)</f>
        <v> </v>
      </c>
      <c r="BQ195" s="303" t="str">
        <f aca="false">IF($A195="N/A"," ",X195*$AY195)</f>
        <v> </v>
      </c>
      <c r="BR195" s="303" t="str">
        <f aca="false">IF($A195="N/A"," ",Y195*$AZ195)</f>
        <v> </v>
      </c>
      <c r="BS195" s="304" t="str">
        <f aca="false">IF($A195="N/A"," ",Z195*$BA195)</f>
        <v> </v>
      </c>
      <c r="BT195" s="305" t="str">
        <f aca="false">IF($A195="N/A"," ",AA195*$AS195)</f>
        <v> </v>
      </c>
      <c r="BU195" s="306" t="str">
        <f aca="false">IF($A195="N/A"," ",AB195*$AT195)</f>
        <v> </v>
      </c>
      <c r="BV195" s="306" t="str">
        <f aca="false">IF($A195="N/A"," ",AC195*$AU195)</f>
        <v> </v>
      </c>
      <c r="BW195" s="306" t="str">
        <f aca="false">IF($A195="N/A"," ",AD195*$AV195)</f>
        <v> </v>
      </c>
      <c r="BX195" s="306" t="str">
        <f aca="false">IF($A195="N/A"," ",AE195*$AW195)</f>
        <v> </v>
      </c>
      <c r="BY195" s="306" t="str">
        <f aca="false">IF($A195="N/A"," ",AF195*$AX195)</f>
        <v> </v>
      </c>
      <c r="BZ195" s="306" t="str">
        <f aca="false">IF($A195="N/A"," ",AG195*$AY195)</f>
        <v> </v>
      </c>
      <c r="CA195" s="306" t="str">
        <f aca="false">IF($A195="N/A"," ",AH195*$AZ195)</f>
        <v> </v>
      </c>
      <c r="CB195" s="307" t="str">
        <f aca="false">IF($A195="N/A"," ",AI195*$BA195)</f>
        <v> </v>
      </c>
      <c r="CC195" s="308" t="str">
        <f aca="false">IF($A195="N/A"," ",AJ195*$AS195)</f>
        <v> </v>
      </c>
      <c r="CD195" s="309" t="str">
        <f aca="false">IF($A195="N/A"," ",AK195*$AT195)</f>
        <v> </v>
      </c>
      <c r="CE195" s="309" t="str">
        <f aca="false">IF($A195="N/A"," ",AL195*$AU195)</f>
        <v> </v>
      </c>
      <c r="CF195" s="309" t="str">
        <f aca="false">IF($A195="N/A"," ",AM195*$AV195)</f>
        <v> </v>
      </c>
      <c r="CG195" s="309" t="str">
        <f aca="false">IF($A195="N/A"," ",AN195*$AW195)</f>
        <v> </v>
      </c>
      <c r="CH195" s="309" t="str">
        <f aca="false">IF($A195="N/A"," ",AO195*$AX195)</f>
        <v> </v>
      </c>
      <c r="CI195" s="309" t="str">
        <f aca="false">IF($A195="N/A"," ",AP195*$AY195)</f>
        <v> </v>
      </c>
      <c r="CJ195" s="309" t="str">
        <f aca="false">IF($A195="N/A"," ",AQ195*$AZ195)</f>
        <v> </v>
      </c>
      <c r="CK195" s="310" t="str">
        <f aca="false">IF($A195="N/A"," ",AR195*$BA195)</f>
        <v> </v>
      </c>
      <c r="CL195" s="311" t="str">
        <f aca="false">IF(A195="N/A"," ",(VLOOKUP(A195,PowerVolTable,(IF(VolBMO=2,7,IF(VolBMO=1,6,8))),FALSE())))</f>
        <v> </v>
      </c>
      <c r="CM195" s="312" t="str">
        <f aca="false">IF(A195="N/A"," ",(VLOOKUP(A195,IntraPowerVol,(IF(VolBMO=2,3,IF(VolBMO=1,2,4))),FALSE())*VLOOKUP(MONTH($A195),Volscale,2)))</f>
        <v> </v>
      </c>
      <c r="CN195" s="312" t="str">
        <f aca="false">IF($A195="N/A"," ",IF(VolType=1,CM195,CL195))</f>
        <v> </v>
      </c>
      <c r="CO195" s="312" t="str">
        <f aca="false">IF($A195="N/A"," ",(VLOOKUP($A195,OffPeakVol,(IF(VolBMO=2,7,IF(VolBMO=1,6,8))),FALSE())))</f>
        <v> </v>
      </c>
      <c r="CP195" s="312" t="str">
        <f aca="false">IF($A195="N/A"," ",(VLOOKUP($A195,OffPeakVol,(IF(VolBMO=2,3,IF(VolBMO=1,2,4))),FALSE())*VLOOKUP(MONTH($A195),Volscale,2)))</f>
        <v> </v>
      </c>
      <c r="CQ195" s="312" t="str">
        <f aca="false">IF($A195="N/A"," ",IF(VolType=1,CP195,CO195))</f>
        <v> </v>
      </c>
      <c r="CR195" s="312" t="str">
        <f aca="false">IF($A195="N/A"," ",(VLOOKUP($A195,GasVolTable,(IF(VolBMO=2,6,IF(VolBMO=1,7,5))),FALSE())))</f>
        <v> </v>
      </c>
      <c r="CS195" s="312" t="str">
        <f aca="false">IF($A195="N/A"," ",(VLOOKUP($A195,OmicronVol,(IF(VolBMO=2,3,IF(VolBMO=1,4,2))),FALSE())))</f>
        <v> </v>
      </c>
      <c r="CT195" s="312" t="str">
        <f aca="false">IF($A195="N/A"," ",(IF(DateToday&gt;$A195,$CS195,IF(VolType=1,((($CR195^2)*((($A195-1)-DateToday)/((EOMONTH($A195,0)+1)-DateToday-15)))+((($CS195)^2)*((15)/((EOMONTH($A195,0)+1)-DateToday-15))))^0.5,CR195))))</f>
        <v> </v>
      </c>
      <c r="CU195" s="312" t="str">
        <f aca="false">IF($A195="N/A"," ",IF('Pricing Inputs'!$AR$23=TRUE(),Inputs!$S$22,VLOOKUP($A195,CorrelationTable,2,FALSE())))</f>
        <v> </v>
      </c>
      <c r="CV195" s="313" t="str">
        <f aca="false">IF($A195="N/A"," ",F195+G195+(D195*('Pricing Inputs'!X230)))</f>
        <v> </v>
      </c>
      <c r="CW195" s="314" t="str">
        <f aca="false">IF($A195="N/A"," ",IF(PV=1,0,'Pricing Inputs'!Y230))</f>
        <v> </v>
      </c>
      <c r="CX195" s="315" t="str">
        <f aca="false">IF($A195="N/A"," ",(1+CW195/2)^(-2*((EOMONTH(A195,0)+20)-DateToday)/365.25))</f>
        <v> </v>
      </c>
      <c r="CY195" s="316" t="str">
        <f aca="false">IF($A195="N/A"," ",(IF(MONTH(A195)&gt;=4,IF(MONTH(A195)&lt;=10,Inputs!$S$26,Inputs!$S$27),Inputs!$S$27))*$CX195)</f>
        <v> </v>
      </c>
      <c r="CZ195" s="317" t="str">
        <f aca="false">IF($A195="N/A"," ",BK195+BL195+BN195+BO195+BQ195+BR195)</f>
        <v> </v>
      </c>
      <c r="DA195" s="318" t="str">
        <f aca="false">IF($A195="N/A"," ",BM195+BP195+BS195)</f>
        <v> </v>
      </c>
      <c r="DB195" s="319" t="str">
        <f aca="false">IF($A195="N/A"," ",BT195+BU195+BW195+BX195+BZ195+CA195)</f>
        <v> </v>
      </c>
      <c r="DC195" s="319" t="str">
        <f aca="false">IF($A195="N/A"," ",BV195+BY195+CB195)</f>
        <v> </v>
      </c>
      <c r="DD195" s="320" t="str">
        <f aca="false">IF($A195="N/A"," ",SUM(CC195:CK195))</f>
        <v> </v>
      </c>
      <c r="DE195" s="321" t="str">
        <f aca="false">IF($A195="N/A"," ",VLOOKUP($A195,NumberofDaysTable,2)*Availability)</f>
        <v> </v>
      </c>
      <c r="DF195" s="94" t="str">
        <f aca="false">IF($A195="N/A"," ",VLOOKUP($A195,NumberofDaysTable,3)*Availability)</f>
        <v> </v>
      </c>
      <c r="DG195" s="322" t="str">
        <f aca="false">IF($A195="N/A"," ",VLOOKUP($A195,NumberofDaysTable,4)*Availability)</f>
        <v> </v>
      </c>
      <c r="DH195" s="323" t="str">
        <f aca="false">IF($A195="N/A"," ",IF(Option=1,$D195*Inputs!$S$15*SUM(AS195:BA195),0))</f>
        <v> </v>
      </c>
      <c r="DI195" s="324" t="str">
        <f aca="false">IF($A195="N/A"," ",IF(Option=1,$D195*Inputs!$S$16*SUM(AS195:BA195),0))</f>
        <v> </v>
      </c>
      <c r="DJ195" s="325" t="str">
        <f aca="false">IF($A195="N/A"," ",SUM(AS195:AT195))</f>
        <v> </v>
      </c>
      <c r="DK195" s="325" t="str">
        <f aca="false">IF($A195="N/A"," ",SUM(AU195:BA195))</f>
        <v> </v>
      </c>
      <c r="DL195" s="325" t="str">
        <f aca="false">IF($A195="N/A"," ",SUM(BB195:BC195))</f>
        <v> </v>
      </c>
      <c r="DM195" s="325" t="str">
        <f aca="false">IF($A195="N/A"," ",SUM(BD195:BJ195))</f>
        <v> </v>
      </c>
    </row>
    <row r="196" customFormat="false" ht="12.75" hidden="false" customHeight="false" outlineLevel="0" collapsed="false">
      <c r="A196" s="282" t="str">
        <f aca="false">IF(A195="N/A","N/A",IF(EDATE(A195,1)&gt;Inputs!$S$5,"N/A",EDATE(A195,1)))</f>
        <v>N/A</v>
      </c>
      <c r="B196" s="283" t="str">
        <f aca="false">IF(A196="N/A"," ",YEAR(A196))</f>
        <v> </v>
      </c>
      <c r="C196" s="284" t="str">
        <f aca="false">IF(A196="N/A"," ",VLOOKUP(A196,ScaledPrice,14))</f>
        <v> </v>
      </c>
      <c r="D196" s="285" t="str">
        <f aca="false">IF(A196="N/A"," ",(VLOOKUP(MONTH($A196),Hrtable,2))/1000)</f>
        <v> </v>
      </c>
      <c r="E196" s="286" t="str">
        <f aca="false">IF($A196="N/A"," ",(C196)*D196)</f>
        <v> </v>
      </c>
      <c r="F196" s="287" t="str">
        <f aca="false">IF(A196="N/A"," ",VOM*(1+VOMesc)^(YEAR(A196)-YEAR(Today)))</f>
        <v> </v>
      </c>
      <c r="G196" s="287" t="str">
        <f aca="false">IF(A196="N/A"," ",Perstart/VLOOKUP(Dayrun,'Pricing Inputs'!$AQ$4:$AS$14,3)/(CY196/CX196))</f>
        <v> </v>
      </c>
      <c r="H196" s="288" t="str">
        <f aca="false">IF(A196="N/A"," ",SUM(E196:G196))</f>
        <v> </v>
      </c>
      <c r="I196" s="289" t="str">
        <f aca="false">VLOOKUP($A196,ScaledPrice,6)</f>
        <v> </v>
      </c>
      <c r="J196" s="290" t="str">
        <f aca="false">VLOOKUP($A196,ScaledPrice,10)</f>
        <v> </v>
      </c>
      <c r="K196" s="290" t="str">
        <f aca="false">VLOOKUP($A196,ScaledPrice,13)</f>
        <v> </v>
      </c>
      <c r="L196" s="290" t="str">
        <f aca="false">VLOOKUP($A196,ScaledPrice,7)</f>
        <v> </v>
      </c>
      <c r="M196" s="290" t="str">
        <f aca="false">VLOOKUP($A196,ScaledPrice,11)</f>
        <v> </v>
      </c>
      <c r="N196" s="290" t="str">
        <f aca="false">VLOOKUP($A196,ScaledPrice,13)</f>
        <v> </v>
      </c>
      <c r="O196" s="290" t="str">
        <f aca="false">VLOOKUP($A196,ScaledPrice,8)</f>
        <v> </v>
      </c>
      <c r="P196" s="290" t="str">
        <f aca="false">VLOOKUP($A196,ScaledPrice,12)</f>
        <v> </v>
      </c>
      <c r="Q196" s="291" t="str">
        <f aca="false">VLOOKUP($A196,ScaledPrice,13)</f>
        <v> </v>
      </c>
      <c r="R196" s="292" t="str">
        <f aca="false">IF($A196="N/A"," ",IF(Dayrun&gt;=3,IF(Option=1,MAX($I196-$H196,0),IF(Option=2,MAX($H196-$I196,0),0)),0))</f>
        <v> </v>
      </c>
      <c r="S196" s="286" t="str">
        <f aca="false">IF($A196="N/A"," ",IF(Dayrun&gt;=6,IF(Option=1,MAX($J196-H196,0),IF(Option=2,MAX(H196-$J196,0),0)),0))</f>
        <v> </v>
      </c>
      <c r="T196" s="286" t="str">
        <f aca="false">IF($A196="N/A"," ",IF(OR(Dayrun&lt;=2,Dayrun&gt;=9),IF(Option=1,MAX($K196-$H196,0),IF(Option=2,MAX($H196-$K196,0),0)),0))</f>
        <v> </v>
      </c>
      <c r="U196" s="286" t="str">
        <f aca="false">IF($A196="N/A"," ",IF(OR(Dayrun=1,Dayrun=4,Dayrun=5,Dayrun=7,Dayrun=8,Dayrun=10,Dayrun=11),IF(Option=1,MAX($L196-H196,0),IF(Option=2,MAX(H196-$L196,0),0)),0))</f>
        <v> </v>
      </c>
      <c r="V196" s="286" t="str">
        <f aca="false">IF($A196="N/A"," ",IF(OR(Dayrun=1,Dayrun=7,Dayrun=8,Dayrun=10,Dayrun=11),IF(Option=1,MAX($M196-H196,0),IF(Option=2,MAX(H196-$M196,0),0)),0))</f>
        <v> </v>
      </c>
      <c r="W196" s="286" t="str">
        <f aca="false">IF($A196="N/A"," ",IF(OR(Dayrun&lt;=2,Dayrun&gt;=10),IF(Option=1,MAX($N196-$H196,0),IF(Option=2,MAX($H196-$N196,0),0)),0))</f>
        <v> </v>
      </c>
      <c r="X196" s="286" t="str">
        <f aca="false">IF($A196="N/A"," ",IF(OR(Dayrun=1,Dayrun=5,Dayrun=8,Dayrun=11),IF(Option=1,MAX($O196-H196,0),IF(Option=2,MAX(H196-$O196,0),0)),0))</f>
        <v> </v>
      </c>
      <c r="Y196" s="286" t="str">
        <f aca="false">IF($A196="N/A"," ",IF(OR(Dayrun=1,Dayrun=8,Dayrun=11),IF(Option=1,MAX($P196-H196,0),IF(Option=2,MAX(H196-$P196,0),0)),0))</f>
        <v> </v>
      </c>
      <c r="Z196" s="293" t="str">
        <f aca="false">IF($A196="N/A"," ",IF(OR(Dayrun&lt;=2,Dayrun&gt;=11),IF(Option=1,MAX($Q196-$H196,0),IF(Option=2,MAX($H196-$Q196,0),0)),0))</f>
        <v> </v>
      </c>
      <c r="AA196" s="289" t="str">
        <f aca="false">IF($A196="N/A"," ",IF(Dayrun&gt;=3,(MAX(0,(xSPRDOPT(I196,($E196-'Pricing Inputs'!$X231*$D196),$CV196,0,($CN196+IF(Smile=TRUE(),VLOOKUP(MAX(-5,$H196-I196),Volsmile,2),0)),$CT196,$CU196,($A196-DateToday)+15,ABS(Option-2),0)-R196))),0))</f>
        <v> </v>
      </c>
      <c r="AB196" s="290" t="str">
        <f aca="false">IF($A196="N/A"," ",IF(Dayrun&gt;=6,MAX(0,(xSPRDOPT(J196,($E196-'Pricing Inputs'!$X231*$D196),$CV196,0,($CN196+IF(Smile=TRUE(),VLOOKUP(MAX(-5,$H196-J196),Volsmile,2),0)),$CT196,$CU196,($A196-DateToday)+15,ABS(Option-2),0)-S196)),0))</f>
        <v> </v>
      </c>
      <c r="AC196" s="290" t="str">
        <f aca="false">IF($A196="N/A"," ",IF(OR(Dayrun&lt;=2,Dayrun&gt;=9),IF(OffPeakEx=TRUE(),MAX(0,(xSPRDOPT(K196,($E196-'Pricing Inputs'!$X231*$D196),$CV196,0,($CQ196+IF(Smile=TRUE(),VLOOKUP(MAX(-5,$H196-K196),Volsmile,2),0)),$CT196,$CU196,($A196-DateToday)+15,ABS(Option-2),0)-T196)),0),0))</f>
        <v> </v>
      </c>
      <c r="AD196" s="290" t="str">
        <f aca="false">IF($A196="N/A"," ",IF(OR(Dayrun=1,Dayrun=4,Dayrun=5,Dayrun=7,Dayrun=8,Dayrun=10,Dayrun=11),MAX(0,(xSPRDOPT(L196,($E196-'Pricing Inputs'!$X231*$D196),$CV196,0,($CQ196+IF(Smile=TRUE(),VLOOKUP(MAX(-5,$H196-L196),Volsmile,2),0)),$CT196,$CU196,($A196-DateToday)+15,ABS(Option-2),0)-U196)),0))</f>
        <v> </v>
      </c>
      <c r="AE196" s="290" t="str">
        <f aca="false">IF($A196="N/A"," ",IF(OR(Dayrun=1,Dayrun=7,Dayrun=8,Dayrun=10,Dayrun=11),MAX(0,(xSPRDOPT(M196,($E196-'Pricing Inputs'!$X231*$D196),$CV196,0,($CQ196+IF(Smile=TRUE(),VLOOKUP(MAX(-5,$H196-M196),Volsmile,2),0)),$CT196,$CU196,($A196-DateToday)+15,ABS(Option-2),0)-V196)),0))</f>
        <v> </v>
      </c>
      <c r="AF196" s="290" t="str">
        <f aca="false">IF($A196="N/A"," ",IF(OR(Dayrun&lt;=2,Dayrun&gt;=10),IF(OffPeakEx=TRUE(),MAX(0,(xSPRDOPT(N196,($E196-'Pricing Inputs'!$X231*$D196),$CV196,0,($CQ196+IF(Smile=TRUE(),VLOOKUP(MAX(-5,$H196-N196),Volsmile,2),0)),$CT196,$CU196,($A196-DateToday)+15,ABS(Option-2),0)-W196)),0),0))</f>
        <v> </v>
      </c>
      <c r="AG196" s="290" t="str">
        <f aca="false">IF($A196="N/A"," ",IF(OR(Dayrun=1,Dayrun=5,Dayrun=8,Dayrun=11),MAX(0,(xSPRDOPT(O196,($E196-'Pricing Inputs'!$X231*$D196),$CV196,0,($CQ196+IF(Smile=TRUE(),VLOOKUP(MAX(-5,$H196-O196),Volsmile,2),0)),$CT196,$CU196,($A196-DateToday)+15,ABS(Option-2),0)-X196)),0))</f>
        <v> </v>
      </c>
      <c r="AH196" s="290" t="str">
        <f aca="false">IF($A196="N/A"," ",IF(OR(Dayrun=1,Dayrun=8,Dayrun=11),MAX(0,(xSPRDOPT(P196,($E196-'Pricing Inputs'!$X231*$D196),$CV196,0,($CQ196+IF(Smile=TRUE(),VLOOKUP(MAX(-5,$H196-P196),Volsmile,2),0)),$CT196,$CU196,($A196-DateToday)+15,ABS(Option-2),0)-Y196)),0))</f>
        <v> </v>
      </c>
      <c r="AI196" s="290" t="str">
        <f aca="false">IF($A196="N/A"," ",IF(OR(Dayrun&lt;=2,Dayrun&gt;=11),IF(OffPeakEx=TRUE(),MAX(0,(xSPRDOPT(Q196,($E196-'Pricing Inputs'!$X231*$D196),$CV196,0,($CQ196+IF(Smile=TRUE(),VLOOKUP(MAX(-5,$H196-Q196),Volsmile,2),0)),$CT196,$CU196,($A196-DateToday)+15,ABS(Option-2),0)-Z196)),0),0))</f>
        <v> </v>
      </c>
      <c r="AJ196" s="294" t="str">
        <f aca="false">IF($A196="N/A"," ",IF(Dayrun&gt;=3,IF(Option=1,$I196-$H196,IF(Option=2,$H196-$I196)),0))</f>
        <v> </v>
      </c>
      <c r="AK196" s="295" t="str">
        <f aca="false">IF($A196="N/A"," ",IF(Dayrun&gt;=6,IF(Option=1,$J196-H196,IF(Option=2,H196-$J196)),0))</f>
        <v> </v>
      </c>
      <c r="AL196" s="295" t="str">
        <f aca="false">IF($A196="N/A"," ",IF(OR(Dayrun&lt;=2,Dayrun&gt;=9),IF(Option=1,$K196-$H196,IF(Option=2,$H196-$K196)),0))</f>
        <v> </v>
      </c>
      <c r="AM196" s="295" t="str">
        <f aca="false">IF($A196="N/A"," ",IF(OR(Dayrun=1,Dayrun=4,Dayrun=5,Dayrun=7,Dayrun=8,Dayrun=10,Dayrun=11),IF(Option=1,$L196-H196,IF(Option=2,H196-$L196)),0))</f>
        <v> </v>
      </c>
      <c r="AN196" s="295" t="str">
        <f aca="false">IF($A196="N/A"," ",IF(OR(Dayrun=1,Dayrun=7,Dayrun=8,Dayrun=10,Dayrun=11),IF(Option=1,$M196-H196,IF(Option=2,H196-$M196)),0))</f>
        <v> </v>
      </c>
      <c r="AO196" s="295" t="str">
        <f aca="false">IF($A196="N/A"," ",IF(OR(Dayrun&lt;=2,Dayrun&gt;=9),IF(Option=1,$N196-$H196,IF(Option=2,$H196-$N196)),0))</f>
        <v> </v>
      </c>
      <c r="AP196" s="295" t="str">
        <f aca="false">IF($A196="N/A"," ",IF(OR(Dayrun=1,Dayrun=5,Dayrun=8,Dayrun=11),IF(Option=1,$O196-H196,IF(Option=2,H196-$O196)),0))</f>
        <v> </v>
      </c>
      <c r="AQ196" s="295" t="str">
        <f aca="false">IF($A196="N/A"," ",IF(OR(Dayrun=1,Dayrun=8,Dayrun=11),IF(Option=1,$P196-H196,IF(Option=2,H196-$P196)),0))</f>
        <v> </v>
      </c>
      <c r="AR196" s="296" t="str">
        <f aca="false">IF($A196="N/A"," ",IF(OR(Dayrun&lt;=2,Dayrun&gt;=9),IF(Option=1,$Q196-H196,IF(Option=2,H196-$Q196)),0))</f>
        <v> </v>
      </c>
      <c r="AS196" s="297" t="str">
        <f aca="false">IF($A196="N/A"," ",IF(VLOOKUP(MONTH($A196),ManualTable,2)=1,IF(Dayrun&gt;=3,$DE196*8*$CY196,0),0))</f>
        <v> </v>
      </c>
      <c r="AT196" s="297" t="str">
        <f aca="false">IF($A196="N/A"," ",IF(VLOOKUP(MONTH($A196),ManualTable,3)=1,IF(Dayrun&gt;=6,$DE196*8*$CY196,0),0))</f>
        <v> </v>
      </c>
      <c r="AU196" s="297" t="str">
        <f aca="false">IF($A196="N/A"," ",IF(VLOOKUP(MONTH($A196),ManualTable,4)=1,IF(OR(Dayrun&lt;=2,Dayrun&gt;=9),$DE196*8*$CY196,0),0))</f>
        <v> </v>
      </c>
      <c r="AV196" s="297" t="str">
        <f aca="false">IF($A196="N/A"," ",IF(VLOOKUP(MONTH($A196),ManualTable,5)=1,IF(OR(Dayrun=1,Dayrun=4,Dayrun=5,Dayrun=7,Dayrun=8,Dayrun=10,Dayrun=11),$DF196*8*$CY196,0),0))</f>
        <v> </v>
      </c>
      <c r="AW196" s="297" t="str">
        <f aca="false">IF($A196="N/A"," ",IF(VLOOKUP(MONTH($A196),ManualTable,6)=1,IF(OR(Dayrun=1,Dayrun=7,Dayrun=8,Dayrun=10,Dayrun=11),$DF196*8*$CY196,0),0))</f>
        <v> </v>
      </c>
      <c r="AX196" s="297" t="str">
        <f aca="false">IF($A196="N/A"," ",IF(VLOOKUP(MONTH($A196),ManualTable,7)=1,IF(OR(Dayrun&lt;=2,Dayrun&gt;=9),$DF196*8*$CY196,0),0))</f>
        <v> </v>
      </c>
      <c r="AY196" s="297" t="str">
        <f aca="false">IF($A196="N/A"," ",IF(VLOOKUP(MONTH($A196),ManualTable,8)=1,IF(OR(Dayrun=1,Dayrun=5,Dayrun=8,Dayrun=11),$DG196*8*$CY196,0),0))</f>
        <v> </v>
      </c>
      <c r="AZ196" s="297" t="str">
        <f aca="false">IF($A196="N/A"," ",IF(VLOOKUP(MONTH($A196),ManualTable,9)=1,IF(OR(Dayrun=1,Dayrun=8,Dayrun=11),$DG196*8*$CY196,0),0))</f>
        <v> </v>
      </c>
      <c r="BA196" s="298" t="str">
        <f aca="false">IF($A196="N/A"," ",IF(VLOOKUP(MONTH($A196),ManualTable,10)=1,IF(OR(Dayrun&lt;=2,Dayrun&gt;=9),$DG196*8*$CY196,0),0))</f>
        <v> </v>
      </c>
      <c r="BB196" s="299" t="str">
        <f aca="false">IF($A196="N/A"," ",IF(Dayrun&gt;=3,(MAX(0,(xSPRDOPT(I196,($E196-'Pricing Inputs'!$X231*$D196),$CV196,0,($CN196+IF(Smile=TRUE(),VLOOKUP(MAX(-5,$H196-I196),Volsmile,2),0)),$CT196,$CU196,($A196-DateToday)+15,ABS(Option-2),1)*DE196*8))),0))</f>
        <v> </v>
      </c>
      <c r="BC196" s="300" t="str">
        <f aca="false">IF($A196="N/A"," ",IF(Dayrun&gt;=6,MAX(0,(xSPRDOPT(J196,($E196-'Pricing Inputs'!$X231*$D196),$CV196,0,($CN196+IF(Smile=TRUE(),VLOOKUP(MAX(-5,$H196-J196),Volsmile,2),0)),$CT196,$CU196,($A196-DateToday)+15,ABS(Option-2),1)*DE196*8)),0))</f>
        <v> </v>
      </c>
      <c r="BD196" s="300" t="str">
        <f aca="false">IF($A196="N/A"," ",IF(OR(Dayrun&lt;=2,Dayrun&gt;=9),IF(OffPeakEx=TRUE(),MAX(0,(xSPRDOPT(K196,($E196-'Pricing Inputs'!$X231*$D196),$CV196,0,($CQ196+IF(Smile=TRUE(),VLOOKUP(MAX(-5,$H196-K196),Volsmile,2),0)),$CT196,$CU196,($A196-DateToday)+15,ABS(Option-2),1)*DE196*8)),0),0))</f>
        <v> </v>
      </c>
      <c r="BE196" s="300" t="str">
        <f aca="false">IF($A196="N/A"," ",IF(OR(Dayrun=1,Dayrun=4,Dayrun=5,Dayrun=7,Dayrun=8,Dayrun=10,Dayrun=11),MAX(0,(xSPRDOPT(L196,($E196-'Pricing Inputs'!$X231*$D196),$CV196,0,($CQ196+IF(Smile=TRUE(),VLOOKUP(MAX(-5,$H196-L196),Volsmile,2),0)),$CT196,$CU196,($A196-DateToday)+15,ABS(Option-2),1)*DF196*8)),0))</f>
        <v> </v>
      </c>
      <c r="BF196" s="300" t="str">
        <f aca="false">IF($A196="N/A"," ",IF(OR(Dayrun=1,Dayrun=7,Dayrun=8,Dayrun=10,Dayrun=11),MAX(0,(xSPRDOPT(M196,($E196-'Pricing Inputs'!$X231*$D196),$CV196,0,($CQ196+IF(Smile=TRUE(),VLOOKUP(MAX(-5,$H196-M196),Volsmile,2),0)),$CT196,$CU196,($A196-DateToday)+15,ABS(Option-2),1)*DF196*8)),0))</f>
        <v> </v>
      </c>
      <c r="BG196" s="300" t="str">
        <f aca="false">IF($A196="N/A"," ",IF(OR(Dayrun&lt;=2,Dayrun&gt;=10),IF(OffPeakEx=TRUE(),MAX(0,(xSPRDOPT(N196,($E196-'Pricing Inputs'!$X231*$D196),$CV196,0,($CQ196+IF(Smile=TRUE(),VLOOKUP(MAX(-5,$H196-N196),Volsmile,2),0)),$CT196,$CU196,($A196-DateToday)+15,ABS(Option-2),1)*DF196*8)),0),0))</f>
        <v> </v>
      </c>
      <c r="BH196" s="300" t="str">
        <f aca="false">IF($A196="N/A"," ",IF(OR(Dayrun=1,Dayrun=5,Dayrun=8,Dayrun=11),MAX(0,(xSPRDOPT(O196,($E196-'Pricing Inputs'!$X231*$D196),$CV196,0,($CQ196+IF(Smile=TRUE(),VLOOKUP(MAX(-5,$H196-O196),Volsmile,2),0)),$CT196,$CU196,($A196-DateToday)+15,ABS(Option-2),1)*DG196*8)),0))</f>
        <v> </v>
      </c>
      <c r="BI196" s="300" t="str">
        <f aca="false">IF($A196="N/A"," ",IF(OR(Dayrun=1,Dayrun=8,Dayrun=11),MAX(0,(xSPRDOPT(P196,($E196-'Pricing Inputs'!$X231*$D196),$CV196,0,($CQ196+IF(Smile=TRUE(),VLOOKUP(MAX(-5,$H196-P196),Volsmile,2),0)),$CT196,$CU196,($A196-DateToday)+15,ABS(Option-2),1)*DG196*8)),0))</f>
        <v> </v>
      </c>
      <c r="BJ196" s="301" t="str">
        <f aca="false">IF($A196="N/A"," ",IF(OR(Dayrun&lt;=2,Dayrun&gt;=11),IF(OffPeakEx=TRUE(),MAX(0,(xSPRDOPT(Q196,($E196-'Pricing Inputs'!$X231*$D196),$CV196,0,($CQ196+IF(Smile=TRUE(),VLOOKUP(MAX(-5,$H196-Q196),Volsmile,2),0)),$CT196,$CU196,($A196-DateToday)+15,ABS(Option-2),1)*DG196*8)),0),0))</f>
        <v> </v>
      </c>
      <c r="BK196" s="302" t="str">
        <f aca="false">IF($A196="N/A"," ",R196*$AS196)</f>
        <v> </v>
      </c>
      <c r="BL196" s="303" t="str">
        <f aca="false">IF($A196="N/A"," ",S196*$AT196)</f>
        <v> </v>
      </c>
      <c r="BM196" s="303" t="str">
        <f aca="false">IF($A196="N/A"," ",T196*$AU196)</f>
        <v> </v>
      </c>
      <c r="BN196" s="303" t="str">
        <f aca="false">IF($A196="N/A"," ",U196*$AV196)</f>
        <v> </v>
      </c>
      <c r="BO196" s="303" t="str">
        <f aca="false">IF($A196="N/A"," ",V196*$AW196)</f>
        <v> </v>
      </c>
      <c r="BP196" s="303" t="str">
        <f aca="false">IF($A196="N/A"," ",W196*$AX196)</f>
        <v> </v>
      </c>
      <c r="BQ196" s="303" t="str">
        <f aca="false">IF($A196="N/A"," ",X196*$AY196)</f>
        <v> </v>
      </c>
      <c r="BR196" s="303" t="str">
        <f aca="false">IF($A196="N/A"," ",Y196*$AZ196)</f>
        <v> </v>
      </c>
      <c r="BS196" s="304" t="str">
        <f aca="false">IF($A196="N/A"," ",Z196*$BA196)</f>
        <v> </v>
      </c>
      <c r="BT196" s="305" t="str">
        <f aca="false">IF($A196="N/A"," ",AA196*$AS196)</f>
        <v> </v>
      </c>
      <c r="BU196" s="306" t="str">
        <f aca="false">IF($A196="N/A"," ",AB196*$AT196)</f>
        <v> </v>
      </c>
      <c r="BV196" s="306" t="str">
        <f aca="false">IF($A196="N/A"," ",AC196*$AU196)</f>
        <v> </v>
      </c>
      <c r="BW196" s="306" t="str">
        <f aca="false">IF($A196="N/A"," ",AD196*$AV196)</f>
        <v> </v>
      </c>
      <c r="BX196" s="306" t="str">
        <f aca="false">IF($A196="N/A"," ",AE196*$AW196)</f>
        <v> </v>
      </c>
      <c r="BY196" s="306" t="str">
        <f aca="false">IF($A196="N/A"," ",AF196*$AX196)</f>
        <v> </v>
      </c>
      <c r="BZ196" s="306" t="str">
        <f aca="false">IF($A196="N/A"," ",AG196*$AY196)</f>
        <v> </v>
      </c>
      <c r="CA196" s="306" t="str">
        <f aca="false">IF($A196="N/A"," ",AH196*$AZ196)</f>
        <v> </v>
      </c>
      <c r="CB196" s="307" t="str">
        <f aca="false">IF($A196="N/A"," ",AI196*$BA196)</f>
        <v> </v>
      </c>
      <c r="CC196" s="308" t="str">
        <f aca="false">IF($A196="N/A"," ",AJ196*$AS196)</f>
        <v> </v>
      </c>
      <c r="CD196" s="309" t="str">
        <f aca="false">IF($A196="N/A"," ",AK196*$AT196)</f>
        <v> </v>
      </c>
      <c r="CE196" s="309" t="str">
        <f aca="false">IF($A196="N/A"," ",AL196*$AU196)</f>
        <v> </v>
      </c>
      <c r="CF196" s="309" t="str">
        <f aca="false">IF($A196="N/A"," ",AM196*$AV196)</f>
        <v> </v>
      </c>
      <c r="CG196" s="309" t="str">
        <f aca="false">IF($A196="N/A"," ",AN196*$AW196)</f>
        <v> </v>
      </c>
      <c r="CH196" s="309" t="str">
        <f aca="false">IF($A196="N/A"," ",AO196*$AX196)</f>
        <v> </v>
      </c>
      <c r="CI196" s="309" t="str">
        <f aca="false">IF($A196="N/A"," ",AP196*$AY196)</f>
        <v> </v>
      </c>
      <c r="CJ196" s="309" t="str">
        <f aca="false">IF($A196="N/A"," ",AQ196*$AZ196)</f>
        <v> </v>
      </c>
      <c r="CK196" s="310" t="str">
        <f aca="false">IF($A196="N/A"," ",AR196*$BA196)</f>
        <v> </v>
      </c>
      <c r="CL196" s="311" t="str">
        <f aca="false">IF(A196="N/A"," ",(VLOOKUP(A196,PowerVolTable,(IF(VolBMO=2,7,IF(VolBMO=1,6,8))),FALSE())))</f>
        <v> </v>
      </c>
      <c r="CM196" s="312" t="str">
        <f aca="false">IF(A196="N/A"," ",(VLOOKUP(A196,IntraPowerVol,(IF(VolBMO=2,3,IF(VolBMO=1,2,4))),FALSE())*VLOOKUP(MONTH($A196),Volscale,2)))</f>
        <v> </v>
      </c>
      <c r="CN196" s="312" t="str">
        <f aca="false">IF($A196="N/A"," ",IF(VolType=1,CM196,CL196))</f>
        <v> </v>
      </c>
      <c r="CO196" s="312" t="str">
        <f aca="false">IF($A196="N/A"," ",(VLOOKUP($A196,OffPeakVol,(IF(VolBMO=2,7,IF(VolBMO=1,6,8))),FALSE())))</f>
        <v> </v>
      </c>
      <c r="CP196" s="312" t="str">
        <f aca="false">IF($A196="N/A"," ",(VLOOKUP($A196,OffPeakVol,(IF(VolBMO=2,3,IF(VolBMO=1,2,4))),FALSE())*VLOOKUP(MONTH($A196),Volscale,2)))</f>
        <v> </v>
      </c>
      <c r="CQ196" s="312" t="str">
        <f aca="false">IF($A196="N/A"," ",IF(VolType=1,CP196,CO196))</f>
        <v> </v>
      </c>
      <c r="CR196" s="312" t="str">
        <f aca="false">IF($A196="N/A"," ",(VLOOKUP($A196,GasVolTable,(IF(VolBMO=2,6,IF(VolBMO=1,7,5))),FALSE())))</f>
        <v> </v>
      </c>
      <c r="CS196" s="312" t="str">
        <f aca="false">IF($A196="N/A"," ",(VLOOKUP($A196,OmicronVol,(IF(VolBMO=2,3,IF(VolBMO=1,4,2))),FALSE())))</f>
        <v> </v>
      </c>
      <c r="CT196" s="312" t="str">
        <f aca="false">IF($A196="N/A"," ",(IF(DateToday&gt;$A196,$CS196,IF(VolType=1,((($CR196^2)*((($A196-1)-DateToday)/((EOMONTH($A196,0)+1)-DateToday-15)))+((($CS196)^2)*((15)/((EOMONTH($A196,0)+1)-DateToday-15))))^0.5,CR196))))</f>
        <v> </v>
      </c>
      <c r="CU196" s="312" t="str">
        <f aca="false">IF($A196="N/A"," ",IF('Pricing Inputs'!$AR$23=TRUE(),Inputs!$S$22,VLOOKUP($A196,CorrelationTable,2,FALSE())))</f>
        <v> </v>
      </c>
      <c r="CV196" s="313" t="str">
        <f aca="false">IF($A196="N/A"," ",F196+G196+(D196*('Pricing Inputs'!X231)))</f>
        <v> </v>
      </c>
      <c r="CW196" s="314" t="str">
        <f aca="false">IF($A196="N/A"," ",IF(PV=1,0,'Pricing Inputs'!Y231))</f>
        <v> </v>
      </c>
      <c r="CX196" s="315" t="str">
        <f aca="false">IF($A196="N/A"," ",(1+CW196/2)^(-2*((EOMONTH(A196,0)+20)-DateToday)/365.25))</f>
        <v> </v>
      </c>
      <c r="CY196" s="316" t="str">
        <f aca="false">IF($A196="N/A"," ",(IF(MONTH(A196)&gt;=4,IF(MONTH(A196)&lt;=10,Inputs!$S$26,Inputs!$S$27),Inputs!$S$27))*$CX196)</f>
        <v> </v>
      </c>
      <c r="CZ196" s="317" t="str">
        <f aca="false">IF($A196="N/A"," ",BK196+BL196+BN196+BO196+BQ196+BR196)</f>
        <v> </v>
      </c>
      <c r="DA196" s="318" t="str">
        <f aca="false">IF($A196="N/A"," ",BM196+BP196+BS196)</f>
        <v> </v>
      </c>
      <c r="DB196" s="319" t="str">
        <f aca="false">IF($A196="N/A"," ",BT196+BU196+BW196+BX196+BZ196+CA196)</f>
        <v> </v>
      </c>
      <c r="DC196" s="319" t="str">
        <f aca="false">IF($A196="N/A"," ",BV196+BY196+CB196)</f>
        <v> </v>
      </c>
      <c r="DD196" s="320" t="str">
        <f aca="false">IF($A196="N/A"," ",SUM(CC196:CK196))</f>
        <v> </v>
      </c>
      <c r="DE196" s="321" t="str">
        <f aca="false">IF($A196="N/A"," ",VLOOKUP($A196,NumberofDaysTable,2)*Availability)</f>
        <v> </v>
      </c>
      <c r="DF196" s="94" t="str">
        <f aca="false">IF($A196="N/A"," ",VLOOKUP($A196,NumberofDaysTable,3)*Availability)</f>
        <v> </v>
      </c>
      <c r="DG196" s="322" t="str">
        <f aca="false">IF($A196="N/A"," ",VLOOKUP($A196,NumberofDaysTable,4)*Availability)</f>
        <v> </v>
      </c>
      <c r="DH196" s="323" t="str">
        <f aca="false">IF($A196="N/A"," ",IF(Option=1,$D196*Inputs!$S$15*SUM(AS196:BA196),0))</f>
        <v> </v>
      </c>
      <c r="DI196" s="324" t="str">
        <f aca="false">IF($A196="N/A"," ",IF(Option=1,$D196*Inputs!$S$16*SUM(AS196:BA196),0))</f>
        <v> </v>
      </c>
      <c r="DJ196" s="325" t="str">
        <f aca="false">IF($A196="N/A"," ",SUM(AS196:AT196))</f>
        <v> </v>
      </c>
      <c r="DK196" s="325" t="str">
        <f aca="false">IF($A196="N/A"," ",SUM(AU196:BA196))</f>
        <v> </v>
      </c>
      <c r="DL196" s="325" t="str">
        <f aca="false">IF($A196="N/A"," ",SUM(BB196:BC196))</f>
        <v> </v>
      </c>
      <c r="DM196" s="325" t="str">
        <f aca="false">IF($A196="N/A"," ",SUM(BD196:BJ196))</f>
        <v> </v>
      </c>
    </row>
    <row r="197" customFormat="false" ht="12.75" hidden="false" customHeight="false" outlineLevel="0" collapsed="false">
      <c r="A197" s="282" t="str">
        <f aca="false">IF(A196="N/A","N/A",IF(EDATE(A196,1)&gt;Inputs!$S$5,"N/A",EDATE(A196,1)))</f>
        <v>N/A</v>
      </c>
      <c r="B197" s="283" t="str">
        <f aca="false">IF(A197="N/A"," ",YEAR(A197))</f>
        <v> </v>
      </c>
      <c r="C197" s="284" t="str">
        <f aca="false">IF(A197="N/A"," ",VLOOKUP(A197,ScaledPrice,14))</f>
        <v> </v>
      </c>
      <c r="D197" s="285" t="str">
        <f aca="false">IF(A197="N/A"," ",(VLOOKUP(MONTH($A197),Hrtable,2))/1000)</f>
        <v> </v>
      </c>
      <c r="E197" s="286" t="str">
        <f aca="false">IF($A197="N/A"," ",(C197)*D197)</f>
        <v> </v>
      </c>
      <c r="F197" s="287" t="str">
        <f aca="false">IF(A197="N/A"," ",VOM*(1+VOMesc)^(YEAR(A197)-YEAR(Today)))</f>
        <v> </v>
      </c>
      <c r="G197" s="287" t="str">
        <f aca="false">IF(A197="N/A"," ",Perstart/VLOOKUP(Dayrun,'Pricing Inputs'!$AQ$4:$AS$14,3)/(CY197/CX197))</f>
        <v> </v>
      </c>
      <c r="H197" s="288" t="str">
        <f aca="false">IF(A197="N/A"," ",SUM(E197:G197))</f>
        <v> </v>
      </c>
      <c r="I197" s="289" t="str">
        <f aca="false">VLOOKUP($A197,ScaledPrice,6)</f>
        <v> </v>
      </c>
      <c r="J197" s="290" t="str">
        <f aca="false">VLOOKUP($A197,ScaledPrice,10)</f>
        <v> </v>
      </c>
      <c r="K197" s="290" t="str">
        <f aca="false">VLOOKUP($A197,ScaledPrice,13)</f>
        <v> </v>
      </c>
      <c r="L197" s="290" t="str">
        <f aca="false">VLOOKUP($A197,ScaledPrice,7)</f>
        <v> </v>
      </c>
      <c r="M197" s="290" t="str">
        <f aca="false">VLOOKUP($A197,ScaledPrice,11)</f>
        <v> </v>
      </c>
      <c r="N197" s="290" t="str">
        <f aca="false">VLOOKUP($A197,ScaledPrice,13)</f>
        <v> </v>
      </c>
      <c r="O197" s="290" t="str">
        <f aca="false">VLOOKUP($A197,ScaledPrice,8)</f>
        <v> </v>
      </c>
      <c r="P197" s="290" t="str">
        <f aca="false">VLOOKUP($A197,ScaledPrice,12)</f>
        <v> </v>
      </c>
      <c r="Q197" s="291" t="str">
        <f aca="false">VLOOKUP($A197,ScaledPrice,13)</f>
        <v> </v>
      </c>
      <c r="R197" s="292" t="str">
        <f aca="false">IF($A197="N/A"," ",IF(Dayrun&gt;=3,IF(Option=1,MAX($I197-$H197,0),IF(Option=2,MAX($H197-$I197,0),0)),0))</f>
        <v> </v>
      </c>
      <c r="S197" s="286" t="str">
        <f aca="false">IF($A197="N/A"," ",IF(Dayrun&gt;=6,IF(Option=1,MAX($J197-H197,0),IF(Option=2,MAX(H197-$J197,0),0)),0))</f>
        <v> </v>
      </c>
      <c r="T197" s="286" t="str">
        <f aca="false">IF($A197="N/A"," ",IF(OR(Dayrun&lt;=2,Dayrun&gt;=9),IF(Option=1,MAX($K197-$H197,0),IF(Option=2,MAX($H197-$K197,0),0)),0))</f>
        <v> </v>
      </c>
      <c r="U197" s="286" t="str">
        <f aca="false">IF($A197="N/A"," ",IF(OR(Dayrun=1,Dayrun=4,Dayrun=5,Dayrun=7,Dayrun=8,Dayrun=10,Dayrun=11),IF(Option=1,MAX($L197-H197,0),IF(Option=2,MAX(H197-$L197,0),0)),0))</f>
        <v> </v>
      </c>
      <c r="V197" s="286" t="str">
        <f aca="false">IF($A197="N/A"," ",IF(OR(Dayrun=1,Dayrun=7,Dayrun=8,Dayrun=10,Dayrun=11),IF(Option=1,MAX($M197-H197,0),IF(Option=2,MAX(H197-$M197,0),0)),0))</f>
        <v> </v>
      </c>
      <c r="W197" s="286" t="str">
        <f aca="false">IF($A197="N/A"," ",IF(OR(Dayrun&lt;=2,Dayrun&gt;=10),IF(Option=1,MAX($N197-$H197,0),IF(Option=2,MAX($H197-$N197,0),0)),0))</f>
        <v> </v>
      </c>
      <c r="X197" s="286" t="str">
        <f aca="false">IF($A197="N/A"," ",IF(OR(Dayrun=1,Dayrun=5,Dayrun=8,Dayrun=11),IF(Option=1,MAX($O197-H197,0),IF(Option=2,MAX(H197-$O197,0),0)),0))</f>
        <v> </v>
      </c>
      <c r="Y197" s="286" t="str">
        <f aca="false">IF($A197="N/A"," ",IF(OR(Dayrun=1,Dayrun=8,Dayrun=11),IF(Option=1,MAX($P197-H197,0),IF(Option=2,MAX(H197-$P197,0),0)),0))</f>
        <v> </v>
      </c>
      <c r="Z197" s="293" t="str">
        <f aca="false">IF($A197="N/A"," ",IF(OR(Dayrun&lt;=2,Dayrun&gt;=11),IF(Option=1,MAX($Q197-$H197,0),IF(Option=2,MAX($H197-$Q197,0),0)),0))</f>
        <v> </v>
      </c>
      <c r="AA197" s="289" t="str">
        <f aca="false">IF($A197="N/A"," ",IF(Dayrun&gt;=3,(MAX(0,(xSPRDOPT(I197,($E197-'Pricing Inputs'!$X232*$D197),$CV197,0,($CN197+IF(Smile=TRUE(),VLOOKUP(MAX(-5,$H197-I197),Volsmile,2),0)),$CT197,$CU197,($A197-DateToday)+15,ABS(Option-2),0)-R197))),0))</f>
        <v> </v>
      </c>
      <c r="AB197" s="290" t="str">
        <f aca="false">IF($A197="N/A"," ",IF(Dayrun&gt;=6,MAX(0,(xSPRDOPT(J197,($E197-'Pricing Inputs'!$X232*$D197),$CV197,0,($CN197+IF(Smile=TRUE(),VLOOKUP(MAX(-5,$H197-J197),Volsmile,2),0)),$CT197,$CU197,($A197-DateToday)+15,ABS(Option-2),0)-S197)),0))</f>
        <v> </v>
      </c>
      <c r="AC197" s="290" t="str">
        <f aca="false">IF($A197="N/A"," ",IF(OR(Dayrun&lt;=2,Dayrun&gt;=9),IF(OffPeakEx=TRUE(),MAX(0,(xSPRDOPT(K197,($E197-'Pricing Inputs'!$X232*$D197),$CV197,0,($CQ197+IF(Smile=TRUE(),VLOOKUP(MAX(-5,$H197-K197),Volsmile,2),0)),$CT197,$CU197,($A197-DateToday)+15,ABS(Option-2),0)-T197)),0),0))</f>
        <v> </v>
      </c>
      <c r="AD197" s="290" t="str">
        <f aca="false">IF($A197="N/A"," ",IF(OR(Dayrun=1,Dayrun=4,Dayrun=5,Dayrun=7,Dayrun=8,Dayrun=10,Dayrun=11),MAX(0,(xSPRDOPT(L197,($E197-'Pricing Inputs'!$X232*$D197),$CV197,0,($CQ197+IF(Smile=TRUE(),VLOOKUP(MAX(-5,$H197-L197),Volsmile,2),0)),$CT197,$CU197,($A197-DateToday)+15,ABS(Option-2),0)-U197)),0))</f>
        <v> </v>
      </c>
      <c r="AE197" s="290" t="str">
        <f aca="false">IF($A197="N/A"," ",IF(OR(Dayrun=1,Dayrun=7,Dayrun=8,Dayrun=10,Dayrun=11),MAX(0,(xSPRDOPT(M197,($E197-'Pricing Inputs'!$X232*$D197),$CV197,0,($CQ197+IF(Smile=TRUE(),VLOOKUP(MAX(-5,$H197-M197),Volsmile,2),0)),$CT197,$CU197,($A197-DateToday)+15,ABS(Option-2),0)-V197)),0))</f>
        <v> </v>
      </c>
      <c r="AF197" s="290" t="str">
        <f aca="false">IF($A197="N/A"," ",IF(OR(Dayrun&lt;=2,Dayrun&gt;=10),IF(OffPeakEx=TRUE(),MAX(0,(xSPRDOPT(N197,($E197-'Pricing Inputs'!$X232*$D197),$CV197,0,($CQ197+IF(Smile=TRUE(),VLOOKUP(MAX(-5,$H197-N197),Volsmile,2),0)),$CT197,$CU197,($A197-DateToday)+15,ABS(Option-2),0)-W197)),0),0))</f>
        <v> </v>
      </c>
      <c r="AG197" s="290" t="str">
        <f aca="false">IF($A197="N/A"," ",IF(OR(Dayrun=1,Dayrun=5,Dayrun=8,Dayrun=11),MAX(0,(xSPRDOPT(O197,($E197-'Pricing Inputs'!$X232*$D197),$CV197,0,($CQ197+IF(Smile=TRUE(),VLOOKUP(MAX(-5,$H197-O197),Volsmile,2),0)),$CT197,$CU197,($A197-DateToday)+15,ABS(Option-2),0)-X197)),0))</f>
        <v> </v>
      </c>
      <c r="AH197" s="290" t="str">
        <f aca="false">IF($A197="N/A"," ",IF(OR(Dayrun=1,Dayrun=8,Dayrun=11),MAX(0,(xSPRDOPT(P197,($E197-'Pricing Inputs'!$X232*$D197),$CV197,0,($CQ197+IF(Smile=TRUE(),VLOOKUP(MAX(-5,$H197-P197),Volsmile,2),0)),$CT197,$CU197,($A197-DateToday)+15,ABS(Option-2),0)-Y197)),0))</f>
        <v> </v>
      </c>
      <c r="AI197" s="290" t="str">
        <f aca="false">IF($A197="N/A"," ",IF(OR(Dayrun&lt;=2,Dayrun&gt;=11),IF(OffPeakEx=TRUE(),MAX(0,(xSPRDOPT(Q197,($E197-'Pricing Inputs'!$X232*$D197),$CV197,0,($CQ197+IF(Smile=TRUE(),VLOOKUP(MAX(-5,$H197-Q197),Volsmile,2),0)),$CT197,$CU197,($A197-DateToday)+15,ABS(Option-2),0)-Z197)),0),0))</f>
        <v> </v>
      </c>
      <c r="AJ197" s="294" t="str">
        <f aca="false">IF($A197="N/A"," ",IF(Dayrun&gt;=3,IF(Option=1,$I197-$H197,IF(Option=2,$H197-$I197)),0))</f>
        <v> </v>
      </c>
      <c r="AK197" s="295" t="str">
        <f aca="false">IF($A197="N/A"," ",IF(Dayrun&gt;=6,IF(Option=1,$J197-H197,IF(Option=2,H197-$J197)),0))</f>
        <v> </v>
      </c>
      <c r="AL197" s="295" t="str">
        <f aca="false">IF($A197="N/A"," ",IF(OR(Dayrun&lt;=2,Dayrun&gt;=9),IF(Option=1,$K197-$H197,IF(Option=2,$H197-$K197)),0))</f>
        <v> </v>
      </c>
      <c r="AM197" s="295" t="str">
        <f aca="false">IF($A197="N/A"," ",IF(OR(Dayrun=1,Dayrun=4,Dayrun=5,Dayrun=7,Dayrun=8,Dayrun=10,Dayrun=11),IF(Option=1,$L197-H197,IF(Option=2,H197-$L197)),0))</f>
        <v> </v>
      </c>
      <c r="AN197" s="295" t="str">
        <f aca="false">IF($A197="N/A"," ",IF(OR(Dayrun=1,Dayrun=7,Dayrun=8,Dayrun=10,Dayrun=11),IF(Option=1,$M197-H197,IF(Option=2,H197-$M197)),0))</f>
        <v> </v>
      </c>
      <c r="AO197" s="295" t="str">
        <f aca="false">IF($A197="N/A"," ",IF(OR(Dayrun&lt;=2,Dayrun&gt;=9),IF(Option=1,$N197-$H197,IF(Option=2,$H197-$N197)),0))</f>
        <v> </v>
      </c>
      <c r="AP197" s="295" t="str">
        <f aca="false">IF($A197="N/A"," ",IF(OR(Dayrun=1,Dayrun=5,Dayrun=8,Dayrun=11),IF(Option=1,$O197-H197,IF(Option=2,H197-$O197)),0))</f>
        <v> </v>
      </c>
      <c r="AQ197" s="295" t="str">
        <f aca="false">IF($A197="N/A"," ",IF(OR(Dayrun=1,Dayrun=8,Dayrun=11),IF(Option=1,$P197-H197,IF(Option=2,H197-$P197)),0))</f>
        <v> </v>
      </c>
      <c r="AR197" s="296" t="str">
        <f aca="false">IF($A197="N/A"," ",IF(OR(Dayrun&lt;=2,Dayrun&gt;=9),IF(Option=1,$Q197-H197,IF(Option=2,H197-$Q197)),0))</f>
        <v> </v>
      </c>
      <c r="AS197" s="297" t="str">
        <f aca="false">IF($A197="N/A"," ",IF(VLOOKUP(MONTH($A197),ManualTable,2)=1,IF(Dayrun&gt;=3,$DE197*8*$CY197,0),0))</f>
        <v> </v>
      </c>
      <c r="AT197" s="297" t="str">
        <f aca="false">IF($A197="N/A"," ",IF(VLOOKUP(MONTH($A197),ManualTable,3)=1,IF(Dayrun&gt;=6,$DE197*8*$CY197,0),0))</f>
        <v> </v>
      </c>
      <c r="AU197" s="297" t="str">
        <f aca="false">IF($A197="N/A"," ",IF(VLOOKUP(MONTH($A197),ManualTable,4)=1,IF(OR(Dayrun&lt;=2,Dayrun&gt;=9),$DE197*8*$CY197,0),0))</f>
        <v> </v>
      </c>
      <c r="AV197" s="297" t="str">
        <f aca="false">IF($A197="N/A"," ",IF(VLOOKUP(MONTH($A197),ManualTable,5)=1,IF(OR(Dayrun=1,Dayrun=4,Dayrun=5,Dayrun=7,Dayrun=8,Dayrun=10,Dayrun=11),$DF197*8*$CY197,0),0))</f>
        <v> </v>
      </c>
      <c r="AW197" s="297" t="str">
        <f aca="false">IF($A197="N/A"," ",IF(VLOOKUP(MONTH($A197),ManualTable,6)=1,IF(OR(Dayrun=1,Dayrun=7,Dayrun=8,Dayrun=10,Dayrun=11),$DF197*8*$CY197,0),0))</f>
        <v> </v>
      </c>
      <c r="AX197" s="297" t="str">
        <f aca="false">IF($A197="N/A"," ",IF(VLOOKUP(MONTH($A197),ManualTable,7)=1,IF(OR(Dayrun&lt;=2,Dayrun&gt;=9),$DF197*8*$CY197,0),0))</f>
        <v> </v>
      </c>
      <c r="AY197" s="297" t="str">
        <f aca="false">IF($A197="N/A"," ",IF(VLOOKUP(MONTH($A197),ManualTable,8)=1,IF(OR(Dayrun=1,Dayrun=5,Dayrun=8,Dayrun=11),$DG197*8*$CY197,0),0))</f>
        <v> </v>
      </c>
      <c r="AZ197" s="297" t="str">
        <f aca="false">IF($A197="N/A"," ",IF(VLOOKUP(MONTH($A197),ManualTable,9)=1,IF(OR(Dayrun=1,Dayrun=8,Dayrun=11),$DG197*8*$CY197,0),0))</f>
        <v> </v>
      </c>
      <c r="BA197" s="298" t="str">
        <f aca="false">IF($A197="N/A"," ",IF(VLOOKUP(MONTH($A197),ManualTable,10)=1,IF(OR(Dayrun&lt;=2,Dayrun&gt;=9),$DG197*8*$CY197,0),0))</f>
        <v> </v>
      </c>
      <c r="BB197" s="299" t="str">
        <f aca="false">IF($A197="N/A"," ",IF(Dayrun&gt;=3,(MAX(0,(xSPRDOPT(I197,($E197-'Pricing Inputs'!$X232*$D197),$CV197,0,($CN197+IF(Smile=TRUE(),VLOOKUP(MAX(-5,$H197-I197),Volsmile,2),0)),$CT197,$CU197,($A197-DateToday)+15,ABS(Option-2),1)*DE197*8))),0))</f>
        <v> </v>
      </c>
      <c r="BC197" s="300" t="str">
        <f aca="false">IF($A197="N/A"," ",IF(Dayrun&gt;=6,MAX(0,(xSPRDOPT(J197,($E197-'Pricing Inputs'!$X232*$D197),$CV197,0,($CN197+IF(Smile=TRUE(),VLOOKUP(MAX(-5,$H197-J197),Volsmile,2),0)),$CT197,$CU197,($A197-DateToday)+15,ABS(Option-2),1)*DE197*8)),0))</f>
        <v> </v>
      </c>
      <c r="BD197" s="300" t="str">
        <f aca="false">IF($A197="N/A"," ",IF(OR(Dayrun&lt;=2,Dayrun&gt;=9),IF(OffPeakEx=TRUE(),MAX(0,(xSPRDOPT(K197,($E197-'Pricing Inputs'!$X232*$D197),$CV197,0,($CQ197+IF(Smile=TRUE(),VLOOKUP(MAX(-5,$H197-K197),Volsmile,2),0)),$CT197,$CU197,($A197-DateToday)+15,ABS(Option-2),1)*DE197*8)),0),0))</f>
        <v> </v>
      </c>
      <c r="BE197" s="300" t="str">
        <f aca="false">IF($A197="N/A"," ",IF(OR(Dayrun=1,Dayrun=4,Dayrun=5,Dayrun=7,Dayrun=8,Dayrun=10,Dayrun=11),MAX(0,(xSPRDOPT(L197,($E197-'Pricing Inputs'!$X232*$D197),$CV197,0,($CQ197+IF(Smile=TRUE(),VLOOKUP(MAX(-5,$H197-L197),Volsmile,2),0)),$CT197,$CU197,($A197-DateToday)+15,ABS(Option-2),1)*DF197*8)),0))</f>
        <v> </v>
      </c>
      <c r="BF197" s="300" t="str">
        <f aca="false">IF($A197="N/A"," ",IF(OR(Dayrun=1,Dayrun=7,Dayrun=8,Dayrun=10,Dayrun=11),MAX(0,(xSPRDOPT(M197,($E197-'Pricing Inputs'!$X232*$D197),$CV197,0,($CQ197+IF(Smile=TRUE(),VLOOKUP(MAX(-5,$H197-M197),Volsmile,2),0)),$CT197,$CU197,($A197-DateToday)+15,ABS(Option-2),1)*DF197*8)),0))</f>
        <v> </v>
      </c>
      <c r="BG197" s="300" t="str">
        <f aca="false">IF($A197="N/A"," ",IF(OR(Dayrun&lt;=2,Dayrun&gt;=10),IF(OffPeakEx=TRUE(),MAX(0,(xSPRDOPT(N197,($E197-'Pricing Inputs'!$X232*$D197),$CV197,0,($CQ197+IF(Smile=TRUE(),VLOOKUP(MAX(-5,$H197-N197),Volsmile,2),0)),$CT197,$CU197,($A197-DateToday)+15,ABS(Option-2),1)*DF197*8)),0),0))</f>
        <v> </v>
      </c>
      <c r="BH197" s="300" t="str">
        <f aca="false">IF($A197="N/A"," ",IF(OR(Dayrun=1,Dayrun=5,Dayrun=8,Dayrun=11),MAX(0,(xSPRDOPT(O197,($E197-'Pricing Inputs'!$X232*$D197),$CV197,0,($CQ197+IF(Smile=TRUE(),VLOOKUP(MAX(-5,$H197-O197),Volsmile,2),0)),$CT197,$CU197,($A197-DateToday)+15,ABS(Option-2),1)*DG197*8)),0))</f>
        <v> </v>
      </c>
      <c r="BI197" s="300" t="str">
        <f aca="false">IF($A197="N/A"," ",IF(OR(Dayrun=1,Dayrun=8,Dayrun=11),MAX(0,(xSPRDOPT(P197,($E197-'Pricing Inputs'!$X232*$D197),$CV197,0,($CQ197+IF(Smile=TRUE(),VLOOKUP(MAX(-5,$H197-P197),Volsmile,2),0)),$CT197,$CU197,($A197-DateToday)+15,ABS(Option-2),1)*DG197*8)),0))</f>
        <v> </v>
      </c>
      <c r="BJ197" s="301" t="str">
        <f aca="false">IF($A197="N/A"," ",IF(OR(Dayrun&lt;=2,Dayrun&gt;=11),IF(OffPeakEx=TRUE(),MAX(0,(xSPRDOPT(Q197,($E197-'Pricing Inputs'!$X232*$D197),$CV197,0,($CQ197+IF(Smile=TRUE(),VLOOKUP(MAX(-5,$H197-Q197),Volsmile,2),0)),$CT197,$CU197,($A197-DateToday)+15,ABS(Option-2),1)*DG197*8)),0),0))</f>
        <v> </v>
      </c>
      <c r="BK197" s="302" t="str">
        <f aca="false">IF($A197="N/A"," ",R197*$AS197)</f>
        <v> </v>
      </c>
      <c r="BL197" s="303" t="str">
        <f aca="false">IF($A197="N/A"," ",S197*$AT197)</f>
        <v> </v>
      </c>
      <c r="BM197" s="303" t="str">
        <f aca="false">IF($A197="N/A"," ",T197*$AU197)</f>
        <v> </v>
      </c>
      <c r="BN197" s="303" t="str">
        <f aca="false">IF($A197="N/A"," ",U197*$AV197)</f>
        <v> </v>
      </c>
      <c r="BO197" s="303" t="str">
        <f aca="false">IF($A197="N/A"," ",V197*$AW197)</f>
        <v> </v>
      </c>
      <c r="BP197" s="303" t="str">
        <f aca="false">IF($A197="N/A"," ",W197*$AX197)</f>
        <v> </v>
      </c>
      <c r="BQ197" s="303" t="str">
        <f aca="false">IF($A197="N/A"," ",X197*$AY197)</f>
        <v> </v>
      </c>
      <c r="BR197" s="303" t="str">
        <f aca="false">IF($A197="N/A"," ",Y197*$AZ197)</f>
        <v> </v>
      </c>
      <c r="BS197" s="304" t="str">
        <f aca="false">IF($A197="N/A"," ",Z197*$BA197)</f>
        <v> </v>
      </c>
      <c r="BT197" s="305" t="str">
        <f aca="false">IF($A197="N/A"," ",AA197*$AS197)</f>
        <v> </v>
      </c>
      <c r="BU197" s="306" t="str">
        <f aca="false">IF($A197="N/A"," ",AB197*$AT197)</f>
        <v> </v>
      </c>
      <c r="BV197" s="306" t="str">
        <f aca="false">IF($A197="N/A"," ",AC197*$AU197)</f>
        <v> </v>
      </c>
      <c r="BW197" s="306" t="str">
        <f aca="false">IF($A197="N/A"," ",AD197*$AV197)</f>
        <v> </v>
      </c>
      <c r="BX197" s="306" t="str">
        <f aca="false">IF($A197="N/A"," ",AE197*$AW197)</f>
        <v> </v>
      </c>
      <c r="BY197" s="306" t="str">
        <f aca="false">IF($A197="N/A"," ",AF197*$AX197)</f>
        <v> </v>
      </c>
      <c r="BZ197" s="306" t="str">
        <f aca="false">IF($A197="N/A"," ",AG197*$AY197)</f>
        <v> </v>
      </c>
      <c r="CA197" s="306" t="str">
        <f aca="false">IF($A197="N/A"," ",AH197*$AZ197)</f>
        <v> </v>
      </c>
      <c r="CB197" s="307" t="str">
        <f aca="false">IF($A197="N/A"," ",AI197*$BA197)</f>
        <v> </v>
      </c>
      <c r="CC197" s="308" t="str">
        <f aca="false">IF($A197="N/A"," ",AJ197*$AS197)</f>
        <v> </v>
      </c>
      <c r="CD197" s="309" t="str">
        <f aca="false">IF($A197="N/A"," ",AK197*$AT197)</f>
        <v> </v>
      </c>
      <c r="CE197" s="309" t="str">
        <f aca="false">IF($A197="N/A"," ",AL197*$AU197)</f>
        <v> </v>
      </c>
      <c r="CF197" s="309" t="str">
        <f aca="false">IF($A197="N/A"," ",AM197*$AV197)</f>
        <v> </v>
      </c>
      <c r="CG197" s="309" t="str">
        <f aca="false">IF($A197="N/A"," ",AN197*$AW197)</f>
        <v> </v>
      </c>
      <c r="CH197" s="309" t="str">
        <f aca="false">IF($A197="N/A"," ",AO197*$AX197)</f>
        <v> </v>
      </c>
      <c r="CI197" s="309" t="str">
        <f aca="false">IF($A197="N/A"," ",AP197*$AY197)</f>
        <v> </v>
      </c>
      <c r="CJ197" s="309" t="str">
        <f aca="false">IF($A197="N/A"," ",AQ197*$AZ197)</f>
        <v> </v>
      </c>
      <c r="CK197" s="310" t="str">
        <f aca="false">IF($A197="N/A"," ",AR197*$BA197)</f>
        <v> </v>
      </c>
      <c r="CL197" s="311" t="str">
        <f aca="false">IF(A197="N/A"," ",(VLOOKUP(A197,PowerVolTable,(IF(VolBMO=2,7,IF(VolBMO=1,6,8))),FALSE())))</f>
        <v> </v>
      </c>
      <c r="CM197" s="312" t="str">
        <f aca="false">IF(A197="N/A"," ",(VLOOKUP(A197,IntraPowerVol,(IF(VolBMO=2,3,IF(VolBMO=1,2,4))),FALSE())*VLOOKUP(MONTH($A197),Volscale,2)))</f>
        <v> </v>
      </c>
      <c r="CN197" s="312" t="str">
        <f aca="false">IF($A197="N/A"," ",IF(VolType=1,CM197,CL197))</f>
        <v> </v>
      </c>
      <c r="CO197" s="312" t="str">
        <f aca="false">IF($A197="N/A"," ",(VLOOKUP($A197,OffPeakVol,(IF(VolBMO=2,7,IF(VolBMO=1,6,8))),FALSE())))</f>
        <v> </v>
      </c>
      <c r="CP197" s="312" t="str">
        <f aca="false">IF($A197="N/A"," ",(VLOOKUP($A197,OffPeakVol,(IF(VolBMO=2,3,IF(VolBMO=1,2,4))),FALSE())*VLOOKUP(MONTH($A197),Volscale,2)))</f>
        <v> </v>
      </c>
      <c r="CQ197" s="312" t="str">
        <f aca="false">IF($A197="N/A"," ",IF(VolType=1,CP197,CO197))</f>
        <v> </v>
      </c>
      <c r="CR197" s="312" t="str">
        <f aca="false">IF($A197="N/A"," ",(VLOOKUP($A197,GasVolTable,(IF(VolBMO=2,6,IF(VolBMO=1,7,5))),FALSE())))</f>
        <v> </v>
      </c>
      <c r="CS197" s="312" t="str">
        <f aca="false">IF($A197="N/A"," ",(VLOOKUP($A197,OmicronVol,(IF(VolBMO=2,3,IF(VolBMO=1,4,2))),FALSE())))</f>
        <v> </v>
      </c>
      <c r="CT197" s="312" t="str">
        <f aca="false">IF($A197="N/A"," ",(IF(DateToday&gt;$A197,$CS197,IF(VolType=1,((($CR197^2)*((($A197-1)-DateToday)/((EOMONTH($A197,0)+1)-DateToday-15)))+((($CS197)^2)*((15)/((EOMONTH($A197,0)+1)-DateToday-15))))^0.5,CR197))))</f>
        <v> </v>
      </c>
      <c r="CU197" s="312" t="str">
        <f aca="false">IF($A197="N/A"," ",IF('Pricing Inputs'!$AR$23=TRUE(),Inputs!$S$22,VLOOKUP($A197,CorrelationTable,2,FALSE())))</f>
        <v> </v>
      </c>
      <c r="CV197" s="313" t="str">
        <f aca="false">IF($A197="N/A"," ",F197+G197+(D197*('Pricing Inputs'!X232)))</f>
        <v> </v>
      </c>
      <c r="CW197" s="314" t="str">
        <f aca="false">IF($A197="N/A"," ",IF(PV=1,0,'Pricing Inputs'!Y232))</f>
        <v> </v>
      </c>
      <c r="CX197" s="315" t="str">
        <f aca="false">IF($A197="N/A"," ",(1+CW197/2)^(-2*((EOMONTH(A197,0)+20)-DateToday)/365.25))</f>
        <v> </v>
      </c>
      <c r="CY197" s="316" t="str">
        <f aca="false">IF($A197="N/A"," ",(IF(MONTH(A197)&gt;=4,IF(MONTH(A197)&lt;=10,Inputs!$S$26,Inputs!$S$27),Inputs!$S$27))*$CX197)</f>
        <v> </v>
      </c>
      <c r="CZ197" s="317" t="str">
        <f aca="false">IF($A197="N/A"," ",BK197+BL197+BN197+BO197+BQ197+BR197)</f>
        <v> </v>
      </c>
      <c r="DA197" s="318" t="str">
        <f aca="false">IF($A197="N/A"," ",BM197+BP197+BS197)</f>
        <v> </v>
      </c>
      <c r="DB197" s="319" t="str">
        <f aca="false">IF($A197="N/A"," ",BT197+BU197+BW197+BX197+BZ197+CA197)</f>
        <v> </v>
      </c>
      <c r="DC197" s="319" t="str">
        <f aca="false">IF($A197="N/A"," ",BV197+BY197+CB197)</f>
        <v> </v>
      </c>
      <c r="DD197" s="320" t="str">
        <f aca="false">IF($A197="N/A"," ",SUM(CC197:CK197))</f>
        <v> </v>
      </c>
      <c r="DE197" s="321" t="str">
        <f aca="false">IF($A197="N/A"," ",VLOOKUP($A197,NumberofDaysTable,2)*Availability)</f>
        <v> </v>
      </c>
      <c r="DF197" s="94" t="str">
        <f aca="false">IF($A197="N/A"," ",VLOOKUP($A197,NumberofDaysTable,3)*Availability)</f>
        <v> </v>
      </c>
      <c r="DG197" s="322" t="str">
        <f aca="false">IF($A197="N/A"," ",VLOOKUP($A197,NumberofDaysTable,4)*Availability)</f>
        <v> </v>
      </c>
      <c r="DH197" s="323" t="str">
        <f aca="false">IF($A197="N/A"," ",IF(Option=1,$D197*Inputs!$S$15*SUM(AS197:BA197),0))</f>
        <v> </v>
      </c>
      <c r="DI197" s="324" t="str">
        <f aca="false">IF($A197="N/A"," ",IF(Option=1,$D197*Inputs!$S$16*SUM(AS197:BA197),0))</f>
        <v> </v>
      </c>
      <c r="DJ197" s="325" t="str">
        <f aca="false">IF($A197="N/A"," ",SUM(AS197:AT197))</f>
        <v> </v>
      </c>
      <c r="DK197" s="325" t="str">
        <f aca="false">IF($A197="N/A"," ",SUM(AU197:BA197))</f>
        <v> </v>
      </c>
      <c r="DL197" s="325" t="str">
        <f aca="false">IF($A197="N/A"," ",SUM(BB197:BC197))</f>
        <v> </v>
      </c>
      <c r="DM197" s="325" t="str">
        <f aca="false">IF($A197="N/A"," ",SUM(BD197:BJ197))</f>
        <v> </v>
      </c>
    </row>
    <row r="198" customFormat="false" ht="12.75" hidden="false" customHeight="false" outlineLevel="0" collapsed="false">
      <c r="A198" s="282" t="str">
        <f aca="false">IF(A197="N/A","N/A",IF(EDATE(A197,1)&gt;Inputs!$S$5,"N/A",EDATE(A197,1)))</f>
        <v>N/A</v>
      </c>
      <c r="B198" s="283" t="str">
        <f aca="false">IF(A198="N/A"," ",YEAR(A198))</f>
        <v> </v>
      </c>
      <c r="C198" s="284" t="str">
        <f aca="false">IF(A198="N/A"," ",VLOOKUP(A198,ScaledPrice,14))</f>
        <v> </v>
      </c>
      <c r="D198" s="285" t="str">
        <f aca="false">IF(A198="N/A"," ",(VLOOKUP(MONTH($A198),Hrtable,2))/1000)</f>
        <v> </v>
      </c>
      <c r="E198" s="286" t="str">
        <f aca="false">IF($A198="N/A"," ",(C198)*D198)</f>
        <v> </v>
      </c>
      <c r="F198" s="287" t="str">
        <f aca="false">IF(A198="N/A"," ",VOM*(1+VOMesc)^(YEAR(A198)-YEAR(Today)))</f>
        <v> </v>
      </c>
      <c r="G198" s="287" t="str">
        <f aca="false">IF(A198="N/A"," ",Perstart/VLOOKUP(Dayrun,'Pricing Inputs'!$AQ$4:$AS$14,3)/(CY198/CX198))</f>
        <v> </v>
      </c>
      <c r="H198" s="288" t="str">
        <f aca="false">IF(A198="N/A"," ",SUM(E198:G198))</f>
        <v> </v>
      </c>
      <c r="I198" s="289" t="str">
        <f aca="false">VLOOKUP($A198,ScaledPrice,6)</f>
        <v> </v>
      </c>
      <c r="J198" s="290" t="str">
        <f aca="false">VLOOKUP($A198,ScaledPrice,10)</f>
        <v> </v>
      </c>
      <c r="K198" s="290" t="str">
        <f aca="false">VLOOKUP($A198,ScaledPrice,13)</f>
        <v> </v>
      </c>
      <c r="L198" s="290" t="str">
        <f aca="false">VLOOKUP($A198,ScaledPrice,7)</f>
        <v> </v>
      </c>
      <c r="M198" s="290" t="str">
        <f aca="false">VLOOKUP($A198,ScaledPrice,11)</f>
        <v> </v>
      </c>
      <c r="N198" s="290" t="str">
        <f aca="false">VLOOKUP($A198,ScaledPrice,13)</f>
        <v> </v>
      </c>
      <c r="O198" s="290" t="str">
        <f aca="false">VLOOKUP($A198,ScaledPrice,8)</f>
        <v> </v>
      </c>
      <c r="P198" s="290" t="str">
        <f aca="false">VLOOKUP($A198,ScaledPrice,12)</f>
        <v> </v>
      </c>
      <c r="Q198" s="291" t="str">
        <f aca="false">VLOOKUP($A198,ScaledPrice,13)</f>
        <v> </v>
      </c>
      <c r="R198" s="292" t="str">
        <f aca="false">IF($A198="N/A"," ",IF(Dayrun&gt;=3,IF(Option=1,MAX($I198-$H198,0),IF(Option=2,MAX($H198-$I198,0),0)),0))</f>
        <v> </v>
      </c>
      <c r="S198" s="286" t="str">
        <f aca="false">IF($A198="N/A"," ",IF(Dayrun&gt;=6,IF(Option=1,MAX($J198-H198,0),IF(Option=2,MAX(H198-$J198,0),0)),0))</f>
        <v> </v>
      </c>
      <c r="T198" s="286" t="str">
        <f aca="false">IF($A198="N/A"," ",IF(OR(Dayrun&lt;=2,Dayrun&gt;=9),IF(Option=1,MAX($K198-$H198,0),IF(Option=2,MAX($H198-$K198,0),0)),0))</f>
        <v> </v>
      </c>
      <c r="U198" s="286" t="str">
        <f aca="false">IF($A198="N/A"," ",IF(OR(Dayrun=1,Dayrun=4,Dayrun=5,Dayrun=7,Dayrun=8,Dayrun=10,Dayrun=11),IF(Option=1,MAX($L198-H198,0),IF(Option=2,MAX(H198-$L198,0),0)),0))</f>
        <v> </v>
      </c>
      <c r="V198" s="286" t="str">
        <f aca="false">IF($A198="N/A"," ",IF(OR(Dayrun=1,Dayrun=7,Dayrun=8,Dayrun=10,Dayrun=11),IF(Option=1,MAX($M198-H198,0),IF(Option=2,MAX(H198-$M198,0),0)),0))</f>
        <v> </v>
      </c>
      <c r="W198" s="286" t="str">
        <f aca="false">IF($A198="N/A"," ",IF(OR(Dayrun&lt;=2,Dayrun&gt;=10),IF(Option=1,MAX($N198-$H198,0),IF(Option=2,MAX($H198-$N198,0),0)),0))</f>
        <v> </v>
      </c>
      <c r="X198" s="286" t="str">
        <f aca="false">IF($A198="N/A"," ",IF(OR(Dayrun=1,Dayrun=5,Dayrun=8,Dayrun=11),IF(Option=1,MAX($O198-H198,0),IF(Option=2,MAX(H198-$O198,0),0)),0))</f>
        <v> </v>
      </c>
      <c r="Y198" s="286" t="str">
        <f aca="false">IF($A198="N/A"," ",IF(OR(Dayrun=1,Dayrun=8,Dayrun=11),IF(Option=1,MAX($P198-H198,0),IF(Option=2,MAX(H198-$P198,0),0)),0))</f>
        <v> </v>
      </c>
      <c r="Z198" s="293" t="str">
        <f aca="false">IF($A198="N/A"," ",IF(OR(Dayrun&lt;=2,Dayrun&gt;=11),IF(Option=1,MAX($Q198-$H198,0),IF(Option=2,MAX($H198-$Q198,0),0)),0))</f>
        <v> </v>
      </c>
      <c r="AA198" s="289" t="str">
        <f aca="false">IF($A198="N/A"," ",IF(Dayrun&gt;=3,(MAX(0,(xSPRDOPT(I198,($E198-'Pricing Inputs'!$X233*$D198),$CV198,0,($CN198+IF(Smile=TRUE(),VLOOKUP(MAX(-5,$H198-I198),Volsmile,2),0)),$CT198,$CU198,($A198-DateToday)+15,ABS(Option-2),0)-R198))),0))</f>
        <v> </v>
      </c>
      <c r="AB198" s="290" t="str">
        <f aca="false">IF($A198="N/A"," ",IF(Dayrun&gt;=6,MAX(0,(xSPRDOPT(J198,($E198-'Pricing Inputs'!$X233*$D198),$CV198,0,($CN198+IF(Smile=TRUE(),VLOOKUP(MAX(-5,$H198-J198),Volsmile,2),0)),$CT198,$CU198,($A198-DateToday)+15,ABS(Option-2),0)-S198)),0))</f>
        <v> </v>
      </c>
      <c r="AC198" s="290" t="str">
        <f aca="false">IF($A198="N/A"," ",IF(OR(Dayrun&lt;=2,Dayrun&gt;=9),IF(OffPeakEx=TRUE(),MAX(0,(xSPRDOPT(K198,($E198-'Pricing Inputs'!$X233*$D198),$CV198,0,($CQ198+IF(Smile=TRUE(),VLOOKUP(MAX(-5,$H198-K198),Volsmile,2),0)),$CT198,$CU198,($A198-DateToday)+15,ABS(Option-2),0)-T198)),0),0))</f>
        <v> </v>
      </c>
      <c r="AD198" s="290" t="str">
        <f aca="false">IF($A198="N/A"," ",IF(OR(Dayrun=1,Dayrun=4,Dayrun=5,Dayrun=7,Dayrun=8,Dayrun=10,Dayrun=11),MAX(0,(xSPRDOPT(L198,($E198-'Pricing Inputs'!$X233*$D198),$CV198,0,($CQ198+IF(Smile=TRUE(),VLOOKUP(MAX(-5,$H198-L198),Volsmile,2),0)),$CT198,$CU198,($A198-DateToday)+15,ABS(Option-2),0)-U198)),0))</f>
        <v> </v>
      </c>
      <c r="AE198" s="290" t="str">
        <f aca="false">IF($A198="N/A"," ",IF(OR(Dayrun=1,Dayrun=7,Dayrun=8,Dayrun=10,Dayrun=11),MAX(0,(xSPRDOPT(M198,($E198-'Pricing Inputs'!$X233*$D198),$CV198,0,($CQ198+IF(Smile=TRUE(),VLOOKUP(MAX(-5,$H198-M198),Volsmile,2),0)),$CT198,$CU198,($A198-DateToday)+15,ABS(Option-2),0)-V198)),0))</f>
        <v> </v>
      </c>
      <c r="AF198" s="290" t="str">
        <f aca="false">IF($A198="N/A"," ",IF(OR(Dayrun&lt;=2,Dayrun&gt;=10),IF(OffPeakEx=TRUE(),MAX(0,(xSPRDOPT(N198,($E198-'Pricing Inputs'!$X233*$D198),$CV198,0,($CQ198+IF(Smile=TRUE(),VLOOKUP(MAX(-5,$H198-N198),Volsmile,2),0)),$CT198,$CU198,($A198-DateToday)+15,ABS(Option-2),0)-W198)),0),0))</f>
        <v> </v>
      </c>
      <c r="AG198" s="290" t="str">
        <f aca="false">IF($A198="N/A"," ",IF(OR(Dayrun=1,Dayrun=5,Dayrun=8,Dayrun=11),MAX(0,(xSPRDOPT(O198,($E198-'Pricing Inputs'!$X233*$D198),$CV198,0,($CQ198+IF(Smile=TRUE(),VLOOKUP(MAX(-5,$H198-O198),Volsmile,2),0)),$CT198,$CU198,($A198-DateToday)+15,ABS(Option-2),0)-X198)),0))</f>
        <v> </v>
      </c>
      <c r="AH198" s="290" t="str">
        <f aca="false">IF($A198="N/A"," ",IF(OR(Dayrun=1,Dayrun=8,Dayrun=11),MAX(0,(xSPRDOPT(P198,($E198-'Pricing Inputs'!$X233*$D198),$CV198,0,($CQ198+IF(Smile=TRUE(),VLOOKUP(MAX(-5,$H198-P198),Volsmile,2),0)),$CT198,$CU198,($A198-DateToday)+15,ABS(Option-2),0)-Y198)),0))</f>
        <v> </v>
      </c>
      <c r="AI198" s="290" t="str">
        <f aca="false">IF($A198="N/A"," ",IF(OR(Dayrun&lt;=2,Dayrun&gt;=11),IF(OffPeakEx=TRUE(),MAX(0,(xSPRDOPT(Q198,($E198-'Pricing Inputs'!$X233*$D198),$CV198,0,($CQ198+IF(Smile=TRUE(),VLOOKUP(MAX(-5,$H198-Q198),Volsmile,2),0)),$CT198,$CU198,($A198-DateToday)+15,ABS(Option-2),0)-Z198)),0),0))</f>
        <v> </v>
      </c>
      <c r="AJ198" s="294" t="str">
        <f aca="false">IF($A198="N/A"," ",IF(Dayrun&gt;=3,IF(Option=1,$I198-$H198,IF(Option=2,$H198-$I198)),0))</f>
        <v> </v>
      </c>
      <c r="AK198" s="295" t="str">
        <f aca="false">IF($A198="N/A"," ",IF(Dayrun&gt;=6,IF(Option=1,$J198-H198,IF(Option=2,H198-$J198)),0))</f>
        <v> </v>
      </c>
      <c r="AL198" s="295" t="str">
        <f aca="false">IF($A198="N/A"," ",IF(OR(Dayrun&lt;=2,Dayrun&gt;=9),IF(Option=1,$K198-$H198,IF(Option=2,$H198-$K198)),0))</f>
        <v> </v>
      </c>
      <c r="AM198" s="295" t="str">
        <f aca="false">IF($A198="N/A"," ",IF(OR(Dayrun=1,Dayrun=4,Dayrun=5,Dayrun=7,Dayrun=8,Dayrun=10,Dayrun=11),IF(Option=1,$L198-H198,IF(Option=2,H198-$L198)),0))</f>
        <v> </v>
      </c>
      <c r="AN198" s="295" t="str">
        <f aca="false">IF($A198="N/A"," ",IF(OR(Dayrun=1,Dayrun=7,Dayrun=8,Dayrun=10,Dayrun=11),IF(Option=1,$M198-H198,IF(Option=2,H198-$M198)),0))</f>
        <v> </v>
      </c>
      <c r="AO198" s="295" t="str">
        <f aca="false">IF($A198="N/A"," ",IF(OR(Dayrun&lt;=2,Dayrun&gt;=9),IF(Option=1,$N198-$H198,IF(Option=2,$H198-$N198)),0))</f>
        <v> </v>
      </c>
      <c r="AP198" s="295" t="str">
        <f aca="false">IF($A198="N/A"," ",IF(OR(Dayrun=1,Dayrun=5,Dayrun=8,Dayrun=11),IF(Option=1,$O198-H198,IF(Option=2,H198-$O198)),0))</f>
        <v> </v>
      </c>
      <c r="AQ198" s="295" t="str">
        <f aca="false">IF($A198="N/A"," ",IF(OR(Dayrun=1,Dayrun=8,Dayrun=11),IF(Option=1,$P198-H198,IF(Option=2,H198-$P198)),0))</f>
        <v> </v>
      </c>
      <c r="AR198" s="296" t="str">
        <f aca="false">IF($A198="N/A"," ",IF(OR(Dayrun&lt;=2,Dayrun&gt;=9),IF(Option=1,$Q198-H198,IF(Option=2,H198-$Q198)),0))</f>
        <v> </v>
      </c>
      <c r="AS198" s="297" t="str">
        <f aca="false">IF($A198="N/A"," ",IF(VLOOKUP(MONTH($A198),ManualTable,2)=1,IF(Dayrun&gt;=3,$DE198*8*$CY198,0),0))</f>
        <v> </v>
      </c>
      <c r="AT198" s="297" t="str">
        <f aca="false">IF($A198="N/A"," ",IF(VLOOKUP(MONTH($A198),ManualTable,3)=1,IF(Dayrun&gt;=6,$DE198*8*$CY198,0),0))</f>
        <v> </v>
      </c>
      <c r="AU198" s="297" t="str">
        <f aca="false">IF($A198="N/A"," ",IF(VLOOKUP(MONTH($A198),ManualTable,4)=1,IF(OR(Dayrun&lt;=2,Dayrun&gt;=9),$DE198*8*$CY198,0),0))</f>
        <v> </v>
      </c>
      <c r="AV198" s="297" t="str">
        <f aca="false">IF($A198="N/A"," ",IF(VLOOKUP(MONTH($A198),ManualTable,5)=1,IF(OR(Dayrun=1,Dayrun=4,Dayrun=5,Dayrun=7,Dayrun=8,Dayrun=10,Dayrun=11),$DF198*8*$CY198,0),0))</f>
        <v> </v>
      </c>
      <c r="AW198" s="297" t="str">
        <f aca="false">IF($A198="N/A"," ",IF(VLOOKUP(MONTH($A198),ManualTable,6)=1,IF(OR(Dayrun=1,Dayrun=7,Dayrun=8,Dayrun=10,Dayrun=11),$DF198*8*$CY198,0),0))</f>
        <v> </v>
      </c>
      <c r="AX198" s="297" t="str">
        <f aca="false">IF($A198="N/A"," ",IF(VLOOKUP(MONTH($A198),ManualTable,7)=1,IF(OR(Dayrun&lt;=2,Dayrun&gt;=9),$DF198*8*$CY198,0),0))</f>
        <v> </v>
      </c>
      <c r="AY198" s="297" t="str">
        <f aca="false">IF($A198="N/A"," ",IF(VLOOKUP(MONTH($A198),ManualTable,8)=1,IF(OR(Dayrun=1,Dayrun=5,Dayrun=8,Dayrun=11),$DG198*8*$CY198,0),0))</f>
        <v> </v>
      </c>
      <c r="AZ198" s="297" t="str">
        <f aca="false">IF($A198="N/A"," ",IF(VLOOKUP(MONTH($A198),ManualTable,9)=1,IF(OR(Dayrun=1,Dayrun=8,Dayrun=11),$DG198*8*$CY198,0),0))</f>
        <v> </v>
      </c>
      <c r="BA198" s="298" t="str">
        <f aca="false">IF($A198="N/A"," ",IF(VLOOKUP(MONTH($A198),ManualTable,10)=1,IF(OR(Dayrun&lt;=2,Dayrun&gt;=9),$DG198*8*$CY198,0),0))</f>
        <v> </v>
      </c>
      <c r="BB198" s="299" t="str">
        <f aca="false">IF($A198="N/A"," ",IF(Dayrun&gt;=3,(MAX(0,(xSPRDOPT(I198,($E198-'Pricing Inputs'!$X233*$D198),$CV198,0,($CN198+IF(Smile=TRUE(),VLOOKUP(MAX(-5,$H198-I198),Volsmile,2),0)),$CT198,$CU198,($A198-DateToday)+15,ABS(Option-2),1)*DE198*8))),0))</f>
        <v> </v>
      </c>
      <c r="BC198" s="300" t="str">
        <f aca="false">IF($A198="N/A"," ",IF(Dayrun&gt;=6,MAX(0,(xSPRDOPT(J198,($E198-'Pricing Inputs'!$X233*$D198),$CV198,0,($CN198+IF(Smile=TRUE(),VLOOKUP(MAX(-5,$H198-J198),Volsmile,2),0)),$CT198,$CU198,($A198-DateToday)+15,ABS(Option-2),1)*DE198*8)),0))</f>
        <v> </v>
      </c>
      <c r="BD198" s="300" t="str">
        <f aca="false">IF($A198="N/A"," ",IF(OR(Dayrun&lt;=2,Dayrun&gt;=9),IF(OffPeakEx=TRUE(),MAX(0,(xSPRDOPT(K198,($E198-'Pricing Inputs'!$X233*$D198),$CV198,0,($CQ198+IF(Smile=TRUE(),VLOOKUP(MAX(-5,$H198-K198),Volsmile,2),0)),$CT198,$CU198,($A198-DateToday)+15,ABS(Option-2),1)*DE198*8)),0),0))</f>
        <v> </v>
      </c>
      <c r="BE198" s="300" t="str">
        <f aca="false">IF($A198="N/A"," ",IF(OR(Dayrun=1,Dayrun=4,Dayrun=5,Dayrun=7,Dayrun=8,Dayrun=10,Dayrun=11),MAX(0,(xSPRDOPT(L198,($E198-'Pricing Inputs'!$X233*$D198),$CV198,0,($CQ198+IF(Smile=TRUE(),VLOOKUP(MAX(-5,$H198-L198),Volsmile,2),0)),$CT198,$CU198,($A198-DateToday)+15,ABS(Option-2),1)*DF198*8)),0))</f>
        <v> </v>
      </c>
      <c r="BF198" s="300" t="str">
        <f aca="false">IF($A198="N/A"," ",IF(OR(Dayrun=1,Dayrun=7,Dayrun=8,Dayrun=10,Dayrun=11),MAX(0,(xSPRDOPT(M198,($E198-'Pricing Inputs'!$X233*$D198),$CV198,0,($CQ198+IF(Smile=TRUE(),VLOOKUP(MAX(-5,$H198-M198),Volsmile,2),0)),$CT198,$CU198,($A198-DateToday)+15,ABS(Option-2),1)*DF198*8)),0))</f>
        <v> </v>
      </c>
      <c r="BG198" s="300" t="str">
        <f aca="false">IF($A198="N/A"," ",IF(OR(Dayrun&lt;=2,Dayrun&gt;=10),IF(OffPeakEx=TRUE(),MAX(0,(xSPRDOPT(N198,($E198-'Pricing Inputs'!$X233*$D198),$CV198,0,($CQ198+IF(Smile=TRUE(),VLOOKUP(MAX(-5,$H198-N198),Volsmile,2),0)),$CT198,$CU198,($A198-DateToday)+15,ABS(Option-2),1)*DF198*8)),0),0))</f>
        <v> </v>
      </c>
      <c r="BH198" s="300" t="str">
        <f aca="false">IF($A198="N/A"," ",IF(OR(Dayrun=1,Dayrun=5,Dayrun=8,Dayrun=11),MAX(0,(xSPRDOPT(O198,($E198-'Pricing Inputs'!$X233*$D198),$CV198,0,($CQ198+IF(Smile=TRUE(),VLOOKUP(MAX(-5,$H198-O198),Volsmile,2),0)),$CT198,$CU198,($A198-DateToday)+15,ABS(Option-2),1)*DG198*8)),0))</f>
        <v> </v>
      </c>
      <c r="BI198" s="300" t="str">
        <f aca="false">IF($A198="N/A"," ",IF(OR(Dayrun=1,Dayrun=8,Dayrun=11),MAX(0,(xSPRDOPT(P198,($E198-'Pricing Inputs'!$X233*$D198),$CV198,0,($CQ198+IF(Smile=TRUE(),VLOOKUP(MAX(-5,$H198-P198),Volsmile,2),0)),$CT198,$CU198,($A198-DateToday)+15,ABS(Option-2),1)*DG198*8)),0))</f>
        <v> </v>
      </c>
      <c r="BJ198" s="301" t="str">
        <f aca="false">IF($A198="N/A"," ",IF(OR(Dayrun&lt;=2,Dayrun&gt;=11),IF(OffPeakEx=TRUE(),MAX(0,(xSPRDOPT(Q198,($E198-'Pricing Inputs'!$X233*$D198),$CV198,0,($CQ198+IF(Smile=TRUE(),VLOOKUP(MAX(-5,$H198-Q198),Volsmile,2),0)),$CT198,$CU198,($A198-DateToday)+15,ABS(Option-2),1)*DG198*8)),0),0))</f>
        <v> </v>
      </c>
      <c r="BK198" s="302" t="str">
        <f aca="false">IF($A198="N/A"," ",R198*$AS198)</f>
        <v> </v>
      </c>
      <c r="BL198" s="303" t="str">
        <f aca="false">IF($A198="N/A"," ",S198*$AT198)</f>
        <v> </v>
      </c>
      <c r="BM198" s="303" t="str">
        <f aca="false">IF($A198="N/A"," ",T198*$AU198)</f>
        <v> </v>
      </c>
      <c r="BN198" s="303" t="str">
        <f aca="false">IF($A198="N/A"," ",U198*$AV198)</f>
        <v> </v>
      </c>
      <c r="BO198" s="303" t="str">
        <f aca="false">IF($A198="N/A"," ",V198*$AW198)</f>
        <v> </v>
      </c>
      <c r="BP198" s="303" t="str">
        <f aca="false">IF($A198="N/A"," ",W198*$AX198)</f>
        <v> </v>
      </c>
      <c r="BQ198" s="303" t="str">
        <f aca="false">IF($A198="N/A"," ",X198*$AY198)</f>
        <v> </v>
      </c>
      <c r="BR198" s="303" t="str">
        <f aca="false">IF($A198="N/A"," ",Y198*$AZ198)</f>
        <v> </v>
      </c>
      <c r="BS198" s="304" t="str">
        <f aca="false">IF($A198="N/A"," ",Z198*$BA198)</f>
        <v> </v>
      </c>
      <c r="BT198" s="305" t="str">
        <f aca="false">IF($A198="N/A"," ",AA198*$AS198)</f>
        <v> </v>
      </c>
      <c r="BU198" s="306" t="str">
        <f aca="false">IF($A198="N/A"," ",AB198*$AT198)</f>
        <v> </v>
      </c>
      <c r="BV198" s="306" t="str">
        <f aca="false">IF($A198="N/A"," ",AC198*$AU198)</f>
        <v> </v>
      </c>
      <c r="BW198" s="306" t="str">
        <f aca="false">IF($A198="N/A"," ",AD198*$AV198)</f>
        <v> </v>
      </c>
      <c r="BX198" s="306" t="str">
        <f aca="false">IF($A198="N/A"," ",AE198*$AW198)</f>
        <v> </v>
      </c>
      <c r="BY198" s="306" t="str">
        <f aca="false">IF($A198="N/A"," ",AF198*$AX198)</f>
        <v> </v>
      </c>
      <c r="BZ198" s="306" t="str">
        <f aca="false">IF($A198="N/A"," ",AG198*$AY198)</f>
        <v> </v>
      </c>
      <c r="CA198" s="306" t="str">
        <f aca="false">IF($A198="N/A"," ",AH198*$AZ198)</f>
        <v> </v>
      </c>
      <c r="CB198" s="307" t="str">
        <f aca="false">IF($A198="N/A"," ",AI198*$BA198)</f>
        <v> </v>
      </c>
      <c r="CC198" s="308" t="str">
        <f aca="false">IF($A198="N/A"," ",AJ198*$AS198)</f>
        <v> </v>
      </c>
      <c r="CD198" s="309" t="str">
        <f aca="false">IF($A198="N/A"," ",AK198*$AT198)</f>
        <v> </v>
      </c>
      <c r="CE198" s="309" t="str">
        <f aca="false">IF($A198="N/A"," ",AL198*$AU198)</f>
        <v> </v>
      </c>
      <c r="CF198" s="309" t="str">
        <f aca="false">IF($A198="N/A"," ",AM198*$AV198)</f>
        <v> </v>
      </c>
      <c r="CG198" s="309" t="str">
        <f aca="false">IF($A198="N/A"," ",AN198*$AW198)</f>
        <v> </v>
      </c>
      <c r="CH198" s="309" t="str">
        <f aca="false">IF($A198="N/A"," ",AO198*$AX198)</f>
        <v> </v>
      </c>
      <c r="CI198" s="309" t="str">
        <f aca="false">IF($A198="N/A"," ",AP198*$AY198)</f>
        <v> </v>
      </c>
      <c r="CJ198" s="309" t="str">
        <f aca="false">IF($A198="N/A"," ",AQ198*$AZ198)</f>
        <v> </v>
      </c>
      <c r="CK198" s="310" t="str">
        <f aca="false">IF($A198="N/A"," ",AR198*$BA198)</f>
        <v> </v>
      </c>
      <c r="CL198" s="311" t="str">
        <f aca="false">IF(A198="N/A"," ",(VLOOKUP(A198,PowerVolTable,(IF(VolBMO=2,7,IF(VolBMO=1,6,8))),FALSE())))</f>
        <v> </v>
      </c>
      <c r="CM198" s="312" t="str">
        <f aca="false">IF(A198="N/A"," ",(VLOOKUP(A198,IntraPowerVol,(IF(VolBMO=2,3,IF(VolBMO=1,2,4))),FALSE())*VLOOKUP(MONTH($A198),Volscale,2)))</f>
        <v> </v>
      </c>
      <c r="CN198" s="312" t="str">
        <f aca="false">IF($A198="N/A"," ",IF(VolType=1,CM198,CL198))</f>
        <v> </v>
      </c>
      <c r="CO198" s="312" t="str">
        <f aca="false">IF($A198="N/A"," ",(VLOOKUP($A198,OffPeakVol,(IF(VolBMO=2,7,IF(VolBMO=1,6,8))),FALSE())))</f>
        <v> </v>
      </c>
      <c r="CP198" s="312" t="str">
        <f aca="false">IF($A198="N/A"," ",(VLOOKUP($A198,OffPeakVol,(IF(VolBMO=2,3,IF(VolBMO=1,2,4))),FALSE())*VLOOKUP(MONTH($A198),Volscale,2)))</f>
        <v> </v>
      </c>
      <c r="CQ198" s="312" t="str">
        <f aca="false">IF($A198="N/A"," ",IF(VolType=1,CP198,CO198))</f>
        <v> </v>
      </c>
      <c r="CR198" s="312" t="str">
        <f aca="false">IF($A198="N/A"," ",(VLOOKUP($A198,GasVolTable,(IF(VolBMO=2,6,IF(VolBMO=1,7,5))),FALSE())))</f>
        <v> </v>
      </c>
      <c r="CS198" s="312" t="str">
        <f aca="false">IF($A198="N/A"," ",(VLOOKUP($A198,OmicronVol,(IF(VolBMO=2,3,IF(VolBMO=1,4,2))),FALSE())))</f>
        <v> </v>
      </c>
      <c r="CT198" s="312" t="str">
        <f aca="false">IF($A198="N/A"," ",(IF(DateToday&gt;$A198,$CS198,IF(VolType=1,((($CR198^2)*((($A198-1)-DateToday)/((EOMONTH($A198,0)+1)-DateToday-15)))+((($CS198)^2)*((15)/((EOMONTH($A198,0)+1)-DateToday-15))))^0.5,CR198))))</f>
        <v> </v>
      </c>
      <c r="CU198" s="312" t="str">
        <f aca="false">IF($A198="N/A"," ",IF('Pricing Inputs'!$AR$23=TRUE(),Inputs!$S$22,VLOOKUP($A198,CorrelationTable,2,FALSE())))</f>
        <v> </v>
      </c>
      <c r="CV198" s="313" t="str">
        <f aca="false">IF($A198="N/A"," ",F198+G198+(D198*('Pricing Inputs'!X233)))</f>
        <v> </v>
      </c>
      <c r="CW198" s="314" t="str">
        <f aca="false">IF($A198="N/A"," ",IF(PV=1,0,'Pricing Inputs'!Y233))</f>
        <v> </v>
      </c>
      <c r="CX198" s="315" t="str">
        <f aca="false">IF($A198="N/A"," ",(1+CW198/2)^(-2*((EOMONTH(A198,0)+20)-DateToday)/365.25))</f>
        <v> </v>
      </c>
      <c r="CY198" s="316" t="str">
        <f aca="false">IF($A198="N/A"," ",(IF(MONTH(A198)&gt;=4,IF(MONTH(A198)&lt;=10,Inputs!$S$26,Inputs!$S$27),Inputs!$S$27))*$CX198)</f>
        <v> </v>
      </c>
      <c r="CZ198" s="317" t="str">
        <f aca="false">IF($A198="N/A"," ",BK198+BL198+BN198+BO198+BQ198+BR198)</f>
        <v> </v>
      </c>
      <c r="DA198" s="318" t="str">
        <f aca="false">IF($A198="N/A"," ",BM198+BP198+BS198)</f>
        <v> </v>
      </c>
      <c r="DB198" s="319" t="str">
        <f aca="false">IF($A198="N/A"," ",BT198+BU198+BW198+BX198+BZ198+CA198)</f>
        <v> </v>
      </c>
      <c r="DC198" s="319" t="str">
        <f aca="false">IF($A198="N/A"," ",BV198+BY198+CB198)</f>
        <v> </v>
      </c>
      <c r="DD198" s="320" t="str">
        <f aca="false">IF($A198="N/A"," ",SUM(CC198:CK198))</f>
        <v> </v>
      </c>
      <c r="DE198" s="321" t="str">
        <f aca="false">IF($A198="N/A"," ",VLOOKUP($A198,NumberofDaysTable,2)*Availability)</f>
        <v> </v>
      </c>
      <c r="DF198" s="94" t="str">
        <f aca="false">IF($A198="N/A"," ",VLOOKUP($A198,NumberofDaysTable,3)*Availability)</f>
        <v> </v>
      </c>
      <c r="DG198" s="322" t="str">
        <f aca="false">IF($A198="N/A"," ",VLOOKUP($A198,NumberofDaysTable,4)*Availability)</f>
        <v> </v>
      </c>
      <c r="DH198" s="323" t="str">
        <f aca="false">IF($A198="N/A"," ",IF(Option=1,$D198*Inputs!$S$15*SUM(AS198:BA198),0))</f>
        <v> </v>
      </c>
      <c r="DI198" s="324" t="str">
        <f aca="false">IF($A198="N/A"," ",IF(Option=1,$D198*Inputs!$S$16*SUM(AS198:BA198),0))</f>
        <v> </v>
      </c>
      <c r="DJ198" s="325" t="str">
        <f aca="false">IF($A198="N/A"," ",SUM(AS198:AT198))</f>
        <v> </v>
      </c>
      <c r="DK198" s="325" t="str">
        <f aca="false">IF($A198="N/A"," ",SUM(AU198:BA198))</f>
        <v> </v>
      </c>
      <c r="DL198" s="325" t="str">
        <f aca="false">IF($A198="N/A"," ",SUM(BB198:BC198))</f>
        <v> </v>
      </c>
      <c r="DM198" s="325" t="str">
        <f aca="false">IF($A198="N/A"," ",SUM(BD198:BJ198))</f>
        <v> </v>
      </c>
    </row>
    <row r="199" customFormat="false" ht="12.75" hidden="false" customHeight="false" outlineLevel="0" collapsed="false">
      <c r="A199" s="282" t="str">
        <f aca="false">IF(A198="N/A","N/A",IF(EDATE(A198,1)&gt;Inputs!$S$5,"N/A",EDATE(A198,1)))</f>
        <v>N/A</v>
      </c>
      <c r="B199" s="283" t="str">
        <f aca="false">IF(A199="N/A"," ",YEAR(A199))</f>
        <v> </v>
      </c>
      <c r="C199" s="284" t="str">
        <f aca="false">IF(A199="N/A"," ",VLOOKUP(A199,ScaledPrice,14))</f>
        <v> </v>
      </c>
      <c r="D199" s="285" t="str">
        <f aca="false">IF(A199="N/A"," ",(VLOOKUP(MONTH($A199),Hrtable,2))/1000)</f>
        <v> </v>
      </c>
      <c r="E199" s="286" t="str">
        <f aca="false">IF($A199="N/A"," ",(C199)*D199)</f>
        <v> </v>
      </c>
      <c r="F199" s="287" t="str">
        <f aca="false">IF(A199="N/A"," ",VOM*(1+VOMesc)^(YEAR(A199)-YEAR(Today)))</f>
        <v> </v>
      </c>
      <c r="G199" s="287" t="str">
        <f aca="false">IF(A199="N/A"," ",Perstart/VLOOKUP(Dayrun,'Pricing Inputs'!$AQ$4:$AS$14,3)/(CY199/CX199))</f>
        <v> </v>
      </c>
      <c r="H199" s="288" t="str">
        <f aca="false">IF(A199="N/A"," ",SUM(E199:G199))</f>
        <v> </v>
      </c>
      <c r="I199" s="289" t="str">
        <f aca="false">VLOOKUP($A199,ScaledPrice,6)</f>
        <v> </v>
      </c>
      <c r="J199" s="290" t="str">
        <f aca="false">VLOOKUP($A199,ScaledPrice,10)</f>
        <v> </v>
      </c>
      <c r="K199" s="290" t="str">
        <f aca="false">VLOOKUP($A199,ScaledPrice,13)</f>
        <v> </v>
      </c>
      <c r="L199" s="290" t="str">
        <f aca="false">VLOOKUP($A199,ScaledPrice,7)</f>
        <v> </v>
      </c>
      <c r="M199" s="290" t="str">
        <f aca="false">VLOOKUP($A199,ScaledPrice,11)</f>
        <v> </v>
      </c>
      <c r="N199" s="290" t="str">
        <f aca="false">VLOOKUP($A199,ScaledPrice,13)</f>
        <v> </v>
      </c>
      <c r="O199" s="290" t="str">
        <f aca="false">VLOOKUP($A199,ScaledPrice,8)</f>
        <v> </v>
      </c>
      <c r="P199" s="290" t="str">
        <f aca="false">VLOOKUP($A199,ScaledPrice,12)</f>
        <v> </v>
      </c>
      <c r="Q199" s="291" t="str">
        <f aca="false">VLOOKUP($A199,ScaledPrice,13)</f>
        <v> </v>
      </c>
      <c r="R199" s="292" t="str">
        <f aca="false">IF($A199="N/A"," ",IF(Dayrun&gt;=3,IF(Option=1,MAX($I199-$H199,0),IF(Option=2,MAX($H199-$I199,0),0)),0))</f>
        <v> </v>
      </c>
      <c r="S199" s="286" t="str">
        <f aca="false">IF($A199="N/A"," ",IF(Dayrun&gt;=6,IF(Option=1,MAX($J199-H199,0),IF(Option=2,MAX(H199-$J199,0),0)),0))</f>
        <v> </v>
      </c>
      <c r="T199" s="286" t="str">
        <f aca="false">IF($A199="N/A"," ",IF(OR(Dayrun&lt;=2,Dayrun&gt;=9),IF(Option=1,MAX($K199-$H199,0),IF(Option=2,MAX($H199-$K199,0),0)),0))</f>
        <v> </v>
      </c>
      <c r="U199" s="286" t="str">
        <f aca="false">IF($A199="N/A"," ",IF(OR(Dayrun=1,Dayrun=4,Dayrun=5,Dayrun=7,Dayrun=8,Dayrun=10,Dayrun=11),IF(Option=1,MAX($L199-H199,0),IF(Option=2,MAX(H199-$L199,0),0)),0))</f>
        <v> </v>
      </c>
      <c r="V199" s="286" t="str">
        <f aca="false">IF($A199="N/A"," ",IF(OR(Dayrun=1,Dayrun=7,Dayrun=8,Dayrun=10,Dayrun=11),IF(Option=1,MAX($M199-H199,0),IF(Option=2,MAX(H199-$M199,0),0)),0))</f>
        <v> </v>
      </c>
      <c r="W199" s="286" t="str">
        <f aca="false">IF($A199="N/A"," ",IF(OR(Dayrun&lt;=2,Dayrun&gt;=10),IF(Option=1,MAX($N199-$H199,0),IF(Option=2,MAX($H199-$N199,0),0)),0))</f>
        <v> </v>
      </c>
      <c r="X199" s="286" t="str">
        <f aca="false">IF($A199="N/A"," ",IF(OR(Dayrun=1,Dayrun=5,Dayrun=8,Dayrun=11),IF(Option=1,MAX($O199-H199,0),IF(Option=2,MAX(H199-$O199,0),0)),0))</f>
        <v> </v>
      </c>
      <c r="Y199" s="286" t="str">
        <f aca="false">IF($A199="N/A"," ",IF(OR(Dayrun=1,Dayrun=8,Dayrun=11),IF(Option=1,MAX($P199-H199,0),IF(Option=2,MAX(H199-$P199,0),0)),0))</f>
        <v> </v>
      </c>
      <c r="Z199" s="293" t="str">
        <f aca="false">IF($A199="N/A"," ",IF(OR(Dayrun&lt;=2,Dayrun&gt;=11),IF(Option=1,MAX($Q199-$H199,0),IF(Option=2,MAX($H199-$Q199,0),0)),0))</f>
        <v> </v>
      </c>
      <c r="AA199" s="289" t="str">
        <f aca="false">IF($A199="N/A"," ",IF(Dayrun&gt;=3,(MAX(0,(xSPRDOPT(I199,($E199-'Pricing Inputs'!$X234*$D199),$CV199,0,($CN199+IF(Smile=TRUE(),VLOOKUP(MAX(-5,$H199-I199),Volsmile,2),0)),$CT199,$CU199,($A199-DateToday)+15,ABS(Option-2),0)-R199))),0))</f>
        <v> </v>
      </c>
      <c r="AB199" s="290" t="str">
        <f aca="false">IF($A199="N/A"," ",IF(Dayrun&gt;=6,MAX(0,(xSPRDOPT(J199,($E199-'Pricing Inputs'!$X234*$D199),$CV199,0,($CN199+IF(Smile=TRUE(),VLOOKUP(MAX(-5,$H199-J199),Volsmile,2),0)),$CT199,$CU199,($A199-DateToday)+15,ABS(Option-2),0)-S199)),0))</f>
        <v> </v>
      </c>
      <c r="AC199" s="290" t="str">
        <f aca="false">IF($A199="N/A"," ",IF(OR(Dayrun&lt;=2,Dayrun&gt;=9),IF(OffPeakEx=TRUE(),MAX(0,(xSPRDOPT(K199,($E199-'Pricing Inputs'!$X234*$D199),$CV199,0,($CQ199+IF(Smile=TRUE(),VLOOKUP(MAX(-5,$H199-K199),Volsmile,2),0)),$CT199,$CU199,($A199-DateToday)+15,ABS(Option-2),0)-T199)),0),0))</f>
        <v> </v>
      </c>
      <c r="AD199" s="290" t="str">
        <f aca="false">IF($A199="N/A"," ",IF(OR(Dayrun=1,Dayrun=4,Dayrun=5,Dayrun=7,Dayrun=8,Dayrun=10,Dayrun=11),MAX(0,(xSPRDOPT(L199,($E199-'Pricing Inputs'!$X234*$D199),$CV199,0,($CQ199+IF(Smile=TRUE(),VLOOKUP(MAX(-5,$H199-L199),Volsmile,2),0)),$CT199,$CU199,($A199-DateToday)+15,ABS(Option-2),0)-U199)),0))</f>
        <v> </v>
      </c>
      <c r="AE199" s="290" t="str">
        <f aca="false">IF($A199="N/A"," ",IF(OR(Dayrun=1,Dayrun=7,Dayrun=8,Dayrun=10,Dayrun=11),MAX(0,(xSPRDOPT(M199,($E199-'Pricing Inputs'!$X234*$D199),$CV199,0,($CQ199+IF(Smile=TRUE(),VLOOKUP(MAX(-5,$H199-M199),Volsmile,2),0)),$CT199,$CU199,($A199-DateToday)+15,ABS(Option-2),0)-V199)),0))</f>
        <v> </v>
      </c>
      <c r="AF199" s="290" t="str">
        <f aca="false">IF($A199="N/A"," ",IF(OR(Dayrun&lt;=2,Dayrun&gt;=10),IF(OffPeakEx=TRUE(),MAX(0,(xSPRDOPT(N199,($E199-'Pricing Inputs'!$X234*$D199),$CV199,0,($CQ199+IF(Smile=TRUE(),VLOOKUP(MAX(-5,$H199-N199),Volsmile,2),0)),$CT199,$CU199,($A199-DateToday)+15,ABS(Option-2),0)-W199)),0),0))</f>
        <v> </v>
      </c>
      <c r="AG199" s="290" t="str">
        <f aca="false">IF($A199="N/A"," ",IF(OR(Dayrun=1,Dayrun=5,Dayrun=8,Dayrun=11),MAX(0,(xSPRDOPT(O199,($E199-'Pricing Inputs'!$X234*$D199),$CV199,0,($CQ199+IF(Smile=TRUE(),VLOOKUP(MAX(-5,$H199-O199),Volsmile,2),0)),$CT199,$CU199,($A199-DateToday)+15,ABS(Option-2),0)-X199)),0))</f>
        <v> </v>
      </c>
      <c r="AH199" s="290" t="str">
        <f aca="false">IF($A199="N/A"," ",IF(OR(Dayrun=1,Dayrun=8,Dayrun=11),MAX(0,(xSPRDOPT(P199,($E199-'Pricing Inputs'!$X234*$D199),$CV199,0,($CQ199+IF(Smile=TRUE(),VLOOKUP(MAX(-5,$H199-P199),Volsmile,2),0)),$CT199,$CU199,($A199-DateToday)+15,ABS(Option-2),0)-Y199)),0))</f>
        <v> </v>
      </c>
      <c r="AI199" s="290" t="str">
        <f aca="false">IF($A199="N/A"," ",IF(OR(Dayrun&lt;=2,Dayrun&gt;=11),IF(OffPeakEx=TRUE(),MAX(0,(xSPRDOPT(Q199,($E199-'Pricing Inputs'!$X234*$D199),$CV199,0,($CQ199+IF(Smile=TRUE(),VLOOKUP(MAX(-5,$H199-Q199),Volsmile,2),0)),$CT199,$CU199,($A199-DateToday)+15,ABS(Option-2),0)-Z199)),0),0))</f>
        <v> </v>
      </c>
      <c r="AJ199" s="294" t="str">
        <f aca="false">IF($A199="N/A"," ",IF(Dayrun&gt;=3,IF(Option=1,$I199-$H199,IF(Option=2,$H199-$I199)),0))</f>
        <v> </v>
      </c>
      <c r="AK199" s="295" t="str">
        <f aca="false">IF($A199="N/A"," ",IF(Dayrun&gt;=6,IF(Option=1,$J199-H199,IF(Option=2,H199-$J199)),0))</f>
        <v> </v>
      </c>
      <c r="AL199" s="295" t="str">
        <f aca="false">IF($A199="N/A"," ",IF(OR(Dayrun&lt;=2,Dayrun&gt;=9),IF(Option=1,$K199-$H199,IF(Option=2,$H199-$K199)),0))</f>
        <v> </v>
      </c>
      <c r="AM199" s="295" t="str">
        <f aca="false">IF($A199="N/A"," ",IF(OR(Dayrun=1,Dayrun=4,Dayrun=5,Dayrun=7,Dayrun=8,Dayrun=10,Dayrun=11),IF(Option=1,$L199-H199,IF(Option=2,H199-$L199)),0))</f>
        <v> </v>
      </c>
      <c r="AN199" s="295" t="str">
        <f aca="false">IF($A199="N/A"," ",IF(OR(Dayrun=1,Dayrun=7,Dayrun=8,Dayrun=10,Dayrun=11),IF(Option=1,$M199-H199,IF(Option=2,H199-$M199)),0))</f>
        <v> </v>
      </c>
      <c r="AO199" s="295" t="str">
        <f aca="false">IF($A199="N/A"," ",IF(OR(Dayrun&lt;=2,Dayrun&gt;=9),IF(Option=1,$N199-$H199,IF(Option=2,$H199-$N199)),0))</f>
        <v> </v>
      </c>
      <c r="AP199" s="295" t="str">
        <f aca="false">IF($A199="N/A"," ",IF(OR(Dayrun=1,Dayrun=5,Dayrun=8,Dayrun=11),IF(Option=1,$O199-H199,IF(Option=2,H199-$O199)),0))</f>
        <v> </v>
      </c>
      <c r="AQ199" s="295" t="str">
        <f aca="false">IF($A199="N/A"," ",IF(OR(Dayrun=1,Dayrun=8,Dayrun=11),IF(Option=1,$P199-H199,IF(Option=2,H199-$P199)),0))</f>
        <v> </v>
      </c>
      <c r="AR199" s="296" t="str">
        <f aca="false">IF($A199="N/A"," ",IF(OR(Dayrun&lt;=2,Dayrun&gt;=9),IF(Option=1,$Q199-H199,IF(Option=2,H199-$Q199)),0))</f>
        <v> </v>
      </c>
      <c r="AS199" s="297" t="str">
        <f aca="false">IF($A199="N/A"," ",IF(VLOOKUP(MONTH($A199),ManualTable,2)=1,IF(Dayrun&gt;=3,$DE199*8*$CY199,0),0))</f>
        <v> </v>
      </c>
      <c r="AT199" s="297" t="str">
        <f aca="false">IF($A199="N/A"," ",IF(VLOOKUP(MONTH($A199),ManualTable,3)=1,IF(Dayrun&gt;=6,$DE199*8*$CY199,0),0))</f>
        <v> </v>
      </c>
      <c r="AU199" s="297" t="str">
        <f aca="false">IF($A199="N/A"," ",IF(VLOOKUP(MONTH($A199),ManualTable,4)=1,IF(OR(Dayrun&lt;=2,Dayrun&gt;=9),$DE199*8*$CY199,0),0))</f>
        <v> </v>
      </c>
      <c r="AV199" s="297" t="str">
        <f aca="false">IF($A199="N/A"," ",IF(VLOOKUP(MONTH($A199),ManualTable,5)=1,IF(OR(Dayrun=1,Dayrun=4,Dayrun=5,Dayrun=7,Dayrun=8,Dayrun=10,Dayrun=11),$DF199*8*$CY199,0),0))</f>
        <v> </v>
      </c>
      <c r="AW199" s="297" t="str">
        <f aca="false">IF($A199="N/A"," ",IF(VLOOKUP(MONTH($A199),ManualTable,6)=1,IF(OR(Dayrun=1,Dayrun=7,Dayrun=8,Dayrun=10,Dayrun=11),$DF199*8*$CY199,0),0))</f>
        <v> </v>
      </c>
      <c r="AX199" s="297" t="str">
        <f aca="false">IF($A199="N/A"," ",IF(VLOOKUP(MONTH($A199),ManualTable,7)=1,IF(OR(Dayrun&lt;=2,Dayrun&gt;=9),$DF199*8*$CY199,0),0))</f>
        <v> </v>
      </c>
      <c r="AY199" s="297" t="str">
        <f aca="false">IF($A199="N/A"," ",IF(VLOOKUP(MONTH($A199),ManualTable,8)=1,IF(OR(Dayrun=1,Dayrun=5,Dayrun=8,Dayrun=11),$DG199*8*$CY199,0),0))</f>
        <v> </v>
      </c>
      <c r="AZ199" s="297" t="str">
        <f aca="false">IF($A199="N/A"," ",IF(VLOOKUP(MONTH($A199),ManualTable,9)=1,IF(OR(Dayrun=1,Dayrun=8,Dayrun=11),$DG199*8*$CY199,0),0))</f>
        <v> </v>
      </c>
      <c r="BA199" s="298" t="str">
        <f aca="false">IF($A199="N/A"," ",IF(VLOOKUP(MONTH($A199),ManualTable,10)=1,IF(OR(Dayrun&lt;=2,Dayrun&gt;=9),$DG199*8*$CY199,0),0))</f>
        <v> </v>
      </c>
      <c r="BB199" s="299" t="str">
        <f aca="false">IF($A199="N/A"," ",IF(Dayrun&gt;=3,(MAX(0,(xSPRDOPT(I199,($E199-'Pricing Inputs'!$X234*$D199),$CV199,0,($CN199+IF(Smile=TRUE(),VLOOKUP(MAX(-5,$H199-I199),Volsmile,2),0)),$CT199,$CU199,($A199-DateToday)+15,ABS(Option-2),1)*DE199*8))),0))</f>
        <v> </v>
      </c>
      <c r="BC199" s="300" t="str">
        <f aca="false">IF($A199="N/A"," ",IF(Dayrun&gt;=6,MAX(0,(xSPRDOPT(J199,($E199-'Pricing Inputs'!$X234*$D199),$CV199,0,($CN199+IF(Smile=TRUE(),VLOOKUP(MAX(-5,$H199-J199),Volsmile,2),0)),$CT199,$CU199,($A199-DateToday)+15,ABS(Option-2),1)*DE199*8)),0))</f>
        <v> </v>
      </c>
      <c r="BD199" s="300" t="str">
        <f aca="false">IF($A199="N/A"," ",IF(OR(Dayrun&lt;=2,Dayrun&gt;=9),IF(OffPeakEx=TRUE(),MAX(0,(xSPRDOPT(K199,($E199-'Pricing Inputs'!$X234*$D199),$CV199,0,($CQ199+IF(Smile=TRUE(),VLOOKUP(MAX(-5,$H199-K199),Volsmile,2),0)),$CT199,$CU199,($A199-DateToday)+15,ABS(Option-2),1)*DE199*8)),0),0))</f>
        <v> </v>
      </c>
      <c r="BE199" s="300" t="str">
        <f aca="false">IF($A199="N/A"," ",IF(OR(Dayrun=1,Dayrun=4,Dayrun=5,Dayrun=7,Dayrun=8,Dayrun=10,Dayrun=11),MAX(0,(xSPRDOPT(L199,($E199-'Pricing Inputs'!$X234*$D199),$CV199,0,($CQ199+IF(Smile=TRUE(),VLOOKUP(MAX(-5,$H199-L199),Volsmile,2),0)),$CT199,$CU199,($A199-DateToday)+15,ABS(Option-2),1)*DF199*8)),0))</f>
        <v> </v>
      </c>
      <c r="BF199" s="300" t="str">
        <f aca="false">IF($A199="N/A"," ",IF(OR(Dayrun=1,Dayrun=7,Dayrun=8,Dayrun=10,Dayrun=11),MAX(0,(xSPRDOPT(M199,($E199-'Pricing Inputs'!$X234*$D199),$CV199,0,($CQ199+IF(Smile=TRUE(),VLOOKUP(MAX(-5,$H199-M199),Volsmile,2),0)),$CT199,$CU199,($A199-DateToday)+15,ABS(Option-2),1)*DF199*8)),0))</f>
        <v> </v>
      </c>
      <c r="BG199" s="300" t="str">
        <f aca="false">IF($A199="N/A"," ",IF(OR(Dayrun&lt;=2,Dayrun&gt;=10),IF(OffPeakEx=TRUE(),MAX(0,(xSPRDOPT(N199,($E199-'Pricing Inputs'!$X234*$D199),$CV199,0,($CQ199+IF(Smile=TRUE(),VLOOKUP(MAX(-5,$H199-N199),Volsmile,2),0)),$CT199,$CU199,($A199-DateToday)+15,ABS(Option-2),1)*DF199*8)),0),0))</f>
        <v> </v>
      </c>
      <c r="BH199" s="300" t="str">
        <f aca="false">IF($A199="N/A"," ",IF(OR(Dayrun=1,Dayrun=5,Dayrun=8,Dayrun=11),MAX(0,(xSPRDOPT(O199,($E199-'Pricing Inputs'!$X234*$D199),$CV199,0,($CQ199+IF(Smile=TRUE(),VLOOKUP(MAX(-5,$H199-O199),Volsmile,2),0)),$CT199,$CU199,($A199-DateToday)+15,ABS(Option-2),1)*DG199*8)),0))</f>
        <v> </v>
      </c>
      <c r="BI199" s="300" t="str">
        <f aca="false">IF($A199="N/A"," ",IF(OR(Dayrun=1,Dayrun=8,Dayrun=11),MAX(0,(xSPRDOPT(P199,($E199-'Pricing Inputs'!$X234*$D199),$CV199,0,($CQ199+IF(Smile=TRUE(),VLOOKUP(MAX(-5,$H199-P199),Volsmile,2),0)),$CT199,$CU199,($A199-DateToday)+15,ABS(Option-2),1)*DG199*8)),0))</f>
        <v> </v>
      </c>
      <c r="BJ199" s="301" t="str">
        <f aca="false">IF($A199="N/A"," ",IF(OR(Dayrun&lt;=2,Dayrun&gt;=11),IF(OffPeakEx=TRUE(),MAX(0,(xSPRDOPT(Q199,($E199-'Pricing Inputs'!$X234*$D199),$CV199,0,($CQ199+IF(Smile=TRUE(),VLOOKUP(MAX(-5,$H199-Q199),Volsmile,2),0)),$CT199,$CU199,($A199-DateToday)+15,ABS(Option-2),1)*DG199*8)),0),0))</f>
        <v> </v>
      </c>
      <c r="BK199" s="302" t="str">
        <f aca="false">IF($A199="N/A"," ",R199*$AS199)</f>
        <v> </v>
      </c>
      <c r="BL199" s="303" t="str">
        <f aca="false">IF($A199="N/A"," ",S199*$AT199)</f>
        <v> </v>
      </c>
      <c r="BM199" s="303" t="str">
        <f aca="false">IF($A199="N/A"," ",T199*$AU199)</f>
        <v> </v>
      </c>
      <c r="BN199" s="303" t="str">
        <f aca="false">IF($A199="N/A"," ",U199*$AV199)</f>
        <v> </v>
      </c>
      <c r="BO199" s="303" t="str">
        <f aca="false">IF($A199="N/A"," ",V199*$AW199)</f>
        <v> </v>
      </c>
      <c r="BP199" s="303" t="str">
        <f aca="false">IF($A199="N/A"," ",W199*$AX199)</f>
        <v> </v>
      </c>
      <c r="BQ199" s="303" t="str">
        <f aca="false">IF($A199="N/A"," ",X199*$AY199)</f>
        <v> </v>
      </c>
      <c r="BR199" s="303" t="str">
        <f aca="false">IF($A199="N/A"," ",Y199*$AZ199)</f>
        <v> </v>
      </c>
      <c r="BS199" s="304" t="str">
        <f aca="false">IF($A199="N/A"," ",Z199*$BA199)</f>
        <v> </v>
      </c>
      <c r="BT199" s="305" t="str">
        <f aca="false">IF($A199="N/A"," ",AA199*$AS199)</f>
        <v> </v>
      </c>
      <c r="BU199" s="306" t="str">
        <f aca="false">IF($A199="N/A"," ",AB199*$AT199)</f>
        <v> </v>
      </c>
      <c r="BV199" s="306" t="str">
        <f aca="false">IF($A199="N/A"," ",AC199*$AU199)</f>
        <v> </v>
      </c>
      <c r="BW199" s="306" t="str">
        <f aca="false">IF($A199="N/A"," ",AD199*$AV199)</f>
        <v> </v>
      </c>
      <c r="BX199" s="306" t="str">
        <f aca="false">IF($A199="N/A"," ",AE199*$AW199)</f>
        <v> </v>
      </c>
      <c r="BY199" s="306" t="str">
        <f aca="false">IF($A199="N/A"," ",AF199*$AX199)</f>
        <v> </v>
      </c>
      <c r="BZ199" s="306" t="str">
        <f aca="false">IF($A199="N/A"," ",AG199*$AY199)</f>
        <v> </v>
      </c>
      <c r="CA199" s="306" t="str">
        <f aca="false">IF($A199="N/A"," ",AH199*$AZ199)</f>
        <v> </v>
      </c>
      <c r="CB199" s="307" t="str">
        <f aca="false">IF($A199="N/A"," ",AI199*$BA199)</f>
        <v> </v>
      </c>
      <c r="CC199" s="308" t="str">
        <f aca="false">IF($A199="N/A"," ",AJ199*$AS199)</f>
        <v> </v>
      </c>
      <c r="CD199" s="309" t="str">
        <f aca="false">IF($A199="N/A"," ",AK199*$AT199)</f>
        <v> </v>
      </c>
      <c r="CE199" s="309" t="str">
        <f aca="false">IF($A199="N/A"," ",AL199*$AU199)</f>
        <v> </v>
      </c>
      <c r="CF199" s="309" t="str">
        <f aca="false">IF($A199="N/A"," ",AM199*$AV199)</f>
        <v> </v>
      </c>
      <c r="CG199" s="309" t="str">
        <f aca="false">IF($A199="N/A"," ",AN199*$AW199)</f>
        <v> </v>
      </c>
      <c r="CH199" s="309" t="str">
        <f aca="false">IF($A199="N/A"," ",AO199*$AX199)</f>
        <v> </v>
      </c>
      <c r="CI199" s="309" t="str">
        <f aca="false">IF($A199="N/A"," ",AP199*$AY199)</f>
        <v> </v>
      </c>
      <c r="CJ199" s="309" t="str">
        <f aca="false">IF($A199="N/A"," ",AQ199*$AZ199)</f>
        <v> </v>
      </c>
      <c r="CK199" s="310" t="str">
        <f aca="false">IF($A199="N/A"," ",AR199*$BA199)</f>
        <v> </v>
      </c>
      <c r="CL199" s="311" t="str">
        <f aca="false">IF(A199="N/A"," ",(VLOOKUP(A199,PowerVolTable,(IF(VolBMO=2,7,IF(VolBMO=1,6,8))),FALSE())))</f>
        <v> </v>
      </c>
      <c r="CM199" s="312" t="str">
        <f aca="false">IF(A199="N/A"," ",(VLOOKUP(A199,IntraPowerVol,(IF(VolBMO=2,3,IF(VolBMO=1,2,4))),FALSE())*VLOOKUP(MONTH($A199),Volscale,2)))</f>
        <v> </v>
      </c>
      <c r="CN199" s="312" t="str">
        <f aca="false">IF($A199="N/A"," ",IF(VolType=1,CM199,CL199))</f>
        <v> </v>
      </c>
      <c r="CO199" s="312" t="str">
        <f aca="false">IF($A199="N/A"," ",(VLOOKUP($A199,OffPeakVol,(IF(VolBMO=2,7,IF(VolBMO=1,6,8))),FALSE())))</f>
        <v> </v>
      </c>
      <c r="CP199" s="312" t="str">
        <f aca="false">IF($A199="N/A"," ",(VLOOKUP($A199,OffPeakVol,(IF(VolBMO=2,3,IF(VolBMO=1,2,4))),FALSE())*VLOOKUP(MONTH($A199),Volscale,2)))</f>
        <v> </v>
      </c>
      <c r="CQ199" s="312" t="str">
        <f aca="false">IF($A199="N/A"," ",IF(VolType=1,CP199,CO199))</f>
        <v> </v>
      </c>
      <c r="CR199" s="312" t="str">
        <f aca="false">IF($A199="N/A"," ",(VLOOKUP($A199,GasVolTable,(IF(VolBMO=2,6,IF(VolBMO=1,7,5))),FALSE())))</f>
        <v> </v>
      </c>
      <c r="CS199" s="312" t="str">
        <f aca="false">IF($A199="N/A"," ",(VLOOKUP($A199,OmicronVol,(IF(VolBMO=2,3,IF(VolBMO=1,4,2))),FALSE())))</f>
        <v> </v>
      </c>
      <c r="CT199" s="312" t="str">
        <f aca="false">IF($A199="N/A"," ",(IF(DateToday&gt;$A199,$CS199,IF(VolType=1,((($CR199^2)*((($A199-1)-DateToday)/((EOMONTH($A199,0)+1)-DateToday-15)))+((($CS199)^2)*((15)/((EOMONTH($A199,0)+1)-DateToday-15))))^0.5,CR199))))</f>
        <v> </v>
      </c>
      <c r="CU199" s="312" t="str">
        <f aca="false">IF($A199="N/A"," ",IF('Pricing Inputs'!$AR$23=TRUE(),Inputs!$S$22,VLOOKUP($A199,CorrelationTable,2,FALSE())))</f>
        <v> </v>
      </c>
      <c r="CV199" s="313" t="str">
        <f aca="false">IF($A199="N/A"," ",F199+G199+(D199*('Pricing Inputs'!X234)))</f>
        <v> </v>
      </c>
      <c r="CW199" s="314" t="str">
        <f aca="false">IF($A199="N/A"," ",IF(PV=1,0,'Pricing Inputs'!Y234))</f>
        <v> </v>
      </c>
      <c r="CX199" s="315" t="str">
        <f aca="false">IF($A199="N/A"," ",(1+CW199/2)^(-2*((EOMONTH(A199,0)+20)-DateToday)/365.25))</f>
        <v> </v>
      </c>
      <c r="CY199" s="316" t="str">
        <f aca="false">IF($A199="N/A"," ",(IF(MONTH(A199)&gt;=4,IF(MONTH(A199)&lt;=10,Inputs!$S$26,Inputs!$S$27),Inputs!$S$27))*$CX199)</f>
        <v> </v>
      </c>
      <c r="CZ199" s="317" t="str">
        <f aca="false">IF($A199="N/A"," ",BK199+BL199+BN199+BO199+BQ199+BR199)</f>
        <v> </v>
      </c>
      <c r="DA199" s="318" t="str">
        <f aca="false">IF($A199="N/A"," ",BM199+BP199+BS199)</f>
        <v> </v>
      </c>
      <c r="DB199" s="319" t="str">
        <f aca="false">IF($A199="N/A"," ",BT199+BU199+BW199+BX199+BZ199+CA199)</f>
        <v> </v>
      </c>
      <c r="DC199" s="319" t="str">
        <f aca="false">IF($A199="N/A"," ",BV199+BY199+CB199)</f>
        <v> </v>
      </c>
      <c r="DD199" s="320" t="str">
        <f aca="false">IF($A199="N/A"," ",SUM(CC199:CK199))</f>
        <v> </v>
      </c>
      <c r="DE199" s="321" t="str">
        <f aca="false">IF($A199="N/A"," ",VLOOKUP($A199,NumberofDaysTable,2)*Availability)</f>
        <v> </v>
      </c>
      <c r="DF199" s="94" t="str">
        <f aca="false">IF($A199="N/A"," ",VLOOKUP($A199,NumberofDaysTable,3)*Availability)</f>
        <v> </v>
      </c>
      <c r="DG199" s="322" t="str">
        <f aca="false">IF($A199="N/A"," ",VLOOKUP($A199,NumberofDaysTable,4)*Availability)</f>
        <v> </v>
      </c>
      <c r="DH199" s="323" t="str">
        <f aca="false">IF($A199="N/A"," ",IF(Option=1,$D199*Inputs!$S$15*SUM(AS199:BA199),0))</f>
        <v> </v>
      </c>
      <c r="DI199" s="324" t="str">
        <f aca="false">IF($A199="N/A"," ",IF(Option=1,$D199*Inputs!$S$16*SUM(AS199:BA199),0))</f>
        <v> </v>
      </c>
      <c r="DJ199" s="325" t="str">
        <f aca="false">IF($A199="N/A"," ",SUM(AS199:AT199))</f>
        <v> </v>
      </c>
      <c r="DK199" s="325" t="str">
        <f aca="false">IF($A199="N/A"," ",SUM(AU199:BA199))</f>
        <v> </v>
      </c>
      <c r="DL199" s="325" t="str">
        <f aca="false">IF($A199="N/A"," ",SUM(BB199:BC199))</f>
        <v> </v>
      </c>
      <c r="DM199" s="325" t="str">
        <f aca="false">IF($A199="N/A"," ",SUM(BD199:BJ199))</f>
        <v> </v>
      </c>
    </row>
    <row r="200" customFormat="false" ht="12.75" hidden="false" customHeight="false" outlineLevel="0" collapsed="false">
      <c r="A200" s="282" t="str">
        <f aca="false">IF(A199="N/A","N/A",IF(EDATE(A199,1)&gt;Inputs!$S$5,"N/A",EDATE(A199,1)))</f>
        <v>N/A</v>
      </c>
      <c r="B200" s="283" t="str">
        <f aca="false">IF(A200="N/A"," ",YEAR(A200))</f>
        <v> </v>
      </c>
      <c r="C200" s="284" t="str">
        <f aca="false">IF(A200="N/A"," ",VLOOKUP(A200,ScaledPrice,14))</f>
        <v> </v>
      </c>
      <c r="D200" s="285" t="str">
        <f aca="false">IF(A200="N/A"," ",(VLOOKUP(MONTH($A200),Hrtable,2))/1000)</f>
        <v> </v>
      </c>
      <c r="E200" s="286" t="str">
        <f aca="false">IF($A200="N/A"," ",(C200)*D200)</f>
        <v> </v>
      </c>
      <c r="F200" s="287" t="str">
        <f aca="false">IF(A200="N/A"," ",VOM*(1+VOMesc)^(YEAR(A200)-YEAR(Today)))</f>
        <v> </v>
      </c>
      <c r="G200" s="287" t="str">
        <f aca="false">IF(A200="N/A"," ",Perstart/VLOOKUP(Dayrun,'Pricing Inputs'!$AQ$4:$AS$14,3)/(CY200/CX200))</f>
        <v> </v>
      </c>
      <c r="H200" s="288" t="str">
        <f aca="false">IF(A200="N/A"," ",SUM(E200:G200))</f>
        <v> </v>
      </c>
      <c r="I200" s="289" t="str">
        <f aca="false">VLOOKUP($A200,ScaledPrice,6)</f>
        <v> </v>
      </c>
      <c r="J200" s="290" t="str">
        <f aca="false">VLOOKUP($A200,ScaledPrice,10)</f>
        <v> </v>
      </c>
      <c r="K200" s="290" t="str">
        <f aca="false">VLOOKUP($A200,ScaledPrice,13)</f>
        <v> </v>
      </c>
      <c r="L200" s="290" t="str">
        <f aca="false">VLOOKUP($A200,ScaledPrice,7)</f>
        <v> </v>
      </c>
      <c r="M200" s="290" t="str">
        <f aca="false">VLOOKUP($A200,ScaledPrice,11)</f>
        <v> </v>
      </c>
      <c r="N200" s="290" t="str">
        <f aca="false">VLOOKUP($A200,ScaledPrice,13)</f>
        <v> </v>
      </c>
      <c r="O200" s="290" t="str">
        <f aca="false">VLOOKUP($A200,ScaledPrice,8)</f>
        <v> </v>
      </c>
      <c r="P200" s="290" t="str">
        <f aca="false">VLOOKUP($A200,ScaledPrice,12)</f>
        <v> </v>
      </c>
      <c r="Q200" s="291" t="str">
        <f aca="false">VLOOKUP($A200,ScaledPrice,13)</f>
        <v> </v>
      </c>
      <c r="R200" s="292" t="str">
        <f aca="false">IF($A200="N/A"," ",IF(Dayrun&gt;=3,IF(Option=1,MAX($I200-$H200,0),IF(Option=2,MAX($H200-$I200,0),0)),0))</f>
        <v> </v>
      </c>
      <c r="S200" s="286" t="str">
        <f aca="false">IF($A200="N/A"," ",IF(Dayrun&gt;=6,IF(Option=1,MAX($J200-H200,0),IF(Option=2,MAX(H200-$J200,0),0)),0))</f>
        <v> </v>
      </c>
      <c r="T200" s="286" t="str">
        <f aca="false">IF($A200="N/A"," ",IF(OR(Dayrun&lt;=2,Dayrun&gt;=9),IF(Option=1,MAX($K200-$H200,0),IF(Option=2,MAX($H200-$K200,0),0)),0))</f>
        <v> </v>
      </c>
      <c r="U200" s="286" t="str">
        <f aca="false">IF($A200="N/A"," ",IF(OR(Dayrun=1,Dayrun=4,Dayrun=5,Dayrun=7,Dayrun=8,Dayrun=10,Dayrun=11),IF(Option=1,MAX($L200-H200,0),IF(Option=2,MAX(H200-$L200,0),0)),0))</f>
        <v> </v>
      </c>
      <c r="V200" s="286" t="str">
        <f aca="false">IF($A200="N/A"," ",IF(OR(Dayrun=1,Dayrun=7,Dayrun=8,Dayrun=10,Dayrun=11),IF(Option=1,MAX($M200-H200,0),IF(Option=2,MAX(H200-$M200,0),0)),0))</f>
        <v> </v>
      </c>
      <c r="W200" s="286" t="str">
        <f aca="false">IF($A200="N/A"," ",IF(OR(Dayrun&lt;=2,Dayrun&gt;=10),IF(Option=1,MAX($N200-$H200,0),IF(Option=2,MAX($H200-$N200,0),0)),0))</f>
        <v> </v>
      </c>
      <c r="X200" s="286" t="str">
        <f aca="false">IF($A200="N/A"," ",IF(OR(Dayrun=1,Dayrun=5,Dayrun=8,Dayrun=11),IF(Option=1,MAX($O200-H200,0),IF(Option=2,MAX(H200-$O200,0),0)),0))</f>
        <v> </v>
      </c>
      <c r="Y200" s="286" t="str">
        <f aca="false">IF($A200="N/A"," ",IF(OR(Dayrun=1,Dayrun=8,Dayrun=11),IF(Option=1,MAX($P200-H200,0),IF(Option=2,MAX(H200-$P200,0),0)),0))</f>
        <v> </v>
      </c>
      <c r="Z200" s="293" t="str">
        <f aca="false">IF($A200="N/A"," ",IF(OR(Dayrun&lt;=2,Dayrun&gt;=11),IF(Option=1,MAX($Q200-$H200,0),IF(Option=2,MAX($H200-$Q200,0),0)),0))</f>
        <v> </v>
      </c>
      <c r="AA200" s="289" t="str">
        <f aca="false">IF($A200="N/A"," ",IF(Dayrun&gt;=3,(MAX(0,(xSPRDOPT(I200,($E200-'Pricing Inputs'!$X235*$D200),$CV200,0,($CN200+IF(Smile=TRUE(),VLOOKUP(MAX(-5,$H200-I200),Volsmile,2),0)),$CT200,$CU200,($A200-DateToday)+15,ABS(Option-2),0)-R200))),0))</f>
        <v> </v>
      </c>
      <c r="AB200" s="290" t="str">
        <f aca="false">IF($A200="N/A"," ",IF(Dayrun&gt;=6,MAX(0,(xSPRDOPT(J200,($E200-'Pricing Inputs'!$X235*$D200),$CV200,0,($CN200+IF(Smile=TRUE(),VLOOKUP(MAX(-5,$H200-J200),Volsmile,2),0)),$CT200,$CU200,($A200-DateToday)+15,ABS(Option-2),0)-S200)),0))</f>
        <v> </v>
      </c>
      <c r="AC200" s="290" t="str">
        <f aca="false">IF($A200="N/A"," ",IF(OR(Dayrun&lt;=2,Dayrun&gt;=9),IF(OffPeakEx=TRUE(),MAX(0,(xSPRDOPT(K200,($E200-'Pricing Inputs'!$X235*$D200),$CV200,0,($CQ200+IF(Smile=TRUE(),VLOOKUP(MAX(-5,$H200-K200),Volsmile,2),0)),$CT200,$CU200,($A200-DateToday)+15,ABS(Option-2),0)-T200)),0),0))</f>
        <v> </v>
      </c>
      <c r="AD200" s="290" t="str">
        <f aca="false">IF($A200="N/A"," ",IF(OR(Dayrun=1,Dayrun=4,Dayrun=5,Dayrun=7,Dayrun=8,Dayrun=10,Dayrun=11),MAX(0,(xSPRDOPT(L200,($E200-'Pricing Inputs'!$X235*$D200),$CV200,0,($CQ200+IF(Smile=TRUE(),VLOOKUP(MAX(-5,$H200-L200),Volsmile,2),0)),$CT200,$CU200,($A200-DateToday)+15,ABS(Option-2),0)-U200)),0))</f>
        <v> </v>
      </c>
      <c r="AE200" s="290" t="str">
        <f aca="false">IF($A200="N/A"," ",IF(OR(Dayrun=1,Dayrun=7,Dayrun=8,Dayrun=10,Dayrun=11),MAX(0,(xSPRDOPT(M200,($E200-'Pricing Inputs'!$X235*$D200),$CV200,0,($CQ200+IF(Smile=TRUE(),VLOOKUP(MAX(-5,$H200-M200),Volsmile,2),0)),$CT200,$CU200,($A200-DateToday)+15,ABS(Option-2),0)-V200)),0))</f>
        <v> </v>
      </c>
      <c r="AF200" s="290" t="str">
        <f aca="false">IF($A200="N/A"," ",IF(OR(Dayrun&lt;=2,Dayrun&gt;=10),IF(OffPeakEx=TRUE(),MAX(0,(xSPRDOPT(N200,($E200-'Pricing Inputs'!$X235*$D200),$CV200,0,($CQ200+IF(Smile=TRUE(),VLOOKUP(MAX(-5,$H200-N200),Volsmile,2),0)),$CT200,$CU200,($A200-DateToday)+15,ABS(Option-2),0)-W200)),0),0))</f>
        <v> </v>
      </c>
      <c r="AG200" s="290" t="str">
        <f aca="false">IF($A200="N/A"," ",IF(OR(Dayrun=1,Dayrun=5,Dayrun=8,Dayrun=11),MAX(0,(xSPRDOPT(O200,($E200-'Pricing Inputs'!$X235*$D200),$CV200,0,($CQ200+IF(Smile=TRUE(),VLOOKUP(MAX(-5,$H200-O200),Volsmile,2),0)),$CT200,$CU200,($A200-DateToday)+15,ABS(Option-2),0)-X200)),0))</f>
        <v> </v>
      </c>
      <c r="AH200" s="290" t="str">
        <f aca="false">IF($A200="N/A"," ",IF(OR(Dayrun=1,Dayrun=8,Dayrun=11),MAX(0,(xSPRDOPT(P200,($E200-'Pricing Inputs'!$X235*$D200),$CV200,0,($CQ200+IF(Smile=TRUE(),VLOOKUP(MAX(-5,$H200-P200),Volsmile,2),0)),$CT200,$CU200,($A200-DateToday)+15,ABS(Option-2),0)-Y200)),0))</f>
        <v> </v>
      </c>
      <c r="AI200" s="290" t="str">
        <f aca="false">IF($A200="N/A"," ",IF(OR(Dayrun&lt;=2,Dayrun&gt;=11),IF(OffPeakEx=TRUE(),MAX(0,(xSPRDOPT(Q200,($E200-'Pricing Inputs'!$X235*$D200),$CV200,0,($CQ200+IF(Smile=TRUE(),VLOOKUP(MAX(-5,$H200-Q200),Volsmile,2),0)),$CT200,$CU200,($A200-DateToday)+15,ABS(Option-2),0)-Z200)),0),0))</f>
        <v> </v>
      </c>
      <c r="AJ200" s="294" t="str">
        <f aca="false">IF($A200="N/A"," ",IF(Dayrun&gt;=3,IF(Option=1,$I200-$H200,IF(Option=2,$H200-$I200)),0))</f>
        <v> </v>
      </c>
      <c r="AK200" s="295" t="str">
        <f aca="false">IF($A200="N/A"," ",IF(Dayrun&gt;=6,IF(Option=1,$J200-H200,IF(Option=2,H200-$J200)),0))</f>
        <v> </v>
      </c>
      <c r="AL200" s="295" t="str">
        <f aca="false">IF($A200="N/A"," ",IF(OR(Dayrun&lt;=2,Dayrun&gt;=9),IF(Option=1,$K200-$H200,IF(Option=2,$H200-$K200)),0))</f>
        <v> </v>
      </c>
      <c r="AM200" s="295" t="str">
        <f aca="false">IF($A200="N/A"," ",IF(OR(Dayrun=1,Dayrun=4,Dayrun=5,Dayrun=7,Dayrun=8,Dayrun=10,Dayrun=11),IF(Option=1,$L200-H200,IF(Option=2,H200-$L200)),0))</f>
        <v> </v>
      </c>
      <c r="AN200" s="295" t="str">
        <f aca="false">IF($A200="N/A"," ",IF(OR(Dayrun=1,Dayrun=7,Dayrun=8,Dayrun=10,Dayrun=11),IF(Option=1,$M200-H200,IF(Option=2,H200-$M200)),0))</f>
        <v> </v>
      </c>
      <c r="AO200" s="295" t="str">
        <f aca="false">IF($A200="N/A"," ",IF(OR(Dayrun&lt;=2,Dayrun&gt;=9),IF(Option=1,$N200-$H200,IF(Option=2,$H200-$N200)),0))</f>
        <v> </v>
      </c>
      <c r="AP200" s="295" t="str">
        <f aca="false">IF($A200="N/A"," ",IF(OR(Dayrun=1,Dayrun=5,Dayrun=8,Dayrun=11),IF(Option=1,$O200-H200,IF(Option=2,H200-$O200)),0))</f>
        <v> </v>
      </c>
      <c r="AQ200" s="295" t="str">
        <f aca="false">IF($A200="N/A"," ",IF(OR(Dayrun=1,Dayrun=8,Dayrun=11),IF(Option=1,$P200-H200,IF(Option=2,H200-$P200)),0))</f>
        <v> </v>
      </c>
      <c r="AR200" s="296" t="str">
        <f aca="false">IF($A200="N/A"," ",IF(OR(Dayrun&lt;=2,Dayrun&gt;=9),IF(Option=1,$Q200-H200,IF(Option=2,H200-$Q200)),0))</f>
        <v> </v>
      </c>
      <c r="AS200" s="297" t="str">
        <f aca="false">IF($A200="N/A"," ",IF(VLOOKUP(MONTH($A200),ManualTable,2)=1,IF(Dayrun&gt;=3,$DE200*8*$CY200,0),0))</f>
        <v> </v>
      </c>
      <c r="AT200" s="297" t="str">
        <f aca="false">IF($A200="N/A"," ",IF(VLOOKUP(MONTH($A200),ManualTable,3)=1,IF(Dayrun&gt;=6,$DE200*8*$CY200,0),0))</f>
        <v> </v>
      </c>
      <c r="AU200" s="297" t="str">
        <f aca="false">IF($A200="N/A"," ",IF(VLOOKUP(MONTH($A200),ManualTable,4)=1,IF(OR(Dayrun&lt;=2,Dayrun&gt;=9),$DE200*8*$CY200,0),0))</f>
        <v> </v>
      </c>
      <c r="AV200" s="297" t="str">
        <f aca="false">IF($A200="N/A"," ",IF(VLOOKUP(MONTH($A200),ManualTable,5)=1,IF(OR(Dayrun=1,Dayrun=4,Dayrun=5,Dayrun=7,Dayrun=8,Dayrun=10,Dayrun=11),$DF200*8*$CY200,0),0))</f>
        <v> </v>
      </c>
      <c r="AW200" s="297" t="str">
        <f aca="false">IF($A200="N/A"," ",IF(VLOOKUP(MONTH($A200),ManualTable,6)=1,IF(OR(Dayrun=1,Dayrun=7,Dayrun=8,Dayrun=10,Dayrun=11),$DF200*8*$CY200,0),0))</f>
        <v> </v>
      </c>
      <c r="AX200" s="297" t="str">
        <f aca="false">IF($A200="N/A"," ",IF(VLOOKUP(MONTH($A200),ManualTable,7)=1,IF(OR(Dayrun&lt;=2,Dayrun&gt;=9),$DF200*8*$CY200,0),0))</f>
        <v> </v>
      </c>
      <c r="AY200" s="297" t="str">
        <f aca="false">IF($A200="N/A"," ",IF(VLOOKUP(MONTH($A200),ManualTable,8)=1,IF(OR(Dayrun=1,Dayrun=5,Dayrun=8,Dayrun=11),$DG200*8*$CY200,0),0))</f>
        <v> </v>
      </c>
      <c r="AZ200" s="297" t="str">
        <f aca="false">IF($A200="N/A"," ",IF(VLOOKUP(MONTH($A200),ManualTable,9)=1,IF(OR(Dayrun=1,Dayrun=8,Dayrun=11),$DG200*8*$CY200,0),0))</f>
        <v> </v>
      </c>
      <c r="BA200" s="298" t="str">
        <f aca="false">IF($A200="N/A"," ",IF(VLOOKUP(MONTH($A200),ManualTable,10)=1,IF(OR(Dayrun&lt;=2,Dayrun&gt;=9),$DG200*8*$CY200,0),0))</f>
        <v> </v>
      </c>
      <c r="BB200" s="299" t="str">
        <f aca="false">IF($A200="N/A"," ",IF(Dayrun&gt;=3,(MAX(0,(xSPRDOPT(I200,($E200-'Pricing Inputs'!$X235*$D200),$CV200,0,($CN200+IF(Smile=TRUE(),VLOOKUP(MAX(-5,$H200-I200),Volsmile,2),0)),$CT200,$CU200,($A200-DateToday)+15,ABS(Option-2),1)*DE200*8))),0))</f>
        <v> </v>
      </c>
      <c r="BC200" s="300" t="str">
        <f aca="false">IF($A200="N/A"," ",IF(Dayrun&gt;=6,MAX(0,(xSPRDOPT(J200,($E200-'Pricing Inputs'!$X235*$D200),$CV200,0,($CN200+IF(Smile=TRUE(),VLOOKUP(MAX(-5,$H200-J200),Volsmile,2),0)),$CT200,$CU200,($A200-DateToday)+15,ABS(Option-2),1)*DE200*8)),0))</f>
        <v> </v>
      </c>
      <c r="BD200" s="300" t="str">
        <f aca="false">IF($A200="N/A"," ",IF(OR(Dayrun&lt;=2,Dayrun&gt;=9),IF(OffPeakEx=TRUE(),MAX(0,(xSPRDOPT(K200,($E200-'Pricing Inputs'!$X235*$D200),$CV200,0,($CQ200+IF(Smile=TRUE(),VLOOKUP(MAX(-5,$H200-K200),Volsmile,2),0)),$CT200,$CU200,($A200-DateToday)+15,ABS(Option-2),1)*DE200*8)),0),0))</f>
        <v> </v>
      </c>
      <c r="BE200" s="300" t="str">
        <f aca="false">IF($A200="N/A"," ",IF(OR(Dayrun=1,Dayrun=4,Dayrun=5,Dayrun=7,Dayrun=8,Dayrun=10,Dayrun=11),MAX(0,(xSPRDOPT(L200,($E200-'Pricing Inputs'!$X235*$D200),$CV200,0,($CQ200+IF(Smile=TRUE(),VLOOKUP(MAX(-5,$H200-L200),Volsmile,2),0)),$CT200,$CU200,($A200-DateToday)+15,ABS(Option-2),1)*DF200*8)),0))</f>
        <v> </v>
      </c>
      <c r="BF200" s="300" t="str">
        <f aca="false">IF($A200="N/A"," ",IF(OR(Dayrun=1,Dayrun=7,Dayrun=8,Dayrun=10,Dayrun=11),MAX(0,(xSPRDOPT(M200,($E200-'Pricing Inputs'!$X235*$D200),$CV200,0,($CQ200+IF(Smile=TRUE(),VLOOKUP(MAX(-5,$H200-M200),Volsmile,2),0)),$CT200,$CU200,($A200-DateToday)+15,ABS(Option-2),1)*DF200*8)),0))</f>
        <v> </v>
      </c>
      <c r="BG200" s="300" t="str">
        <f aca="false">IF($A200="N/A"," ",IF(OR(Dayrun&lt;=2,Dayrun&gt;=10),IF(OffPeakEx=TRUE(),MAX(0,(xSPRDOPT(N200,($E200-'Pricing Inputs'!$X235*$D200),$CV200,0,($CQ200+IF(Smile=TRUE(),VLOOKUP(MAX(-5,$H200-N200),Volsmile,2),0)),$CT200,$CU200,($A200-DateToday)+15,ABS(Option-2),1)*DF200*8)),0),0))</f>
        <v> </v>
      </c>
      <c r="BH200" s="300" t="str">
        <f aca="false">IF($A200="N/A"," ",IF(OR(Dayrun=1,Dayrun=5,Dayrun=8,Dayrun=11),MAX(0,(xSPRDOPT(O200,($E200-'Pricing Inputs'!$X235*$D200),$CV200,0,($CQ200+IF(Smile=TRUE(),VLOOKUP(MAX(-5,$H200-O200),Volsmile,2),0)),$CT200,$CU200,($A200-DateToday)+15,ABS(Option-2),1)*DG200*8)),0))</f>
        <v> </v>
      </c>
      <c r="BI200" s="300" t="str">
        <f aca="false">IF($A200="N/A"," ",IF(OR(Dayrun=1,Dayrun=8,Dayrun=11),MAX(0,(xSPRDOPT(P200,($E200-'Pricing Inputs'!$X235*$D200),$CV200,0,($CQ200+IF(Smile=TRUE(),VLOOKUP(MAX(-5,$H200-P200),Volsmile,2),0)),$CT200,$CU200,($A200-DateToday)+15,ABS(Option-2),1)*DG200*8)),0))</f>
        <v> </v>
      </c>
      <c r="BJ200" s="301" t="str">
        <f aca="false">IF($A200="N/A"," ",IF(OR(Dayrun&lt;=2,Dayrun&gt;=11),IF(OffPeakEx=TRUE(),MAX(0,(xSPRDOPT(Q200,($E200-'Pricing Inputs'!$X235*$D200),$CV200,0,($CQ200+IF(Smile=TRUE(),VLOOKUP(MAX(-5,$H200-Q200),Volsmile,2),0)),$CT200,$CU200,($A200-DateToday)+15,ABS(Option-2),1)*DG200*8)),0),0))</f>
        <v> </v>
      </c>
      <c r="BK200" s="302" t="str">
        <f aca="false">IF($A200="N/A"," ",R200*$AS200)</f>
        <v> </v>
      </c>
      <c r="BL200" s="303" t="str">
        <f aca="false">IF($A200="N/A"," ",S200*$AT200)</f>
        <v> </v>
      </c>
      <c r="BM200" s="303" t="str">
        <f aca="false">IF($A200="N/A"," ",T200*$AU200)</f>
        <v> </v>
      </c>
      <c r="BN200" s="303" t="str">
        <f aca="false">IF($A200="N/A"," ",U200*$AV200)</f>
        <v> </v>
      </c>
      <c r="BO200" s="303" t="str">
        <f aca="false">IF($A200="N/A"," ",V200*$AW200)</f>
        <v> </v>
      </c>
      <c r="BP200" s="303" t="str">
        <f aca="false">IF($A200="N/A"," ",W200*$AX200)</f>
        <v> </v>
      </c>
      <c r="BQ200" s="303" t="str">
        <f aca="false">IF($A200="N/A"," ",X200*$AY200)</f>
        <v> </v>
      </c>
      <c r="BR200" s="303" t="str">
        <f aca="false">IF($A200="N/A"," ",Y200*$AZ200)</f>
        <v> </v>
      </c>
      <c r="BS200" s="304" t="str">
        <f aca="false">IF($A200="N/A"," ",Z200*$BA200)</f>
        <v> </v>
      </c>
      <c r="BT200" s="305" t="str">
        <f aca="false">IF($A200="N/A"," ",AA200*$AS200)</f>
        <v> </v>
      </c>
      <c r="BU200" s="306" t="str">
        <f aca="false">IF($A200="N/A"," ",AB200*$AT200)</f>
        <v> </v>
      </c>
      <c r="BV200" s="306" t="str">
        <f aca="false">IF($A200="N/A"," ",AC200*$AU200)</f>
        <v> </v>
      </c>
      <c r="BW200" s="306" t="str">
        <f aca="false">IF($A200="N/A"," ",AD200*$AV200)</f>
        <v> </v>
      </c>
      <c r="BX200" s="306" t="str">
        <f aca="false">IF($A200="N/A"," ",AE200*$AW200)</f>
        <v> </v>
      </c>
      <c r="BY200" s="306" t="str">
        <f aca="false">IF($A200="N/A"," ",AF200*$AX200)</f>
        <v> </v>
      </c>
      <c r="BZ200" s="306" t="str">
        <f aca="false">IF($A200="N/A"," ",AG200*$AY200)</f>
        <v> </v>
      </c>
      <c r="CA200" s="306" t="str">
        <f aca="false">IF($A200="N/A"," ",AH200*$AZ200)</f>
        <v> </v>
      </c>
      <c r="CB200" s="307" t="str">
        <f aca="false">IF($A200="N/A"," ",AI200*$BA200)</f>
        <v> </v>
      </c>
      <c r="CC200" s="308" t="str">
        <f aca="false">IF($A200="N/A"," ",AJ200*$AS200)</f>
        <v> </v>
      </c>
      <c r="CD200" s="309" t="str">
        <f aca="false">IF($A200="N/A"," ",AK200*$AT200)</f>
        <v> </v>
      </c>
      <c r="CE200" s="309" t="str">
        <f aca="false">IF($A200="N/A"," ",AL200*$AU200)</f>
        <v> </v>
      </c>
      <c r="CF200" s="309" t="str">
        <f aca="false">IF($A200="N/A"," ",AM200*$AV200)</f>
        <v> </v>
      </c>
      <c r="CG200" s="309" t="str">
        <f aca="false">IF($A200="N/A"," ",AN200*$AW200)</f>
        <v> </v>
      </c>
      <c r="CH200" s="309" t="str">
        <f aca="false">IF($A200="N/A"," ",AO200*$AX200)</f>
        <v> </v>
      </c>
      <c r="CI200" s="309" t="str">
        <f aca="false">IF($A200="N/A"," ",AP200*$AY200)</f>
        <v> </v>
      </c>
      <c r="CJ200" s="309" t="str">
        <f aca="false">IF($A200="N/A"," ",AQ200*$AZ200)</f>
        <v> </v>
      </c>
      <c r="CK200" s="310" t="str">
        <f aca="false">IF($A200="N/A"," ",AR200*$BA200)</f>
        <v> </v>
      </c>
      <c r="CL200" s="311" t="str">
        <f aca="false">IF(A200="N/A"," ",(VLOOKUP(A200,PowerVolTable,(IF(VolBMO=2,7,IF(VolBMO=1,6,8))),FALSE())))</f>
        <v> </v>
      </c>
      <c r="CM200" s="312" t="str">
        <f aca="false">IF(A200="N/A"," ",(VLOOKUP(A200,IntraPowerVol,(IF(VolBMO=2,3,IF(VolBMO=1,2,4))),FALSE())*VLOOKUP(MONTH($A200),Volscale,2)))</f>
        <v> </v>
      </c>
      <c r="CN200" s="312" t="str">
        <f aca="false">IF($A200="N/A"," ",IF(VolType=1,CM200,CL200))</f>
        <v> </v>
      </c>
      <c r="CO200" s="312" t="str">
        <f aca="false">IF($A200="N/A"," ",(VLOOKUP($A200,OffPeakVol,(IF(VolBMO=2,7,IF(VolBMO=1,6,8))),FALSE())))</f>
        <v> </v>
      </c>
      <c r="CP200" s="312" t="str">
        <f aca="false">IF($A200="N/A"," ",(VLOOKUP($A200,OffPeakVol,(IF(VolBMO=2,3,IF(VolBMO=1,2,4))),FALSE())*VLOOKUP(MONTH($A200),Volscale,2)))</f>
        <v> </v>
      </c>
      <c r="CQ200" s="312" t="str">
        <f aca="false">IF($A200="N/A"," ",IF(VolType=1,CP200,CO200))</f>
        <v> </v>
      </c>
      <c r="CR200" s="312" t="str">
        <f aca="false">IF($A200="N/A"," ",(VLOOKUP($A200,GasVolTable,(IF(VolBMO=2,6,IF(VolBMO=1,7,5))),FALSE())))</f>
        <v> </v>
      </c>
      <c r="CS200" s="312" t="str">
        <f aca="false">IF($A200="N/A"," ",(VLOOKUP($A200,OmicronVol,(IF(VolBMO=2,3,IF(VolBMO=1,4,2))),FALSE())))</f>
        <v> </v>
      </c>
      <c r="CT200" s="312" t="str">
        <f aca="false">IF($A200="N/A"," ",(IF(DateToday&gt;$A200,$CS200,IF(VolType=1,((($CR200^2)*((($A200-1)-DateToday)/((EOMONTH($A200,0)+1)-DateToday-15)))+((($CS200)^2)*((15)/((EOMONTH($A200,0)+1)-DateToday-15))))^0.5,CR200))))</f>
        <v> </v>
      </c>
      <c r="CU200" s="312" t="str">
        <f aca="false">IF($A200="N/A"," ",IF('Pricing Inputs'!$AR$23=TRUE(),Inputs!$S$22,VLOOKUP($A200,CorrelationTable,2,FALSE())))</f>
        <v> </v>
      </c>
      <c r="CV200" s="313" t="str">
        <f aca="false">IF($A200="N/A"," ",F200+G200+(D200*('Pricing Inputs'!X235)))</f>
        <v> </v>
      </c>
      <c r="CW200" s="314" t="str">
        <f aca="false">IF($A200="N/A"," ",IF(PV=1,0,'Pricing Inputs'!Y235))</f>
        <v> </v>
      </c>
      <c r="CX200" s="315" t="str">
        <f aca="false">IF($A200="N/A"," ",(1+CW200/2)^(-2*((EOMONTH(A200,0)+20)-DateToday)/365.25))</f>
        <v> </v>
      </c>
      <c r="CY200" s="316" t="str">
        <f aca="false">IF($A200="N/A"," ",(IF(MONTH(A200)&gt;=4,IF(MONTH(A200)&lt;=10,Inputs!$S$26,Inputs!$S$27),Inputs!$S$27))*$CX200)</f>
        <v> </v>
      </c>
      <c r="CZ200" s="317" t="str">
        <f aca="false">IF($A200="N/A"," ",BK200+BL200+BN200+BO200+BQ200+BR200)</f>
        <v> </v>
      </c>
      <c r="DA200" s="318" t="str">
        <f aca="false">IF($A200="N/A"," ",BM200+BP200+BS200)</f>
        <v> </v>
      </c>
      <c r="DB200" s="319" t="str">
        <f aca="false">IF($A200="N/A"," ",BT200+BU200+BW200+BX200+BZ200+CA200)</f>
        <v> </v>
      </c>
      <c r="DC200" s="319" t="str">
        <f aca="false">IF($A200="N/A"," ",BV200+BY200+CB200)</f>
        <v> </v>
      </c>
      <c r="DD200" s="320" t="str">
        <f aca="false">IF($A200="N/A"," ",SUM(CC200:CK200))</f>
        <v> </v>
      </c>
      <c r="DE200" s="321" t="str">
        <f aca="false">IF($A200="N/A"," ",VLOOKUP($A200,NumberofDaysTable,2)*Availability)</f>
        <v> </v>
      </c>
      <c r="DF200" s="94" t="str">
        <f aca="false">IF($A200="N/A"," ",VLOOKUP($A200,NumberofDaysTable,3)*Availability)</f>
        <v> </v>
      </c>
      <c r="DG200" s="322" t="str">
        <f aca="false">IF($A200="N/A"," ",VLOOKUP($A200,NumberofDaysTable,4)*Availability)</f>
        <v> </v>
      </c>
      <c r="DH200" s="323" t="str">
        <f aca="false">IF($A200="N/A"," ",IF(Option=1,$D200*Inputs!$S$15*SUM(AS200:BA200),0))</f>
        <v> </v>
      </c>
      <c r="DI200" s="324" t="str">
        <f aca="false">IF($A200="N/A"," ",IF(Option=1,$D200*Inputs!$S$16*SUM(AS200:BA200),0))</f>
        <v> </v>
      </c>
      <c r="DJ200" s="325" t="str">
        <f aca="false">IF($A200="N/A"," ",SUM(AS200:AT200))</f>
        <v> </v>
      </c>
      <c r="DK200" s="325" t="str">
        <f aca="false">IF($A200="N/A"," ",SUM(AU200:BA200))</f>
        <v> </v>
      </c>
      <c r="DL200" s="325" t="str">
        <f aca="false">IF($A200="N/A"," ",SUM(BB200:BC200))</f>
        <v> </v>
      </c>
      <c r="DM200" s="325" t="str">
        <f aca="false">IF($A200="N/A"," ",SUM(BD200:BJ200))</f>
        <v> </v>
      </c>
    </row>
    <row r="201" customFormat="false" ht="12.75" hidden="false" customHeight="false" outlineLevel="0" collapsed="false">
      <c r="A201" s="282" t="str">
        <f aca="false">IF(A200="N/A","N/A",IF(EDATE(A200,1)&gt;Inputs!$S$5,"N/A",EDATE(A200,1)))</f>
        <v>N/A</v>
      </c>
      <c r="B201" s="283" t="str">
        <f aca="false">IF(A201="N/A"," ",YEAR(A201))</f>
        <v> </v>
      </c>
      <c r="C201" s="284" t="str">
        <f aca="false">IF(A201="N/A"," ",VLOOKUP(A201,ScaledPrice,14))</f>
        <v> </v>
      </c>
      <c r="D201" s="285" t="str">
        <f aca="false">IF(A201="N/A"," ",(VLOOKUP(MONTH($A201),Hrtable,2))/1000)</f>
        <v> </v>
      </c>
      <c r="E201" s="286" t="str">
        <f aca="false">IF($A201="N/A"," ",(C201)*D201)</f>
        <v> </v>
      </c>
      <c r="F201" s="287" t="str">
        <f aca="false">IF(A201="N/A"," ",VOM*(1+VOMesc)^(YEAR(A201)-YEAR(Today)))</f>
        <v> </v>
      </c>
      <c r="G201" s="287" t="str">
        <f aca="false">IF(A201="N/A"," ",Perstart/VLOOKUP(Dayrun,'Pricing Inputs'!$AQ$4:$AS$14,3)/(CY201/CX201))</f>
        <v> </v>
      </c>
      <c r="H201" s="288" t="str">
        <f aca="false">IF(A201="N/A"," ",SUM(E201:G201))</f>
        <v> </v>
      </c>
      <c r="I201" s="289" t="str">
        <f aca="false">VLOOKUP($A201,ScaledPrice,6)</f>
        <v> </v>
      </c>
      <c r="J201" s="290" t="str">
        <f aca="false">VLOOKUP($A201,ScaledPrice,10)</f>
        <v> </v>
      </c>
      <c r="K201" s="290" t="str">
        <f aca="false">VLOOKUP($A201,ScaledPrice,13)</f>
        <v> </v>
      </c>
      <c r="L201" s="290" t="str">
        <f aca="false">VLOOKUP($A201,ScaledPrice,7)</f>
        <v> </v>
      </c>
      <c r="M201" s="290" t="str">
        <f aca="false">VLOOKUP($A201,ScaledPrice,11)</f>
        <v> </v>
      </c>
      <c r="N201" s="290" t="str">
        <f aca="false">VLOOKUP($A201,ScaledPrice,13)</f>
        <v> </v>
      </c>
      <c r="O201" s="290" t="str">
        <f aca="false">VLOOKUP($A201,ScaledPrice,8)</f>
        <v> </v>
      </c>
      <c r="P201" s="290" t="str">
        <f aca="false">VLOOKUP($A201,ScaledPrice,12)</f>
        <v> </v>
      </c>
      <c r="Q201" s="291" t="str">
        <f aca="false">VLOOKUP($A201,ScaledPrice,13)</f>
        <v> </v>
      </c>
      <c r="R201" s="292" t="str">
        <f aca="false">IF($A201="N/A"," ",IF(Dayrun&gt;=3,IF(Option=1,MAX($I201-$H201,0),IF(Option=2,MAX($H201-$I201,0),0)),0))</f>
        <v> </v>
      </c>
      <c r="S201" s="286" t="str">
        <f aca="false">IF($A201="N/A"," ",IF(Dayrun&gt;=6,IF(Option=1,MAX($J201-H201,0),IF(Option=2,MAX(H201-$J201,0),0)),0))</f>
        <v> </v>
      </c>
      <c r="T201" s="286" t="str">
        <f aca="false">IF($A201="N/A"," ",IF(OR(Dayrun&lt;=2,Dayrun&gt;=9),IF(Option=1,MAX($K201-$H201,0),IF(Option=2,MAX($H201-$K201,0),0)),0))</f>
        <v> </v>
      </c>
      <c r="U201" s="286" t="str">
        <f aca="false">IF($A201="N/A"," ",IF(OR(Dayrun=1,Dayrun=4,Dayrun=5,Dayrun=7,Dayrun=8,Dayrun=10,Dayrun=11),IF(Option=1,MAX($L201-H201,0),IF(Option=2,MAX(H201-$L201,0),0)),0))</f>
        <v> </v>
      </c>
      <c r="V201" s="286" t="str">
        <f aca="false">IF($A201="N/A"," ",IF(OR(Dayrun=1,Dayrun=7,Dayrun=8,Dayrun=10,Dayrun=11),IF(Option=1,MAX($M201-H201,0),IF(Option=2,MAX(H201-$M201,0),0)),0))</f>
        <v> </v>
      </c>
      <c r="W201" s="286" t="str">
        <f aca="false">IF($A201="N/A"," ",IF(OR(Dayrun&lt;=2,Dayrun&gt;=10),IF(Option=1,MAX($N201-$H201,0),IF(Option=2,MAX($H201-$N201,0),0)),0))</f>
        <v> </v>
      </c>
      <c r="X201" s="286" t="str">
        <f aca="false">IF($A201="N/A"," ",IF(OR(Dayrun=1,Dayrun=5,Dayrun=8,Dayrun=11),IF(Option=1,MAX($O201-H201,0),IF(Option=2,MAX(H201-$O201,0),0)),0))</f>
        <v> </v>
      </c>
      <c r="Y201" s="286" t="str">
        <f aca="false">IF($A201="N/A"," ",IF(OR(Dayrun=1,Dayrun=8,Dayrun=11),IF(Option=1,MAX($P201-H201,0),IF(Option=2,MAX(H201-$P201,0),0)),0))</f>
        <v> </v>
      </c>
      <c r="Z201" s="293" t="str">
        <f aca="false">IF($A201="N/A"," ",IF(OR(Dayrun&lt;=2,Dayrun&gt;=11),IF(Option=1,MAX($Q201-$H201,0),IF(Option=2,MAX($H201-$Q201,0),0)),0))</f>
        <v> </v>
      </c>
      <c r="AA201" s="289" t="str">
        <f aca="false">IF($A201="N/A"," ",IF(Dayrun&gt;=3,(MAX(0,(xSPRDOPT(I201,($E201-'Pricing Inputs'!$X236*$D201),$CV201,0,($CN201+IF(Smile=TRUE(),VLOOKUP(MAX(-5,$H201-I201),Volsmile,2),0)),$CT201,$CU201,($A201-DateToday)+15,ABS(Option-2),0)-R201))),0))</f>
        <v> </v>
      </c>
      <c r="AB201" s="290" t="str">
        <f aca="false">IF($A201="N/A"," ",IF(Dayrun&gt;=6,MAX(0,(xSPRDOPT(J201,($E201-'Pricing Inputs'!$X236*$D201),$CV201,0,($CN201+IF(Smile=TRUE(),VLOOKUP(MAX(-5,$H201-J201),Volsmile,2),0)),$CT201,$CU201,($A201-DateToday)+15,ABS(Option-2),0)-S201)),0))</f>
        <v> </v>
      </c>
      <c r="AC201" s="290" t="str">
        <f aca="false">IF($A201="N/A"," ",IF(OR(Dayrun&lt;=2,Dayrun&gt;=9),IF(OffPeakEx=TRUE(),MAX(0,(xSPRDOPT(K201,($E201-'Pricing Inputs'!$X236*$D201),$CV201,0,($CQ201+IF(Smile=TRUE(),VLOOKUP(MAX(-5,$H201-K201),Volsmile,2),0)),$CT201,$CU201,($A201-DateToday)+15,ABS(Option-2),0)-T201)),0),0))</f>
        <v> </v>
      </c>
      <c r="AD201" s="290" t="str">
        <f aca="false">IF($A201="N/A"," ",IF(OR(Dayrun=1,Dayrun=4,Dayrun=5,Dayrun=7,Dayrun=8,Dayrun=10,Dayrun=11),MAX(0,(xSPRDOPT(L201,($E201-'Pricing Inputs'!$X236*$D201),$CV201,0,($CQ201+IF(Smile=TRUE(),VLOOKUP(MAX(-5,$H201-L201),Volsmile,2),0)),$CT201,$CU201,($A201-DateToday)+15,ABS(Option-2),0)-U201)),0))</f>
        <v> </v>
      </c>
      <c r="AE201" s="290" t="str">
        <f aca="false">IF($A201="N/A"," ",IF(OR(Dayrun=1,Dayrun=7,Dayrun=8,Dayrun=10,Dayrun=11),MAX(0,(xSPRDOPT(M201,($E201-'Pricing Inputs'!$X236*$D201),$CV201,0,($CQ201+IF(Smile=TRUE(),VLOOKUP(MAX(-5,$H201-M201),Volsmile,2),0)),$CT201,$CU201,($A201-DateToday)+15,ABS(Option-2),0)-V201)),0))</f>
        <v> </v>
      </c>
      <c r="AF201" s="290" t="str">
        <f aca="false">IF($A201="N/A"," ",IF(OR(Dayrun&lt;=2,Dayrun&gt;=10),IF(OffPeakEx=TRUE(),MAX(0,(xSPRDOPT(N201,($E201-'Pricing Inputs'!$X236*$D201),$CV201,0,($CQ201+IF(Smile=TRUE(),VLOOKUP(MAX(-5,$H201-N201),Volsmile,2),0)),$CT201,$CU201,($A201-DateToday)+15,ABS(Option-2),0)-W201)),0),0))</f>
        <v> </v>
      </c>
      <c r="AG201" s="290" t="str">
        <f aca="false">IF($A201="N/A"," ",IF(OR(Dayrun=1,Dayrun=5,Dayrun=8,Dayrun=11),MAX(0,(xSPRDOPT(O201,($E201-'Pricing Inputs'!$X236*$D201),$CV201,0,($CQ201+IF(Smile=TRUE(),VLOOKUP(MAX(-5,$H201-O201),Volsmile,2),0)),$CT201,$CU201,($A201-DateToday)+15,ABS(Option-2),0)-X201)),0))</f>
        <v> </v>
      </c>
      <c r="AH201" s="290" t="str">
        <f aca="false">IF($A201="N/A"," ",IF(OR(Dayrun=1,Dayrun=8,Dayrun=11),MAX(0,(xSPRDOPT(P201,($E201-'Pricing Inputs'!$X236*$D201),$CV201,0,($CQ201+IF(Smile=TRUE(),VLOOKUP(MAX(-5,$H201-P201),Volsmile,2),0)),$CT201,$CU201,($A201-DateToday)+15,ABS(Option-2),0)-Y201)),0))</f>
        <v> </v>
      </c>
      <c r="AI201" s="290" t="str">
        <f aca="false">IF($A201="N/A"," ",IF(OR(Dayrun&lt;=2,Dayrun&gt;=11),IF(OffPeakEx=TRUE(),MAX(0,(xSPRDOPT(Q201,($E201-'Pricing Inputs'!$X236*$D201),$CV201,0,($CQ201+IF(Smile=TRUE(),VLOOKUP(MAX(-5,$H201-Q201),Volsmile,2),0)),$CT201,$CU201,($A201-DateToday)+15,ABS(Option-2),0)-Z201)),0),0))</f>
        <v> </v>
      </c>
      <c r="AJ201" s="294" t="str">
        <f aca="false">IF($A201="N/A"," ",IF(Dayrun&gt;=3,IF(Option=1,$I201-$H201,IF(Option=2,$H201-$I201)),0))</f>
        <v> </v>
      </c>
      <c r="AK201" s="295" t="str">
        <f aca="false">IF($A201="N/A"," ",IF(Dayrun&gt;=6,IF(Option=1,$J201-H201,IF(Option=2,H201-$J201)),0))</f>
        <v> </v>
      </c>
      <c r="AL201" s="295" t="str">
        <f aca="false">IF($A201="N/A"," ",IF(OR(Dayrun&lt;=2,Dayrun&gt;=9),IF(Option=1,$K201-$H201,IF(Option=2,$H201-$K201)),0))</f>
        <v> </v>
      </c>
      <c r="AM201" s="295" t="str">
        <f aca="false">IF($A201="N/A"," ",IF(OR(Dayrun=1,Dayrun=4,Dayrun=5,Dayrun=7,Dayrun=8,Dayrun=10,Dayrun=11),IF(Option=1,$L201-H201,IF(Option=2,H201-$L201)),0))</f>
        <v> </v>
      </c>
      <c r="AN201" s="295" t="str">
        <f aca="false">IF($A201="N/A"," ",IF(OR(Dayrun=1,Dayrun=7,Dayrun=8,Dayrun=10,Dayrun=11),IF(Option=1,$M201-H201,IF(Option=2,H201-$M201)),0))</f>
        <v> </v>
      </c>
      <c r="AO201" s="295" t="str">
        <f aca="false">IF($A201="N/A"," ",IF(OR(Dayrun&lt;=2,Dayrun&gt;=9),IF(Option=1,$N201-$H201,IF(Option=2,$H201-$N201)),0))</f>
        <v> </v>
      </c>
      <c r="AP201" s="295" t="str">
        <f aca="false">IF($A201="N/A"," ",IF(OR(Dayrun=1,Dayrun=5,Dayrun=8,Dayrun=11),IF(Option=1,$O201-H201,IF(Option=2,H201-$O201)),0))</f>
        <v> </v>
      </c>
      <c r="AQ201" s="295" t="str">
        <f aca="false">IF($A201="N/A"," ",IF(OR(Dayrun=1,Dayrun=8,Dayrun=11),IF(Option=1,$P201-H201,IF(Option=2,H201-$P201)),0))</f>
        <v> </v>
      </c>
      <c r="AR201" s="296" t="str">
        <f aca="false">IF($A201="N/A"," ",IF(OR(Dayrun&lt;=2,Dayrun&gt;=9),IF(Option=1,$Q201-H201,IF(Option=2,H201-$Q201)),0))</f>
        <v> </v>
      </c>
      <c r="AS201" s="297" t="str">
        <f aca="false">IF($A201="N/A"," ",IF(VLOOKUP(MONTH($A201),ManualTable,2)=1,IF(Dayrun&gt;=3,$DE201*8*$CY201,0),0))</f>
        <v> </v>
      </c>
      <c r="AT201" s="297" t="str">
        <f aca="false">IF($A201="N/A"," ",IF(VLOOKUP(MONTH($A201),ManualTable,3)=1,IF(Dayrun&gt;=6,$DE201*8*$CY201,0),0))</f>
        <v> </v>
      </c>
      <c r="AU201" s="297" t="str">
        <f aca="false">IF($A201="N/A"," ",IF(VLOOKUP(MONTH($A201),ManualTable,4)=1,IF(OR(Dayrun&lt;=2,Dayrun&gt;=9),$DE201*8*$CY201,0),0))</f>
        <v> </v>
      </c>
      <c r="AV201" s="297" t="str">
        <f aca="false">IF($A201="N/A"," ",IF(VLOOKUP(MONTH($A201),ManualTable,5)=1,IF(OR(Dayrun=1,Dayrun=4,Dayrun=5,Dayrun=7,Dayrun=8,Dayrun=10,Dayrun=11),$DF201*8*$CY201,0),0))</f>
        <v> </v>
      </c>
      <c r="AW201" s="297" t="str">
        <f aca="false">IF($A201="N/A"," ",IF(VLOOKUP(MONTH($A201),ManualTable,6)=1,IF(OR(Dayrun=1,Dayrun=7,Dayrun=8,Dayrun=10,Dayrun=11),$DF201*8*$CY201,0),0))</f>
        <v> </v>
      </c>
      <c r="AX201" s="297" t="str">
        <f aca="false">IF($A201="N/A"," ",IF(VLOOKUP(MONTH($A201),ManualTable,7)=1,IF(OR(Dayrun&lt;=2,Dayrun&gt;=9),$DF201*8*$CY201,0),0))</f>
        <v> </v>
      </c>
      <c r="AY201" s="297" t="str">
        <f aca="false">IF($A201="N/A"," ",IF(VLOOKUP(MONTH($A201),ManualTable,8)=1,IF(OR(Dayrun=1,Dayrun=5,Dayrun=8,Dayrun=11),$DG201*8*$CY201,0),0))</f>
        <v> </v>
      </c>
      <c r="AZ201" s="297" t="str">
        <f aca="false">IF($A201="N/A"," ",IF(VLOOKUP(MONTH($A201),ManualTable,9)=1,IF(OR(Dayrun=1,Dayrun=8,Dayrun=11),$DG201*8*$CY201,0),0))</f>
        <v> </v>
      </c>
      <c r="BA201" s="298" t="str">
        <f aca="false">IF($A201="N/A"," ",IF(VLOOKUP(MONTH($A201),ManualTable,10)=1,IF(OR(Dayrun&lt;=2,Dayrun&gt;=9),$DG201*8*$CY201,0),0))</f>
        <v> </v>
      </c>
      <c r="BB201" s="299" t="str">
        <f aca="false">IF($A201="N/A"," ",IF(Dayrun&gt;=3,(MAX(0,(xSPRDOPT(I201,($E201-'Pricing Inputs'!$X236*$D201),$CV201,0,($CN201+IF(Smile=TRUE(),VLOOKUP(MAX(-5,$H201-I201),Volsmile,2),0)),$CT201,$CU201,($A201-DateToday)+15,ABS(Option-2),1)*DE201*8))),0))</f>
        <v> </v>
      </c>
      <c r="BC201" s="300" t="str">
        <f aca="false">IF($A201="N/A"," ",IF(Dayrun&gt;=6,MAX(0,(xSPRDOPT(J201,($E201-'Pricing Inputs'!$X236*$D201),$CV201,0,($CN201+IF(Smile=TRUE(),VLOOKUP(MAX(-5,$H201-J201),Volsmile,2),0)),$CT201,$CU201,($A201-DateToday)+15,ABS(Option-2),1)*DE201*8)),0))</f>
        <v> </v>
      </c>
      <c r="BD201" s="300" t="str">
        <f aca="false">IF($A201="N/A"," ",IF(OR(Dayrun&lt;=2,Dayrun&gt;=9),IF(OffPeakEx=TRUE(),MAX(0,(xSPRDOPT(K201,($E201-'Pricing Inputs'!$X236*$D201),$CV201,0,($CQ201+IF(Smile=TRUE(),VLOOKUP(MAX(-5,$H201-K201),Volsmile,2),0)),$CT201,$CU201,($A201-DateToday)+15,ABS(Option-2),1)*DE201*8)),0),0))</f>
        <v> </v>
      </c>
      <c r="BE201" s="300" t="str">
        <f aca="false">IF($A201="N/A"," ",IF(OR(Dayrun=1,Dayrun=4,Dayrun=5,Dayrun=7,Dayrun=8,Dayrun=10,Dayrun=11),MAX(0,(xSPRDOPT(L201,($E201-'Pricing Inputs'!$X236*$D201),$CV201,0,($CQ201+IF(Smile=TRUE(),VLOOKUP(MAX(-5,$H201-L201),Volsmile,2),0)),$CT201,$CU201,($A201-DateToday)+15,ABS(Option-2),1)*DF201*8)),0))</f>
        <v> </v>
      </c>
      <c r="BF201" s="300" t="str">
        <f aca="false">IF($A201="N/A"," ",IF(OR(Dayrun=1,Dayrun=7,Dayrun=8,Dayrun=10,Dayrun=11),MAX(0,(xSPRDOPT(M201,($E201-'Pricing Inputs'!$X236*$D201),$CV201,0,($CQ201+IF(Smile=TRUE(),VLOOKUP(MAX(-5,$H201-M201),Volsmile,2),0)),$CT201,$CU201,($A201-DateToday)+15,ABS(Option-2),1)*DF201*8)),0))</f>
        <v> </v>
      </c>
      <c r="BG201" s="300" t="str">
        <f aca="false">IF($A201="N/A"," ",IF(OR(Dayrun&lt;=2,Dayrun&gt;=10),IF(OffPeakEx=TRUE(),MAX(0,(xSPRDOPT(N201,($E201-'Pricing Inputs'!$X236*$D201),$CV201,0,($CQ201+IF(Smile=TRUE(),VLOOKUP(MAX(-5,$H201-N201),Volsmile,2),0)),$CT201,$CU201,($A201-DateToday)+15,ABS(Option-2),1)*DF201*8)),0),0))</f>
        <v> </v>
      </c>
      <c r="BH201" s="300" t="str">
        <f aca="false">IF($A201="N/A"," ",IF(OR(Dayrun=1,Dayrun=5,Dayrun=8,Dayrun=11),MAX(0,(xSPRDOPT(O201,($E201-'Pricing Inputs'!$X236*$D201),$CV201,0,($CQ201+IF(Smile=TRUE(),VLOOKUP(MAX(-5,$H201-O201),Volsmile,2),0)),$CT201,$CU201,($A201-DateToday)+15,ABS(Option-2),1)*DG201*8)),0))</f>
        <v> </v>
      </c>
      <c r="BI201" s="300" t="str">
        <f aca="false">IF($A201="N/A"," ",IF(OR(Dayrun=1,Dayrun=8,Dayrun=11),MAX(0,(xSPRDOPT(P201,($E201-'Pricing Inputs'!$X236*$D201),$CV201,0,($CQ201+IF(Smile=TRUE(),VLOOKUP(MAX(-5,$H201-P201),Volsmile,2),0)),$CT201,$CU201,($A201-DateToday)+15,ABS(Option-2),1)*DG201*8)),0))</f>
        <v> </v>
      </c>
      <c r="BJ201" s="301" t="str">
        <f aca="false">IF($A201="N/A"," ",IF(OR(Dayrun&lt;=2,Dayrun&gt;=11),IF(OffPeakEx=TRUE(),MAX(0,(xSPRDOPT(Q201,($E201-'Pricing Inputs'!$X236*$D201),$CV201,0,($CQ201+IF(Smile=TRUE(),VLOOKUP(MAX(-5,$H201-Q201),Volsmile,2),0)),$CT201,$CU201,($A201-DateToday)+15,ABS(Option-2),1)*DG201*8)),0),0))</f>
        <v> </v>
      </c>
      <c r="BK201" s="302" t="str">
        <f aca="false">IF($A201="N/A"," ",R201*$AS201)</f>
        <v> </v>
      </c>
      <c r="BL201" s="303" t="str">
        <f aca="false">IF($A201="N/A"," ",S201*$AT201)</f>
        <v> </v>
      </c>
      <c r="BM201" s="303" t="str">
        <f aca="false">IF($A201="N/A"," ",T201*$AU201)</f>
        <v> </v>
      </c>
      <c r="BN201" s="303" t="str">
        <f aca="false">IF($A201="N/A"," ",U201*$AV201)</f>
        <v> </v>
      </c>
      <c r="BO201" s="303" t="str">
        <f aca="false">IF($A201="N/A"," ",V201*$AW201)</f>
        <v> </v>
      </c>
      <c r="BP201" s="303" t="str">
        <f aca="false">IF($A201="N/A"," ",W201*$AX201)</f>
        <v> </v>
      </c>
      <c r="BQ201" s="303" t="str">
        <f aca="false">IF($A201="N/A"," ",X201*$AY201)</f>
        <v> </v>
      </c>
      <c r="BR201" s="303" t="str">
        <f aca="false">IF($A201="N/A"," ",Y201*$AZ201)</f>
        <v> </v>
      </c>
      <c r="BS201" s="304" t="str">
        <f aca="false">IF($A201="N/A"," ",Z201*$BA201)</f>
        <v> </v>
      </c>
      <c r="BT201" s="305" t="str">
        <f aca="false">IF($A201="N/A"," ",AA201*$AS201)</f>
        <v> </v>
      </c>
      <c r="BU201" s="306" t="str">
        <f aca="false">IF($A201="N/A"," ",AB201*$AT201)</f>
        <v> </v>
      </c>
      <c r="BV201" s="306" t="str">
        <f aca="false">IF($A201="N/A"," ",AC201*$AU201)</f>
        <v> </v>
      </c>
      <c r="BW201" s="306" t="str">
        <f aca="false">IF($A201="N/A"," ",AD201*$AV201)</f>
        <v> </v>
      </c>
      <c r="BX201" s="306" t="str">
        <f aca="false">IF($A201="N/A"," ",AE201*$AW201)</f>
        <v> </v>
      </c>
      <c r="BY201" s="306" t="str">
        <f aca="false">IF($A201="N/A"," ",AF201*$AX201)</f>
        <v> </v>
      </c>
      <c r="BZ201" s="306" t="str">
        <f aca="false">IF($A201="N/A"," ",AG201*$AY201)</f>
        <v> </v>
      </c>
      <c r="CA201" s="306" t="str">
        <f aca="false">IF($A201="N/A"," ",AH201*$AZ201)</f>
        <v> </v>
      </c>
      <c r="CB201" s="307" t="str">
        <f aca="false">IF($A201="N/A"," ",AI201*$BA201)</f>
        <v> </v>
      </c>
      <c r="CC201" s="308" t="str">
        <f aca="false">IF($A201="N/A"," ",AJ201*$AS201)</f>
        <v> </v>
      </c>
      <c r="CD201" s="309" t="str">
        <f aca="false">IF($A201="N/A"," ",AK201*$AT201)</f>
        <v> </v>
      </c>
      <c r="CE201" s="309" t="str">
        <f aca="false">IF($A201="N/A"," ",AL201*$AU201)</f>
        <v> </v>
      </c>
      <c r="CF201" s="309" t="str">
        <f aca="false">IF($A201="N/A"," ",AM201*$AV201)</f>
        <v> </v>
      </c>
      <c r="CG201" s="309" t="str">
        <f aca="false">IF($A201="N/A"," ",AN201*$AW201)</f>
        <v> </v>
      </c>
      <c r="CH201" s="309" t="str">
        <f aca="false">IF($A201="N/A"," ",AO201*$AX201)</f>
        <v> </v>
      </c>
      <c r="CI201" s="309" t="str">
        <f aca="false">IF($A201="N/A"," ",AP201*$AY201)</f>
        <v> </v>
      </c>
      <c r="CJ201" s="309" t="str">
        <f aca="false">IF($A201="N/A"," ",AQ201*$AZ201)</f>
        <v> </v>
      </c>
      <c r="CK201" s="310" t="str">
        <f aca="false">IF($A201="N/A"," ",AR201*$BA201)</f>
        <v> </v>
      </c>
      <c r="CL201" s="311" t="str">
        <f aca="false">IF(A201="N/A"," ",(VLOOKUP(A201,PowerVolTable,(IF(VolBMO=2,7,IF(VolBMO=1,6,8))),FALSE())))</f>
        <v> </v>
      </c>
      <c r="CM201" s="312" t="str">
        <f aca="false">IF(A201="N/A"," ",(VLOOKUP(A201,IntraPowerVol,(IF(VolBMO=2,3,IF(VolBMO=1,2,4))),FALSE())*VLOOKUP(MONTH($A201),Volscale,2)))</f>
        <v> </v>
      </c>
      <c r="CN201" s="312" t="str">
        <f aca="false">IF($A201="N/A"," ",IF(VolType=1,CM201,CL201))</f>
        <v> </v>
      </c>
      <c r="CO201" s="312" t="str">
        <f aca="false">IF($A201="N/A"," ",(VLOOKUP($A201,OffPeakVol,(IF(VolBMO=2,7,IF(VolBMO=1,6,8))),FALSE())))</f>
        <v> </v>
      </c>
      <c r="CP201" s="312" t="str">
        <f aca="false">IF($A201="N/A"," ",(VLOOKUP($A201,OffPeakVol,(IF(VolBMO=2,3,IF(VolBMO=1,2,4))),FALSE())*VLOOKUP(MONTH($A201),Volscale,2)))</f>
        <v> </v>
      </c>
      <c r="CQ201" s="312" t="str">
        <f aca="false">IF($A201="N/A"," ",IF(VolType=1,CP201,CO201))</f>
        <v> </v>
      </c>
      <c r="CR201" s="312" t="str">
        <f aca="false">IF($A201="N/A"," ",(VLOOKUP($A201,GasVolTable,(IF(VolBMO=2,6,IF(VolBMO=1,7,5))),FALSE())))</f>
        <v> </v>
      </c>
      <c r="CS201" s="312" t="str">
        <f aca="false">IF($A201="N/A"," ",(VLOOKUP($A201,OmicronVol,(IF(VolBMO=2,3,IF(VolBMO=1,4,2))),FALSE())))</f>
        <v> </v>
      </c>
      <c r="CT201" s="312" t="str">
        <f aca="false">IF($A201="N/A"," ",(IF(DateToday&gt;$A201,$CS201,IF(VolType=1,((($CR201^2)*((($A201-1)-DateToday)/((EOMONTH($A201,0)+1)-DateToday-15)))+((($CS201)^2)*((15)/((EOMONTH($A201,0)+1)-DateToday-15))))^0.5,CR201))))</f>
        <v> </v>
      </c>
      <c r="CU201" s="312" t="str">
        <f aca="false">IF($A201="N/A"," ",IF('Pricing Inputs'!$AR$23=TRUE(),Inputs!$S$22,VLOOKUP($A201,CorrelationTable,2,FALSE())))</f>
        <v> </v>
      </c>
      <c r="CV201" s="313" t="str">
        <f aca="false">IF($A201="N/A"," ",F201+G201+(D201*('Pricing Inputs'!X236)))</f>
        <v> </v>
      </c>
      <c r="CW201" s="314" t="str">
        <f aca="false">IF($A201="N/A"," ",IF(PV=1,0,'Pricing Inputs'!Y236))</f>
        <v> </v>
      </c>
      <c r="CX201" s="315" t="str">
        <f aca="false">IF($A201="N/A"," ",(1+CW201/2)^(-2*((EOMONTH(A201,0)+20)-DateToday)/365.25))</f>
        <v> </v>
      </c>
      <c r="CY201" s="316" t="str">
        <f aca="false">IF($A201="N/A"," ",(IF(MONTH(A201)&gt;=4,IF(MONTH(A201)&lt;=10,Inputs!$S$26,Inputs!$S$27),Inputs!$S$27))*$CX201)</f>
        <v> </v>
      </c>
      <c r="CZ201" s="317" t="str">
        <f aca="false">IF($A201="N/A"," ",BK201+BL201+BN201+BO201+BQ201+BR201)</f>
        <v> </v>
      </c>
      <c r="DA201" s="318" t="str">
        <f aca="false">IF($A201="N/A"," ",BM201+BP201+BS201)</f>
        <v> </v>
      </c>
      <c r="DB201" s="319" t="str">
        <f aca="false">IF($A201="N/A"," ",BT201+BU201+BW201+BX201+BZ201+CA201)</f>
        <v> </v>
      </c>
      <c r="DC201" s="319" t="str">
        <f aca="false">IF($A201="N/A"," ",BV201+BY201+CB201)</f>
        <v> </v>
      </c>
      <c r="DD201" s="320" t="str">
        <f aca="false">IF($A201="N/A"," ",SUM(CC201:CK201))</f>
        <v> </v>
      </c>
      <c r="DE201" s="321" t="str">
        <f aca="false">IF($A201="N/A"," ",VLOOKUP($A201,NumberofDaysTable,2)*Availability)</f>
        <v> </v>
      </c>
      <c r="DF201" s="94" t="str">
        <f aca="false">IF($A201="N/A"," ",VLOOKUP($A201,NumberofDaysTable,3)*Availability)</f>
        <v> </v>
      </c>
      <c r="DG201" s="322" t="str">
        <f aca="false">IF($A201="N/A"," ",VLOOKUP($A201,NumberofDaysTable,4)*Availability)</f>
        <v> </v>
      </c>
      <c r="DH201" s="323" t="str">
        <f aca="false">IF($A201="N/A"," ",IF(Option=1,$D201*Inputs!$S$15*SUM(AS201:BA201),0))</f>
        <v> </v>
      </c>
      <c r="DI201" s="324" t="str">
        <f aca="false">IF($A201="N/A"," ",IF(Option=1,$D201*Inputs!$S$16*SUM(AS201:BA201),0))</f>
        <v> </v>
      </c>
      <c r="DJ201" s="325" t="str">
        <f aca="false">IF($A201="N/A"," ",SUM(AS201:AT201))</f>
        <v> </v>
      </c>
      <c r="DK201" s="325" t="str">
        <f aca="false">IF($A201="N/A"," ",SUM(AU201:BA201))</f>
        <v> </v>
      </c>
      <c r="DL201" s="325" t="str">
        <f aca="false">IF($A201="N/A"," ",SUM(BB201:BC201))</f>
        <v> </v>
      </c>
      <c r="DM201" s="325" t="str">
        <f aca="false">IF($A201="N/A"," ",SUM(BD201:BJ201))</f>
        <v> </v>
      </c>
    </row>
    <row r="202" customFormat="false" ht="12.75" hidden="false" customHeight="false" outlineLevel="0" collapsed="false">
      <c r="A202" s="282" t="str">
        <f aca="false">IF(A201="N/A","N/A",IF(EDATE(A201,1)&gt;Inputs!$S$5,"N/A",EDATE(A201,1)))</f>
        <v>N/A</v>
      </c>
      <c r="B202" s="283" t="str">
        <f aca="false">IF(A202="N/A"," ",YEAR(A202))</f>
        <v> </v>
      </c>
      <c r="C202" s="284" t="str">
        <f aca="false">IF(A202="N/A"," ",VLOOKUP(A202,ScaledPrice,14))</f>
        <v> </v>
      </c>
      <c r="D202" s="285" t="str">
        <f aca="false">IF(A202="N/A"," ",(VLOOKUP(MONTH($A202),Hrtable,2))/1000)</f>
        <v> </v>
      </c>
      <c r="E202" s="286" t="str">
        <f aca="false">IF($A202="N/A"," ",(C202)*D202)</f>
        <v> </v>
      </c>
      <c r="F202" s="287" t="str">
        <f aca="false">IF(A202="N/A"," ",VOM*(1+VOMesc)^(YEAR(A202)-YEAR(Today)))</f>
        <v> </v>
      </c>
      <c r="G202" s="287" t="str">
        <f aca="false">IF(A202="N/A"," ",Perstart/VLOOKUP(Dayrun,'Pricing Inputs'!$AQ$4:$AS$14,3)/(CY202/CX202))</f>
        <v> </v>
      </c>
      <c r="H202" s="288" t="str">
        <f aca="false">IF(A202="N/A"," ",SUM(E202:G202))</f>
        <v> </v>
      </c>
      <c r="I202" s="289" t="str">
        <f aca="false">VLOOKUP($A202,ScaledPrice,6)</f>
        <v> </v>
      </c>
      <c r="J202" s="290" t="str">
        <f aca="false">VLOOKUP($A202,ScaledPrice,10)</f>
        <v> </v>
      </c>
      <c r="K202" s="290" t="str">
        <f aca="false">VLOOKUP($A202,ScaledPrice,13)</f>
        <v> </v>
      </c>
      <c r="L202" s="290" t="str">
        <f aca="false">VLOOKUP($A202,ScaledPrice,7)</f>
        <v> </v>
      </c>
      <c r="M202" s="290" t="str">
        <f aca="false">VLOOKUP($A202,ScaledPrice,11)</f>
        <v> </v>
      </c>
      <c r="N202" s="290" t="str">
        <f aca="false">VLOOKUP($A202,ScaledPrice,13)</f>
        <v> </v>
      </c>
      <c r="O202" s="290" t="str">
        <f aca="false">VLOOKUP($A202,ScaledPrice,8)</f>
        <v> </v>
      </c>
      <c r="P202" s="290" t="str">
        <f aca="false">VLOOKUP($A202,ScaledPrice,12)</f>
        <v> </v>
      </c>
      <c r="Q202" s="291" t="str">
        <f aca="false">VLOOKUP($A202,ScaledPrice,13)</f>
        <v> </v>
      </c>
      <c r="R202" s="292" t="str">
        <f aca="false">IF($A202="N/A"," ",IF(Dayrun&gt;=3,IF(Option=1,MAX($I202-$H202,0),IF(Option=2,MAX($H202-$I202,0),0)),0))</f>
        <v> </v>
      </c>
      <c r="S202" s="286" t="str">
        <f aca="false">IF($A202="N/A"," ",IF(Dayrun&gt;=6,IF(Option=1,MAX($J202-H202,0),IF(Option=2,MAX(H202-$J202,0),0)),0))</f>
        <v> </v>
      </c>
      <c r="T202" s="286" t="str">
        <f aca="false">IF($A202="N/A"," ",IF(OR(Dayrun&lt;=2,Dayrun&gt;=9),IF(Option=1,MAX($K202-$H202,0),IF(Option=2,MAX($H202-$K202,0),0)),0))</f>
        <v> </v>
      </c>
      <c r="U202" s="286" t="str">
        <f aca="false">IF($A202="N/A"," ",IF(OR(Dayrun=1,Dayrun=4,Dayrun=5,Dayrun=7,Dayrun=8,Dayrun=10,Dayrun=11),IF(Option=1,MAX($L202-H202,0),IF(Option=2,MAX(H202-$L202,0),0)),0))</f>
        <v> </v>
      </c>
      <c r="V202" s="286" t="str">
        <f aca="false">IF($A202="N/A"," ",IF(OR(Dayrun=1,Dayrun=7,Dayrun=8,Dayrun=10,Dayrun=11),IF(Option=1,MAX($M202-H202,0),IF(Option=2,MAX(H202-$M202,0),0)),0))</f>
        <v> </v>
      </c>
      <c r="W202" s="286" t="str">
        <f aca="false">IF($A202="N/A"," ",IF(OR(Dayrun&lt;=2,Dayrun&gt;=10),IF(Option=1,MAX($N202-$H202,0),IF(Option=2,MAX($H202-$N202,0),0)),0))</f>
        <v> </v>
      </c>
      <c r="X202" s="286" t="str">
        <f aca="false">IF($A202="N/A"," ",IF(OR(Dayrun=1,Dayrun=5,Dayrun=8,Dayrun=11),IF(Option=1,MAX($O202-H202,0),IF(Option=2,MAX(H202-$O202,0),0)),0))</f>
        <v> </v>
      </c>
      <c r="Y202" s="286" t="str">
        <f aca="false">IF($A202="N/A"," ",IF(OR(Dayrun=1,Dayrun=8,Dayrun=11),IF(Option=1,MAX($P202-H202,0),IF(Option=2,MAX(H202-$P202,0),0)),0))</f>
        <v> </v>
      </c>
      <c r="Z202" s="293" t="str">
        <f aca="false">IF($A202="N/A"," ",IF(OR(Dayrun&lt;=2,Dayrun&gt;=11),IF(Option=1,MAX($Q202-$H202,0),IF(Option=2,MAX($H202-$Q202,0),0)),0))</f>
        <v> </v>
      </c>
      <c r="AA202" s="289" t="str">
        <f aca="false">IF($A202="N/A"," ",IF(Dayrun&gt;=3,(MAX(0,(xSPRDOPT(I202,($E202-'Pricing Inputs'!$X237*$D202),$CV202,0,($CN202+IF(Smile=TRUE(),VLOOKUP(MAX(-5,$H202-I202),Volsmile,2),0)),$CT202,$CU202,($A202-DateToday)+15,ABS(Option-2),0)-R202))),0))</f>
        <v> </v>
      </c>
      <c r="AB202" s="290" t="str">
        <f aca="false">IF($A202="N/A"," ",IF(Dayrun&gt;=6,MAX(0,(xSPRDOPT(J202,($E202-'Pricing Inputs'!$X237*$D202),$CV202,0,($CN202+IF(Smile=TRUE(),VLOOKUP(MAX(-5,$H202-J202),Volsmile,2),0)),$CT202,$CU202,($A202-DateToday)+15,ABS(Option-2),0)-S202)),0))</f>
        <v> </v>
      </c>
      <c r="AC202" s="290" t="str">
        <f aca="false">IF($A202="N/A"," ",IF(OR(Dayrun&lt;=2,Dayrun&gt;=9),IF(OffPeakEx=TRUE(),MAX(0,(xSPRDOPT(K202,($E202-'Pricing Inputs'!$X237*$D202),$CV202,0,($CQ202+IF(Smile=TRUE(),VLOOKUP(MAX(-5,$H202-K202),Volsmile,2),0)),$CT202,$CU202,($A202-DateToday)+15,ABS(Option-2),0)-T202)),0),0))</f>
        <v> </v>
      </c>
      <c r="AD202" s="290" t="str">
        <f aca="false">IF($A202="N/A"," ",IF(OR(Dayrun=1,Dayrun=4,Dayrun=5,Dayrun=7,Dayrun=8,Dayrun=10,Dayrun=11),MAX(0,(xSPRDOPT(L202,($E202-'Pricing Inputs'!$X237*$D202),$CV202,0,($CQ202+IF(Smile=TRUE(),VLOOKUP(MAX(-5,$H202-L202),Volsmile,2),0)),$CT202,$CU202,($A202-DateToday)+15,ABS(Option-2),0)-U202)),0))</f>
        <v> </v>
      </c>
      <c r="AE202" s="290" t="str">
        <f aca="false">IF($A202="N/A"," ",IF(OR(Dayrun=1,Dayrun=7,Dayrun=8,Dayrun=10,Dayrun=11),MAX(0,(xSPRDOPT(M202,($E202-'Pricing Inputs'!$X237*$D202),$CV202,0,($CQ202+IF(Smile=TRUE(),VLOOKUP(MAX(-5,$H202-M202),Volsmile,2),0)),$CT202,$CU202,($A202-DateToday)+15,ABS(Option-2),0)-V202)),0))</f>
        <v> </v>
      </c>
      <c r="AF202" s="290" t="str">
        <f aca="false">IF($A202="N/A"," ",IF(OR(Dayrun&lt;=2,Dayrun&gt;=10),IF(OffPeakEx=TRUE(),MAX(0,(xSPRDOPT(N202,($E202-'Pricing Inputs'!$X237*$D202),$CV202,0,($CQ202+IF(Smile=TRUE(),VLOOKUP(MAX(-5,$H202-N202),Volsmile,2),0)),$CT202,$CU202,($A202-DateToday)+15,ABS(Option-2),0)-W202)),0),0))</f>
        <v> </v>
      </c>
      <c r="AG202" s="290" t="str">
        <f aca="false">IF($A202="N/A"," ",IF(OR(Dayrun=1,Dayrun=5,Dayrun=8,Dayrun=11),MAX(0,(xSPRDOPT(O202,($E202-'Pricing Inputs'!$X237*$D202),$CV202,0,($CQ202+IF(Smile=TRUE(),VLOOKUP(MAX(-5,$H202-O202),Volsmile,2),0)),$CT202,$CU202,($A202-DateToday)+15,ABS(Option-2),0)-X202)),0))</f>
        <v> </v>
      </c>
      <c r="AH202" s="290" t="str">
        <f aca="false">IF($A202="N/A"," ",IF(OR(Dayrun=1,Dayrun=8,Dayrun=11),MAX(0,(xSPRDOPT(P202,($E202-'Pricing Inputs'!$X237*$D202),$CV202,0,($CQ202+IF(Smile=TRUE(),VLOOKUP(MAX(-5,$H202-P202),Volsmile,2),0)),$CT202,$CU202,($A202-DateToday)+15,ABS(Option-2),0)-Y202)),0))</f>
        <v> </v>
      </c>
      <c r="AI202" s="290" t="str">
        <f aca="false">IF($A202="N/A"," ",IF(OR(Dayrun&lt;=2,Dayrun&gt;=11),IF(OffPeakEx=TRUE(),MAX(0,(xSPRDOPT(Q202,($E202-'Pricing Inputs'!$X237*$D202),$CV202,0,($CQ202+IF(Smile=TRUE(),VLOOKUP(MAX(-5,$H202-Q202),Volsmile,2),0)),$CT202,$CU202,($A202-DateToday)+15,ABS(Option-2),0)-Z202)),0),0))</f>
        <v> </v>
      </c>
      <c r="AJ202" s="294" t="str">
        <f aca="false">IF($A202="N/A"," ",IF(Dayrun&gt;=3,IF(Option=1,$I202-$H202,IF(Option=2,$H202-$I202)),0))</f>
        <v> </v>
      </c>
      <c r="AK202" s="295" t="str">
        <f aca="false">IF($A202="N/A"," ",IF(Dayrun&gt;=6,IF(Option=1,$J202-H202,IF(Option=2,H202-$J202)),0))</f>
        <v> </v>
      </c>
      <c r="AL202" s="295" t="str">
        <f aca="false">IF($A202="N/A"," ",IF(OR(Dayrun&lt;=2,Dayrun&gt;=9),IF(Option=1,$K202-$H202,IF(Option=2,$H202-$K202)),0))</f>
        <v> </v>
      </c>
      <c r="AM202" s="295" t="str">
        <f aca="false">IF($A202="N/A"," ",IF(OR(Dayrun=1,Dayrun=4,Dayrun=5,Dayrun=7,Dayrun=8,Dayrun=10,Dayrun=11),IF(Option=1,$L202-H202,IF(Option=2,H202-$L202)),0))</f>
        <v> </v>
      </c>
      <c r="AN202" s="295" t="str">
        <f aca="false">IF($A202="N/A"," ",IF(OR(Dayrun=1,Dayrun=7,Dayrun=8,Dayrun=10,Dayrun=11),IF(Option=1,$M202-H202,IF(Option=2,H202-$M202)),0))</f>
        <v> </v>
      </c>
      <c r="AO202" s="295" t="str">
        <f aca="false">IF($A202="N/A"," ",IF(OR(Dayrun&lt;=2,Dayrun&gt;=9),IF(Option=1,$N202-$H202,IF(Option=2,$H202-$N202)),0))</f>
        <v> </v>
      </c>
      <c r="AP202" s="295" t="str">
        <f aca="false">IF($A202="N/A"," ",IF(OR(Dayrun=1,Dayrun=5,Dayrun=8,Dayrun=11),IF(Option=1,$O202-H202,IF(Option=2,H202-$O202)),0))</f>
        <v> </v>
      </c>
      <c r="AQ202" s="295" t="str">
        <f aca="false">IF($A202="N/A"," ",IF(OR(Dayrun=1,Dayrun=8,Dayrun=11),IF(Option=1,$P202-H202,IF(Option=2,H202-$P202)),0))</f>
        <v> </v>
      </c>
      <c r="AR202" s="296" t="str">
        <f aca="false">IF($A202="N/A"," ",IF(OR(Dayrun&lt;=2,Dayrun&gt;=9),IF(Option=1,$Q202-H202,IF(Option=2,H202-$Q202)),0))</f>
        <v> </v>
      </c>
      <c r="AS202" s="297" t="str">
        <f aca="false">IF($A202="N/A"," ",IF(VLOOKUP(MONTH($A202),ManualTable,2)=1,IF(Dayrun&gt;=3,$DE202*8*$CY202,0),0))</f>
        <v> </v>
      </c>
      <c r="AT202" s="297" t="str">
        <f aca="false">IF($A202="N/A"," ",IF(VLOOKUP(MONTH($A202),ManualTable,3)=1,IF(Dayrun&gt;=6,$DE202*8*$CY202,0),0))</f>
        <v> </v>
      </c>
      <c r="AU202" s="297" t="str">
        <f aca="false">IF($A202="N/A"," ",IF(VLOOKUP(MONTH($A202),ManualTable,4)=1,IF(OR(Dayrun&lt;=2,Dayrun&gt;=9),$DE202*8*$CY202,0),0))</f>
        <v> </v>
      </c>
      <c r="AV202" s="297" t="str">
        <f aca="false">IF($A202="N/A"," ",IF(VLOOKUP(MONTH($A202),ManualTable,5)=1,IF(OR(Dayrun=1,Dayrun=4,Dayrun=5,Dayrun=7,Dayrun=8,Dayrun=10,Dayrun=11),$DF202*8*$CY202,0),0))</f>
        <v> </v>
      </c>
      <c r="AW202" s="297" t="str">
        <f aca="false">IF($A202="N/A"," ",IF(VLOOKUP(MONTH($A202),ManualTable,6)=1,IF(OR(Dayrun=1,Dayrun=7,Dayrun=8,Dayrun=10,Dayrun=11),$DF202*8*$CY202,0),0))</f>
        <v> </v>
      </c>
      <c r="AX202" s="297" t="str">
        <f aca="false">IF($A202="N/A"," ",IF(VLOOKUP(MONTH($A202),ManualTable,7)=1,IF(OR(Dayrun&lt;=2,Dayrun&gt;=9),$DF202*8*$CY202,0),0))</f>
        <v> </v>
      </c>
      <c r="AY202" s="297" t="str">
        <f aca="false">IF($A202="N/A"," ",IF(VLOOKUP(MONTH($A202),ManualTable,8)=1,IF(OR(Dayrun=1,Dayrun=5,Dayrun=8,Dayrun=11),$DG202*8*$CY202,0),0))</f>
        <v> </v>
      </c>
      <c r="AZ202" s="297" t="str">
        <f aca="false">IF($A202="N/A"," ",IF(VLOOKUP(MONTH($A202),ManualTable,9)=1,IF(OR(Dayrun=1,Dayrun=8,Dayrun=11),$DG202*8*$CY202,0),0))</f>
        <v> </v>
      </c>
      <c r="BA202" s="298" t="str">
        <f aca="false">IF($A202="N/A"," ",IF(VLOOKUP(MONTH($A202),ManualTable,10)=1,IF(OR(Dayrun&lt;=2,Dayrun&gt;=9),$DG202*8*$CY202,0),0))</f>
        <v> </v>
      </c>
      <c r="BB202" s="299" t="str">
        <f aca="false">IF($A202="N/A"," ",IF(Dayrun&gt;=3,(MAX(0,(xSPRDOPT(I202,($E202-'Pricing Inputs'!$X237*$D202),$CV202,0,($CN202+IF(Smile=TRUE(),VLOOKUP(MAX(-5,$H202-I202),Volsmile,2),0)),$CT202,$CU202,($A202-DateToday)+15,ABS(Option-2),1)*DE202*8))),0))</f>
        <v> </v>
      </c>
      <c r="BC202" s="300" t="str">
        <f aca="false">IF($A202="N/A"," ",IF(Dayrun&gt;=6,MAX(0,(xSPRDOPT(J202,($E202-'Pricing Inputs'!$X237*$D202),$CV202,0,($CN202+IF(Smile=TRUE(),VLOOKUP(MAX(-5,$H202-J202),Volsmile,2),0)),$CT202,$CU202,($A202-DateToday)+15,ABS(Option-2),1)*DE202*8)),0))</f>
        <v> </v>
      </c>
      <c r="BD202" s="300" t="str">
        <f aca="false">IF($A202="N/A"," ",IF(OR(Dayrun&lt;=2,Dayrun&gt;=9),IF(OffPeakEx=TRUE(),MAX(0,(xSPRDOPT(K202,($E202-'Pricing Inputs'!$X237*$D202),$CV202,0,($CQ202+IF(Smile=TRUE(),VLOOKUP(MAX(-5,$H202-K202),Volsmile,2),0)),$CT202,$CU202,($A202-DateToday)+15,ABS(Option-2),1)*DE202*8)),0),0))</f>
        <v> </v>
      </c>
      <c r="BE202" s="300" t="str">
        <f aca="false">IF($A202="N/A"," ",IF(OR(Dayrun=1,Dayrun=4,Dayrun=5,Dayrun=7,Dayrun=8,Dayrun=10,Dayrun=11),MAX(0,(xSPRDOPT(L202,($E202-'Pricing Inputs'!$X237*$D202),$CV202,0,($CQ202+IF(Smile=TRUE(),VLOOKUP(MAX(-5,$H202-L202),Volsmile,2),0)),$CT202,$CU202,($A202-DateToday)+15,ABS(Option-2),1)*DF202*8)),0))</f>
        <v> </v>
      </c>
      <c r="BF202" s="300" t="str">
        <f aca="false">IF($A202="N/A"," ",IF(OR(Dayrun=1,Dayrun=7,Dayrun=8,Dayrun=10,Dayrun=11),MAX(0,(xSPRDOPT(M202,($E202-'Pricing Inputs'!$X237*$D202),$CV202,0,($CQ202+IF(Smile=TRUE(),VLOOKUP(MAX(-5,$H202-M202),Volsmile,2),0)),$CT202,$CU202,($A202-DateToday)+15,ABS(Option-2),1)*DF202*8)),0))</f>
        <v> </v>
      </c>
      <c r="BG202" s="300" t="str">
        <f aca="false">IF($A202="N/A"," ",IF(OR(Dayrun&lt;=2,Dayrun&gt;=10),IF(OffPeakEx=TRUE(),MAX(0,(xSPRDOPT(N202,($E202-'Pricing Inputs'!$X237*$D202),$CV202,0,($CQ202+IF(Smile=TRUE(),VLOOKUP(MAX(-5,$H202-N202),Volsmile,2),0)),$CT202,$CU202,($A202-DateToday)+15,ABS(Option-2),1)*DF202*8)),0),0))</f>
        <v> </v>
      </c>
      <c r="BH202" s="300" t="str">
        <f aca="false">IF($A202="N/A"," ",IF(OR(Dayrun=1,Dayrun=5,Dayrun=8,Dayrun=11),MAX(0,(xSPRDOPT(O202,($E202-'Pricing Inputs'!$X237*$D202),$CV202,0,($CQ202+IF(Smile=TRUE(),VLOOKUP(MAX(-5,$H202-O202),Volsmile,2),0)),$CT202,$CU202,($A202-DateToday)+15,ABS(Option-2),1)*DG202*8)),0))</f>
        <v> </v>
      </c>
      <c r="BI202" s="300" t="str">
        <f aca="false">IF($A202="N/A"," ",IF(OR(Dayrun=1,Dayrun=8,Dayrun=11),MAX(0,(xSPRDOPT(P202,($E202-'Pricing Inputs'!$X237*$D202),$CV202,0,($CQ202+IF(Smile=TRUE(),VLOOKUP(MAX(-5,$H202-P202),Volsmile,2),0)),$CT202,$CU202,($A202-DateToday)+15,ABS(Option-2),1)*DG202*8)),0))</f>
        <v> </v>
      </c>
      <c r="BJ202" s="301" t="str">
        <f aca="false">IF($A202="N/A"," ",IF(OR(Dayrun&lt;=2,Dayrun&gt;=11),IF(OffPeakEx=TRUE(),MAX(0,(xSPRDOPT(Q202,($E202-'Pricing Inputs'!$X237*$D202),$CV202,0,($CQ202+IF(Smile=TRUE(),VLOOKUP(MAX(-5,$H202-Q202),Volsmile,2),0)),$CT202,$CU202,($A202-DateToday)+15,ABS(Option-2),1)*DG202*8)),0),0))</f>
        <v> </v>
      </c>
      <c r="BK202" s="302" t="str">
        <f aca="false">IF($A202="N/A"," ",R202*$AS202)</f>
        <v> </v>
      </c>
      <c r="BL202" s="303" t="str">
        <f aca="false">IF($A202="N/A"," ",S202*$AT202)</f>
        <v> </v>
      </c>
      <c r="BM202" s="303" t="str">
        <f aca="false">IF($A202="N/A"," ",T202*$AU202)</f>
        <v> </v>
      </c>
      <c r="BN202" s="303" t="str">
        <f aca="false">IF($A202="N/A"," ",U202*$AV202)</f>
        <v> </v>
      </c>
      <c r="BO202" s="303" t="str">
        <f aca="false">IF($A202="N/A"," ",V202*$AW202)</f>
        <v> </v>
      </c>
      <c r="BP202" s="303" t="str">
        <f aca="false">IF($A202="N/A"," ",W202*$AX202)</f>
        <v> </v>
      </c>
      <c r="BQ202" s="303" t="str">
        <f aca="false">IF($A202="N/A"," ",X202*$AY202)</f>
        <v> </v>
      </c>
      <c r="BR202" s="303" t="str">
        <f aca="false">IF($A202="N/A"," ",Y202*$AZ202)</f>
        <v> </v>
      </c>
      <c r="BS202" s="304" t="str">
        <f aca="false">IF($A202="N/A"," ",Z202*$BA202)</f>
        <v> </v>
      </c>
      <c r="BT202" s="305" t="str">
        <f aca="false">IF($A202="N/A"," ",AA202*$AS202)</f>
        <v> </v>
      </c>
      <c r="BU202" s="306" t="str">
        <f aca="false">IF($A202="N/A"," ",AB202*$AT202)</f>
        <v> </v>
      </c>
      <c r="BV202" s="306" t="str">
        <f aca="false">IF($A202="N/A"," ",AC202*$AU202)</f>
        <v> </v>
      </c>
      <c r="BW202" s="306" t="str">
        <f aca="false">IF($A202="N/A"," ",AD202*$AV202)</f>
        <v> </v>
      </c>
      <c r="BX202" s="306" t="str">
        <f aca="false">IF($A202="N/A"," ",AE202*$AW202)</f>
        <v> </v>
      </c>
      <c r="BY202" s="306" t="str">
        <f aca="false">IF($A202="N/A"," ",AF202*$AX202)</f>
        <v> </v>
      </c>
      <c r="BZ202" s="306" t="str">
        <f aca="false">IF($A202="N/A"," ",AG202*$AY202)</f>
        <v> </v>
      </c>
      <c r="CA202" s="306" t="str">
        <f aca="false">IF($A202="N/A"," ",AH202*$AZ202)</f>
        <v> </v>
      </c>
      <c r="CB202" s="307" t="str">
        <f aca="false">IF($A202="N/A"," ",AI202*$BA202)</f>
        <v> </v>
      </c>
      <c r="CC202" s="308" t="str">
        <f aca="false">IF($A202="N/A"," ",AJ202*$AS202)</f>
        <v> </v>
      </c>
      <c r="CD202" s="309" t="str">
        <f aca="false">IF($A202="N/A"," ",AK202*$AT202)</f>
        <v> </v>
      </c>
      <c r="CE202" s="309" t="str">
        <f aca="false">IF($A202="N/A"," ",AL202*$AU202)</f>
        <v> </v>
      </c>
      <c r="CF202" s="309" t="str">
        <f aca="false">IF($A202="N/A"," ",AM202*$AV202)</f>
        <v> </v>
      </c>
      <c r="CG202" s="309" t="str">
        <f aca="false">IF($A202="N/A"," ",AN202*$AW202)</f>
        <v> </v>
      </c>
      <c r="CH202" s="309" t="str">
        <f aca="false">IF($A202="N/A"," ",AO202*$AX202)</f>
        <v> </v>
      </c>
      <c r="CI202" s="309" t="str">
        <f aca="false">IF($A202="N/A"," ",AP202*$AY202)</f>
        <v> </v>
      </c>
      <c r="CJ202" s="309" t="str">
        <f aca="false">IF($A202="N/A"," ",AQ202*$AZ202)</f>
        <v> </v>
      </c>
      <c r="CK202" s="310" t="str">
        <f aca="false">IF($A202="N/A"," ",AR202*$BA202)</f>
        <v> </v>
      </c>
      <c r="CL202" s="311" t="str">
        <f aca="false">IF(A202="N/A"," ",(VLOOKUP(A202,PowerVolTable,(IF(VolBMO=2,7,IF(VolBMO=1,6,8))),FALSE())))</f>
        <v> </v>
      </c>
      <c r="CM202" s="312" t="str">
        <f aca="false">IF(A202="N/A"," ",(VLOOKUP(A202,IntraPowerVol,(IF(VolBMO=2,3,IF(VolBMO=1,2,4))),FALSE())*VLOOKUP(MONTH($A202),Volscale,2)))</f>
        <v> </v>
      </c>
      <c r="CN202" s="312" t="str">
        <f aca="false">IF($A202="N/A"," ",IF(VolType=1,CM202,CL202))</f>
        <v> </v>
      </c>
      <c r="CO202" s="312" t="str">
        <f aca="false">IF($A202="N/A"," ",(VLOOKUP($A202,OffPeakVol,(IF(VolBMO=2,7,IF(VolBMO=1,6,8))),FALSE())))</f>
        <v> </v>
      </c>
      <c r="CP202" s="312" t="str">
        <f aca="false">IF($A202="N/A"," ",(VLOOKUP($A202,OffPeakVol,(IF(VolBMO=2,3,IF(VolBMO=1,2,4))),FALSE())*VLOOKUP(MONTH($A202),Volscale,2)))</f>
        <v> </v>
      </c>
      <c r="CQ202" s="312" t="str">
        <f aca="false">IF($A202="N/A"," ",IF(VolType=1,CP202,CO202))</f>
        <v> </v>
      </c>
      <c r="CR202" s="312" t="str">
        <f aca="false">IF($A202="N/A"," ",(VLOOKUP($A202,GasVolTable,(IF(VolBMO=2,6,IF(VolBMO=1,7,5))),FALSE())))</f>
        <v> </v>
      </c>
      <c r="CS202" s="312" t="str">
        <f aca="false">IF($A202="N/A"," ",(VLOOKUP($A202,OmicronVol,(IF(VolBMO=2,3,IF(VolBMO=1,4,2))),FALSE())))</f>
        <v> </v>
      </c>
      <c r="CT202" s="312" t="str">
        <f aca="false">IF($A202="N/A"," ",(IF(DateToday&gt;$A202,$CS202,IF(VolType=1,((($CR202^2)*((($A202-1)-DateToday)/((EOMONTH($A202,0)+1)-DateToday-15)))+((($CS202)^2)*((15)/((EOMONTH($A202,0)+1)-DateToday-15))))^0.5,CR202))))</f>
        <v> </v>
      </c>
      <c r="CU202" s="312" t="str">
        <f aca="false">IF($A202="N/A"," ",IF('Pricing Inputs'!$AR$23=TRUE(),Inputs!$S$22,VLOOKUP($A202,CorrelationTable,2,FALSE())))</f>
        <v> </v>
      </c>
      <c r="CV202" s="313" t="str">
        <f aca="false">IF($A202="N/A"," ",F202+G202+(D202*('Pricing Inputs'!X237)))</f>
        <v> </v>
      </c>
      <c r="CW202" s="314" t="str">
        <f aca="false">IF($A202="N/A"," ",IF(PV=1,0,'Pricing Inputs'!Y237))</f>
        <v> </v>
      </c>
      <c r="CX202" s="315" t="str">
        <f aca="false">IF($A202="N/A"," ",(1+CW202/2)^(-2*((EOMONTH(A202,0)+20)-DateToday)/365.25))</f>
        <v> </v>
      </c>
      <c r="CY202" s="316" t="str">
        <f aca="false">IF($A202="N/A"," ",(IF(MONTH(A202)&gt;=4,IF(MONTH(A202)&lt;=10,Inputs!$S$26,Inputs!$S$27),Inputs!$S$27))*$CX202)</f>
        <v> </v>
      </c>
      <c r="CZ202" s="317" t="str">
        <f aca="false">IF($A202="N/A"," ",BK202+BL202+BN202+BO202+BQ202+BR202)</f>
        <v> </v>
      </c>
      <c r="DA202" s="318" t="str">
        <f aca="false">IF($A202="N/A"," ",BM202+BP202+BS202)</f>
        <v> </v>
      </c>
      <c r="DB202" s="319" t="str">
        <f aca="false">IF($A202="N/A"," ",BT202+BU202+BW202+BX202+BZ202+CA202)</f>
        <v> </v>
      </c>
      <c r="DC202" s="319" t="str">
        <f aca="false">IF($A202="N/A"," ",BV202+BY202+CB202)</f>
        <v> </v>
      </c>
      <c r="DD202" s="320" t="str">
        <f aca="false">IF($A202="N/A"," ",SUM(CC202:CK202))</f>
        <v> </v>
      </c>
      <c r="DE202" s="321" t="str">
        <f aca="false">IF($A202="N/A"," ",VLOOKUP($A202,NumberofDaysTable,2)*Availability)</f>
        <v> </v>
      </c>
      <c r="DF202" s="94" t="str">
        <f aca="false">IF($A202="N/A"," ",VLOOKUP($A202,NumberofDaysTable,3)*Availability)</f>
        <v> </v>
      </c>
      <c r="DG202" s="322" t="str">
        <f aca="false">IF($A202="N/A"," ",VLOOKUP($A202,NumberofDaysTable,4)*Availability)</f>
        <v> </v>
      </c>
      <c r="DH202" s="323" t="str">
        <f aca="false">IF($A202="N/A"," ",IF(Option=1,$D202*Inputs!$S$15*SUM(AS202:BA202),0))</f>
        <v> </v>
      </c>
      <c r="DI202" s="324" t="str">
        <f aca="false">IF($A202="N/A"," ",IF(Option=1,$D202*Inputs!$S$16*SUM(AS202:BA202),0))</f>
        <v> </v>
      </c>
      <c r="DJ202" s="325" t="str">
        <f aca="false">IF($A202="N/A"," ",SUM(AS202:AT202))</f>
        <v> </v>
      </c>
      <c r="DK202" s="325" t="str">
        <f aca="false">IF($A202="N/A"," ",SUM(AU202:BA202))</f>
        <v> </v>
      </c>
      <c r="DL202" s="325" t="str">
        <f aca="false">IF($A202="N/A"," ",SUM(BB202:BC202))</f>
        <v> </v>
      </c>
      <c r="DM202" s="325" t="str">
        <f aca="false">IF($A202="N/A"," ",SUM(BD202:BJ202))</f>
        <v> </v>
      </c>
    </row>
    <row r="203" customFormat="false" ht="12.75" hidden="false" customHeight="false" outlineLevel="0" collapsed="false">
      <c r="A203" s="282" t="str">
        <f aca="false">IF(A202="N/A","N/A",IF(EDATE(A202,1)&gt;Inputs!$S$5,"N/A",EDATE(A202,1)))</f>
        <v>N/A</v>
      </c>
      <c r="B203" s="283" t="str">
        <f aca="false">IF(A203="N/A"," ",YEAR(A203))</f>
        <v> </v>
      </c>
      <c r="C203" s="284" t="str">
        <f aca="false">IF(A203="N/A"," ",VLOOKUP(A203,ScaledPrice,14))</f>
        <v> </v>
      </c>
      <c r="D203" s="285" t="str">
        <f aca="false">IF(A203="N/A"," ",(VLOOKUP(MONTH($A203),Hrtable,2))/1000)</f>
        <v> </v>
      </c>
      <c r="E203" s="286" t="str">
        <f aca="false">IF($A203="N/A"," ",(C203)*D203)</f>
        <v> </v>
      </c>
      <c r="F203" s="287" t="str">
        <f aca="false">IF(A203="N/A"," ",VOM*(1+VOMesc)^(YEAR(A203)-YEAR(Today)))</f>
        <v> </v>
      </c>
      <c r="G203" s="287" t="str">
        <f aca="false">IF(A203="N/A"," ",Perstart/VLOOKUP(Dayrun,'Pricing Inputs'!$AQ$4:$AS$14,3)/(CY203/CX203))</f>
        <v> </v>
      </c>
      <c r="H203" s="288" t="str">
        <f aca="false">IF(A203="N/A"," ",SUM(E203:G203))</f>
        <v> </v>
      </c>
      <c r="I203" s="289" t="str">
        <f aca="false">VLOOKUP($A203,ScaledPrice,6)</f>
        <v> </v>
      </c>
      <c r="J203" s="290" t="str">
        <f aca="false">VLOOKUP($A203,ScaledPrice,10)</f>
        <v> </v>
      </c>
      <c r="K203" s="290" t="str">
        <f aca="false">VLOOKUP($A203,ScaledPrice,13)</f>
        <v> </v>
      </c>
      <c r="L203" s="290" t="str">
        <f aca="false">VLOOKUP($A203,ScaledPrice,7)</f>
        <v> </v>
      </c>
      <c r="M203" s="290" t="str">
        <f aca="false">VLOOKUP($A203,ScaledPrice,11)</f>
        <v> </v>
      </c>
      <c r="N203" s="290" t="str">
        <f aca="false">VLOOKUP($A203,ScaledPrice,13)</f>
        <v> </v>
      </c>
      <c r="O203" s="290" t="str">
        <f aca="false">VLOOKUP($A203,ScaledPrice,8)</f>
        <v> </v>
      </c>
      <c r="P203" s="290" t="str">
        <f aca="false">VLOOKUP($A203,ScaledPrice,12)</f>
        <v> </v>
      </c>
      <c r="Q203" s="291" t="str">
        <f aca="false">VLOOKUP($A203,ScaledPrice,13)</f>
        <v> </v>
      </c>
      <c r="R203" s="292" t="str">
        <f aca="false">IF($A203="N/A"," ",IF(Dayrun&gt;=3,IF(Option=1,MAX($I203-$H203,0),IF(Option=2,MAX($H203-$I203,0),0)),0))</f>
        <v> </v>
      </c>
      <c r="S203" s="286" t="str">
        <f aca="false">IF($A203="N/A"," ",IF(Dayrun&gt;=6,IF(Option=1,MAX($J203-H203,0),IF(Option=2,MAX(H203-$J203,0),0)),0))</f>
        <v> </v>
      </c>
      <c r="T203" s="286" t="str">
        <f aca="false">IF($A203="N/A"," ",IF(OR(Dayrun&lt;=2,Dayrun&gt;=9),IF(Option=1,MAX($K203-$H203,0),IF(Option=2,MAX($H203-$K203,0),0)),0))</f>
        <v> </v>
      </c>
      <c r="U203" s="286" t="str">
        <f aca="false">IF($A203="N/A"," ",IF(OR(Dayrun=1,Dayrun=4,Dayrun=5,Dayrun=7,Dayrun=8,Dayrun=10,Dayrun=11),IF(Option=1,MAX($L203-H203,0),IF(Option=2,MAX(H203-$L203,0),0)),0))</f>
        <v> </v>
      </c>
      <c r="V203" s="286" t="str">
        <f aca="false">IF($A203="N/A"," ",IF(OR(Dayrun=1,Dayrun=7,Dayrun=8,Dayrun=10,Dayrun=11),IF(Option=1,MAX($M203-H203,0),IF(Option=2,MAX(H203-$M203,0),0)),0))</f>
        <v> </v>
      </c>
      <c r="W203" s="286" t="str">
        <f aca="false">IF($A203="N/A"," ",IF(OR(Dayrun&lt;=2,Dayrun&gt;=10),IF(Option=1,MAX($N203-$H203,0),IF(Option=2,MAX($H203-$N203,0),0)),0))</f>
        <v> </v>
      </c>
      <c r="X203" s="286" t="str">
        <f aca="false">IF($A203="N/A"," ",IF(OR(Dayrun=1,Dayrun=5,Dayrun=8,Dayrun=11),IF(Option=1,MAX($O203-H203,0),IF(Option=2,MAX(H203-$O203,0),0)),0))</f>
        <v> </v>
      </c>
      <c r="Y203" s="286" t="str">
        <f aca="false">IF($A203="N/A"," ",IF(OR(Dayrun=1,Dayrun=8,Dayrun=11),IF(Option=1,MAX($P203-H203,0),IF(Option=2,MAX(H203-$P203,0),0)),0))</f>
        <v> </v>
      </c>
      <c r="Z203" s="293" t="str">
        <f aca="false">IF($A203="N/A"," ",IF(OR(Dayrun&lt;=2,Dayrun&gt;=11),IF(Option=1,MAX($Q203-$H203,0),IF(Option=2,MAX($H203-$Q203,0),0)),0))</f>
        <v> </v>
      </c>
      <c r="AA203" s="289" t="str">
        <f aca="false">IF($A203="N/A"," ",IF(Dayrun&gt;=3,(MAX(0,(xSPRDOPT(I203,($E203-'Pricing Inputs'!$X238*$D203),$CV203,0,($CN203+IF(Smile=TRUE(),VLOOKUP(MAX(-5,$H203-I203),Volsmile,2),0)),$CT203,$CU203,($A203-DateToday)+15,ABS(Option-2),0)-R203))),0))</f>
        <v> </v>
      </c>
      <c r="AB203" s="290" t="str">
        <f aca="false">IF($A203="N/A"," ",IF(Dayrun&gt;=6,MAX(0,(xSPRDOPT(J203,($E203-'Pricing Inputs'!$X238*$D203),$CV203,0,($CN203+IF(Smile=TRUE(),VLOOKUP(MAX(-5,$H203-J203),Volsmile,2),0)),$CT203,$CU203,($A203-DateToday)+15,ABS(Option-2),0)-S203)),0))</f>
        <v> </v>
      </c>
      <c r="AC203" s="290" t="str">
        <f aca="false">IF($A203="N/A"," ",IF(OR(Dayrun&lt;=2,Dayrun&gt;=9),IF(OffPeakEx=TRUE(),MAX(0,(xSPRDOPT(K203,($E203-'Pricing Inputs'!$X238*$D203),$CV203,0,($CQ203+IF(Smile=TRUE(),VLOOKUP(MAX(-5,$H203-K203),Volsmile,2),0)),$CT203,$CU203,($A203-DateToday)+15,ABS(Option-2),0)-T203)),0),0))</f>
        <v> </v>
      </c>
      <c r="AD203" s="290" t="str">
        <f aca="false">IF($A203="N/A"," ",IF(OR(Dayrun=1,Dayrun=4,Dayrun=5,Dayrun=7,Dayrun=8,Dayrun=10,Dayrun=11),MAX(0,(xSPRDOPT(L203,($E203-'Pricing Inputs'!$X238*$D203),$CV203,0,($CQ203+IF(Smile=TRUE(),VLOOKUP(MAX(-5,$H203-L203),Volsmile,2),0)),$CT203,$CU203,($A203-DateToday)+15,ABS(Option-2),0)-U203)),0))</f>
        <v> </v>
      </c>
      <c r="AE203" s="290" t="str">
        <f aca="false">IF($A203="N/A"," ",IF(OR(Dayrun=1,Dayrun=7,Dayrun=8,Dayrun=10,Dayrun=11),MAX(0,(xSPRDOPT(M203,($E203-'Pricing Inputs'!$X238*$D203),$CV203,0,($CQ203+IF(Smile=TRUE(),VLOOKUP(MAX(-5,$H203-M203),Volsmile,2),0)),$CT203,$CU203,($A203-DateToday)+15,ABS(Option-2),0)-V203)),0))</f>
        <v> </v>
      </c>
      <c r="AF203" s="290" t="str">
        <f aca="false">IF($A203="N/A"," ",IF(OR(Dayrun&lt;=2,Dayrun&gt;=10),IF(OffPeakEx=TRUE(),MAX(0,(xSPRDOPT(N203,($E203-'Pricing Inputs'!$X238*$D203),$CV203,0,($CQ203+IF(Smile=TRUE(),VLOOKUP(MAX(-5,$H203-N203),Volsmile,2),0)),$CT203,$CU203,($A203-DateToday)+15,ABS(Option-2),0)-W203)),0),0))</f>
        <v> </v>
      </c>
      <c r="AG203" s="290" t="str">
        <f aca="false">IF($A203="N/A"," ",IF(OR(Dayrun=1,Dayrun=5,Dayrun=8,Dayrun=11),MAX(0,(xSPRDOPT(O203,($E203-'Pricing Inputs'!$X238*$D203),$CV203,0,($CQ203+IF(Smile=TRUE(),VLOOKUP(MAX(-5,$H203-O203),Volsmile,2),0)),$CT203,$CU203,($A203-DateToday)+15,ABS(Option-2),0)-X203)),0))</f>
        <v> </v>
      </c>
      <c r="AH203" s="290" t="str">
        <f aca="false">IF($A203="N/A"," ",IF(OR(Dayrun=1,Dayrun=8,Dayrun=11),MAX(0,(xSPRDOPT(P203,($E203-'Pricing Inputs'!$X238*$D203),$CV203,0,($CQ203+IF(Smile=TRUE(),VLOOKUP(MAX(-5,$H203-P203),Volsmile,2),0)),$CT203,$CU203,($A203-DateToday)+15,ABS(Option-2),0)-Y203)),0))</f>
        <v> </v>
      </c>
      <c r="AI203" s="290" t="str">
        <f aca="false">IF($A203="N/A"," ",IF(OR(Dayrun&lt;=2,Dayrun&gt;=11),IF(OffPeakEx=TRUE(),MAX(0,(xSPRDOPT(Q203,($E203-'Pricing Inputs'!$X238*$D203),$CV203,0,($CQ203+IF(Smile=TRUE(),VLOOKUP(MAX(-5,$H203-Q203),Volsmile,2),0)),$CT203,$CU203,($A203-DateToday)+15,ABS(Option-2),0)-Z203)),0),0))</f>
        <v> </v>
      </c>
      <c r="AJ203" s="294" t="str">
        <f aca="false">IF($A203="N/A"," ",IF(Dayrun&gt;=3,IF(Option=1,$I203-$H203,IF(Option=2,$H203-$I203)),0))</f>
        <v> </v>
      </c>
      <c r="AK203" s="295" t="str">
        <f aca="false">IF($A203="N/A"," ",IF(Dayrun&gt;=6,IF(Option=1,$J203-H203,IF(Option=2,H203-$J203)),0))</f>
        <v> </v>
      </c>
      <c r="AL203" s="295" t="str">
        <f aca="false">IF($A203="N/A"," ",IF(OR(Dayrun&lt;=2,Dayrun&gt;=9),IF(Option=1,$K203-$H203,IF(Option=2,$H203-$K203)),0))</f>
        <v> </v>
      </c>
      <c r="AM203" s="295" t="str">
        <f aca="false">IF($A203="N/A"," ",IF(OR(Dayrun=1,Dayrun=4,Dayrun=5,Dayrun=7,Dayrun=8,Dayrun=10,Dayrun=11),IF(Option=1,$L203-H203,IF(Option=2,H203-$L203)),0))</f>
        <v> </v>
      </c>
      <c r="AN203" s="295" t="str">
        <f aca="false">IF($A203="N/A"," ",IF(OR(Dayrun=1,Dayrun=7,Dayrun=8,Dayrun=10,Dayrun=11),IF(Option=1,$M203-H203,IF(Option=2,H203-$M203)),0))</f>
        <v> </v>
      </c>
      <c r="AO203" s="295" t="str">
        <f aca="false">IF($A203="N/A"," ",IF(OR(Dayrun&lt;=2,Dayrun&gt;=9),IF(Option=1,$N203-$H203,IF(Option=2,$H203-$N203)),0))</f>
        <v> </v>
      </c>
      <c r="AP203" s="295" t="str">
        <f aca="false">IF($A203="N/A"," ",IF(OR(Dayrun=1,Dayrun=5,Dayrun=8,Dayrun=11),IF(Option=1,$O203-H203,IF(Option=2,H203-$O203)),0))</f>
        <v> </v>
      </c>
      <c r="AQ203" s="295" t="str">
        <f aca="false">IF($A203="N/A"," ",IF(OR(Dayrun=1,Dayrun=8,Dayrun=11),IF(Option=1,$P203-H203,IF(Option=2,H203-$P203)),0))</f>
        <v> </v>
      </c>
      <c r="AR203" s="296" t="str">
        <f aca="false">IF($A203="N/A"," ",IF(OR(Dayrun&lt;=2,Dayrun&gt;=9),IF(Option=1,$Q203-H203,IF(Option=2,H203-$Q203)),0))</f>
        <v> </v>
      </c>
      <c r="AS203" s="297" t="str">
        <f aca="false">IF($A203="N/A"," ",IF(VLOOKUP(MONTH($A203),ManualTable,2)=1,IF(Dayrun&gt;=3,$DE203*8*$CY203,0),0))</f>
        <v> </v>
      </c>
      <c r="AT203" s="297" t="str">
        <f aca="false">IF($A203="N/A"," ",IF(VLOOKUP(MONTH($A203),ManualTable,3)=1,IF(Dayrun&gt;=6,$DE203*8*$CY203,0),0))</f>
        <v> </v>
      </c>
      <c r="AU203" s="297" t="str">
        <f aca="false">IF($A203="N/A"," ",IF(VLOOKUP(MONTH($A203),ManualTable,4)=1,IF(OR(Dayrun&lt;=2,Dayrun&gt;=9),$DE203*8*$CY203,0),0))</f>
        <v> </v>
      </c>
      <c r="AV203" s="297" t="str">
        <f aca="false">IF($A203="N/A"," ",IF(VLOOKUP(MONTH($A203),ManualTable,5)=1,IF(OR(Dayrun=1,Dayrun=4,Dayrun=5,Dayrun=7,Dayrun=8,Dayrun=10,Dayrun=11),$DF203*8*$CY203,0),0))</f>
        <v> </v>
      </c>
      <c r="AW203" s="297" t="str">
        <f aca="false">IF($A203="N/A"," ",IF(VLOOKUP(MONTH($A203),ManualTable,6)=1,IF(OR(Dayrun=1,Dayrun=7,Dayrun=8,Dayrun=10,Dayrun=11),$DF203*8*$CY203,0),0))</f>
        <v> </v>
      </c>
      <c r="AX203" s="297" t="str">
        <f aca="false">IF($A203="N/A"," ",IF(VLOOKUP(MONTH($A203),ManualTable,7)=1,IF(OR(Dayrun&lt;=2,Dayrun&gt;=9),$DF203*8*$CY203,0),0))</f>
        <v> </v>
      </c>
      <c r="AY203" s="297" t="str">
        <f aca="false">IF($A203="N/A"," ",IF(VLOOKUP(MONTH($A203),ManualTable,8)=1,IF(OR(Dayrun=1,Dayrun=5,Dayrun=8,Dayrun=11),$DG203*8*$CY203,0),0))</f>
        <v> </v>
      </c>
      <c r="AZ203" s="297" t="str">
        <f aca="false">IF($A203="N/A"," ",IF(VLOOKUP(MONTH($A203),ManualTable,9)=1,IF(OR(Dayrun=1,Dayrun=8,Dayrun=11),$DG203*8*$CY203,0),0))</f>
        <v> </v>
      </c>
      <c r="BA203" s="298" t="str">
        <f aca="false">IF($A203="N/A"," ",IF(VLOOKUP(MONTH($A203),ManualTable,10)=1,IF(OR(Dayrun&lt;=2,Dayrun&gt;=9),$DG203*8*$CY203,0),0))</f>
        <v> </v>
      </c>
      <c r="BB203" s="299" t="str">
        <f aca="false">IF($A203="N/A"," ",IF(Dayrun&gt;=3,(MAX(0,(xSPRDOPT(I203,($E203-'Pricing Inputs'!$X238*$D203),$CV203,0,($CN203+IF(Smile=TRUE(),VLOOKUP(MAX(-5,$H203-I203),Volsmile,2),0)),$CT203,$CU203,($A203-DateToday)+15,ABS(Option-2),1)*DE203*8))),0))</f>
        <v> </v>
      </c>
      <c r="BC203" s="300" t="str">
        <f aca="false">IF($A203="N/A"," ",IF(Dayrun&gt;=6,MAX(0,(xSPRDOPT(J203,($E203-'Pricing Inputs'!$X238*$D203),$CV203,0,($CN203+IF(Smile=TRUE(),VLOOKUP(MAX(-5,$H203-J203),Volsmile,2),0)),$CT203,$CU203,($A203-DateToday)+15,ABS(Option-2),1)*DE203*8)),0))</f>
        <v> </v>
      </c>
      <c r="BD203" s="300" t="str">
        <f aca="false">IF($A203="N/A"," ",IF(OR(Dayrun&lt;=2,Dayrun&gt;=9),IF(OffPeakEx=TRUE(),MAX(0,(xSPRDOPT(K203,($E203-'Pricing Inputs'!$X238*$D203),$CV203,0,($CQ203+IF(Smile=TRUE(),VLOOKUP(MAX(-5,$H203-K203),Volsmile,2),0)),$CT203,$CU203,($A203-DateToday)+15,ABS(Option-2),1)*DE203*8)),0),0))</f>
        <v> </v>
      </c>
      <c r="BE203" s="300" t="str">
        <f aca="false">IF($A203="N/A"," ",IF(OR(Dayrun=1,Dayrun=4,Dayrun=5,Dayrun=7,Dayrun=8,Dayrun=10,Dayrun=11),MAX(0,(xSPRDOPT(L203,($E203-'Pricing Inputs'!$X238*$D203),$CV203,0,($CQ203+IF(Smile=TRUE(),VLOOKUP(MAX(-5,$H203-L203),Volsmile,2),0)),$CT203,$CU203,($A203-DateToday)+15,ABS(Option-2),1)*DF203*8)),0))</f>
        <v> </v>
      </c>
      <c r="BF203" s="300" t="str">
        <f aca="false">IF($A203="N/A"," ",IF(OR(Dayrun=1,Dayrun=7,Dayrun=8,Dayrun=10,Dayrun=11),MAX(0,(xSPRDOPT(M203,($E203-'Pricing Inputs'!$X238*$D203),$CV203,0,($CQ203+IF(Smile=TRUE(),VLOOKUP(MAX(-5,$H203-M203),Volsmile,2),0)),$CT203,$CU203,($A203-DateToday)+15,ABS(Option-2),1)*DF203*8)),0))</f>
        <v> </v>
      </c>
      <c r="BG203" s="300" t="str">
        <f aca="false">IF($A203="N/A"," ",IF(OR(Dayrun&lt;=2,Dayrun&gt;=10),IF(OffPeakEx=TRUE(),MAX(0,(xSPRDOPT(N203,($E203-'Pricing Inputs'!$X238*$D203),$CV203,0,($CQ203+IF(Smile=TRUE(),VLOOKUP(MAX(-5,$H203-N203),Volsmile,2),0)),$CT203,$CU203,($A203-DateToday)+15,ABS(Option-2),1)*DF203*8)),0),0))</f>
        <v> </v>
      </c>
      <c r="BH203" s="300" t="str">
        <f aca="false">IF($A203="N/A"," ",IF(OR(Dayrun=1,Dayrun=5,Dayrun=8,Dayrun=11),MAX(0,(xSPRDOPT(O203,($E203-'Pricing Inputs'!$X238*$D203),$CV203,0,($CQ203+IF(Smile=TRUE(),VLOOKUP(MAX(-5,$H203-O203),Volsmile,2),0)),$CT203,$CU203,($A203-DateToday)+15,ABS(Option-2),1)*DG203*8)),0))</f>
        <v> </v>
      </c>
      <c r="BI203" s="300" t="str">
        <f aca="false">IF($A203="N/A"," ",IF(OR(Dayrun=1,Dayrun=8,Dayrun=11),MAX(0,(xSPRDOPT(P203,($E203-'Pricing Inputs'!$X238*$D203),$CV203,0,($CQ203+IF(Smile=TRUE(),VLOOKUP(MAX(-5,$H203-P203),Volsmile,2),0)),$CT203,$CU203,($A203-DateToday)+15,ABS(Option-2),1)*DG203*8)),0))</f>
        <v> </v>
      </c>
      <c r="BJ203" s="301" t="str">
        <f aca="false">IF($A203="N/A"," ",IF(OR(Dayrun&lt;=2,Dayrun&gt;=11),IF(OffPeakEx=TRUE(),MAX(0,(xSPRDOPT(Q203,($E203-'Pricing Inputs'!$X238*$D203),$CV203,0,($CQ203+IF(Smile=TRUE(),VLOOKUP(MAX(-5,$H203-Q203),Volsmile,2),0)),$CT203,$CU203,($A203-DateToday)+15,ABS(Option-2),1)*DG203*8)),0),0))</f>
        <v> </v>
      </c>
      <c r="BK203" s="302" t="str">
        <f aca="false">IF($A203="N/A"," ",R203*$AS203)</f>
        <v> </v>
      </c>
      <c r="BL203" s="303" t="str">
        <f aca="false">IF($A203="N/A"," ",S203*$AT203)</f>
        <v> </v>
      </c>
      <c r="BM203" s="303" t="str">
        <f aca="false">IF($A203="N/A"," ",T203*$AU203)</f>
        <v> </v>
      </c>
      <c r="BN203" s="303" t="str">
        <f aca="false">IF($A203="N/A"," ",U203*$AV203)</f>
        <v> </v>
      </c>
      <c r="BO203" s="303" t="str">
        <f aca="false">IF($A203="N/A"," ",V203*$AW203)</f>
        <v> </v>
      </c>
      <c r="BP203" s="303" t="str">
        <f aca="false">IF($A203="N/A"," ",W203*$AX203)</f>
        <v> </v>
      </c>
      <c r="BQ203" s="303" t="str">
        <f aca="false">IF($A203="N/A"," ",X203*$AY203)</f>
        <v> </v>
      </c>
      <c r="BR203" s="303" t="str">
        <f aca="false">IF($A203="N/A"," ",Y203*$AZ203)</f>
        <v> </v>
      </c>
      <c r="BS203" s="304" t="str">
        <f aca="false">IF($A203="N/A"," ",Z203*$BA203)</f>
        <v> </v>
      </c>
      <c r="BT203" s="305" t="str">
        <f aca="false">IF($A203="N/A"," ",AA203*$AS203)</f>
        <v> </v>
      </c>
      <c r="BU203" s="306" t="str">
        <f aca="false">IF($A203="N/A"," ",AB203*$AT203)</f>
        <v> </v>
      </c>
      <c r="BV203" s="306" t="str">
        <f aca="false">IF($A203="N/A"," ",AC203*$AU203)</f>
        <v> </v>
      </c>
      <c r="BW203" s="306" t="str">
        <f aca="false">IF($A203="N/A"," ",AD203*$AV203)</f>
        <v> </v>
      </c>
      <c r="BX203" s="306" t="str">
        <f aca="false">IF($A203="N/A"," ",AE203*$AW203)</f>
        <v> </v>
      </c>
      <c r="BY203" s="306" t="str">
        <f aca="false">IF($A203="N/A"," ",AF203*$AX203)</f>
        <v> </v>
      </c>
      <c r="BZ203" s="306" t="str">
        <f aca="false">IF($A203="N/A"," ",AG203*$AY203)</f>
        <v> </v>
      </c>
      <c r="CA203" s="306" t="str">
        <f aca="false">IF($A203="N/A"," ",AH203*$AZ203)</f>
        <v> </v>
      </c>
      <c r="CB203" s="307" t="str">
        <f aca="false">IF($A203="N/A"," ",AI203*$BA203)</f>
        <v> </v>
      </c>
      <c r="CC203" s="308" t="str">
        <f aca="false">IF($A203="N/A"," ",AJ203*$AS203)</f>
        <v> </v>
      </c>
      <c r="CD203" s="309" t="str">
        <f aca="false">IF($A203="N/A"," ",AK203*$AT203)</f>
        <v> </v>
      </c>
      <c r="CE203" s="309" t="str">
        <f aca="false">IF($A203="N/A"," ",AL203*$AU203)</f>
        <v> </v>
      </c>
      <c r="CF203" s="309" t="str">
        <f aca="false">IF($A203="N/A"," ",AM203*$AV203)</f>
        <v> </v>
      </c>
      <c r="CG203" s="309" t="str">
        <f aca="false">IF($A203="N/A"," ",AN203*$AW203)</f>
        <v> </v>
      </c>
      <c r="CH203" s="309" t="str">
        <f aca="false">IF($A203="N/A"," ",AO203*$AX203)</f>
        <v> </v>
      </c>
      <c r="CI203" s="309" t="str">
        <f aca="false">IF($A203="N/A"," ",AP203*$AY203)</f>
        <v> </v>
      </c>
      <c r="CJ203" s="309" t="str">
        <f aca="false">IF($A203="N/A"," ",AQ203*$AZ203)</f>
        <v> </v>
      </c>
      <c r="CK203" s="310" t="str">
        <f aca="false">IF($A203="N/A"," ",AR203*$BA203)</f>
        <v> </v>
      </c>
      <c r="CL203" s="311" t="str">
        <f aca="false">IF(A203="N/A"," ",(VLOOKUP(A203,PowerVolTable,(IF(VolBMO=2,7,IF(VolBMO=1,6,8))),FALSE())))</f>
        <v> </v>
      </c>
      <c r="CM203" s="312" t="str">
        <f aca="false">IF(A203="N/A"," ",(VLOOKUP(A203,IntraPowerVol,(IF(VolBMO=2,3,IF(VolBMO=1,2,4))),FALSE())*VLOOKUP(MONTH($A203),Volscale,2)))</f>
        <v> </v>
      </c>
      <c r="CN203" s="312" t="str">
        <f aca="false">IF($A203="N/A"," ",IF(VolType=1,CM203,CL203))</f>
        <v> </v>
      </c>
      <c r="CO203" s="312" t="str">
        <f aca="false">IF($A203="N/A"," ",(VLOOKUP($A203,OffPeakVol,(IF(VolBMO=2,7,IF(VolBMO=1,6,8))),FALSE())))</f>
        <v> </v>
      </c>
      <c r="CP203" s="312" t="str">
        <f aca="false">IF($A203="N/A"," ",(VLOOKUP($A203,OffPeakVol,(IF(VolBMO=2,3,IF(VolBMO=1,2,4))),FALSE())*VLOOKUP(MONTH($A203),Volscale,2)))</f>
        <v> </v>
      </c>
      <c r="CQ203" s="312" t="str">
        <f aca="false">IF($A203="N/A"," ",IF(VolType=1,CP203,CO203))</f>
        <v> </v>
      </c>
      <c r="CR203" s="312" t="str">
        <f aca="false">IF($A203="N/A"," ",(VLOOKUP($A203,GasVolTable,(IF(VolBMO=2,6,IF(VolBMO=1,7,5))),FALSE())))</f>
        <v> </v>
      </c>
      <c r="CS203" s="312" t="str">
        <f aca="false">IF($A203="N/A"," ",(VLOOKUP($A203,OmicronVol,(IF(VolBMO=2,3,IF(VolBMO=1,4,2))),FALSE())))</f>
        <v> </v>
      </c>
      <c r="CT203" s="312" t="str">
        <f aca="false">IF($A203="N/A"," ",(IF(DateToday&gt;$A203,$CS203,IF(VolType=1,((($CR203^2)*((($A203-1)-DateToday)/((EOMONTH($A203,0)+1)-DateToday-15)))+((($CS203)^2)*((15)/((EOMONTH($A203,0)+1)-DateToday-15))))^0.5,CR203))))</f>
        <v> </v>
      </c>
      <c r="CU203" s="312" t="str">
        <f aca="false">IF($A203="N/A"," ",IF('Pricing Inputs'!$AR$23=TRUE(),Inputs!$S$22,VLOOKUP($A203,CorrelationTable,2,FALSE())))</f>
        <v> </v>
      </c>
      <c r="CV203" s="313" t="str">
        <f aca="false">IF($A203="N/A"," ",F203+G203+(D203*('Pricing Inputs'!X238)))</f>
        <v> </v>
      </c>
      <c r="CW203" s="314" t="str">
        <f aca="false">IF($A203="N/A"," ",IF(PV=1,0,'Pricing Inputs'!Y238))</f>
        <v> </v>
      </c>
      <c r="CX203" s="315" t="str">
        <f aca="false">IF($A203="N/A"," ",(1+CW203/2)^(-2*((EOMONTH(A203,0)+20)-DateToday)/365.25))</f>
        <v> </v>
      </c>
      <c r="CY203" s="316" t="str">
        <f aca="false">IF($A203="N/A"," ",(IF(MONTH(A203)&gt;=4,IF(MONTH(A203)&lt;=10,Inputs!$S$26,Inputs!$S$27),Inputs!$S$27))*$CX203)</f>
        <v> </v>
      </c>
      <c r="CZ203" s="317" t="str">
        <f aca="false">IF($A203="N/A"," ",BK203+BL203+BN203+BO203+BQ203+BR203)</f>
        <v> </v>
      </c>
      <c r="DA203" s="318" t="str">
        <f aca="false">IF($A203="N/A"," ",BM203+BP203+BS203)</f>
        <v> </v>
      </c>
      <c r="DB203" s="319" t="str">
        <f aca="false">IF($A203="N/A"," ",BT203+BU203+BW203+BX203+BZ203+CA203)</f>
        <v> </v>
      </c>
      <c r="DC203" s="319" t="str">
        <f aca="false">IF($A203="N/A"," ",BV203+BY203+CB203)</f>
        <v> </v>
      </c>
      <c r="DD203" s="320" t="str">
        <f aca="false">IF($A203="N/A"," ",SUM(CC203:CK203))</f>
        <v> </v>
      </c>
      <c r="DE203" s="321" t="str">
        <f aca="false">IF($A203="N/A"," ",VLOOKUP($A203,NumberofDaysTable,2)*Availability)</f>
        <v> </v>
      </c>
      <c r="DF203" s="94" t="str">
        <f aca="false">IF($A203="N/A"," ",VLOOKUP($A203,NumberofDaysTable,3)*Availability)</f>
        <v> </v>
      </c>
      <c r="DG203" s="322" t="str">
        <f aca="false">IF($A203="N/A"," ",VLOOKUP($A203,NumberofDaysTable,4)*Availability)</f>
        <v> </v>
      </c>
      <c r="DH203" s="323" t="str">
        <f aca="false">IF($A203="N/A"," ",IF(Option=1,$D203*Inputs!$S$15*SUM(AS203:BA203),0))</f>
        <v> </v>
      </c>
      <c r="DI203" s="324" t="str">
        <f aca="false">IF($A203="N/A"," ",IF(Option=1,$D203*Inputs!$S$16*SUM(AS203:BA203),0))</f>
        <v> </v>
      </c>
      <c r="DJ203" s="325" t="str">
        <f aca="false">IF($A203="N/A"," ",SUM(AS203:AT203))</f>
        <v> </v>
      </c>
      <c r="DK203" s="325" t="str">
        <f aca="false">IF($A203="N/A"," ",SUM(AU203:BA203))</f>
        <v> </v>
      </c>
      <c r="DL203" s="325" t="str">
        <f aca="false">IF($A203="N/A"," ",SUM(BB203:BC203))</f>
        <v> </v>
      </c>
      <c r="DM203" s="325" t="str">
        <f aca="false">IF($A203="N/A"," ",SUM(BD203:BJ203))</f>
        <v> </v>
      </c>
    </row>
    <row r="204" customFormat="false" ht="12.75" hidden="false" customHeight="false" outlineLevel="0" collapsed="false">
      <c r="A204" s="282" t="str">
        <f aca="false">IF(A203="N/A","N/A",IF(EDATE(A203,1)&gt;Inputs!$S$5,"N/A",EDATE(A203,1)))</f>
        <v>N/A</v>
      </c>
      <c r="B204" s="283" t="str">
        <f aca="false">IF(A204="N/A"," ",YEAR(A204))</f>
        <v> </v>
      </c>
      <c r="C204" s="284" t="str">
        <f aca="false">IF(A204="N/A"," ",VLOOKUP(A204,ScaledPrice,14))</f>
        <v> </v>
      </c>
      <c r="D204" s="285" t="str">
        <f aca="false">IF(A204="N/A"," ",(VLOOKUP(MONTH($A204),Hrtable,2))/1000)</f>
        <v> </v>
      </c>
      <c r="E204" s="286" t="str">
        <f aca="false">IF($A204="N/A"," ",(C204)*D204)</f>
        <v> </v>
      </c>
      <c r="F204" s="287" t="str">
        <f aca="false">IF(A204="N/A"," ",VOM*(1+VOMesc)^(YEAR(A204)-YEAR(Today)))</f>
        <v> </v>
      </c>
      <c r="G204" s="287" t="str">
        <f aca="false">IF(A204="N/A"," ",Perstart/VLOOKUP(Dayrun,'Pricing Inputs'!$AQ$4:$AS$14,3)/(CY204/CX204))</f>
        <v> </v>
      </c>
      <c r="H204" s="288" t="str">
        <f aca="false">IF(A204="N/A"," ",SUM(E204:G204))</f>
        <v> </v>
      </c>
      <c r="I204" s="289" t="str">
        <f aca="false">VLOOKUP($A204,ScaledPrice,6)</f>
        <v> </v>
      </c>
      <c r="J204" s="290" t="str">
        <f aca="false">VLOOKUP($A204,ScaledPrice,10)</f>
        <v> </v>
      </c>
      <c r="K204" s="290" t="str">
        <f aca="false">VLOOKUP($A204,ScaledPrice,13)</f>
        <v> </v>
      </c>
      <c r="L204" s="290" t="str">
        <f aca="false">VLOOKUP($A204,ScaledPrice,7)</f>
        <v> </v>
      </c>
      <c r="M204" s="290" t="str">
        <f aca="false">VLOOKUP($A204,ScaledPrice,11)</f>
        <v> </v>
      </c>
      <c r="N204" s="290" t="str">
        <f aca="false">VLOOKUP($A204,ScaledPrice,13)</f>
        <v> </v>
      </c>
      <c r="O204" s="290" t="str">
        <f aca="false">VLOOKUP($A204,ScaledPrice,8)</f>
        <v> </v>
      </c>
      <c r="P204" s="290" t="str">
        <f aca="false">VLOOKUP($A204,ScaledPrice,12)</f>
        <v> </v>
      </c>
      <c r="Q204" s="291" t="str">
        <f aca="false">VLOOKUP($A204,ScaledPrice,13)</f>
        <v> </v>
      </c>
      <c r="R204" s="292" t="str">
        <f aca="false">IF($A204="N/A"," ",IF(Dayrun&gt;=3,IF(Option=1,MAX($I204-$H204,0),IF(Option=2,MAX($H204-$I204,0),0)),0))</f>
        <v> </v>
      </c>
      <c r="S204" s="286" t="str">
        <f aca="false">IF($A204="N/A"," ",IF(Dayrun&gt;=6,IF(Option=1,MAX($J204-H204,0),IF(Option=2,MAX(H204-$J204,0),0)),0))</f>
        <v> </v>
      </c>
      <c r="T204" s="286" t="str">
        <f aca="false">IF($A204="N/A"," ",IF(OR(Dayrun&lt;=2,Dayrun&gt;=9),IF(Option=1,MAX($K204-$H204,0),IF(Option=2,MAX($H204-$K204,0),0)),0))</f>
        <v> </v>
      </c>
      <c r="U204" s="286" t="str">
        <f aca="false">IF($A204="N/A"," ",IF(OR(Dayrun=1,Dayrun=4,Dayrun=5,Dayrun=7,Dayrun=8,Dayrun=10,Dayrun=11),IF(Option=1,MAX($L204-H204,0),IF(Option=2,MAX(H204-$L204,0),0)),0))</f>
        <v> </v>
      </c>
      <c r="V204" s="286" t="str">
        <f aca="false">IF($A204="N/A"," ",IF(OR(Dayrun=1,Dayrun=7,Dayrun=8,Dayrun=10,Dayrun=11),IF(Option=1,MAX($M204-H204,0),IF(Option=2,MAX(H204-$M204,0),0)),0))</f>
        <v> </v>
      </c>
      <c r="W204" s="286" t="str">
        <f aca="false">IF($A204="N/A"," ",IF(OR(Dayrun&lt;=2,Dayrun&gt;=10),IF(Option=1,MAX($N204-$H204,0),IF(Option=2,MAX($H204-$N204,0),0)),0))</f>
        <v> </v>
      </c>
      <c r="X204" s="286" t="str">
        <f aca="false">IF($A204="N/A"," ",IF(OR(Dayrun=1,Dayrun=5,Dayrun=8,Dayrun=11),IF(Option=1,MAX($O204-H204,0),IF(Option=2,MAX(H204-$O204,0),0)),0))</f>
        <v> </v>
      </c>
      <c r="Y204" s="286" t="str">
        <f aca="false">IF($A204="N/A"," ",IF(OR(Dayrun=1,Dayrun=8,Dayrun=11),IF(Option=1,MAX($P204-H204,0),IF(Option=2,MAX(H204-$P204,0),0)),0))</f>
        <v> </v>
      </c>
      <c r="Z204" s="293" t="str">
        <f aca="false">IF($A204="N/A"," ",IF(OR(Dayrun&lt;=2,Dayrun&gt;=11),IF(Option=1,MAX($Q204-$H204,0),IF(Option=2,MAX($H204-$Q204,0),0)),0))</f>
        <v> </v>
      </c>
      <c r="AA204" s="289" t="str">
        <f aca="false">IF($A204="N/A"," ",IF(Dayrun&gt;=3,(MAX(0,(xSPRDOPT(I204,($E204-'Pricing Inputs'!$X239*$D204),$CV204,0,($CN204+IF(Smile=TRUE(),VLOOKUP(MAX(-5,$H204-I204),Volsmile,2),0)),$CT204,$CU204,($A204-DateToday)+15,ABS(Option-2),0)-R204))),0))</f>
        <v> </v>
      </c>
      <c r="AB204" s="290" t="str">
        <f aca="false">IF($A204="N/A"," ",IF(Dayrun&gt;=6,MAX(0,(xSPRDOPT(J204,($E204-'Pricing Inputs'!$X239*$D204),$CV204,0,($CN204+IF(Smile=TRUE(),VLOOKUP(MAX(-5,$H204-J204),Volsmile,2),0)),$CT204,$CU204,($A204-DateToday)+15,ABS(Option-2),0)-S204)),0))</f>
        <v> </v>
      </c>
      <c r="AC204" s="290" t="str">
        <f aca="false">IF($A204="N/A"," ",IF(OR(Dayrun&lt;=2,Dayrun&gt;=9),IF(OffPeakEx=TRUE(),MAX(0,(xSPRDOPT(K204,($E204-'Pricing Inputs'!$X239*$D204),$CV204,0,($CQ204+IF(Smile=TRUE(),VLOOKUP(MAX(-5,$H204-K204),Volsmile,2),0)),$CT204,$CU204,($A204-DateToday)+15,ABS(Option-2),0)-T204)),0),0))</f>
        <v> </v>
      </c>
      <c r="AD204" s="290" t="str">
        <f aca="false">IF($A204="N/A"," ",IF(OR(Dayrun=1,Dayrun=4,Dayrun=5,Dayrun=7,Dayrun=8,Dayrun=10,Dayrun=11),MAX(0,(xSPRDOPT(L204,($E204-'Pricing Inputs'!$X239*$D204),$CV204,0,($CQ204+IF(Smile=TRUE(),VLOOKUP(MAX(-5,$H204-L204),Volsmile,2),0)),$CT204,$CU204,($A204-DateToday)+15,ABS(Option-2),0)-U204)),0))</f>
        <v> </v>
      </c>
      <c r="AE204" s="290" t="str">
        <f aca="false">IF($A204="N/A"," ",IF(OR(Dayrun=1,Dayrun=7,Dayrun=8,Dayrun=10,Dayrun=11),MAX(0,(xSPRDOPT(M204,($E204-'Pricing Inputs'!$X239*$D204),$CV204,0,($CQ204+IF(Smile=TRUE(),VLOOKUP(MAX(-5,$H204-M204),Volsmile,2),0)),$CT204,$CU204,($A204-DateToday)+15,ABS(Option-2),0)-V204)),0))</f>
        <v> </v>
      </c>
      <c r="AF204" s="290" t="str">
        <f aca="false">IF($A204="N/A"," ",IF(OR(Dayrun&lt;=2,Dayrun&gt;=10),IF(OffPeakEx=TRUE(),MAX(0,(xSPRDOPT(N204,($E204-'Pricing Inputs'!$X239*$D204),$CV204,0,($CQ204+IF(Smile=TRUE(),VLOOKUP(MAX(-5,$H204-N204),Volsmile,2),0)),$CT204,$CU204,($A204-DateToday)+15,ABS(Option-2),0)-W204)),0),0))</f>
        <v> </v>
      </c>
      <c r="AG204" s="290" t="str">
        <f aca="false">IF($A204="N/A"," ",IF(OR(Dayrun=1,Dayrun=5,Dayrun=8,Dayrun=11),MAX(0,(xSPRDOPT(O204,($E204-'Pricing Inputs'!$X239*$D204),$CV204,0,($CQ204+IF(Smile=TRUE(),VLOOKUP(MAX(-5,$H204-O204),Volsmile,2),0)),$CT204,$CU204,($A204-DateToday)+15,ABS(Option-2),0)-X204)),0))</f>
        <v> </v>
      </c>
      <c r="AH204" s="290" t="str">
        <f aca="false">IF($A204="N/A"," ",IF(OR(Dayrun=1,Dayrun=8,Dayrun=11),MAX(0,(xSPRDOPT(P204,($E204-'Pricing Inputs'!$X239*$D204),$CV204,0,($CQ204+IF(Smile=TRUE(),VLOOKUP(MAX(-5,$H204-P204),Volsmile,2),0)),$CT204,$CU204,($A204-DateToday)+15,ABS(Option-2),0)-Y204)),0))</f>
        <v> </v>
      </c>
      <c r="AI204" s="290" t="str">
        <f aca="false">IF($A204="N/A"," ",IF(OR(Dayrun&lt;=2,Dayrun&gt;=11),IF(OffPeakEx=TRUE(),MAX(0,(xSPRDOPT(Q204,($E204-'Pricing Inputs'!$X239*$D204),$CV204,0,($CQ204+IF(Smile=TRUE(),VLOOKUP(MAX(-5,$H204-Q204),Volsmile,2),0)),$CT204,$CU204,($A204-DateToday)+15,ABS(Option-2),0)-Z204)),0),0))</f>
        <v> </v>
      </c>
      <c r="AJ204" s="294" t="str">
        <f aca="false">IF($A204="N/A"," ",IF(Dayrun&gt;=3,IF(Option=1,$I204-$H204,IF(Option=2,$H204-$I204)),0))</f>
        <v> </v>
      </c>
      <c r="AK204" s="295" t="str">
        <f aca="false">IF($A204="N/A"," ",IF(Dayrun&gt;=6,IF(Option=1,$J204-H204,IF(Option=2,H204-$J204)),0))</f>
        <v> </v>
      </c>
      <c r="AL204" s="295" t="str">
        <f aca="false">IF($A204="N/A"," ",IF(OR(Dayrun&lt;=2,Dayrun&gt;=9),IF(Option=1,$K204-$H204,IF(Option=2,$H204-$K204)),0))</f>
        <v> </v>
      </c>
      <c r="AM204" s="295" t="str">
        <f aca="false">IF($A204="N/A"," ",IF(OR(Dayrun=1,Dayrun=4,Dayrun=5,Dayrun=7,Dayrun=8,Dayrun=10,Dayrun=11),IF(Option=1,$L204-H204,IF(Option=2,H204-$L204)),0))</f>
        <v> </v>
      </c>
      <c r="AN204" s="295" t="str">
        <f aca="false">IF($A204="N/A"," ",IF(OR(Dayrun=1,Dayrun=7,Dayrun=8,Dayrun=10,Dayrun=11),IF(Option=1,$M204-H204,IF(Option=2,H204-$M204)),0))</f>
        <v> </v>
      </c>
      <c r="AO204" s="295" t="str">
        <f aca="false">IF($A204="N/A"," ",IF(OR(Dayrun&lt;=2,Dayrun&gt;=9),IF(Option=1,$N204-$H204,IF(Option=2,$H204-$N204)),0))</f>
        <v> </v>
      </c>
      <c r="AP204" s="295" t="str">
        <f aca="false">IF($A204="N/A"," ",IF(OR(Dayrun=1,Dayrun=5,Dayrun=8,Dayrun=11),IF(Option=1,$O204-H204,IF(Option=2,H204-$O204)),0))</f>
        <v> </v>
      </c>
      <c r="AQ204" s="295" t="str">
        <f aca="false">IF($A204="N/A"," ",IF(OR(Dayrun=1,Dayrun=8,Dayrun=11),IF(Option=1,$P204-H204,IF(Option=2,H204-$P204)),0))</f>
        <v> </v>
      </c>
      <c r="AR204" s="296" t="str">
        <f aca="false">IF($A204="N/A"," ",IF(OR(Dayrun&lt;=2,Dayrun&gt;=9),IF(Option=1,$Q204-H204,IF(Option=2,H204-$Q204)),0))</f>
        <v> </v>
      </c>
      <c r="AS204" s="297" t="str">
        <f aca="false">IF($A204="N/A"," ",IF(VLOOKUP(MONTH($A204),ManualTable,2)=1,IF(Dayrun&gt;=3,$DE204*8*$CY204,0),0))</f>
        <v> </v>
      </c>
      <c r="AT204" s="297" t="str">
        <f aca="false">IF($A204="N/A"," ",IF(VLOOKUP(MONTH($A204),ManualTable,3)=1,IF(Dayrun&gt;=6,$DE204*8*$CY204,0),0))</f>
        <v> </v>
      </c>
      <c r="AU204" s="297" t="str">
        <f aca="false">IF($A204="N/A"," ",IF(VLOOKUP(MONTH($A204),ManualTable,4)=1,IF(OR(Dayrun&lt;=2,Dayrun&gt;=9),$DE204*8*$CY204,0),0))</f>
        <v> </v>
      </c>
      <c r="AV204" s="297" t="str">
        <f aca="false">IF($A204="N/A"," ",IF(VLOOKUP(MONTH($A204),ManualTable,5)=1,IF(OR(Dayrun=1,Dayrun=4,Dayrun=5,Dayrun=7,Dayrun=8,Dayrun=10,Dayrun=11),$DF204*8*$CY204,0),0))</f>
        <v> </v>
      </c>
      <c r="AW204" s="297" t="str">
        <f aca="false">IF($A204="N/A"," ",IF(VLOOKUP(MONTH($A204),ManualTable,6)=1,IF(OR(Dayrun=1,Dayrun=7,Dayrun=8,Dayrun=10,Dayrun=11),$DF204*8*$CY204,0),0))</f>
        <v> </v>
      </c>
      <c r="AX204" s="297" t="str">
        <f aca="false">IF($A204="N/A"," ",IF(VLOOKUP(MONTH($A204),ManualTable,7)=1,IF(OR(Dayrun&lt;=2,Dayrun&gt;=9),$DF204*8*$CY204,0),0))</f>
        <v> </v>
      </c>
      <c r="AY204" s="297" t="str">
        <f aca="false">IF($A204="N/A"," ",IF(VLOOKUP(MONTH($A204),ManualTable,8)=1,IF(OR(Dayrun=1,Dayrun=5,Dayrun=8,Dayrun=11),$DG204*8*$CY204,0),0))</f>
        <v> </v>
      </c>
      <c r="AZ204" s="297" t="str">
        <f aca="false">IF($A204="N/A"," ",IF(VLOOKUP(MONTH($A204),ManualTable,9)=1,IF(OR(Dayrun=1,Dayrun=8,Dayrun=11),$DG204*8*$CY204,0),0))</f>
        <v> </v>
      </c>
      <c r="BA204" s="298" t="str">
        <f aca="false">IF($A204="N/A"," ",IF(VLOOKUP(MONTH($A204),ManualTable,10)=1,IF(OR(Dayrun&lt;=2,Dayrun&gt;=9),$DG204*8*$CY204,0),0))</f>
        <v> </v>
      </c>
      <c r="BB204" s="299" t="str">
        <f aca="false">IF($A204="N/A"," ",IF(Dayrun&gt;=3,(MAX(0,(xSPRDOPT(I204,($E204-'Pricing Inputs'!$X239*$D204),$CV204,0,($CN204+IF(Smile=TRUE(),VLOOKUP(MAX(-5,$H204-I204),Volsmile,2),0)),$CT204,$CU204,($A204-DateToday)+15,ABS(Option-2),1)*DE204*8))),0))</f>
        <v> </v>
      </c>
      <c r="BC204" s="300" t="str">
        <f aca="false">IF($A204="N/A"," ",IF(Dayrun&gt;=6,MAX(0,(xSPRDOPT(J204,($E204-'Pricing Inputs'!$X239*$D204),$CV204,0,($CN204+IF(Smile=TRUE(),VLOOKUP(MAX(-5,$H204-J204),Volsmile,2),0)),$CT204,$CU204,($A204-DateToday)+15,ABS(Option-2),1)*DE204*8)),0))</f>
        <v> </v>
      </c>
      <c r="BD204" s="300" t="str">
        <f aca="false">IF($A204="N/A"," ",IF(OR(Dayrun&lt;=2,Dayrun&gt;=9),IF(OffPeakEx=TRUE(),MAX(0,(xSPRDOPT(K204,($E204-'Pricing Inputs'!$X239*$D204),$CV204,0,($CQ204+IF(Smile=TRUE(),VLOOKUP(MAX(-5,$H204-K204),Volsmile,2),0)),$CT204,$CU204,($A204-DateToday)+15,ABS(Option-2),1)*DE204*8)),0),0))</f>
        <v> </v>
      </c>
      <c r="BE204" s="300" t="str">
        <f aca="false">IF($A204="N/A"," ",IF(OR(Dayrun=1,Dayrun=4,Dayrun=5,Dayrun=7,Dayrun=8,Dayrun=10,Dayrun=11),MAX(0,(xSPRDOPT(L204,($E204-'Pricing Inputs'!$X239*$D204),$CV204,0,($CQ204+IF(Smile=TRUE(),VLOOKUP(MAX(-5,$H204-L204),Volsmile,2),0)),$CT204,$CU204,($A204-DateToday)+15,ABS(Option-2),1)*DF204*8)),0))</f>
        <v> </v>
      </c>
      <c r="BF204" s="300" t="str">
        <f aca="false">IF($A204="N/A"," ",IF(OR(Dayrun=1,Dayrun=7,Dayrun=8,Dayrun=10,Dayrun=11),MAX(0,(xSPRDOPT(M204,($E204-'Pricing Inputs'!$X239*$D204),$CV204,0,($CQ204+IF(Smile=TRUE(),VLOOKUP(MAX(-5,$H204-M204),Volsmile,2),0)),$CT204,$CU204,($A204-DateToday)+15,ABS(Option-2),1)*DF204*8)),0))</f>
        <v> </v>
      </c>
      <c r="BG204" s="300" t="str">
        <f aca="false">IF($A204="N/A"," ",IF(OR(Dayrun&lt;=2,Dayrun&gt;=10),IF(OffPeakEx=TRUE(),MAX(0,(xSPRDOPT(N204,($E204-'Pricing Inputs'!$X239*$D204),$CV204,0,($CQ204+IF(Smile=TRUE(),VLOOKUP(MAX(-5,$H204-N204),Volsmile,2),0)),$CT204,$CU204,($A204-DateToday)+15,ABS(Option-2),1)*DF204*8)),0),0))</f>
        <v> </v>
      </c>
      <c r="BH204" s="300" t="str">
        <f aca="false">IF($A204="N/A"," ",IF(OR(Dayrun=1,Dayrun=5,Dayrun=8,Dayrun=11),MAX(0,(xSPRDOPT(O204,($E204-'Pricing Inputs'!$X239*$D204),$CV204,0,($CQ204+IF(Smile=TRUE(),VLOOKUP(MAX(-5,$H204-O204),Volsmile,2),0)),$CT204,$CU204,($A204-DateToday)+15,ABS(Option-2),1)*DG204*8)),0))</f>
        <v> </v>
      </c>
      <c r="BI204" s="300" t="str">
        <f aca="false">IF($A204="N/A"," ",IF(OR(Dayrun=1,Dayrun=8,Dayrun=11),MAX(0,(xSPRDOPT(P204,($E204-'Pricing Inputs'!$X239*$D204),$CV204,0,($CQ204+IF(Smile=TRUE(),VLOOKUP(MAX(-5,$H204-P204),Volsmile,2),0)),$CT204,$CU204,($A204-DateToday)+15,ABS(Option-2),1)*DG204*8)),0))</f>
        <v> </v>
      </c>
      <c r="BJ204" s="301" t="str">
        <f aca="false">IF($A204="N/A"," ",IF(OR(Dayrun&lt;=2,Dayrun&gt;=11),IF(OffPeakEx=TRUE(),MAX(0,(xSPRDOPT(Q204,($E204-'Pricing Inputs'!$X239*$D204),$CV204,0,($CQ204+IF(Smile=TRUE(),VLOOKUP(MAX(-5,$H204-Q204),Volsmile,2),0)),$CT204,$CU204,($A204-DateToday)+15,ABS(Option-2),1)*DG204*8)),0),0))</f>
        <v> </v>
      </c>
      <c r="BK204" s="302" t="str">
        <f aca="false">IF($A204="N/A"," ",R204*$AS204)</f>
        <v> </v>
      </c>
      <c r="BL204" s="303" t="str">
        <f aca="false">IF($A204="N/A"," ",S204*$AT204)</f>
        <v> </v>
      </c>
      <c r="BM204" s="303" t="str">
        <f aca="false">IF($A204="N/A"," ",T204*$AU204)</f>
        <v> </v>
      </c>
      <c r="BN204" s="303" t="str">
        <f aca="false">IF($A204="N/A"," ",U204*$AV204)</f>
        <v> </v>
      </c>
      <c r="BO204" s="303" t="str">
        <f aca="false">IF($A204="N/A"," ",V204*$AW204)</f>
        <v> </v>
      </c>
      <c r="BP204" s="303" t="str">
        <f aca="false">IF($A204="N/A"," ",W204*$AX204)</f>
        <v> </v>
      </c>
      <c r="BQ204" s="303" t="str">
        <f aca="false">IF($A204="N/A"," ",X204*$AY204)</f>
        <v> </v>
      </c>
      <c r="BR204" s="303" t="str">
        <f aca="false">IF($A204="N/A"," ",Y204*$AZ204)</f>
        <v> </v>
      </c>
      <c r="BS204" s="304" t="str">
        <f aca="false">IF($A204="N/A"," ",Z204*$BA204)</f>
        <v> </v>
      </c>
      <c r="BT204" s="305" t="str">
        <f aca="false">IF($A204="N/A"," ",AA204*$AS204)</f>
        <v> </v>
      </c>
      <c r="BU204" s="306" t="str">
        <f aca="false">IF($A204="N/A"," ",AB204*$AT204)</f>
        <v> </v>
      </c>
      <c r="BV204" s="306" t="str">
        <f aca="false">IF($A204="N/A"," ",AC204*$AU204)</f>
        <v> </v>
      </c>
      <c r="BW204" s="306" t="str">
        <f aca="false">IF($A204="N/A"," ",AD204*$AV204)</f>
        <v> </v>
      </c>
      <c r="BX204" s="306" t="str">
        <f aca="false">IF($A204="N/A"," ",AE204*$AW204)</f>
        <v> </v>
      </c>
      <c r="BY204" s="306" t="str">
        <f aca="false">IF($A204="N/A"," ",AF204*$AX204)</f>
        <v> </v>
      </c>
      <c r="BZ204" s="306" t="str">
        <f aca="false">IF($A204="N/A"," ",AG204*$AY204)</f>
        <v> </v>
      </c>
      <c r="CA204" s="306" t="str">
        <f aca="false">IF($A204="N/A"," ",AH204*$AZ204)</f>
        <v> </v>
      </c>
      <c r="CB204" s="307" t="str">
        <f aca="false">IF($A204="N/A"," ",AI204*$BA204)</f>
        <v> </v>
      </c>
      <c r="CC204" s="308" t="str">
        <f aca="false">IF($A204="N/A"," ",AJ204*$AS204)</f>
        <v> </v>
      </c>
      <c r="CD204" s="309" t="str">
        <f aca="false">IF($A204="N/A"," ",AK204*$AT204)</f>
        <v> </v>
      </c>
      <c r="CE204" s="309" t="str">
        <f aca="false">IF($A204="N/A"," ",AL204*$AU204)</f>
        <v> </v>
      </c>
      <c r="CF204" s="309" t="str">
        <f aca="false">IF($A204="N/A"," ",AM204*$AV204)</f>
        <v> </v>
      </c>
      <c r="CG204" s="309" t="str">
        <f aca="false">IF($A204="N/A"," ",AN204*$AW204)</f>
        <v> </v>
      </c>
      <c r="CH204" s="309" t="str">
        <f aca="false">IF($A204="N/A"," ",AO204*$AX204)</f>
        <v> </v>
      </c>
      <c r="CI204" s="309" t="str">
        <f aca="false">IF($A204="N/A"," ",AP204*$AY204)</f>
        <v> </v>
      </c>
      <c r="CJ204" s="309" t="str">
        <f aca="false">IF($A204="N/A"," ",AQ204*$AZ204)</f>
        <v> </v>
      </c>
      <c r="CK204" s="310" t="str">
        <f aca="false">IF($A204="N/A"," ",AR204*$BA204)</f>
        <v> </v>
      </c>
      <c r="CL204" s="311" t="str">
        <f aca="false">IF(A204="N/A"," ",(VLOOKUP(A204,PowerVolTable,(IF(VolBMO=2,7,IF(VolBMO=1,6,8))),FALSE())))</f>
        <v> </v>
      </c>
      <c r="CM204" s="312" t="str">
        <f aca="false">IF(A204="N/A"," ",(VLOOKUP(A204,IntraPowerVol,(IF(VolBMO=2,3,IF(VolBMO=1,2,4))),FALSE())*VLOOKUP(MONTH($A204),Volscale,2)))</f>
        <v> </v>
      </c>
      <c r="CN204" s="312" t="str">
        <f aca="false">IF($A204="N/A"," ",IF(VolType=1,CM204,CL204))</f>
        <v> </v>
      </c>
      <c r="CO204" s="312" t="str">
        <f aca="false">IF($A204="N/A"," ",(VLOOKUP($A204,OffPeakVol,(IF(VolBMO=2,7,IF(VolBMO=1,6,8))),FALSE())))</f>
        <v> </v>
      </c>
      <c r="CP204" s="312" t="str">
        <f aca="false">IF($A204="N/A"," ",(VLOOKUP($A204,OffPeakVol,(IF(VolBMO=2,3,IF(VolBMO=1,2,4))),FALSE())*VLOOKUP(MONTH($A204),Volscale,2)))</f>
        <v> </v>
      </c>
      <c r="CQ204" s="312" t="str">
        <f aca="false">IF($A204="N/A"," ",IF(VolType=1,CP204,CO204))</f>
        <v> </v>
      </c>
      <c r="CR204" s="312" t="str">
        <f aca="false">IF($A204="N/A"," ",(VLOOKUP($A204,GasVolTable,(IF(VolBMO=2,6,IF(VolBMO=1,7,5))),FALSE())))</f>
        <v> </v>
      </c>
      <c r="CS204" s="312" t="str">
        <f aca="false">IF($A204="N/A"," ",(VLOOKUP($A204,OmicronVol,(IF(VolBMO=2,3,IF(VolBMO=1,4,2))),FALSE())))</f>
        <v> </v>
      </c>
      <c r="CT204" s="312" t="str">
        <f aca="false">IF($A204="N/A"," ",(IF(DateToday&gt;$A204,$CS204,IF(VolType=1,((($CR204^2)*((($A204-1)-DateToday)/((EOMONTH($A204,0)+1)-DateToday-15)))+((($CS204)^2)*((15)/((EOMONTH($A204,0)+1)-DateToday-15))))^0.5,CR204))))</f>
        <v> </v>
      </c>
      <c r="CU204" s="312" t="str">
        <f aca="false">IF($A204="N/A"," ",IF('Pricing Inputs'!$AR$23=TRUE(),Inputs!$S$22,VLOOKUP($A204,CorrelationTable,2,FALSE())))</f>
        <v> </v>
      </c>
      <c r="CV204" s="313" t="str">
        <f aca="false">IF($A204="N/A"," ",F204+G204+(D204*('Pricing Inputs'!X239)))</f>
        <v> </v>
      </c>
      <c r="CW204" s="314" t="str">
        <f aca="false">IF($A204="N/A"," ",IF(PV=1,0,'Pricing Inputs'!Y239))</f>
        <v> </v>
      </c>
      <c r="CX204" s="315" t="str">
        <f aca="false">IF($A204="N/A"," ",(1+CW204/2)^(-2*((EOMONTH(A204,0)+20)-DateToday)/365.25))</f>
        <v> </v>
      </c>
      <c r="CY204" s="316" t="str">
        <f aca="false">IF($A204="N/A"," ",(IF(MONTH(A204)&gt;=4,IF(MONTH(A204)&lt;=10,Inputs!$S$26,Inputs!$S$27),Inputs!$S$27))*$CX204)</f>
        <v> </v>
      </c>
      <c r="CZ204" s="317" t="str">
        <f aca="false">IF($A204="N/A"," ",BK204+BL204+BN204+BO204+BQ204+BR204)</f>
        <v> </v>
      </c>
      <c r="DA204" s="318" t="str">
        <f aca="false">IF($A204="N/A"," ",BM204+BP204+BS204)</f>
        <v> </v>
      </c>
      <c r="DB204" s="319" t="str">
        <f aca="false">IF($A204="N/A"," ",BT204+BU204+BW204+BX204+BZ204+CA204)</f>
        <v> </v>
      </c>
      <c r="DC204" s="319" t="str">
        <f aca="false">IF($A204="N/A"," ",BV204+BY204+CB204)</f>
        <v> </v>
      </c>
      <c r="DD204" s="320" t="str">
        <f aca="false">IF($A204="N/A"," ",SUM(CC204:CK204))</f>
        <v> </v>
      </c>
      <c r="DE204" s="321" t="str">
        <f aca="false">IF($A204="N/A"," ",VLOOKUP($A204,NumberofDaysTable,2)*Availability)</f>
        <v> </v>
      </c>
      <c r="DF204" s="94" t="str">
        <f aca="false">IF($A204="N/A"," ",VLOOKUP($A204,NumberofDaysTable,3)*Availability)</f>
        <v> </v>
      </c>
      <c r="DG204" s="322" t="str">
        <f aca="false">IF($A204="N/A"," ",VLOOKUP($A204,NumberofDaysTable,4)*Availability)</f>
        <v> </v>
      </c>
      <c r="DH204" s="323" t="str">
        <f aca="false">IF($A204="N/A"," ",IF(Option=1,$D204*Inputs!$S$15*SUM(AS204:BA204),0))</f>
        <v> </v>
      </c>
      <c r="DI204" s="324" t="str">
        <f aca="false">IF($A204="N/A"," ",IF(Option=1,$D204*Inputs!$S$16*SUM(AS204:BA204),0))</f>
        <v> </v>
      </c>
      <c r="DJ204" s="325" t="str">
        <f aca="false">IF($A204="N/A"," ",SUM(AS204:AT204))</f>
        <v> </v>
      </c>
      <c r="DK204" s="325" t="str">
        <f aca="false">IF($A204="N/A"," ",SUM(AU204:BA204))</f>
        <v> </v>
      </c>
      <c r="DL204" s="325" t="str">
        <f aca="false">IF($A204="N/A"," ",SUM(BB204:BC204))</f>
        <v> </v>
      </c>
      <c r="DM204" s="325" t="str">
        <f aca="false">IF($A204="N/A"," ",SUM(BD204:BJ204))</f>
        <v> </v>
      </c>
    </row>
    <row r="205" customFormat="false" ht="12.75" hidden="false" customHeight="false" outlineLevel="0" collapsed="false">
      <c r="A205" s="282" t="str">
        <f aca="false">IF(A204="N/A","N/A",IF(EDATE(A204,1)&gt;Inputs!$S$5,"N/A",EDATE(A204,1)))</f>
        <v>N/A</v>
      </c>
      <c r="B205" s="283" t="str">
        <f aca="false">IF(A205="N/A"," ",YEAR(A205))</f>
        <v> </v>
      </c>
      <c r="C205" s="284" t="str">
        <f aca="false">IF(A205="N/A"," ",VLOOKUP(A205,ScaledPrice,14))</f>
        <v> </v>
      </c>
      <c r="D205" s="285" t="str">
        <f aca="false">IF(A205="N/A"," ",(VLOOKUP(MONTH($A205),Hrtable,2))/1000)</f>
        <v> </v>
      </c>
      <c r="E205" s="286" t="str">
        <f aca="false">IF($A205="N/A"," ",(C205)*D205)</f>
        <v> </v>
      </c>
      <c r="F205" s="287" t="str">
        <f aca="false">IF(A205="N/A"," ",VOM*(1+VOMesc)^(YEAR(A205)-YEAR(Today)))</f>
        <v> </v>
      </c>
      <c r="G205" s="287" t="str">
        <f aca="false">IF(A205="N/A"," ",Perstart/VLOOKUP(Dayrun,'Pricing Inputs'!$AQ$4:$AS$14,3)/(CY205/CX205))</f>
        <v> </v>
      </c>
      <c r="H205" s="288" t="str">
        <f aca="false">IF(A205="N/A"," ",SUM(E205:G205))</f>
        <v> </v>
      </c>
      <c r="I205" s="289" t="str">
        <f aca="false">VLOOKUP($A205,ScaledPrice,6)</f>
        <v> </v>
      </c>
      <c r="J205" s="290" t="str">
        <f aca="false">VLOOKUP($A205,ScaledPrice,10)</f>
        <v> </v>
      </c>
      <c r="K205" s="290" t="str">
        <f aca="false">VLOOKUP($A205,ScaledPrice,13)</f>
        <v> </v>
      </c>
      <c r="L205" s="290" t="str">
        <f aca="false">VLOOKUP($A205,ScaledPrice,7)</f>
        <v> </v>
      </c>
      <c r="M205" s="290" t="str">
        <f aca="false">VLOOKUP($A205,ScaledPrice,11)</f>
        <v> </v>
      </c>
      <c r="N205" s="290" t="str">
        <f aca="false">VLOOKUP($A205,ScaledPrice,13)</f>
        <v> </v>
      </c>
      <c r="O205" s="290" t="str">
        <f aca="false">VLOOKUP($A205,ScaledPrice,8)</f>
        <v> </v>
      </c>
      <c r="P205" s="290" t="str">
        <f aca="false">VLOOKUP($A205,ScaledPrice,12)</f>
        <v> </v>
      </c>
      <c r="Q205" s="291" t="str">
        <f aca="false">VLOOKUP($A205,ScaledPrice,13)</f>
        <v> </v>
      </c>
      <c r="R205" s="292" t="str">
        <f aca="false">IF($A205="N/A"," ",IF(Dayrun&gt;=3,IF(Option=1,MAX($I205-$H205,0),IF(Option=2,MAX($H205-$I205,0),0)),0))</f>
        <v> </v>
      </c>
      <c r="S205" s="286" t="str">
        <f aca="false">IF($A205="N/A"," ",IF(Dayrun&gt;=6,IF(Option=1,MAX($J205-H205,0),IF(Option=2,MAX(H205-$J205,0),0)),0))</f>
        <v> </v>
      </c>
      <c r="T205" s="286" t="str">
        <f aca="false">IF($A205="N/A"," ",IF(OR(Dayrun&lt;=2,Dayrun&gt;=9),IF(Option=1,MAX($K205-$H205,0),IF(Option=2,MAX($H205-$K205,0),0)),0))</f>
        <v> </v>
      </c>
      <c r="U205" s="286" t="str">
        <f aca="false">IF($A205="N/A"," ",IF(OR(Dayrun=1,Dayrun=4,Dayrun=5,Dayrun=7,Dayrun=8,Dayrun=10,Dayrun=11),IF(Option=1,MAX($L205-H205,0),IF(Option=2,MAX(H205-$L205,0),0)),0))</f>
        <v> </v>
      </c>
      <c r="V205" s="286" t="str">
        <f aca="false">IF($A205="N/A"," ",IF(OR(Dayrun=1,Dayrun=7,Dayrun=8,Dayrun=10,Dayrun=11),IF(Option=1,MAX($M205-H205,0),IF(Option=2,MAX(H205-$M205,0),0)),0))</f>
        <v> </v>
      </c>
      <c r="W205" s="286" t="str">
        <f aca="false">IF($A205="N/A"," ",IF(OR(Dayrun&lt;=2,Dayrun&gt;=10),IF(Option=1,MAX($N205-$H205,0),IF(Option=2,MAX($H205-$N205,0),0)),0))</f>
        <v> </v>
      </c>
      <c r="X205" s="286" t="str">
        <f aca="false">IF($A205="N/A"," ",IF(OR(Dayrun=1,Dayrun=5,Dayrun=8,Dayrun=11),IF(Option=1,MAX($O205-H205,0),IF(Option=2,MAX(H205-$O205,0),0)),0))</f>
        <v> </v>
      </c>
      <c r="Y205" s="286" t="str">
        <f aca="false">IF($A205="N/A"," ",IF(OR(Dayrun=1,Dayrun=8,Dayrun=11),IF(Option=1,MAX($P205-H205,0),IF(Option=2,MAX(H205-$P205,0),0)),0))</f>
        <v> </v>
      </c>
      <c r="Z205" s="293" t="str">
        <f aca="false">IF($A205="N/A"," ",IF(OR(Dayrun&lt;=2,Dayrun&gt;=11),IF(Option=1,MAX($Q205-$H205,0),IF(Option=2,MAX($H205-$Q205,0),0)),0))</f>
        <v> </v>
      </c>
      <c r="AA205" s="289" t="str">
        <f aca="false">IF($A205="N/A"," ",IF(Dayrun&gt;=3,(MAX(0,(xSPRDOPT(I205,($E205-'Pricing Inputs'!$X240*$D205),$CV205,0,($CN205+IF(Smile=TRUE(),VLOOKUP(MAX(-5,$H205-I205),Volsmile,2),0)),$CT205,$CU205,($A205-DateToday)+15,ABS(Option-2),0)-R205))),0))</f>
        <v> </v>
      </c>
      <c r="AB205" s="290" t="str">
        <f aca="false">IF($A205="N/A"," ",IF(Dayrun&gt;=6,MAX(0,(xSPRDOPT(J205,($E205-'Pricing Inputs'!$X240*$D205),$CV205,0,($CN205+IF(Smile=TRUE(),VLOOKUP(MAX(-5,$H205-J205),Volsmile,2),0)),$CT205,$CU205,($A205-DateToday)+15,ABS(Option-2),0)-S205)),0))</f>
        <v> </v>
      </c>
      <c r="AC205" s="290" t="str">
        <f aca="false">IF($A205="N/A"," ",IF(OR(Dayrun&lt;=2,Dayrun&gt;=9),IF(OffPeakEx=TRUE(),MAX(0,(xSPRDOPT(K205,($E205-'Pricing Inputs'!$X240*$D205),$CV205,0,($CQ205+IF(Smile=TRUE(),VLOOKUP(MAX(-5,$H205-K205),Volsmile,2),0)),$CT205,$CU205,($A205-DateToday)+15,ABS(Option-2),0)-T205)),0),0))</f>
        <v> </v>
      </c>
      <c r="AD205" s="290" t="str">
        <f aca="false">IF($A205="N/A"," ",IF(OR(Dayrun=1,Dayrun=4,Dayrun=5,Dayrun=7,Dayrun=8,Dayrun=10,Dayrun=11),MAX(0,(xSPRDOPT(L205,($E205-'Pricing Inputs'!$X240*$D205),$CV205,0,($CQ205+IF(Smile=TRUE(),VLOOKUP(MAX(-5,$H205-L205),Volsmile,2),0)),$CT205,$CU205,($A205-DateToday)+15,ABS(Option-2),0)-U205)),0))</f>
        <v> </v>
      </c>
      <c r="AE205" s="290" t="str">
        <f aca="false">IF($A205="N/A"," ",IF(OR(Dayrun=1,Dayrun=7,Dayrun=8,Dayrun=10,Dayrun=11),MAX(0,(xSPRDOPT(M205,($E205-'Pricing Inputs'!$X240*$D205),$CV205,0,($CQ205+IF(Smile=TRUE(),VLOOKUP(MAX(-5,$H205-M205),Volsmile,2),0)),$CT205,$CU205,($A205-DateToday)+15,ABS(Option-2),0)-V205)),0))</f>
        <v> </v>
      </c>
      <c r="AF205" s="290" t="str">
        <f aca="false">IF($A205="N/A"," ",IF(OR(Dayrun&lt;=2,Dayrun&gt;=10),IF(OffPeakEx=TRUE(),MAX(0,(xSPRDOPT(N205,($E205-'Pricing Inputs'!$X240*$D205),$CV205,0,($CQ205+IF(Smile=TRUE(),VLOOKUP(MAX(-5,$H205-N205),Volsmile,2),0)),$CT205,$CU205,($A205-DateToday)+15,ABS(Option-2),0)-W205)),0),0))</f>
        <v> </v>
      </c>
      <c r="AG205" s="290" t="str">
        <f aca="false">IF($A205="N/A"," ",IF(OR(Dayrun=1,Dayrun=5,Dayrun=8,Dayrun=11),MAX(0,(xSPRDOPT(O205,($E205-'Pricing Inputs'!$X240*$D205),$CV205,0,($CQ205+IF(Smile=TRUE(),VLOOKUP(MAX(-5,$H205-O205),Volsmile,2),0)),$CT205,$CU205,($A205-DateToday)+15,ABS(Option-2),0)-X205)),0))</f>
        <v> </v>
      </c>
      <c r="AH205" s="290" t="str">
        <f aca="false">IF($A205="N/A"," ",IF(OR(Dayrun=1,Dayrun=8,Dayrun=11),MAX(0,(xSPRDOPT(P205,($E205-'Pricing Inputs'!$X240*$D205),$CV205,0,($CQ205+IF(Smile=TRUE(),VLOOKUP(MAX(-5,$H205-P205),Volsmile,2),0)),$CT205,$CU205,($A205-DateToday)+15,ABS(Option-2),0)-Y205)),0))</f>
        <v> </v>
      </c>
      <c r="AI205" s="290" t="str">
        <f aca="false">IF($A205="N/A"," ",IF(OR(Dayrun&lt;=2,Dayrun&gt;=11),IF(OffPeakEx=TRUE(),MAX(0,(xSPRDOPT(Q205,($E205-'Pricing Inputs'!$X240*$D205),$CV205,0,($CQ205+IF(Smile=TRUE(),VLOOKUP(MAX(-5,$H205-Q205),Volsmile,2),0)),$CT205,$CU205,($A205-DateToday)+15,ABS(Option-2),0)-Z205)),0),0))</f>
        <v> </v>
      </c>
      <c r="AJ205" s="294" t="str">
        <f aca="false">IF($A205="N/A"," ",IF(Dayrun&gt;=3,IF(Option=1,$I205-$H205,IF(Option=2,$H205-$I205)),0))</f>
        <v> </v>
      </c>
      <c r="AK205" s="295" t="str">
        <f aca="false">IF($A205="N/A"," ",IF(Dayrun&gt;=6,IF(Option=1,$J205-H205,IF(Option=2,H205-$J205)),0))</f>
        <v> </v>
      </c>
      <c r="AL205" s="295" t="str">
        <f aca="false">IF($A205="N/A"," ",IF(OR(Dayrun&lt;=2,Dayrun&gt;=9),IF(Option=1,$K205-$H205,IF(Option=2,$H205-$K205)),0))</f>
        <v> </v>
      </c>
      <c r="AM205" s="295" t="str">
        <f aca="false">IF($A205="N/A"," ",IF(OR(Dayrun=1,Dayrun=4,Dayrun=5,Dayrun=7,Dayrun=8,Dayrun=10,Dayrun=11),IF(Option=1,$L205-H205,IF(Option=2,H205-$L205)),0))</f>
        <v> </v>
      </c>
      <c r="AN205" s="295" t="str">
        <f aca="false">IF($A205="N/A"," ",IF(OR(Dayrun=1,Dayrun=7,Dayrun=8,Dayrun=10,Dayrun=11),IF(Option=1,$M205-H205,IF(Option=2,H205-$M205)),0))</f>
        <v> </v>
      </c>
      <c r="AO205" s="295" t="str">
        <f aca="false">IF($A205="N/A"," ",IF(OR(Dayrun&lt;=2,Dayrun&gt;=9),IF(Option=1,$N205-$H205,IF(Option=2,$H205-$N205)),0))</f>
        <v> </v>
      </c>
      <c r="AP205" s="295" t="str">
        <f aca="false">IF($A205="N/A"," ",IF(OR(Dayrun=1,Dayrun=5,Dayrun=8,Dayrun=11),IF(Option=1,$O205-H205,IF(Option=2,H205-$O205)),0))</f>
        <v> </v>
      </c>
      <c r="AQ205" s="295" t="str">
        <f aca="false">IF($A205="N/A"," ",IF(OR(Dayrun=1,Dayrun=8,Dayrun=11),IF(Option=1,$P205-H205,IF(Option=2,H205-$P205)),0))</f>
        <v> </v>
      </c>
      <c r="AR205" s="296" t="str">
        <f aca="false">IF($A205="N/A"," ",IF(OR(Dayrun&lt;=2,Dayrun&gt;=9),IF(Option=1,$Q205-H205,IF(Option=2,H205-$Q205)),0))</f>
        <v> </v>
      </c>
      <c r="AS205" s="297" t="str">
        <f aca="false">IF($A205="N/A"," ",IF(VLOOKUP(MONTH($A205),ManualTable,2)=1,IF(Dayrun&gt;=3,$DE205*8*$CY205,0),0))</f>
        <v> </v>
      </c>
      <c r="AT205" s="297" t="str">
        <f aca="false">IF($A205="N/A"," ",IF(VLOOKUP(MONTH($A205),ManualTable,3)=1,IF(Dayrun&gt;=6,$DE205*8*$CY205,0),0))</f>
        <v> </v>
      </c>
      <c r="AU205" s="297" t="str">
        <f aca="false">IF($A205="N/A"," ",IF(VLOOKUP(MONTH($A205),ManualTable,4)=1,IF(OR(Dayrun&lt;=2,Dayrun&gt;=9),$DE205*8*$CY205,0),0))</f>
        <v> </v>
      </c>
      <c r="AV205" s="297" t="str">
        <f aca="false">IF($A205="N/A"," ",IF(VLOOKUP(MONTH($A205),ManualTable,5)=1,IF(OR(Dayrun=1,Dayrun=4,Dayrun=5,Dayrun=7,Dayrun=8,Dayrun=10,Dayrun=11),$DF205*8*$CY205,0),0))</f>
        <v> </v>
      </c>
      <c r="AW205" s="297" t="str">
        <f aca="false">IF($A205="N/A"," ",IF(VLOOKUP(MONTH($A205),ManualTable,6)=1,IF(OR(Dayrun=1,Dayrun=7,Dayrun=8,Dayrun=10,Dayrun=11),$DF205*8*$CY205,0),0))</f>
        <v> </v>
      </c>
      <c r="AX205" s="297" t="str">
        <f aca="false">IF($A205="N/A"," ",IF(VLOOKUP(MONTH($A205),ManualTable,7)=1,IF(OR(Dayrun&lt;=2,Dayrun&gt;=9),$DF205*8*$CY205,0),0))</f>
        <v> </v>
      </c>
      <c r="AY205" s="297" t="str">
        <f aca="false">IF($A205="N/A"," ",IF(VLOOKUP(MONTH($A205),ManualTable,8)=1,IF(OR(Dayrun=1,Dayrun=5,Dayrun=8,Dayrun=11),$DG205*8*$CY205,0),0))</f>
        <v> </v>
      </c>
      <c r="AZ205" s="297" t="str">
        <f aca="false">IF($A205="N/A"," ",IF(VLOOKUP(MONTH($A205),ManualTable,9)=1,IF(OR(Dayrun=1,Dayrun=8,Dayrun=11),$DG205*8*$CY205,0),0))</f>
        <v> </v>
      </c>
      <c r="BA205" s="298" t="str">
        <f aca="false">IF($A205="N/A"," ",IF(VLOOKUP(MONTH($A205),ManualTable,10)=1,IF(OR(Dayrun&lt;=2,Dayrun&gt;=9),$DG205*8*$CY205,0),0))</f>
        <v> </v>
      </c>
      <c r="BB205" s="299" t="str">
        <f aca="false">IF($A205="N/A"," ",IF(Dayrun&gt;=3,(MAX(0,(xSPRDOPT(I205,($E205-'Pricing Inputs'!$X240*$D205),$CV205,0,($CN205+IF(Smile=TRUE(),VLOOKUP(MAX(-5,$H205-I205),Volsmile,2),0)),$CT205,$CU205,($A205-DateToday)+15,ABS(Option-2),1)*DE205*8))),0))</f>
        <v> </v>
      </c>
      <c r="BC205" s="300" t="str">
        <f aca="false">IF($A205="N/A"," ",IF(Dayrun&gt;=6,MAX(0,(xSPRDOPT(J205,($E205-'Pricing Inputs'!$X240*$D205),$CV205,0,($CN205+IF(Smile=TRUE(),VLOOKUP(MAX(-5,$H205-J205),Volsmile,2),0)),$CT205,$CU205,($A205-DateToday)+15,ABS(Option-2),1)*DE205*8)),0))</f>
        <v> </v>
      </c>
      <c r="BD205" s="300" t="str">
        <f aca="false">IF($A205="N/A"," ",IF(OR(Dayrun&lt;=2,Dayrun&gt;=9),IF(OffPeakEx=TRUE(),MAX(0,(xSPRDOPT(K205,($E205-'Pricing Inputs'!$X240*$D205),$CV205,0,($CQ205+IF(Smile=TRUE(),VLOOKUP(MAX(-5,$H205-K205),Volsmile,2),0)),$CT205,$CU205,($A205-DateToday)+15,ABS(Option-2),1)*DE205*8)),0),0))</f>
        <v> </v>
      </c>
      <c r="BE205" s="300" t="str">
        <f aca="false">IF($A205="N/A"," ",IF(OR(Dayrun=1,Dayrun=4,Dayrun=5,Dayrun=7,Dayrun=8,Dayrun=10,Dayrun=11),MAX(0,(xSPRDOPT(L205,($E205-'Pricing Inputs'!$X240*$D205),$CV205,0,($CQ205+IF(Smile=TRUE(),VLOOKUP(MAX(-5,$H205-L205),Volsmile,2),0)),$CT205,$CU205,($A205-DateToday)+15,ABS(Option-2),1)*DF205*8)),0))</f>
        <v> </v>
      </c>
      <c r="BF205" s="300" t="str">
        <f aca="false">IF($A205="N/A"," ",IF(OR(Dayrun=1,Dayrun=7,Dayrun=8,Dayrun=10,Dayrun=11),MAX(0,(xSPRDOPT(M205,($E205-'Pricing Inputs'!$X240*$D205),$CV205,0,($CQ205+IF(Smile=TRUE(),VLOOKUP(MAX(-5,$H205-M205),Volsmile,2),0)),$CT205,$CU205,($A205-DateToday)+15,ABS(Option-2),1)*DF205*8)),0))</f>
        <v> </v>
      </c>
      <c r="BG205" s="300" t="str">
        <f aca="false">IF($A205="N/A"," ",IF(OR(Dayrun&lt;=2,Dayrun&gt;=10),IF(OffPeakEx=TRUE(),MAX(0,(xSPRDOPT(N205,($E205-'Pricing Inputs'!$X240*$D205),$CV205,0,($CQ205+IF(Smile=TRUE(),VLOOKUP(MAX(-5,$H205-N205),Volsmile,2),0)),$CT205,$CU205,($A205-DateToday)+15,ABS(Option-2),1)*DF205*8)),0),0))</f>
        <v> </v>
      </c>
      <c r="BH205" s="300" t="str">
        <f aca="false">IF($A205="N/A"," ",IF(OR(Dayrun=1,Dayrun=5,Dayrun=8,Dayrun=11),MAX(0,(xSPRDOPT(O205,($E205-'Pricing Inputs'!$X240*$D205),$CV205,0,($CQ205+IF(Smile=TRUE(),VLOOKUP(MAX(-5,$H205-O205),Volsmile,2),0)),$CT205,$CU205,($A205-DateToday)+15,ABS(Option-2),1)*DG205*8)),0))</f>
        <v> </v>
      </c>
      <c r="BI205" s="300" t="str">
        <f aca="false">IF($A205="N/A"," ",IF(OR(Dayrun=1,Dayrun=8,Dayrun=11),MAX(0,(xSPRDOPT(P205,($E205-'Pricing Inputs'!$X240*$D205),$CV205,0,($CQ205+IF(Smile=TRUE(),VLOOKUP(MAX(-5,$H205-P205),Volsmile,2),0)),$CT205,$CU205,($A205-DateToday)+15,ABS(Option-2),1)*DG205*8)),0))</f>
        <v> </v>
      </c>
      <c r="BJ205" s="301" t="str">
        <f aca="false">IF($A205="N/A"," ",IF(OR(Dayrun&lt;=2,Dayrun&gt;=11),IF(OffPeakEx=TRUE(),MAX(0,(xSPRDOPT(Q205,($E205-'Pricing Inputs'!$X240*$D205),$CV205,0,($CQ205+IF(Smile=TRUE(),VLOOKUP(MAX(-5,$H205-Q205),Volsmile,2),0)),$CT205,$CU205,($A205-DateToday)+15,ABS(Option-2),1)*DG205*8)),0),0))</f>
        <v> </v>
      </c>
      <c r="BK205" s="302" t="str">
        <f aca="false">IF($A205="N/A"," ",R205*$AS205)</f>
        <v> </v>
      </c>
      <c r="BL205" s="303" t="str">
        <f aca="false">IF($A205="N/A"," ",S205*$AT205)</f>
        <v> </v>
      </c>
      <c r="BM205" s="303" t="str">
        <f aca="false">IF($A205="N/A"," ",T205*$AU205)</f>
        <v> </v>
      </c>
      <c r="BN205" s="303" t="str">
        <f aca="false">IF($A205="N/A"," ",U205*$AV205)</f>
        <v> </v>
      </c>
      <c r="BO205" s="303" t="str">
        <f aca="false">IF($A205="N/A"," ",V205*$AW205)</f>
        <v> </v>
      </c>
      <c r="BP205" s="303" t="str">
        <f aca="false">IF($A205="N/A"," ",W205*$AX205)</f>
        <v> </v>
      </c>
      <c r="BQ205" s="303" t="str">
        <f aca="false">IF($A205="N/A"," ",X205*$AY205)</f>
        <v> </v>
      </c>
      <c r="BR205" s="303" t="str">
        <f aca="false">IF($A205="N/A"," ",Y205*$AZ205)</f>
        <v> </v>
      </c>
      <c r="BS205" s="304" t="str">
        <f aca="false">IF($A205="N/A"," ",Z205*$BA205)</f>
        <v> </v>
      </c>
      <c r="BT205" s="305" t="str">
        <f aca="false">IF($A205="N/A"," ",AA205*$AS205)</f>
        <v> </v>
      </c>
      <c r="BU205" s="306" t="str">
        <f aca="false">IF($A205="N/A"," ",AB205*$AT205)</f>
        <v> </v>
      </c>
      <c r="BV205" s="306" t="str">
        <f aca="false">IF($A205="N/A"," ",AC205*$AU205)</f>
        <v> </v>
      </c>
      <c r="BW205" s="306" t="str">
        <f aca="false">IF($A205="N/A"," ",AD205*$AV205)</f>
        <v> </v>
      </c>
      <c r="BX205" s="306" t="str">
        <f aca="false">IF($A205="N/A"," ",AE205*$AW205)</f>
        <v> </v>
      </c>
      <c r="BY205" s="306" t="str">
        <f aca="false">IF($A205="N/A"," ",AF205*$AX205)</f>
        <v> </v>
      </c>
      <c r="BZ205" s="306" t="str">
        <f aca="false">IF($A205="N/A"," ",AG205*$AY205)</f>
        <v> </v>
      </c>
      <c r="CA205" s="306" t="str">
        <f aca="false">IF($A205="N/A"," ",AH205*$AZ205)</f>
        <v> </v>
      </c>
      <c r="CB205" s="307" t="str">
        <f aca="false">IF($A205="N/A"," ",AI205*$BA205)</f>
        <v> </v>
      </c>
      <c r="CC205" s="308" t="str">
        <f aca="false">IF($A205="N/A"," ",AJ205*$AS205)</f>
        <v> </v>
      </c>
      <c r="CD205" s="309" t="str">
        <f aca="false">IF($A205="N/A"," ",AK205*$AT205)</f>
        <v> </v>
      </c>
      <c r="CE205" s="309" t="str">
        <f aca="false">IF($A205="N/A"," ",AL205*$AU205)</f>
        <v> </v>
      </c>
      <c r="CF205" s="309" t="str">
        <f aca="false">IF($A205="N/A"," ",AM205*$AV205)</f>
        <v> </v>
      </c>
      <c r="CG205" s="309" t="str">
        <f aca="false">IF($A205="N/A"," ",AN205*$AW205)</f>
        <v> </v>
      </c>
      <c r="CH205" s="309" t="str">
        <f aca="false">IF($A205="N/A"," ",AO205*$AX205)</f>
        <v> </v>
      </c>
      <c r="CI205" s="309" t="str">
        <f aca="false">IF($A205="N/A"," ",AP205*$AY205)</f>
        <v> </v>
      </c>
      <c r="CJ205" s="309" t="str">
        <f aca="false">IF($A205="N/A"," ",AQ205*$AZ205)</f>
        <v> </v>
      </c>
      <c r="CK205" s="310" t="str">
        <f aca="false">IF($A205="N/A"," ",AR205*$BA205)</f>
        <v> </v>
      </c>
      <c r="CL205" s="311" t="str">
        <f aca="false">IF(A205="N/A"," ",(VLOOKUP(A205,PowerVolTable,(IF(VolBMO=2,7,IF(VolBMO=1,6,8))),FALSE())))</f>
        <v> </v>
      </c>
      <c r="CM205" s="312" t="str">
        <f aca="false">IF(A205="N/A"," ",(VLOOKUP(A205,IntraPowerVol,(IF(VolBMO=2,3,IF(VolBMO=1,2,4))),FALSE())*VLOOKUP(MONTH($A205),Volscale,2)))</f>
        <v> </v>
      </c>
      <c r="CN205" s="312" t="str">
        <f aca="false">IF($A205="N/A"," ",IF(VolType=1,CM205,CL205))</f>
        <v> </v>
      </c>
      <c r="CO205" s="312" t="str">
        <f aca="false">IF($A205="N/A"," ",(VLOOKUP($A205,OffPeakVol,(IF(VolBMO=2,7,IF(VolBMO=1,6,8))),FALSE())))</f>
        <v> </v>
      </c>
      <c r="CP205" s="312" t="str">
        <f aca="false">IF($A205="N/A"," ",(VLOOKUP($A205,OffPeakVol,(IF(VolBMO=2,3,IF(VolBMO=1,2,4))),FALSE())*VLOOKUP(MONTH($A205),Volscale,2)))</f>
        <v> </v>
      </c>
      <c r="CQ205" s="312" t="str">
        <f aca="false">IF($A205="N/A"," ",IF(VolType=1,CP205,CO205))</f>
        <v> </v>
      </c>
      <c r="CR205" s="312" t="str">
        <f aca="false">IF($A205="N/A"," ",(VLOOKUP($A205,GasVolTable,(IF(VolBMO=2,6,IF(VolBMO=1,7,5))),FALSE())))</f>
        <v> </v>
      </c>
      <c r="CS205" s="312" t="str">
        <f aca="false">IF($A205="N/A"," ",(VLOOKUP($A205,OmicronVol,(IF(VolBMO=2,3,IF(VolBMO=1,4,2))),FALSE())))</f>
        <v> </v>
      </c>
      <c r="CT205" s="312" t="str">
        <f aca="false">IF($A205="N/A"," ",(IF(DateToday&gt;$A205,$CS205,IF(VolType=1,((($CR205^2)*((($A205-1)-DateToday)/((EOMONTH($A205,0)+1)-DateToday-15)))+((($CS205)^2)*((15)/((EOMONTH($A205,0)+1)-DateToday-15))))^0.5,CR205))))</f>
        <v> </v>
      </c>
      <c r="CU205" s="312" t="str">
        <f aca="false">IF($A205="N/A"," ",IF('Pricing Inputs'!$AR$23=TRUE(),Inputs!$S$22,VLOOKUP($A205,CorrelationTable,2,FALSE())))</f>
        <v> </v>
      </c>
      <c r="CV205" s="313" t="str">
        <f aca="false">IF($A205="N/A"," ",F205+G205+(D205*('Pricing Inputs'!X240)))</f>
        <v> </v>
      </c>
      <c r="CW205" s="314" t="str">
        <f aca="false">IF($A205="N/A"," ",IF(PV=1,0,'Pricing Inputs'!Y240))</f>
        <v> </v>
      </c>
      <c r="CX205" s="315" t="str">
        <f aca="false">IF($A205="N/A"," ",(1+CW205/2)^(-2*((EOMONTH(A205,0)+20)-DateToday)/365.25))</f>
        <v> </v>
      </c>
      <c r="CY205" s="316" t="str">
        <f aca="false">IF($A205="N/A"," ",(IF(MONTH(A205)&gt;=4,IF(MONTH(A205)&lt;=10,Inputs!$S$26,Inputs!$S$27),Inputs!$S$27))*$CX205)</f>
        <v> </v>
      </c>
      <c r="CZ205" s="317" t="str">
        <f aca="false">IF($A205="N/A"," ",BK205+BL205+BN205+BO205+BQ205+BR205)</f>
        <v> </v>
      </c>
      <c r="DA205" s="318" t="str">
        <f aca="false">IF($A205="N/A"," ",BM205+BP205+BS205)</f>
        <v> </v>
      </c>
      <c r="DB205" s="319" t="str">
        <f aca="false">IF($A205="N/A"," ",BT205+BU205+BW205+BX205+BZ205+CA205)</f>
        <v> </v>
      </c>
      <c r="DC205" s="319" t="str">
        <f aca="false">IF($A205="N/A"," ",BV205+BY205+CB205)</f>
        <v> </v>
      </c>
      <c r="DD205" s="320" t="str">
        <f aca="false">IF($A205="N/A"," ",SUM(CC205:CK205))</f>
        <v> </v>
      </c>
      <c r="DE205" s="321" t="str">
        <f aca="false">IF($A205="N/A"," ",VLOOKUP($A205,NumberofDaysTable,2)*Availability)</f>
        <v> </v>
      </c>
      <c r="DF205" s="94" t="str">
        <f aca="false">IF($A205="N/A"," ",VLOOKUP($A205,NumberofDaysTable,3)*Availability)</f>
        <v> </v>
      </c>
      <c r="DG205" s="322" t="str">
        <f aca="false">IF($A205="N/A"," ",VLOOKUP($A205,NumberofDaysTable,4)*Availability)</f>
        <v> </v>
      </c>
      <c r="DH205" s="323" t="str">
        <f aca="false">IF($A205="N/A"," ",IF(Option=1,$D205*Inputs!$S$15*SUM(AS205:BA205),0))</f>
        <v> </v>
      </c>
      <c r="DI205" s="324" t="str">
        <f aca="false">IF($A205="N/A"," ",IF(Option=1,$D205*Inputs!$S$16*SUM(AS205:BA205),0))</f>
        <v> </v>
      </c>
      <c r="DJ205" s="325" t="str">
        <f aca="false">IF($A205="N/A"," ",SUM(AS205:AT205))</f>
        <v> </v>
      </c>
      <c r="DK205" s="325" t="str">
        <f aca="false">IF($A205="N/A"," ",SUM(AU205:BA205))</f>
        <v> </v>
      </c>
      <c r="DL205" s="325" t="str">
        <f aca="false">IF($A205="N/A"," ",SUM(BB205:BC205))</f>
        <v> </v>
      </c>
      <c r="DM205" s="325" t="str">
        <f aca="false">IF($A205="N/A"," ",SUM(BD205:BJ205))</f>
        <v> </v>
      </c>
    </row>
    <row r="206" customFormat="false" ht="12.75" hidden="false" customHeight="false" outlineLevel="0" collapsed="false">
      <c r="A206" s="282" t="str">
        <f aca="false">IF(A205="N/A","N/A",IF(EDATE(A205,1)&gt;Inputs!$S$5,"N/A",EDATE(A205,1)))</f>
        <v>N/A</v>
      </c>
      <c r="B206" s="283" t="str">
        <f aca="false">IF(A206="N/A"," ",YEAR(A206))</f>
        <v> </v>
      </c>
      <c r="C206" s="284" t="str">
        <f aca="false">IF(A206="N/A"," ",VLOOKUP(A206,ScaledPrice,14))</f>
        <v> </v>
      </c>
      <c r="D206" s="285" t="str">
        <f aca="false">IF(A206="N/A"," ",(VLOOKUP(MONTH($A206),Hrtable,2))/1000)</f>
        <v> </v>
      </c>
      <c r="E206" s="286" t="str">
        <f aca="false">IF($A206="N/A"," ",(C206)*D206)</f>
        <v> </v>
      </c>
      <c r="F206" s="287" t="str">
        <f aca="false">IF(A206="N/A"," ",VOM*(1+VOMesc)^(YEAR(A206)-YEAR(Today)))</f>
        <v> </v>
      </c>
      <c r="G206" s="287" t="str">
        <f aca="false">IF(A206="N/A"," ",Perstart/VLOOKUP(Dayrun,'Pricing Inputs'!$AQ$4:$AS$14,3)/(CY206/CX206))</f>
        <v> </v>
      </c>
      <c r="H206" s="288" t="str">
        <f aca="false">IF(A206="N/A"," ",SUM(E206:G206))</f>
        <v> </v>
      </c>
      <c r="I206" s="289" t="str">
        <f aca="false">VLOOKUP($A206,ScaledPrice,6)</f>
        <v> </v>
      </c>
      <c r="J206" s="290" t="str">
        <f aca="false">VLOOKUP($A206,ScaledPrice,10)</f>
        <v> </v>
      </c>
      <c r="K206" s="290" t="str">
        <f aca="false">VLOOKUP($A206,ScaledPrice,13)</f>
        <v> </v>
      </c>
      <c r="L206" s="290" t="str">
        <f aca="false">VLOOKUP($A206,ScaledPrice,7)</f>
        <v> </v>
      </c>
      <c r="M206" s="290" t="str">
        <f aca="false">VLOOKUP($A206,ScaledPrice,11)</f>
        <v> </v>
      </c>
      <c r="N206" s="290" t="str">
        <f aca="false">VLOOKUP($A206,ScaledPrice,13)</f>
        <v> </v>
      </c>
      <c r="O206" s="290" t="str">
        <f aca="false">VLOOKUP($A206,ScaledPrice,8)</f>
        <v> </v>
      </c>
      <c r="P206" s="290" t="str">
        <f aca="false">VLOOKUP($A206,ScaledPrice,12)</f>
        <v> </v>
      </c>
      <c r="Q206" s="291" t="str">
        <f aca="false">VLOOKUP($A206,ScaledPrice,13)</f>
        <v> </v>
      </c>
      <c r="R206" s="292" t="str">
        <f aca="false">IF($A206="N/A"," ",IF(Dayrun&gt;=3,IF(Option=1,MAX($I206-$H206,0),IF(Option=2,MAX($H206-$I206,0),0)),0))</f>
        <v> </v>
      </c>
      <c r="S206" s="286" t="str">
        <f aca="false">IF($A206="N/A"," ",IF(Dayrun&gt;=6,IF(Option=1,MAX($J206-H206,0),IF(Option=2,MAX(H206-$J206,0),0)),0))</f>
        <v> </v>
      </c>
      <c r="T206" s="286" t="str">
        <f aca="false">IF($A206="N/A"," ",IF(OR(Dayrun&lt;=2,Dayrun&gt;=9),IF(Option=1,MAX($K206-$H206,0),IF(Option=2,MAX($H206-$K206,0),0)),0))</f>
        <v> </v>
      </c>
      <c r="U206" s="286" t="str">
        <f aca="false">IF($A206="N/A"," ",IF(OR(Dayrun=1,Dayrun=4,Dayrun=5,Dayrun=7,Dayrun=8,Dayrun=10,Dayrun=11),IF(Option=1,MAX($L206-H206,0),IF(Option=2,MAX(H206-$L206,0),0)),0))</f>
        <v> </v>
      </c>
      <c r="V206" s="286" t="str">
        <f aca="false">IF($A206="N/A"," ",IF(OR(Dayrun=1,Dayrun=7,Dayrun=8,Dayrun=10,Dayrun=11),IF(Option=1,MAX($M206-H206,0),IF(Option=2,MAX(H206-$M206,0),0)),0))</f>
        <v> </v>
      </c>
      <c r="W206" s="286" t="str">
        <f aca="false">IF($A206="N/A"," ",IF(OR(Dayrun&lt;=2,Dayrun&gt;=10),IF(Option=1,MAX($N206-$H206,0),IF(Option=2,MAX($H206-$N206,0),0)),0))</f>
        <v> </v>
      </c>
      <c r="X206" s="286" t="str">
        <f aca="false">IF($A206="N/A"," ",IF(OR(Dayrun=1,Dayrun=5,Dayrun=8,Dayrun=11),IF(Option=1,MAX($O206-H206,0),IF(Option=2,MAX(H206-$O206,0),0)),0))</f>
        <v> </v>
      </c>
      <c r="Y206" s="286" t="str">
        <f aca="false">IF($A206="N/A"," ",IF(OR(Dayrun=1,Dayrun=8,Dayrun=11),IF(Option=1,MAX($P206-H206,0),IF(Option=2,MAX(H206-$P206,0),0)),0))</f>
        <v> </v>
      </c>
      <c r="Z206" s="293" t="str">
        <f aca="false">IF($A206="N/A"," ",IF(OR(Dayrun&lt;=2,Dayrun&gt;=11),IF(Option=1,MAX($Q206-$H206,0),IF(Option=2,MAX($H206-$Q206,0),0)),0))</f>
        <v> </v>
      </c>
      <c r="AA206" s="289" t="str">
        <f aca="false">IF($A206="N/A"," ",IF(Dayrun&gt;=3,(MAX(0,(xSPRDOPT(I206,($E206-'Pricing Inputs'!$X241*$D206),$CV206,0,($CN206+IF(Smile=TRUE(),VLOOKUP(MAX(-5,$H206-I206),Volsmile,2),0)),$CT206,$CU206,($A206-DateToday)+15,ABS(Option-2),0)-R206))),0))</f>
        <v> </v>
      </c>
      <c r="AB206" s="290" t="str">
        <f aca="false">IF($A206="N/A"," ",IF(Dayrun&gt;=6,MAX(0,(xSPRDOPT(J206,($E206-'Pricing Inputs'!$X241*$D206),$CV206,0,($CN206+IF(Smile=TRUE(),VLOOKUP(MAX(-5,$H206-J206),Volsmile,2),0)),$CT206,$CU206,($A206-DateToday)+15,ABS(Option-2),0)-S206)),0))</f>
        <v> </v>
      </c>
      <c r="AC206" s="290" t="str">
        <f aca="false">IF($A206="N/A"," ",IF(OR(Dayrun&lt;=2,Dayrun&gt;=9),IF(OffPeakEx=TRUE(),MAX(0,(xSPRDOPT(K206,($E206-'Pricing Inputs'!$X241*$D206),$CV206,0,($CQ206+IF(Smile=TRUE(),VLOOKUP(MAX(-5,$H206-K206),Volsmile,2),0)),$CT206,$CU206,($A206-DateToday)+15,ABS(Option-2),0)-T206)),0),0))</f>
        <v> </v>
      </c>
      <c r="AD206" s="290" t="str">
        <f aca="false">IF($A206="N/A"," ",IF(OR(Dayrun=1,Dayrun=4,Dayrun=5,Dayrun=7,Dayrun=8,Dayrun=10,Dayrun=11),MAX(0,(xSPRDOPT(L206,($E206-'Pricing Inputs'!$X241*$D206),$CV206,0,($CQ206+IF(Smile=TRUE(),VLOOKUP(MAX(-5,$H206-L206),Volsmile,2),0)),$CT206,$CU206,($A206-DateToday)+15,ABS(Option-2),0)-U206)),0))</f>
        <v> </v>
      </c>
      <c r="AE206" s="290" t="str">
        <f aca="false">IF($A206="N/A"," ",IF(OR(Dayrun=1,Dayrun=7,Dayrun=8,Dayrun=10,Dayrun=11),MAX(0,(xSPRDOPT(M206,($E206-'Pricing Inputs'!$X241*$D206),$CV206,0,($CQ206+IF(Smile=TRUE(),VLOOKUP(MAX(-5,$H206-M206),Volsmile,2),0)),$CT206,$CU206,($A206-DateToday)+15,ABS(Option-2),0)-V206)),0))</f>
        <v> </v>
      </c>
      <c r="AF206" s="290" t="str">
        <f aca="false">IF($A206="N/A"," ",IF(OR(Dayrun&lt;=2,Dayrun&gt;=10),IF(OffPeakEx=TRUE(),MAX(0,(xSPRDOPT(N206,($E206-'Pricing Inputs'!$X241*$D206),$CV206,0,($CQ206+IF(Smile=TRUE(),VLOOKUP(MAX(-5,$H206-N206),Volsmile,2),0)),$CT206,$CU206,($A206-DateToday)+15,ABS(Option-2),0)-W206)),0),0))</f>
        <v> </v>
      </c>
      <c r="AG206" s="290" t="str">
        <f aca="false">IF($A206="N/A"," ",IF(OR(Dayrun=1,Dayrun=5,Dayrun=8,Dayrun=11),MAX(0,(xSPRDOPT(O206,($E206-'Pricing Inputs'!$X241*$D206),$CV206,0,($CQ206+IF(Smile=TRUE(),VLOOKUP(MAX(-5,$H206-O206),Volsmile,2),0)),$CT206,$CU206,($A206-DateToday)+15,ABS(Option-2),0)-X206)),0))</f>
        <v> </v>
      </c>
      <c r="AH206" s="290" t="str">
        <f aca="false">IF($A206="N/A"," ",IF(OR(Dayrun=1,Dayrun=8,Dayrun=11),MAX(0,(xSPRDOPT(P206,($E206-'Pricing Inputs'!$X241*$D206),$CV206,0,($CQ206+IF(Smile=TRUE(),VLOOKUP(MAX(-5,$H206-P206),Volsmile,2),0)),$CT206,$CU206,($A206-DateToday)+15,ABS(Option-2),0)-Y206)),0))</f>
        <v> </v>
      </c>
      <c r="AI206" s="290" t="str">
        <f aca="false">IF($A206="N/A"," ",IF(OR(Dayrun&lt;=2,Dayrun&gt;=11),IF(OffPeakEx=TRUE(),MAX(0,(xSPRDOPT(Q206,($E206-'Pricing Inputs'!$X241*$D206),$CV206,0,($CQ206+IF(Smile=TRUE(),VLOOKUP(MAX(-5,$H206-Q206),Volsmile,2),0)),$CT206,$CU206,($A206-DateToday)+15,ABS(Option-2),0)-Z206)),0),0))</f>
        <v> </v>
      </c>
      <c r="AJ206" s="294" t="str">
        <f aca="false">IF($A206="N/A"," ",IF(Dayrun&gt;=3,IF(Option=1,$I206-$H206,IF(Option=2,$H206-$I206)),0))</f>
        <v> </v>
      </c>
      <c r="AK206" s="295" t="str">
        <f aca="false">IF($A206="N/A"," ",IF(Dayrun&gt;=6,IF(Option=1,$J206-H206,IF(Option=2,H206-$J206)),0))</f>
        <v> </v>
      </c>
      <c r="AL206" s="295" t="str">
        <f aca="false">IF($A206="N/A"," ",IF(OR(Dayrun&lt;=2,Dayrun&gt;=9),IF(Option=1,$K206-$H206,IF(Option=2,$H206-$K206)),0))</f>
        <v> </v>
      </c>
      <c r="AM206" s="295" t="str">
        <f aca="false">IF($A206="N/A"," ",IF(OR(Dayrun=1,Dayrun=4,Dayrun=5,Dayrun=7,Dayrun=8,Dayrun=10,Dayrun=11),IF(Option=1,$L206-H206,IF(Option=2,H206-$L206)),0))</f>
        <v> </v>
      </c>
      <c r="AN206" s="295" t="str">
        <f aca="false">IF($A206="N/A"," ",IF(OR(Dayrun=1,Dayrun=7,Dayrun=8,Dayrun=10,Dayrun=11),IF(Option=1,$M206-H206,IF(Option=2,H206-$M206)),0))</f>
        <v> </v>
      </c>
      <c r="AO206" s="295" t="str">
        <f aca="false">IF($A206="N/A"," ",IF(OR(Dayrun&lt;=2,Dayrun&gt;=9),IF(Option=1,$N206-$H206,IF(Option=2,$H206-$N206)),0))</f>
        <v> </v>
      </c>
      <c r="AP206" s="295" t="str">
        <f aca="false">IF($A206="N/A"," ",IF(OR(Dayrun=1,Dayrun=5,Dayrun=8,Dayrun=11),IF(Option=1,$O206-H206,IF(Option=2,H206-$O206)),0))</f>
        <v> </v>
      </c>
      <c r="AQ206" s="295" t="str">
        <f aca="false">IF($A206="N/A"," ",IF(OR(Dayrun=1,Dayrun=8,Dayrun=11),IF(Option=1,$P206-H206,IF(Option=2,H206-$P206)),0))</f>
        <v> </v>
      </c>
      <c r="AR206" s="296" t="str">
        <f aca="false">IF($A206="N/A"," ",IF(OR(Dayrun&lt;=2,Dayrun&gt;=9),IF(Option=1,$Q206-H206,IF(Option=2,H206-$Q206)),0))</f>
        <v> </v>
      </c>
      <c r="AS206" s="297" t="str">
        <f aca="false">IF($A206="N/A"," ",IF(VLOOKUP(MONTH($A206),ManualTable,2)=1,IF(Dayrun&gt;=3,$DE206*8*$CY206,0),0))</f>
        <v> </v>
      </c>
      <c r="AT206" s="297" t="str">
        <f aca="false">IF($A206="N/A"," ",IF(VLOOKUP(MONTH($A206),ManualTable,3)=1,IF(Dayrun&gt;=6,$DE206*8*$CY206,0),0))</f>
        <v> </v>
      </c>
      <c r="AU206" s="297" t="str">
        <f aca="false">IF($A206="N/A"," ",IF(VLOOKUP(MONTH($A206),ManualTable,4)=1,IF(OR(Dayrun&lt;=2,Dayrun&gt;=9),$DE206*8*$CY206,0),0))</f>
        <v> </v>
      </c>
      <c r="AV206" s="297" t="str">
        <f aca="false">IF($A206="N/A"," ",IF(VLOOKUP(MONTH($A206),ManualTable,5)=1,IF(OR(Dayrun=1,Dayrun=4,Dayrun=5,Dayrun=7,Dayrun=8,Dayrun=10,Dayrun=11),$DF206*8*$CY206,0),0))</f>
        <v> </v>
      </c>
      <c r="AW206" s="297" t="str">
        <f aca="false">IF($A206="N/A"," ",IF(VLOOKUP(MONTH($A206),ManualTable,6)=1,IF(OR(Dayrun=1,Dayrun=7,Dayrun=8,Dayrun=10,Dayrun=11),$DF206*8*$CY206,0),0))</f>
        <v> </v>
      </c>
      <c r="AX206" s="297" t="str">
        <f aca="false">IF($A206="N/A"," ",IF(VLOOKUP(MONTH($A206),ManualTable,7)=1,IF(OR(Dayrun&lt;=2,Dayrun&gt;=9),$DF206*8*$CY206,0),0))</f>
        <v> </v>
      </c>
      <c r="AY206" s="297" t="str">
        <f aca="false">IF($A206="N/A"," ",IF(VLOOKUP(MONTH($A206),ManualTable,8)=1,IF(OR(Dayrun=1,Dayrun=5,Dayrun=8,Dayrun=11),$DG206*8*$CY206,0),0))</f>
        <v> </v>
      </c>
      <c r="AZ206" s="297" t="str">
        <f aca="false">IF($A206="N/A"," ",IF(VLOOKUP(MONTH($A206),ManualTable,9)=1,IF(OR(Dayrun=1,Dayrun=8,Dayrun=11),$DG206*8*$CY206,0),0))</f>
        <v> </v>
      </c>
      <c r="BA206" s="298" t="str">
        <f aca="false">IF($A206="N/A"," ",IF(VLOOKUP(MONTH($A206),ManualTable,10)=1,IF(OR(Dayrun&lt;=2,Dayrun&gt;=9),$DG206*8*$CY206,0),0))</f>
        <v> </v>
      </c>
      <c r="BB206" s="299" t="str">
        <f aca="false">IF($A206="N/A"," ",IF(Dayrun&gt;=3,(MAX(0,(xSPRDOPT(I206,($E206-'Pricing Inputs'!$X241*$D206),$CV206,0,($CN206+IF(Smile=TRUE(),VLOOKUP(MAX(-5,$H206-I206),Volsmile,2),0)),$CT206,$CU206,($A206-DateToday)+15,ABS(Option-2),1)*DE206*8))),0))</f>
        <v> </v>
      </c>
      <c r="BC206" s="300" t="str">
        <f aca="false">IF($A206="N/A"," ",IF(Dayrun&gt;=6,MAX(0,(xSPRDOPT(J206,($E206-'Pricing Inputs'!$X241*$D206),$CV206,0,($CN206+IF(Smile=TRUE(),VLOOKUP(MAX(-5,$H206-J206),Volsmile,2),0)),$CT206,$CU206,($A206-DateToday)+15,ABS(Option-2),1)*DE206*8)),0))</f>
        <v> </v>
      </c>
      <c r="BD206" s="300" t="str">
        <f aca="false">IF($A206="N/A"," ",IF(OR(Dayrun&lt;=2,Dayrun&gt;=9),IF(OffPeakEx=TRUE(),MAX(0,(xSPRDOPT(K206,($E206-'Pricing Inputs'!$X241*$D206),$CV206,0,($CQ206+IF(Smile=TRUE(),VLOOKUP(MAX(-5,$H206-K206),Volsmile,2),0)),$CT206,$CU206,($A206-DateToday)+15,ABS(Option-2),1)*DE206*8)),0),0))</f>
        <v> </v>
      </c>
      <c r="BE206" s="300" t="str">
        <f aca="false">IF($A206="N/A"," ",IF(OR(Dayrun=1,Dayrun=4,Dayrun=5,Dayrun=7,Dayrun=8,Dayrun=10,Dayrun=11),MAX(0,(xSPRDOPT(L206,($E206-'Pricing Inputs'!$X241*$D206),$CV206,0,($CQ206+IF(Smile=TRUE(),VLOOKUP(MAX(-5,$H206-L206),Volsmile,2),0)),$CT206,$CU206,($A206-DateToday)+15,ABS(Option-2),1)*DF206*8)),0))</f>
        <v> </v>
      </c>
      <c r="BF206" s="300" t="str">
        <f aca="false">IF($A206="N/A"," ",IF(OR(Dayrun=1,Dayrun=7,Dayrun=8,Dayrun=10,Dayrun=11),MAX(0,(xSPRDOPT(M206,($E206-'Pricing Inputs'!$X241*$D206),$CV206,0,($CQ206+IF(Smile=TRUE(),VLOOKUP(MAX(-5,$H206-M206),Volsmile,2),0)),$CT206,$CU206,($A206-DateToday)+15,ABS(Option-2),1)*DF206*8)),0))</f>
        <v> </v>
      </c>
      <c r="BG206" s="300" t="str">
        <f aca="false">IF($A206="N/A"," ",IF(OR(Dayrun&lt;=2,Dayrun&gt;=10),IF(OffPeakEx=TRUE(),MAX(0,(xSPRDOPT(N206,($E206-'Pricing Inputs'!$X241*$D206),$CV206,0,($CQ206+IF(Smile=TRUE(),VLOOKUP(MAX(-5,$H206-N206),Volsmile,2),0)),$CT206,$CU206,($A206-DateToday)+15,ABS(Option-2),1)*DF206*8)),0),0))</f>
        <v> </v>
      </c>
      <c r="BH206" s="300" t="str">
        <f aca="false">IF($A206="N/A"," ",IF(OR(Dayrun=1,Dayrun=5,Dayrun=8,Dayrun=11),MAX(0,(xSPRDOPT(O206,($E206-'Pricing Inputs'!$X241*$D206),$CV206,0,($CQ206+IF(Smile=TRUE(),VLOOKUP(MAX(-5,$H206-O206),Volsmile,2),0)),$CT206,$CU206,($A206-DateToday)+15,ABS(Option-2),1)*DG206*8)),0))</f>
        <v> </v>
      </c>
      <c r="BI206" s="300" t="str">
        <f aca="false">IF($A206="N/A"," ",IF(OR(Dayrun=1,Dayrun=8,Dayrun=11),MAX(0,(xSPRDOPT(P206,($E206-'Pricing Inputs'!$X241*$D206),$CV206,0,($CQ206+IF(Smile=TRUE(),VLOOKUP(MAX(-5,$H206-P206),Volsmile,2),0)),$CT206,$CU206,($A206-DateToday)+15,ABS(Option-2),1)*DG206*8)),0))</f>
        <v> </v>
      </c>
      <c r="BJ206" s="301" t="str">
        <f aca="false">IF($A206="N/A"," ",IF(OR(Dayrun&lt;=2,Dayrun&gt;=11),IF(OffPeakEx=TRUE(),MAX(0,(xSPRDOPT(Q206,($E206-'Pricing Inputs'!$X241*$D206),$CV206,0,($CQ206+IF(Smile=TRUE(),VLOOKUP(MAX(-5,$H206-Q206),Volsmile,2),0)),$CT206,$CU206,($A206-DateToday)+15,ABS(Option-2),1)*DG206*8)),0),0))</f>
        <v> </v>
      </c>
      <c r="BK206" s="302" t="str">
        <f aca="false">IF($A206="N/A"," ",R206*$AS206)</f>
        <v> </v>
      </c>
      <c r="BL206" s="303" t="str">
        <f aca="false">IF($A206="N/A"," ",S206*$AT206)</f>
        <v> </v>
      </c>
      <c r="BM206" s="303" t="str">
        <f aca="false">IF($A206="N/A"," ",T206*$AU206)</f>
        <v> </v>
      </c>
      <c r="BN206" s="303" t="str">
        <f aca="false">IF($A206="N/A"," ",U206*$AV206)</f>
        <v> </v>
      </c>
      <c r="BO206" s="303" t="str">
        <f aca="false">IF($A206="N/A"," ",V206*$AW206)</f>
        <v> </v>
      </c>
      <c r="BP206" s="303" t="str">
        <f aca="false">IF($A206="N/A"," ",W206*$AX206)</f>
        <v> </v>
      </c>
      <c r="BQ206" s="303" t="str">
        <f aca="false">IF($A206="N/A"," ",X206*$AY206)</f>
        <v> </v>
      </c>
      <c r="BR206" s="303" t="str">
        <f aca="false">IF($A206="N/A"," ",Y206*$AZ206)</f>
        <v> </v>
      </c>
      <c r="BS206" s="304" t="str">
        <f aca="false">IF($A206="N/A"," ",Z206*$BA206)</f>
        <v> </v>
      </c>
      <c r="BT206" s="305" t="str">
        <f aca="false">IF($A206="N/A"," ",AA206*$AS206)</f>
        <v> </v>
      </c>
      <c r="BU206" s="306" t="str">
        <f aca="false">IF($A206="N/A"," ",AB206*$AT206)</f>
        <v> </v>
      </c>
      <c r="BV206" s="306" t="str">
        <f aca="false">IF($A206="N/A"," ",AC206*$AU206)</f>
        <v> </v>
      </c>
      <c r="BW206" s="306" t="str">
        <f aca="false">IF($A206="N/A"," ",AD206*$AV206)</f>
        <v> </v>
      </c>
      <c r="BX206" s="306" t="str">
        <f aca="false">IF($A206="N/A"," ",AE206*$AW206)</f>
        <v> </v>
      </c>
      <c r="BY206" s="306" t="str">
        <f aca="false">IF($A206="N/A"," ",AF206*$AX206)</f>
        <v> </v>
      </c>
      <c r="BZ206" s="306" t="str">
        <f aca="false">IF($A206="N/A"," ",AG206*$AY206)</f>
        <v> </v>
      </c>
      <c r="CA206" s="306" t="str">
        <f aca="false">IF($A206="N/A"," ",AH206*$AZ206)</f>
        <v> </v>
      </c>
      <c r="CB206" s="307" t="str">
        <f aca="false">IF($A206="N/A"," ",AI206*$BA206)</f>
        <v> </v>
      </c>
      <c r="CC206" s="308" t="str">
        <f aca="false">IF($A206="N/A"," ",AJ206*$AS206)</f>
        <v> </v>
      </c>
      <c r="CD206" s="309" t="str">
        <f aca="false">IF($A206="N/A"," ",AK206*$AT206)</f>
        <v> </v>
      </c>
      <c r="CE206" s="309" t="str">
        <f aca="false">IF($A206="N/A"," ",AL206*$AU206)</f>
        <v> </v>
      </c>
      <c r="CF206" s="309" t="str">
        <f aca="false">IF($A206="N/A"," ",AM206*$AV206)</f>
        <v> </v>
      </c>
      <c r="CG206" s="309" t="str">
        <f aca="false">IF($A206="N/A"," ",AN206*$AW206)</f>
        <v> </v>
      </c>
      <c r="CH206" s="309" t="str">
        <f aca="false">IF($A206="N/A"," ",AO206*$AX206)</f>
        <v> </v>
      </c>
      <c r="CI206" s="309" t="str">
        <f aca="false">IF($A206="N/A"," ",AP206*$AY206)</f>
        <v> </v>
      </c>
      <c r="CJ206" s="309" t="str">
        <f aca="false">IF($A206="N/A"," ",AQ206*$AZ206)</f>
        <v> </v>
      </c>
      <c r="CK206" s="310" t="str">
        <f aca="false">IF($A206="N/A"," ",AR206*$BA206)</f>
        <v> </v>
      </c>
      <c r="CL206" s="311" t="str">
        <f aca="false">IF(A206="N/A"," ",(VLOOKUP(A206,PowerVolTable,(IF(VolBMO=2,7,IF(VolBMO=1,6,8))),FALSE())))</f>
        <v> </v>
      </c>
      <c r="CM206" s="312" t="str">
        <f aca="false">IF(A206="N/A"," ",(VLOOKUP(A206,IntraPowerVol,(IF(VolBMO=2,3,IF(VolBMO=1,2,4))),FALSE())*VLOOKUP(MONTH($A206),Volscale,2)))</f>
        <v> </v>
      </c>
      <c r="CN206" s="312" t="str">
        <f aca="false">IF($A206="N/A"," ",IF(VolType=1,CM206,CL206))</f>
        <v> </v>
      </c>
      <c r="CO206" s="312" t="str">
        <f aca="false">IF($A206="N/A"," ",(VLOOKUP($A206,OffPeakVol,(IF(VolBMO=2,7,IF(VolBMO=1,6,8))),FALSE())))</f>
        <v> </v>
      </c>
      <c r="CP206" s="312" t="str">
        <f aca="false">IF($A206="N/A"," ",(VLOOKUP($A206,OffPeakVol,(IF(VolBMO=2,3,IF(VolBMO=1,2,4))),FALSE())*VLOOKUP(MONTH($A206),Volscale,2)))</f>
        <v> </v>
      </c>
      <c r="CQ206" s="312" t="str">
        <f aca="false">IF($A206="N/A"," ",IF(VolType=1,CP206,CO206))</f>
        <v> </v>
      </c>
      <c r="CR206" s="312" t="str">
        <f aca="false">IF($A206="N/A"," ",(VLOOKUP($A206,GasVolTable,(IF(VolBMO=2,6,IF(VolBMO=1,7,5))),FALSE())))</f>
        <v> </v>
      </c>
      <c r="CS206" s="312" t="str">
        <f aca="false">IF($A206="N/A"," ",(VLOOKUP($A206,OmicronVol,(IF(VolBMO=2,3,IF(VolBMO=1,4,2))),FALSE())))</f>
        <v> </v>
      </c>
      <c r="CT206" s="312" t="str">
        <f aca="false">IF($A206="N/A"," ",(IF(DateToday&gt;$A206,$CS206,IF(VolType=1,((($CR206^2)*((($A206-1)-DateToday)/((EOMONTH($A206,0)+1)-DateToday-15)))+((($CS206)^2)*((15)/((EOMONTH($A206,0)+1)-DateToday-15))))^0.5,CR206))))</f>
        <v> </v>
      </c>
      <c r="CU206" s="312" t="str">
        <f aca="false">IF($A206="N/A"," ",IF('Pricing Inputs'!$AR$23=TRUE(),Inputs!$S$22,VLOOKUP($A206,CorrelationTable,2,FALSE())))</f>
        <v> </v>
      </c>
      <c r="CV206" s="313" t="str">
        <f aca="false">IF($A206="N/A"," ",F206+G206+(D206*('Pricing Inputs'!X241)))</f>
        <v> </v>
      </c>
      <c r="CW206" s="314" t="str">
        <f aca="false">IF($A206="N/A"," ",IF(PV=1,0,'Pricing Inputs'!Y241))</f>
        <v> </v>
      </c>
      <c r="CX206" s="315" t="str">
        <f aca="false">IF($A206="N/A"," ",(1+CW206/2)^(-2*((EOMONTH(A206,0)+20)-DateToday)/365.25))</f>
        <v> </v>
      </c>
      <c r="CY206" s="316" t="str">
        <f aca="false">IF($A206="N/A"," ",(IF(MONTH(A206)&gt;=4,IF(MONTH(A206)&lt;=10,Inputs!$S$26,Inputs!$S$27),Inputs!$S$27))*$CX206)</f>
        <v> </v>
      </c>
      <c r="CZ206" s="317" t="str">
        <f aca="false">IF($A206="N/A"," ",BK206+BL206+BN206+BO206+BQ206+BR206)</f>
        <v> </v>
      </c>
      <c r="DA206" s="318" t="str">
        <f aca="false">IF($A206="N/A"," ",BM206+BP206+BS206)</f>
        <v> </v>
      </c>
      <c r="DB206" s="319" t="str">
        <f aca="false">IF($A206="N/A"," ",BT206+BU206+BW206+BX206+BZ206+CA206)</f>
        <v> </v>
      </c>
      <c r="DC206" s="319" t="str">
        <f aca="false">IF($A206="N/A"," ",BV206+BY206+CB206)</f>
        <v> </v>
      </c>
      <c r="DD206" s="320" t="str">
        <f aca="false">IF($A206="N/A"," ",SUM(CC206:CK206))</f>
        <v> </v>
      </c>
      <c r="DE206" s="321" t="str">
        <f aca="false">IF($A206="N/A"," ",VLOOKUP($A206,NumberofDaysTable,2)*Availability)</f>
        <v> </v>
      </c>
      <c r="DF206" s="94" t="str">
        <f aca="false">IF($A206="N/A"," ",VLOOKUP($A206,NumberofDaysTable,3)*Availability)</f>
        <v> </v>
      </c>
      <c r="DG206" s="322" t="str">
        <f aca="false">IF($A206="N/A"," ",VLOOKUP($A206,NumberofDaysTable,4)*Availability)</f>
        <v> </v>
      </c>
      <c r="DH206" s="323" t="str">
        <f aca="false">IF($A206="N/A"," ",IF(Option=1,$D206*Inputs!$S$15*SUM(AS206:BA206),0))</f>
        <v> </v>
      </c>
      <c r="DI206" s="324" t="str">
        <f aca="false">IF($A206="N/A"," ",IF(Option=1,$D206*Inputs!$S$16*SUM(AS206:BA206),0))</f>
        <v> </v>
      </c>
      <c r="DJ206" s="325" t="str">
        <f aca="false">IF($A206="N/A"," ",SUM(AS206:AT206))</f>
        <v> </v>
      </c>
      <c r="DK206" s="325" t="str">
        <f aca="false">IF($A206="N/A"," ",SUM(AU206:BA206))</f>
        <v> </v>
      </c>
      <c r="DL206" s="325" t="str">
        <f aca="false">IF($A206="N/A"," ",SUM(BB206:BC206))</f>
        <v> </v>
      </c>
      <c r="DM206" s="325" t="str">
        <f aca="false">IF($A206="N/A"," ",SUM(BD206:BJ206))</f>
        <v> </v>
      </c>
    </row>
    <row r="207" customFormat="false" ht="12.75" hidden="false" customHeight="false" outlineLevel="0" collapsed="false">
      <c r="A207" s="282" t="str">
        <f aca="false">IF(A206="N/A","N/A",IF(EDATE(A206,1)&gt;Inputs!$S$5,"N/A",EDATE(A206,1)))</f>
        <v>N/A</v>
      </c>
      <c r="B207" s="283" t="str">
        <f aca="false">IF(A207="N/A"," ",YEAR(A207))</f>
        <v> </v>
      </c>
      <c r="C207" s="284" t="str">
        <f aca="false">IF(A207="N/A"," ",VLOOKUP(A207,ScaledPrice,14))</f>
        <v> </v>
      </c>
      <c r="D207" s="285" t="str">
        <f aca="false">IF(A207="N/A"," ",(VLOOKUP(MONTH($A207),Hrtable,2))/1000)</f>
        <v> </v>
      </c>
      <c r="E207" s="286" t="str">
        <f aca="false">IF($A207="N/A"," ",(C207)*D207)</f>
        <v> </v>
      </c>
      <c r="F207" s="287" t="str">
        <f aca="false">IF(A207="N/A"," ",VOM*(1+VOMesc)^(YEAR(A207)-YEAR(Today)))</f>
        <v> </v>
      </c>
      <c r="G207" s="287" t="str">
        <f aca="false">IF(A207="N/A"," ",Perstart/VLOOKUP(Dayrun,'Pricing Inputs'!$AQ$4:$AS$14,3)/(CY207/CX207))</f>
        <v> </v>
      </c>
      <c r="H207" s="288" t="str">
        <f aca="false">IF(A207="N/A"," ",SUM(E207:G207))</f>
        <v> </v>
      </c>
      <c r="I207" s="289" t="str">
        <f aca="false">VLOOKUP($A207,ScaledPrice,6)</f>
        <v> </v>
      </c>
      <c r="J207" s="290" t="str">
        <f aca="false">VLOOKUP($A207,ScaledPrice,10)</f>
        <v> </v>
      </c>
      <c r="K207" s="290" t="str">
        <f aca="false">VLOOKUP($A207,ScaledPrice,13)</f>
        <v> </v>
      </c>
      <c r="L207" s="290" t="str">
        <f aca="false">VLOOKUP($A207,ScaledPrice,7)</f>
        <v> </v>
      </c>
      <c r="M207" s="290" t="str">
        <f aca="false">VLOOKUP($A207,ScaledPrice,11)</f>
        <v> </v>
      </c>
      <c r="N207" s="290" t="str">
        <f aca="false">VLOOKUP($A207,ScaledPrice,13)</f>
        <v> </v>
      </c>
      <c r="O207" s="290" t="str">
        <f aca="false">VLOOKUP($A207,ScaledPrice,8)</f>
        <v> </v>
      </c>
      <c r="P207" s="290" t="str">
        <f aca="false">VLOOKUP($A207,ScaledPrice,12)</f>
        <v> </v>
      </c>
      <c r="Q207" s="291" t="str">
        <f aca="false">VLOOKUP($A207,ScaledPrice,13)</f>
        <v> </v>
      </c>
      <c r="R207" s="292" t="str">
        <f aca="false">IF($A207="N/A"," ",IF(Dayrun&gt;=3,IF(Option=1,MAX($I207-$H207,0),IF(Option=2,MAX($H207-$I207,0),0)),0))</f>
        <v> </v>
      </c>
      <c r="S207" s="286" t="str">
        <f aca="false">IF($A207="N/A"," ",IF(Dayrun&gt;=6,IF(Option=1,MAX($J207-H207,0),IF(Option=2,MAX(H207-$J207,0),0)),0))</f>
        <v> </v>
      </c>
      <c r="T207" s="286" t="str">
        <f aca="false">IF($A207="N/A"," ",IF(OR(Dayrun&lt;=2,Dayrun&gt;=9),IF(Option=1,MAX($K207-$H207,0),IF(Option=2,MAX($H207-$K207,0),0)),0))</f>
        <v> </v>
      </c>
      <c r="U207" s="286" t="str">
        <f aca="false">IF($A207="N/A"," ",IF(OR(Dayrun=1,Dayrun=4,Dayrun=5,Dayrun=7,Dayrun=8,Dayrun=10,Dayrun=11),IF(Option=1,MAX($L207-H207,0),IF(Option=2,MAX(H207-$L207,0),0)),0))</f>
        <v> </v>
      </c>
      <c r="V207" s="286" t="str">
        <f aca="false">IF($A207="N/A"," ",IF(OR(Dayrun=1,Dayrun=7,Dayrun=8,Dayrun=10,Dayrun=11),IF(Option=1,MAX($M207-H207,0),IF(Option=2,MAX(H207-$M207,0),0)),0))</f>
        <v> </v>
      </c>
      <c r="W207" s="286" t="str">
        <f aca="false">IF($A207="N/A"," ",IF(OR(Dayrun&lt;=2,Dayrun&gt;=10),IF(Option=1,MAX($N207-$H207,0),IF(Option=2,MAX($H207-$N207,0),0)),0))</f>
        <v> </v>
      </c>
      <c r="X207" s="286" t="str">
        <f aca="false">IF($A207="N/A"," ",IF(OR(Dayrun=1,Dayrun=5,Dayrun=8,Dayrun=11),IF(Option=1,MAX($O207-H207,0),IF(Option=2,MAX(H207-$O207,0),0)),0))</f>
        <v> </v>
      </c>
      <c r="Y207" s="286" t="str">
        <f aca="false">IF($A207="N/A"," ",IF(OR(Dayrun=1,Dayrun=8,Dayrun=11),IF(Option=1,MAX($P207-H207,0),IF(Option=2,MAX(H207-$P207,0),0)),0))</f>
        <v> </v>
      </c>
      <c r="Z207" s="293" t="str">
        <f aca="false">IF($A207="N/A"," ",IF(OR(Dayrun&lt;=2,Dayrun&gt;=11),IF(Option=1,MAX($Q207-$H207,0),IF(Option=2,MAX($H207-$Q207,0),0)),0))</f>
        <v> </v>
      </c>
      <c r="AA207" s="289" t="str">
        <f aca="false">IF($A207="N/A"," ",IF(Dayrun&gt;=3,(MAX(0,(xSPRDOPT(I207,($E207-'Pricing Inputs'!$X242*$D207),$CV207,0,($CN207+IF(Smile=TRUE(),VLOOKUP(MAX(-5,$H207-I207),Volsmile,2),0)),$CT207,$CU207,($A207-DateToday)+15,ABS(Option-2),0)-R207))),0))</f>
        <v> </v>
      </c>
      <c r="AB207" s="290" t="str">
        <f aca="false">IF($A207="N/A"," ",IF(Dayrun&gt;=6,MAX(0,(xSPRDOPT(J207,($E207-'Pricing Inputs'!$X242*$D207),$CV207,0,($CN207+IF(Smile=TRUE(),VLOOKUP(MAX(-5,$H207-J207),Volsmile,2),0)),$CT207,$CU207,($A207-DateToday)+15,ABS(Option-2),0)-S207)),0))</f>
        <v> </v>
      </c>
      <c r="AC207" s="290" t="str">
        <f aca="false">IF($A207="N/A"," ",IF(OR(Dayrun&lt;=2,Dayrun&gt;=9),IF(OffPeakEx=TRUE(),MAX(0,(xSPRDOPT(K207,($E207-'Pricing Inputs'!$X242*$D207),$CV207,0,($CQ207+IF(Smile=TRUE(),VLOOKUP(MAX(-5,$H207-K207),Volsmile,2),0)),$CT207,$CU207,($A207-DateToday)+15,ABS(Option-2),0)-T207)),0),0))</f>
        <v> </v>
      </c>
      <c r="AD207" s="290" t="str">
        <f aca="false">IF($A207="N/A"," ",IF(OR(Dayrun=1,Dayrun=4,Dayrun=5,Dayrun=7,Dayrun=8,Dayrun=10,Dayrun=11),MAX(0,(xSPRDOPT(L207,($E207-'Pricing Inputs'!$X242*$D207),$CV207,0,($CQ207+IF(Smile=TRUE(),VLOOKUP(MAX(-5,$H207-L207),Volsmile,2),0)),$CT207,$CU207,($A207-DateToday)+15,ABS(Option-2),0)-U207)),0))</f>
        <v> </v>
      </c>
      <c r="AE207" s="290" t="str">
        <f aca="false">IF($A207="N/A"," ",IF(OR(Dayrun=1,Dayrun=7,Dayrun=8,Dayrun=10,Dayrun=11),MAX(0,(xSPRDOPT(M207,($E207-'Pricing Inputs'!$X242*$D207),$CV207,0,($CQ207+IF(Smile=TRUE(),VLOOKUP(MAX(-5,$H207-M207),Volsmile,2),0)),$CT207,$CU207,($A207-DateToday)+15,ABS(Option-2),0)-V207)),0))</f>
        <v> </v>
      </c>
      <c r="AF207" s="290" t="str">
        <f aca="false">IF($A207="N/A"," ",IF(OR(Dayrun&lt;=2,Dayrun&gt;=10),IF(OffPeakEx=TRUE(),MAX(0,(xSPRDOPT(N207,($E207-'Pricing Inputs'!$X242*$D207),$CV207,0,($CQ207+IF(Smile=TRUE(),VLOOKUP(MAX(-5,$H207-N207),Volsmile,2),0)),$CT207,$CU207,($A207-DateToday)+15,ABS(Option-2),0)-W207)),0),0))</f>
        <v> </v>
      </c>
      <c r="AG207" s="290" t="str">
        <f aca="false">IF($A207="N/A"," ",IF(OR(Dayrun=1,Dayrun=5,Dayrun=8,Dayrun=11),MAX(0,(xSPRDOPT(O207,($E207-'Pricing Inputs'!$X242*$D207),$CV207,0,($CQ207+IF(Smile=TRUE(),VLOOKUP(MAX(-5,$H207-O207),Volsmile,2),0)),$CT207,$CU207,($A207-DateToday)+15,ABS(Option-2),0)-X207)),0))</f>
        <v> </v>
      </c>
      <c r="AH207" s="290" t="str">
        <f aca="false">IF($A207="N/A"," ",IF(OR(Dayrun=1,Dayrun=8,Dayrun=11),MAX(0,(xSPRDOPT(P207,($E207-'Pricing Inputs'!$X242*$D207),$CV207,0,($CQ207+IF(Smile=TRUE(),VLOOKUP(MAX(-5,$H207-P207),Volsmile,2),0)),$CT207,$CU207,($A207-DateToday)+15,ABS(Option-2),0)-Y207)),0))</f>
        <v> </v>
      </c>
      <c r="AI207" s="290" t="str">
        <f aca="false">IF($A207="N/A"," ",IF(OR(Dayrun&lt;=2,Dayrun&gt;=11),IF(OffPeakEx=TRUE(),MAX(0,(xSPRDOPT(Q207,($E207-'Pricing Inputs'!$X242*$D207),$CV207,0,($CQ207+IF(Smile=TRUE(),VLOOKUP(MAX(-5,$H207-Q207),Volsmile,2),0)),$CT207,$CU207,($A207-DateToday)+15,ABS(Option-2),0)-Z207)),0),0))</f>
        <v> </v>
      </c>
      <c r="AJ207" s="294" t="str">
        <f aca="false">IF($A207="N/A"," ",IF(Dayrun&gt;=3,IF(Option=1,$I207-$H207,IF(Option=2,$H207-$I207)),0))</f>
        <v> </v>
      </c>
      <c r="AK207" s="295" t="str">
        <f aca="false">IF($A207="N/A"," ",IF(Dayrun&gt;=6,IF(Option=1,$J207-H207,IF(Option=2,H207-$J207)),0))</f>
        <v> </v>
      </c>
      <c r="AL207" s="295" t="str">
        <f aca="false">IF($A207="N/A"," ",IF(OR(Dayrun&lt;=2,Dayrun&gt;=9),IF(Option=1,$K207-$H207,IF(Option=2,$H207-$K207)),0))</f>
        <v> </v>
      </c>
      <c r="AM207" s="295" t="str">
        <f aca="false">IF($A207="N/A"," ",IF(OR(Dayrun=1,Dayrun=4,Dayrun=5,Dayrun=7,Dayrun=8,Dayrun=10,Dayrun=11),IF(Option=1,$L207-H207,IF(Option=2,H207-$L207)),0))</f>
        <v> </v>
      </c>
      <c r="AN207" s="295" t="str">
        <f aca="false">IF($A207="N/A"," ",IF(OR(Dayrun=1,Dayrun=7,Dayrun=8,Dayrun=10,Dayrun=11),IF(Option=1,$M207-H207,IF(Option=2,H207-$M207)),0))</f>
        <v> </v>
      </c>
      <c r="AO207" s="295" t="str">
        <f aca="false">IF($A207="N/A"," ",IF(OR(Dayrun&lt;=2,Dayrun&gt;=9),IF(Option=1,$N207-$H207,IF(Option=2,$H207-$N207)),0))</f>
        <v> </v>
      </c>
      <c r="AP207" s="295" t="str">
        <f aca="false">IF($A207="N/A"," ",IF(OR(Dayrun=1,Dayrun=5,Dayrun=8,Dayrun=11),IF(Option=1,$O207-H207,IF(Option=2,H207-$O207)),0))</f>
        <v> </v>
      </c>
      <c r="AQ207" s="295" t="str">
        <f aca="false">IF($A207="N/A"," ",IF(OR(Dayrun=1,Dayrun=8,Dayrun=11),IF(Option=1,$P207-H207,IF(Option=2,H207-$P207)),0))</f>
        <v> </v>
      </c>
      <c r="AR207" s="296" t="str">
        <f aca="false">IF($A207="N/A"," ",IF(OR(Dayrun&lt;=2,Dayrun&gt;=9),IF(Option=1,$Q207-H207,IF(Option=2,H207-$Q207)),0))</f>
        <v> </v>
      </c>
      <c r="AS207" s="297" t="str">
        <f aca="false">IF($A207="N/A"," ",IF(VLOOKUP(MONTH($A207),ManualTable,2)=1,IF(Dayrun&gt;=3,$DE207*8*$CY207,0),0))</f>
        <v> </v>
      </c>
      <c r="AT207" s="297" t="str">
        <f aca="false">IF($A207="N/A"," ",IF(VLOOKUP(MONTH($A207),ManualTable,3)=1,IF(Dayrun&gt;=6,$DE207*8*$CY207,0),0))</f>
        <v> </v>
      </c>
      <c r="AU207" s="297" t="str">
        <f aca="false">IF($A207="N/A"," ",IF(VLOOKUP(MONTH($A207),ManualTable,4)=1,IF(OR(Dayrun&lt;=2,Dayrun&gt;=9),$DE207*8*$CY207,0),0))</f>
        <v> </v>
      </c>
      <c r="AV207" s="297" t="str">
        <f aca="false">IF($A207="N/A"," ",IF(VLOOKUP(MONTH($A207),ManualTable,5)=1,IF(OR(Dayrun=1,Dayrun=4,Dayrun=5,Dayrun=7,Dayrun=8,Dayrun=10,Dayrun=11),$DF207*8*$CY207,0),0))</f>
        <v> </v>
      </c>
      <c r="AW207" s="297" t="str">
        <f aca="false">IF($A207="N/A"," ",IF(VLOOKUP(MONTH($A207),ManualTable,6)=1,IF(OR(Dayrun=1,Dayrun=7,Dayrun=8,Dayrun=10,Dayrun=11),$DF207*8*$CY207,0),0))</f>
        <v> </v>
      </c>
      <c r="AX207" s="297" t="str">
        <f aca="false">IF($A207="N/A"," ",IF(VLOOKUP(MONTH($A207),ManualTable,7)=1,IF(OR(Dayrun&lt;=2,Dayrun&gt;=9),$DF207*8*$CY207,0),0))</f>
        <v> </v>
      </c>
      <c r="AY207" s="297" t="str">
        <f aca="false">IF($A207="N/A"," ",IF(VLOOKUP(MONTH($A207),ManualTable,8)=1,IF(OR(Dayrun=1,Dayrun=5,Dayrun=8,Dayrun=11),$DG207*8*$CY207,0),0))</f>
        <v> </v>
      </c>
      <c r="AZ207" s="297" t="str">
        <f aca="false">IF($A207="N/A"," ",IF(VLOOKUP(MONTH($A207),ManualTable,9)=1,IF(OR(Dayrun=1,Dayrun=8,Dayrun=11),$DG207*8*$CY207,0),0))</f>
        <v> </v>
      </c>
      <c r="BA207" s="298" t="str">
        <f aca="false">IF($A207="N/A"," ",IF(VLOOKUP(MONTH($A207),ManualTable,10)=1,IF(OR(Dayrun&lt;=2,Dayrun&gt;=9),$DG207*8*$CY207,0),0))</f>
        <v> </v>
      </c>
      <c r="BB207" s="299" t="str">
        <f aca="false">IF($A207="N/A"," ",IF(Dayrun&gt;=3,(MAX(0,(xSPRDOPT(I207,($E207-'Pricing Inputs'!$X242*$D207),$CV207,0,($CN207+IF(Smile=TRUE(),VLOOKUP(MAX(-5,$H207-I207),Volsmile,2),0)),$CT207,$CU207,($A207-DateToday)+15,ABS(Option-2),1)*DE207*8))),0))</f>
        <v> </v>
      </c>
      <c r="BC207" s="300" t="str">
        <f aca="false">IF($A207="N/A"," ",IF(Dayrun&gt;=6,MAX(0,(xSPRDOPT(J207,($E207-'Pricing Inputs'!$X242*$D207),$CV207,0,($CN207+IF(Smile=TRUE(),VLOOKUP(MAX(-5,$H207-J207),Volsmile,2),0)),$CT207,$CU207,($A207-DateToday)+15,ABS(Option-2),1)*DE207*8)),0))</f>
        <v> </v>
      </c>
      <c r="BD207" s="300" t="str">
        <f aca="false">IF($A207="N/A"," ",IF(OR(Dayrun&lt;=2,Dayrun&gt;=9),IF(OffPeakEx=TRUE(),MAX(0,(xSPRDOPT(K207,($E207-'Pricing Inputs'!$X242*$D207),$CV207,0,($CQ207+IF(Smile=TRUE(),VLOOKUP(MAX(-5,$H207-K207),Volsmile,2),0)),$CT207,$CU207,($A207-DateToday)+15,ABS(Option-2),1)*DE207*8)),0),0))</f>
        <v> </v>
      </c>
      <c r="BE207" s="300" t="str">
        <f aca="false">IF($A207="N/A"," ",IF(OR(Dayrun=1,Dayrun=4,Dayrun=5,Dayrun=7,Dayrun=8,Dayrun=10,Dayrun=11),MAX(0,(xSPRDOPT(L207,($E207-'Pricing Inputs'!$X242*$D207),$CV207,0,($CQ207+IF(Smile=TRUE(),VLOOKUP(MAX(-5,$H207-L207),Volsmile,2),0)),$CT207,$CU207,($A207-DateToday)+15,ABS(Option-2),1)*DF207*8)),0))</f>
        <v> </v>
      </c>
      <c r="BF207" s="300" t="str">
        <f aca="false">IF($A207="N/A"," ",IF(OR(Dayrun=1,Dayrun=7,Dayrun=8,Dayrun=10,Dayrun=11),MAX(0,(xSPRDOPT(M207,($E207-'Pricing Inputs'!$X242*$D207),$CV207,0,($CQ207+IF(Smile=TRUE(),VLOOKUP(MAX(-5,$H207-M207),Volsmile,2),0)),$CT207,$CU207,($A207-DateToday)+15,ABS(Option-2),1)*DF207*8)),0))</f>
        <v> </v>
      </c>
      <c r="BG207" s="300" t="str">
        <f aca="false">IF($A207="N/A"," ",IF(OR(Dayrun&lt;=2,Dayrun&gt;=10),IF(OffPeakEx=TRUE(),MAX(0,(xSPRDOPT(N207,($E207-'Pricing Inputs'!$X242*$D207),$CV207,0,($CQ207+IF(Smile=TRUE(),VLOOKUP(MAX(-5,$H207-N207),Volsmile,2),0)),$CT207,$CU207,($A207-DateToday)+15,ABS(Option-2),1)*DF207*8)),0),0))</f>
        <v> </v>
      </c>
      <c r="BH207" s="300" t="str">
        <f aca="false">IF($A207="N/A"," ",IF(OR(Dayrun=1,Dayrun=5,Dayrun=8,Dayrun=11),MAX(0,(xSPRDOPT(O207,($E207-'Pricing Inputs'!$X242*$D207),$CV207,0,($CQ207+IF(Smile=TRUE(),VLOOKUP(MAX(-5,$H207-O207),Volsmile,2),0)),$CT207,$CU207,($A207-DateToday)+15,ABS(Option-2),1)*DG207*8)),0))</f>
        <v> </v>
      </c>
      <c r="BI207" s="300" t="str">
        <f aca="false">IF($A207="N/A"," ",IF(OR(Dayrun=1,Dayrun=8,Dayrun=11),MAX(0,(xSPRDOPT(P207,($E207-'Pricing Inputs'!$X242*$D207),$CV207,0,($CQ207+IF(Smile=TRUE(),VLOOKUP(MAX(-5,$H207-P207),Volsmile,2),0)),$CT207,$CU207,($A207-DateToday)+15,ABS(Option-2),1)*DG207*8)),0))</f>
        <v> </v>
      </c>
      <c r="BJ207" s="301" t="str">
        <f aca="false">IF($A207="N/A"," ",IF(OR(Dayrun&lt;=2,Dayrun&gt;=11),IF(OffPeakEx=TRUE(),MAX(0,(xSPRDOPT(Q207,($E207-'Pricing Inputs'!$X242*$D207),$CV207,0,($CQ207+IF(Smile=TRUE(),VLOOKUP(MAX(-5,$H207-Q207),Volsmile,2),0)),$CT207,$CU207,($A207-DateToday)+15,ABS(Option-2),1)*DG207*8)),0),0))</f>
        <v> </v>
      </c>
      <c r="BK207" s="302" t="str">
        <f aca="false">IF($A207="N/A"," ",R207*$AS207)</f>
        <v> </v>
      </c>
      <c r="BL207" s="303" t="str">
        <f aca="false">IF($A207="N/A"," ",S207*$AT207)</f>
        <v> </v>
      </c>
      <c r="BM207" s="303" t="str">
        <f aca="false">IF($A207="N/A"," ",T207*$AU207)</f>
        <v> </v>
      </c>
      <c r="BN207" s="303" t="str">
        <f aca="false">IF($A207="N/A"," ",U207*$AV207)</f>
        <v> </v>
      </c>
      <c r="BO207" s="303" t="str">
        <f aca="false">IF($A207="N/A"," ",V207*$AW207)</f>
        <v> </v>
      </c>
      <c r="BP207" s="303" t="str">
        <f aca="false">IF($A207="N/A"," ",W207*$AX207)</f>
        <v> </v>
      </c>
      <c r="BQ207" s="303" t="str">
        <f aca="false">IF($A207="N/A"," ",X207*$AY207)</f>
        <v> </v>
      </c>
      <c r="BR207" s="303" t="str">
        <f aca="false">IF($A207="N/A"," ",Y207*$AZ207)</f>
        <v> </v>
      </c>
      <c r="BS207" s="304" t="str">
        <f aca="false">IF($A207="N/A"," ",Z207*$BA207)</f>
        <v> </v>
      </c>
      <c r="BT207" s="305" t="str">
        <f aca="false">IF($A207="N/A"," ",AA207*$AS207)</f>
        <v> </v>
      </c>
      <c r="BU207" s="306" t="str">
        <f aca="false">IF($A207="N/A"," ",AB207*$AT207)</f>
        <v> </v>
      </c>
      <c r="BV207" s="306" t="str">
        <f aca="false">IF($A207="N/A"," ",AC207*$AU207)</f>
        <v> </v>
      </c>
      <c r="BW207" s="306" t="str">
        <f aca="false">IF($A207="N/A"," ",AD207*$AV207)</f>
        <v> </v>
      </c>
      <c r="BX207" s="306" t="str">
        <f aca="false">IF($A207="N/A"," ",AE207*$AW207)</f>
        <v> </v>
      </c>
      <c r="BY207" s="306" t="str">
        <f aca="false">IF($A207="N/A"," ",AF207*$AX207)</f>
        <v> </v>
      </c>
      <c r="BZ207" s="306" t="str">
        <f aca="false">IF($A207="N/A"," ",AG207*$AY207)</f>
        <v> </v>
      </c>
      <c r="CA207" s="306" t="str">
        <f aca="false">IF($A207="N/A"," ",AH207*$AZ207)</f>
        <v> </v>
      </c>
      <c r="CB207" s="307" t="str">
        <f aca="false">IF($A207="N/A"," ",AI207*$BA207)</f>
        <v> </v>
      </c>
      <c r="CC207" s="308" t="str">
        <f aca="false">IF($A207="N/A"," ",AJ207*$AS207)</f>
        <v> </v>
      </c>
      <c r="CD207" s="309" t="str">
        <f aca="false">IF($A207="N/A"," ",AK207*$AT207)</f>
        <v> </v>
      </c>
      <c r="CE207" s="309" t="str">
        <f aca="false">IF($A207="N/A"," ",AL207*$AU207)</f>
        <v> </v>
      </c>
      <c r="CF207" s="309" t="str">
        <f aca="false">IF($A207="N/A"," ",AM207*$AV207)</f>
        <v> </v>
      </c>
      <c r="CG207" s="309" t="str">
        <f aca="false">IF($A207="N/A"," ",AN207*$AW207)</f>
        <v> </v>
      </c>
      <c r="CH207" s="309" t="str">
        <f aca="false">IF($A207="N/A"," ",AO207*$AX207)</f>
        <v> </v>
      </c>
      <c r="CI207" s="309" t="str">
        <f aca="false">IF($A207="N/A"," ",AP207*$AY207)</f>
        <v> </v>
      </c>
      <c r="CJ207" s="309" t="str">
        <f aca="false">IF($A207="N/A"," ",AQ207*$AZ207)</f>
        <v> </v>
      </c>
      <c r="CK207" s="310" t="str">
        <f aca="false">IF($A207="N/A"," ",AR207*$BA207)</f>
        <v> </v>
      </c>
      <c r="CL207" s="311" t="str">
        <f aca="false">IF(A207="N/A"," ",(VLOOKUP(A207,PowerVolTable,(IF(VolBMO=2,7,IF(VolBMO=1,6,8))),FALSE())))</f>
        <v> </v>
      </c>
      <c r="CM207" s="312" t="str">
        <f aca="false">IF(A207="N/A"," ",(VLOOKUP(A207,IntraPowerVol,(IF(VolBMO=2,3,IF(VolBMO=1,2,4))),FALSE())*VLOOKUP(MONTH($A207),Volscale,2)))</f>
        <v> </v>
      </c>
      <c r="CN207" s="312" t="str">
        <f aca="false">IF($A207="N/A"," ",IF(VolType=1,CM207,CL207))</f>
        <v> </v>
      </c>
      <c r="CO207" s="312" t="str">
        <f aca="false">IF($A207="N/A"," ",(VLOOKUP($A207,OffPeakVol,(IF(VolBMO=2,7,IF(VolBMO=1,6,8))),FALSE())))</f>
        <v> </v>
      </c>
      <c r="CP207" s="312" t="str">
        <f aca="false">IF($A207="N/A"," ",(VLOOKUP($A207,OffPeakVol,(IF(VolBMO=2,3,IF(VolBMO=1,2,4))),FALSE())*VLOOKUP(MONTH($A207),Volscale,2)))</f>
        <v> </v>
      </c>
      <c r="CQ207" s="312" t="str">
        <f aca="false">IF($A207="N/A"," ",IF(VolType=1,CP207,CO207))</f>
        <v> </v>
      </c>
      <c r="CR207" s="312" t="str">
        <f aca="false">IF($A207="N/A"," ",(VLOOKUP($A207,GasVolTable,(IF(VolBMO=2,6,IF(VolBMO=1,7,5))),FALSE())))</f>
        <v> </v>
      </c>
      <c r="CS207" s="312" t="str">
        <f aca="false">IF($A207="N/A"," ",(VLOOKUP($A207,OmicronVol,(IF(VolBMO=2,3,IF(VolBMO=1,4,2))),FALSE())))</f>
        <v> </v>
      </c>
      <c r="CT207" s="312" t="str">
        <f aca="false">IF($A207="N/A"," ",(IF(DateToday&gt;$A207,$CS207,IF(VolType=1,((($CR207^2)*((($A207-1)-DateToday)/((EOMONTH($A207,0)+1)-DateToday-15)))+((($CS207)^2)*((15)/((EOMONTH($A207,0)+1)-DateToday-15))))^0.5,CR207))))</f>
        <v> </v>
      </c>
      <c r="CU207" s="312" t="str">
        <f aca="false">IF($A207="N/A"," ",IF('Pricing Inputs'!$AR$23=TRUE(),Inputs!$S$22,VLOOKUP($A207,CorrelationTable,2,FALSE())))</f>
        <v> </v>
      </c>
      <c r="CV207" s="313" t="str">
        <f aca="false">IF($A207="N/A"," ",F207+G207+(D207*('Pricing Inputs'!X242)))</f>
        <v> </v>
      </c>
      <c r="CW207" s="314" t="str">
        <f aca="false">IF($A207="N/A"," ",IF(PV=1,0,'Pricing Inputs'!Y242))</f>
        <v> </v>
      </c>
      <c r="CX207" s="315" t="str">
        <f aca="false">IF($A207="N/A"," ",(1+CW207/2)^(-2*((EOMONTH(A207,0)+20)-DateToday)/365.25))</f>
        <v> </v>
      </c>
      <c r="CY207" s="316" t="str">
        <f aca="false">IF($A207="N/A"," ",(IF(MONTH(A207)&gt;=4,IF(MONTH(A207)&lt;=10,Inputs!$S$26,Inputs!$S$27),Inputs!$S$27))*$CX207)</f>
        <v> </v>
      </c>
      <c r="CZ207" s="317" t="str">
        <f aca="false">IF($A207="N/A"," ",BK207+BL207+BN207+BO207+BQ207+BR207)</f>
        <v> </v>
      </c>
      <c r="DA207" s="318" t="str">
        <f aca="false">IF($A207="N/A"," ",BM207+BP207+BS207)</f>
        <v> </v>
      </c>
      <c r="DB207" s="319" t="str">
        <f aca="false">IF($A207="N/A"," ",BT207+BU207+BW207+BX207+BZ207+CA207)</f>
        <v> </v>
      </c>
      <c r="DC207" s="319" t="str">
        <f aca="false">IF($A207="N/A"," ",BV207+BY207+CB207)</f>
        <v> </v>
      </c>
      <c r="DD207" s="320" t="str">
        <f aca="false">IF($A207="N/A"," ",SUM(CC207:CK207))</f>
        <v> </v>
      </c>
      <c r="DE207" s="321" t="str">
        <f aca="false">IF($A207="N/A"," ",VLOOKUP($A207,NumberofDaysTable,2)*Availability)</f>
        <v> </v>
      </c>
      <c r="DF207" s="94" t="str">
        <f aca="false">IF($A207="N/A"," ",VLOOKUP($A207,NumberofDaysTable,3)*Availability)</f>
        <v> </v>
      </c>
      <c r="DG207" s="322" t="str">
        <f aca="false">IF($A207="N/A"," ",VLOOKUP($A207,NumberofDaysTable,4)*Availability)</f>
        <v> </v>
      </c>
      <c r="DH207" s="323" t="str">
        <f aca="false">IF($A207="N/A"," ",IF(Option=1,$D207*Inputs!$S$15*SUM(AS207:BA207),0))</f>
        <v> </v>
      </c>
      <c r="DI207" s="324" t="str">
        <f aca="false">IF($A207="N/A"," ",IF(Option=1,$D207*Inputs!$S$16*SUM(AS207:BA207),0))</f>
        <v> </v>
      </c>
      <c r="DJ207" s="325" t="str">
        <f aca="false">IF($A207="N/A"," ",SUM(AS207:AT207))</f>
        <v> </v>
      </c>
      <c r="DK207" s="325" t="str">
        <f aca="false">IF($A207="N/A"," ",SUM(AU207:BA207))</f>
        <v> </v>
      </c>
      <c r="DL207" s="325" t="str">
        <f aca="false">IF($A207="N/A"," ",SUM(BB207:BC207))</f>
        <v> </v>
      </c>
      <c r="DM207" s="325" t="str">
        <f aca="false">IF($A207="N/A"," ",SUM(BD207:BJ207))</f>
        <v> </v>
      </c>
    </row>
    <row r="208" customFormat="false" ht="12.75" hidden="false" customHeight="false" outlineLevel="0" collapsed="false">
      <c r="A208" s="282" t="str">
        <f aca="false">IF(A207="N/A","N/A",IF(EDATE(A207,1)&gt;Inputs!$S$5,"N/A",EDATE(A207,1)))</f>
        <v>N/A</v>
      </c>
      <c r="B208" s="283" t="str">
        <f aca="false">IF(A208="N/A"," ",YEAR(A208))</f>
        <v> </v>
      </c>
      <c r="C208" s="284" t="str">
        <f aca="false">IF(A208="N/A"," ",VLOOKUP(A208,ScaledPrice,14))</f>
        <v> </v>
      </c>
      <c r="D208" s="285" t="str">
        <f aca="false">IF(A208="N/A"," ",(VLOOKUP(MONTH($A208),Hrtable,2))/1000)</f>
        <v> </v>
      </c>
      <c r="E208" s="286" t="str">
        <f aca="false">IF($A208="N/A"," ",(C208)*D208)</f>
        <v> </v>
      </c>
      <c r="F208" s="287" t="str">
        <f aca="false">IF(A208="N/A"," ",VOM*(1+VOMesc)^(YEAR(A208)-YEAR(Today)))</f>
        <v> </v>
      </c>
      <c r="G208" s="287" t="str">
        <f aca="false">IF(A208="N/A"," ",Perstart/VLOOKUP(Dayrun,'Pricing Inputs'!$AQ$4:$AS$14,3)/(CY208/CX208))</f>
        <v> </v>
      </c>
      <c r="H208" s="288" t="str">
        <f aca="false">IF(A208="N/A"," ",SUM(E208:G208))</f>
        <v> </v>
      </c>
      <c r="I208" s="289" t="str">
        <f aca="false">VLOOKUP($A208,ScaledPrice,6)</f>
        <v> </v>
      </c>
      <c r="J208" s="290" t="str">
        <f aca="false">VLOOKUP($A208,ScaledPrice,10)</f>
        <v> </v>
      </c>
      <c r="K208" s="290" t="str">
        <f aca="false">VLOOKUP($A208,ScaledPrice,13)</f>
        <v> </v>
      </c>
      <c r="L208" s="290" t="str">
        <f aca="false">VLOOKUP($A208,ScaledPrice,7)</f>
        <v> </v>
      </c>
      <c r="M208" s="290" t="str">
        <f aca="false">VLOOKUP($A208,ScaledPrice,11)</f>
        <v> </v>
      </c>
      <c r="N208" s="290" t="str">
        <f aca="false">VLOOKUP($A208,ScaledPrice,13)</f>
        <v> </v>
      </c>
      <c r="O208" s="290" t="str">
        <f aca="false">VLOOKUP($A208,ScaledPrice,8)</f>
        <v> </v>
      </c>
      <c r="P208" s="290" t="str">
        <f aca="false">VLOOKUP($A208,ScaledPrice,12)</f>
        <v> </v>
      </c>
      <c r="Q208" s="291" t="str">
        <f aca="false">VLOOKUP($A208,ScaledPrice,13)</f>
        <v> </v>
      </c>
      <c r="R208" s="292" t="str">
        <f aca="false">IF($A208="N/A"," ",IF(Dayrun&gt;=3,IF(Option=1,MAX($I208-$H208,0),IF(Option=2,MAX($H208-$I208,0),0)),0))</f>
        <v> </v>
      </c>
      <c r="S208" s="286" t="str">
        <f aca="false">IF($A208="N/A"," ",IF(Dayrun&gt;=6,IF(Option=1,MAX($J208-H208,0),IF(Option=2,MAX(H208-$J208,0),0)),0))</f>
        <v> </v>
      </c>
      <c r="T208" s="286" t="str">
        <f aca="false">IF($A208="N/A"," ",IF(OR(Dayrun&lt;=2,Dayrun&gt;=9),IF(Option=1,MAX($K208-$H208,0),IF(Option=2,MAX($H208-$K208,0),0)),0))</f>
        <v> </v>
      </c>
      <c r="U208" s="286" t="str">
        <f aca="false">IF($A208="N/A"," ",IF(OR(Dayrun=1,Dayrun=4,Dayrun=5,Dayrun=7,Dayrun=8,Dayrun=10,Dayrun=11),IF(Option=1,MAX($L208-H208,0),IF(Option=2,MAX(H208-$L208,0),0)),0))</f>
        <v> </v>
      </c>
      <c r="V208" s="286" t="str">
        <f aca="false">IF($A208="N/A"," ",IF(OR(Dayrun=1,Dayrun=7,Dayrun=8,Dayrun=10,Dayrun=11),IF(Option=1,MAX($M208-H208,0),IF(Option=2,MAX(H208-$M208,0),0)),0))</f>
        <v> </v>
      </c>
      <c r="W208" s="286" t="str">
        <f aca="false">IF($A208="N/A"," ",IF(OR(Dayrun&lt;=2,Dayrun&gt;=10),IF(Option=1,MAX($N208-$H208,0),IF(Option=2,MAX($H208-$N208,0),0)),0))</f>
        <v> </v>
      </c>
      <c r="X208" s="286" t="str">
        <f aca="false">IF($A208="N/A"," ",IF(OR(Dayrun=1,Dayrun=5,Dayrun=8,Dayrun=11),IF(Option=1,MAX($O208-H208,0),IF(Option=2,MAX(H208-$O208,0),0)),0))</f>
        <v> </v>
      </c>
      <c r="Y208" s="286" t="str">
        <f aca="false">IF($A208="N/A"," ",IF(OR(Dayrun=1,Dayrun=8,Dayrun=11),IF(Option=1,MAX($P208-H208,0),IF(Option=2,MAX(H208-$P208,0),0)),0))</f>
        <v> </v>
      </c>
      <c r="Z208" s="293" t="str">
        <f aca="false">IF($A208="N/A"," ",IF(OR(Dayrun&lt;=2,Dayrun&gt;=11),IF(Option=1,MAX($Q208-$H208,0),IF(Option=2,MAX($H208-$Q208,0),0)),0))</f>
        <v> </v>
      </c>
      <c r="AA208" s="289" t="str">
        <f aca="false">IF($A208="N/A"," ",IF(Dayrun&gt;=3,(MAX(0,(xSPRDOPT(I208,($E208-'Pricing Inputs'!$X243*$D208),$CV208,0,($CN208+IF(Smile=TRUE(),VLOOKUP(MAX(-5,$H208-I208),Volsmile,2),0)),$CT208,$CU208,($A208-DateToday)+15,ABS(Option-2),0)-R208))),0))</f>
        <v> </v>
      </c>
      <c r="AB208" s="290" t="str">
        <f aca="false">IF($A208="N/A"," ",IF(Dayrun&gt;=6,MAX(0,(xSPRDOPT(J208,($E208-'Pricing Inputs'!$X243*$D208),$CV208,0,($CN208+IF(Smile=TRUE(),VLOOKUP(MAX(-5,$H208-J208),Volsmile,2),0)),$CT208,$CU208,($A208-DateToday)+15,ABS(Option-2),0)-S208)),0))</f>
        <v> </v>
      </c>
      <c r="AC208" s="290" t="str">
        <f aca="false">IF($A208="N/A"," ",IF(OR(Dayrun&lt;=2,Dayrun&gt;=9),IF(OffPeakEx=TRUE(),MAX(0,(xSPRDOPT(K208,($E208-'Pricing Inputs'!$X243*$D208),$CV208,0,($CQ208+IF(Smile=TRUE(),VLOOKUP(MAX(-5,$H208-K208),Volsmile,2),0)),$CT208,$CU208,($A208-DateToday)+15,ABS(Option-2),0)-T208)),0),0))</f>
        <v> </v>
      </c>
      <c r="AD208" s="290" t="str">
        <f aca="false">IF($A208="N/A"," ",IF(OR(Dayrun=1,Dayrun=4,Dayrun=5,Dayrun=7,Dayrun=8,Dayrun=10,Dayrun=11),MAX(0,(xSPRDOPT(L208,($E208-'Pricing Inputs'!$X243*$D208),$CV208,0,($CQ208+IF(Smile=TRUE(),VLOOKUP(MAX(-5,$H208-L208),Volsmile,2),0)),$CT208,$CU208,($A208-DateToday)+15,ABS(Option-2),0)-U208)),0))</f>
        <v> </v>
      </c>
      <c r="AE208" s="290" t="str">
        <f aca="false">IF($A208="N/A"," ",IF(OR(Dayrun=1,Dayrun=7,Dayrun=8,Dayrun=10,Dayrun=11),MAX(0,(xSPRDOPT(M208,($E208-'Pricing Inputs'!$X243*$D208),$CV208,0,($CQ208+IF(Smile=TRUE(),VLOOKUP(MAX(-5,$H208-M208),Volsmile,2),0)),$CT208,$CU208,($A208-DateToday)+15,ABS(Option-2),0)-V208)),0))</f>
        <v> </v>
      </c>
      <c r="AF208" s="290" t="str">
        <f aca="false">IF($A208="N/A"," ",IF(OR(Dayrun&lt;=2,Dayrun&gt;=10),IF(OffPeakEx=TRUE(),MAX(0,(xSPRDOPT(N208,($E208-'Pricing Inputs'!$X243*$D208),$CV208,0,($CQ208+IF(Smile=TRUE(),VLOOKUP(MAX(-5,$H208-N208),Volsmile,2),0)),$CT208,$CU208,($A208-DateToday)+15,ABS(Option-2),0)-W208)),0),0))</f>
        <v> </v>
      </c>
      <c r="AG208" s="290" t="str">
        <f aca="false">IF($A208="N/A"," ",IF(OR(Dayrun=1,Dayrun=5,Dayrun=8,Dayrun=11),MAX(0,(xSPRDOPT(O208,($E208-'Pricing Inputs'!$X243*$D208),$CV208,0,($CQ208+IF(Smile=TRUE(),VLOOKUP(MAX(-5,$H208-O208),Volsmile,2),0)),$CT208,$CU208,($A208-DateToday)+15,ABS(Option-2),0)-X208)),0))</f>
        <v> </v>
      </c>
      <c r="AH208" s="290" t="str">
        <f aca="false">IF($A208="N/A"," ",IF(OR(Dayrun=1,Dayrun=8,Dayrun=11),MAX(0,(xSPRDOPT(P208,($E208-'Pricing Inputs'!$X243*$D208),$CV208,0,($CQ208+IF(Smile=TRUE(),VLOOKUP(MAX(-5,$H208-P208),Volsmile,2),0)),$CT208,$CU208,($A208-DateToday)+15,ABS(Option-2),0)-Y208)),0))</f>
        <v> </v>
      </c>
      <c r="AI208" s="290" t="str">
        <f aca="false">IF($A208="N/A"," ",IF(OR(Dayrun&lt;=2,Dayrun&gt;=11),IF(OffPeakEx=TRUE(),MAX(0,(xSPRDOPT(Q208,($E208-'Pricing Inputs'!$X243*$D208),$CV208,0,($CQ208+IF(Smile=TRUE(),VLOOKUP(MAX(-5,$H208-Q208),Volsmile,2),0)),$CT208,$CU208,($A208-DateToday)+15,ABS(Option-2),0)-Z208)),0),0))</f>
        <v> </v>
      </c>
      <c r="AJ208" s="294" t="str">
        <f aca="false">IF($A208="N/A"," ",IF(Dayrun&gt;=3,IF(Option=1,$I208-$H208,IF(Option=2,$H208-$I208)),0))</f>
        <v> </v>
      </c>
      <c r="AK208" s="295" t="str">
        <f aca="false">IF($A208="N/A"," ",IF(Dayrun&gt;=6,IF(Option=1,$J208-H208,IF(Option=2,H208-$J208)),0))</f>
        <v> </v>
      </c>
      <c r="AL208" s="295" t="str">
        <f aca="false">IF($A208="N/A"," ",IF(OR(Dayrun&lt;=2,Dayrun&gt;=9),IF(Option=1,$K208-$H208,IF(Option=2,$H208-$K208)),0))</f>
        <v> </v>
      </c>
      <c r="AM208" s="295" t="str">
        <f aca="false">IF($A208="N/A"," ",IF(OR(Dayrun=1,Dayrun=4,Dayrun=5,Dayrun=7,Dayrun=8,Dayrun=10,Dayrun=11),IF(Option=1,$L208-H208,IF(Option=2,H208-$L208)),0))</f>
        <v> </v>
      </c>
      <c r="AN208" s="295" t="str">
        <f aca="false">IF($A208="N/A"," ",IF(OR(Dayrun=1,Dayrun=7,Dayrun=8,Dayrun=10,Dayrun=11),IF(Option=1,$M208-H208,IF(Option=2,H208-$M208)),0))</f>
        <v> </v>
      </c>
      <c r="AO208" s="295" t="str">
        <f aca="false">IF($A208="N/A"," ",IF(OR(Dayrun&lt;=2,Dayrun&gt;=9),IF(Option=1,$N208-$H208,IF(Option=2,$H208-$N208)),0))</f>
        <v> </v>
      </c>
      <c r="AP208" s="295" t="str">
        <f aca="false">IF($A208="N/A"," ",IF(OR(Dayrun=1,Dayrun=5,Dayrun=8,Dayrun=11),IF(Option=1,$O208-H208,IF(Option=2,H208-$O208)),0))</f>
        <v> </v>
      </c>
      <c r="AQ208" s="295" t="str">
        <f aca="false">IF($A208="N/A"," ",IF(OR(Dayrun=1,Dayrun=8,Dayrun=11),IF(Option=1,$P208-H208,IF(Option=2,H208-$P208)),0))</f>
        <v> </v>
      </c>
      <c r="AR208" s="296" t="str">
        <f aca="false">IF($A208="N/A"," ",IF(OR(Dayrun&lt;=2,Dayrun&gt;=9),IF(Option=1,$Q208-H208,IF(Option=2,H208-$Q208)),0))</f>
        <v> </v>
      </c>
      <c r="AS208" s="297" t="str">
        <f aca="false">IF($A208="N/A"," ",IF(VLOOKUP(MONTH($A208),ManualTable,2)=1,IF(Dayrun&gt;=3,$DE208*8*$CY208,0),0))</f>
        <v> </v>
      </c>
      <c r="AT208" s="297" t="str">
        <f aca="false">IF($A208="N/A"," ",IF(VLOOKUP(MONTH($A208),ManualTable,3)=1,IF(Dayrun&gt;=6,$DE208*8*$CY208,0),0))</f>
        <v> </v>
      </c>
      <c r="AU208" s="297" t="str">
        <f aca="false">IF($A208="N/A"," ",IF(VLOOKUP(MONTH($A208),ManualTable,4)=1,IF(OR(Dayrun&lt;=2,Dayrun&gt;=9),$DE208*8*$CY208,0),0))</f>
        <v> </v>
      </c>
      <c r="AV208" s="297" t="str">
        <f aca="false">IF($A208="N/A"," ",IF(VLOOKUP(MONTH($A208),ManualTable,5)=1,IF(OR(Dayrun=1,Dayrun=4,Dayrun=5,Dayrun=7,Dayrun=8,Dayrun=10,Dayrun=11),$DF208*8*$CY208,0),0))</f>
        <v> </v>
      </c>
      <c r="AW208" s="297" t="str">
        <f aca="false">IF($A208="N/A"," ",IF(VLOOKUP(MONTH($A208),ManualTable,6)=1,IF(OR(Dayrun=1,Dayrun=7,Dayrun=8,Dayrun=10,Dayrun=11),$DF208*8*$CY208,0),0))</f>
        <v> </v>
      </c>
      <c r="AX208" s="297" t="str">
        <f aca="false">IF($A208="N/A"," ",IF(VLOOKUP(MONTH($A208),ManualTable,7)=1,IF(OR(Dayrun&lt;=2,Dayrun&gt;=9),$DF208*8*$CY208,0),0))</f>
        <v> </v>
      </c>
      <c r="AY208" s="297" t="str">
        <f aca="false">IF($A208="N/A"," ",IF(VLOOKUP(MONTH($A208),ManualTable,8)=1,IF(OR(Dayrun=1,Dayrun=5,Dayrun=8,Dayrun=11),$DG208*8*$CY208,0),0))</f>
        <v> </v>
      </c>
      <c r="AZ208" s="297" t="str">
        <f aca="false">IF($A208="N/A"," ",IF(VLOOKUP(MONTH($A208),ManualTable,9)=1,IF(OR(Dayrun=1,Dayrun=8,Dayrun=11),$DG208*8*$CY208,0),0))</f>
        <v> </v>
      </c>
      <c r="BA208" s="298" t="str">
        <f aca="false">IF($A208="N/A"," ",IF(VLOOKUP(MONTH($A208),ManualTable,10)=1,IF(OR(Dayrun&lt;=2,Dayrun&gt;=9),$DG208*8*$CY208,0),0))</f>
        <v> </v>
      </c>
      <c r="BB208" s="299" t="str">
        <f aca="false">IF($A208="N/A"," ",IF(Dayrun&gt;=3,(MAX(0,(xSPRDOPT(I208,($E208-'Pricing Inputs'!$X243*$D208),$CV208,0,($CN208+IF(Smile=TRUE(),VLOOKUP(MAX(-5,$H208-I208),Volsmile,2),0)),$CT208,$CU208,($A208-DateToday)+15,ABS(Option-2),1)*DE208*8))),0))</f>
        <v> </v>
      </c>
      <c r="BC208" s="300" t="str">
        <f aca="false">IF($A208="N/A"," ",IF(Dayrun&gt;=6,MAX(0,(xSPRDOPT(J208,($E208-'Pricing Inputs'!$X243*$D208),$CV208,0,($CN208+IF(Smile=TRUE(),VLOOKUP(MAX(-5,$H208-J208),Volsmile,2),0)),$CT208,$CU208,($A208-DateToday)+15,ABS(Option-2),1)*DE208*8)),0))</f>
        <v> </v>
      </c>
      <c r="BD208" s="300" t="str">
        <f aca="false">IF($A208="N/A"," ",IF(OR(Dayrun&lt;=2,Dayrun&gt;=9),IF(OffPeakEx=TRUE(),MAX(0,(xSPRDOPT(K208,($E208-'Pricing Inputs'!$X243*$D208),$CV208,0,($CQ208+IF(Smile=TRUE(),VLOOKUP(MAX(-5,$H208-K208),Volsmile,2),0)),$CT208,$CU208,($A208-DateToday)+15,ABS(Option-2),1)*DE208*8)),0),0))</f>
        <v> </v>
      </c>
      <c r="BE208" s="300" t="str">
        <f aca="false">IF($A208="N/A"," ",IF(OR(Dayrun=1,Dayrun=4,Dayrun=5,Dayrun=7,Dayrun=8,Dayrun=10,Dayrun=11),MAX(0,(xSPRDOPT(L208,($E208-'Pricing Inputs'!$X243*$D208),$CV208,0,($CQ208+IF(Smile=TRUE(),VLOOKUP(MAX(-5,$H208-L208),Volsmile,2),0)),$CT208,$CU208,($A208-DateToday)+15,ABS(Option-2),1)*DF208*8)),0))</f>
        <v> </v>
      </c>
      <c r="BF208" s="300" t="str">
        <f aca="false">IF($A208="N/A"," ",IF(OR(Dayrun=1,Dayrun=7,Dayrun=8,Dayrun=10,Dayrun=11),MAX(0,(xSPRDOPT(M208,($E208-'Pricing Inputs'!$X243*$D208),$CV208,0,($CQ208+IF(Smile=TRUE(),VLOOKUP(MAX(-5,$H208-M208),Volsmile,2),0)),$CT208,$CU208,($A208-DateToday)+15,ABS(Option-2),1)*DF208*8)),0))</f>
        <v> </v>
      </c>
      <c r="BG208" s="300" t="str">
        <f aca="false">IF($A208="N/A"," ",IF(OR(Dayrun&lt;=2,Dayrun&gt;=10),IF(OffPeakEx=TRUE(),MAX(0,(xSPRDOPT(N208,($E208-'Pricing Inputs'!$X243*$D208),$CV208,0,($CQ208+IF(Smile=TRUE(),VLOOKUP(MAX(-5,$H208-N208),Volsmile,2),0)),$CT208,$CU208,($A208-DateToday)+15,ABS(Option-2),1)*DF208*8)),0),0))</f>
        <v> </v>
      </c>
      <c r="BH208" s="300" t="str">
        <f aca="false">IF($A208="N/A"," ",IF(OR(Dayrun=1,Dayrun=5,Dayrun=8,Dayrun=11),MAX(0,(xSPRDOPT(O208,($E208-'Pricing Inputs'!$X243*$D208),$CV208,0,($CQ208+IF(Smile=TRUE(),VLOOKUP(MAX(-5,$H208-O208),Volsmile,2),0)),$CT208,$CU208,($A208-DateToday)+15,ABS(Option-2),1)*DG208*8)),0))</f>
        <v> </v>
      </c>
      <c r="BI208" s="300" t="str">
        <f aca="false">IF($A208="N/A"," ",IF(OR(Dayrun=1,Dayrun=8,Dayrun=11),MAX(0,(xSPRDOPT(P208,($E208-'Pricing Inputs'!$X243*$D208),$CV208,0,($CQ208+IF(Smile=TRUE(),VLOOKUP(MAX(-5,$H208-P208),Volsmile,2),0)),$CT208,$CU208,($A208-DateToday)+15,ABS(Option-2),1)*DG208*8)),0))</f>
        <v> </v>
      </c>
      <c r="BJ208" s="301" t="str">
        <f aca="false">IF($A208="N/A"," ",IF(OR(Dayrun&lt;=2,Dayrun&gt;=11),IF(OffPeakEx=TRUE(),MAX(0,(xSPRDOPT(Q208,($E208-'Pricing Inputs'!$X243*$D208),$CV208,0,($CQ208+IF(Smile=TRUE(),VLOOKUP(MAX(-5,$H208-Q208),Volsmile,2),0)),$CT208,$CU208,($A208-DateToday)+15,ABS(Option-2),1)*DG208*8)),0),0))</f>
        <v> </v>
      </c>
      <c r="BK208" s="302" t="str">
        <f aca="false">IF($A208="N/A"," ",R208*$AS208)</f>
        <v> </v>
      </c>
      <c r="BL208" s="303" t="str">
        <f aca="false">IF($A208="N/A"," ",S208*$AT208)</f>
        <v> </v>
      </c>
      <c r="BM208" s="303" t="str">
        <f aca="false">IF($A208="N/A"," ",T208*$AU208)</f>
        <v> </v>
      </c>
      <c r="BN208" s="303" t="str">
        <f aca="false">IF($A208="N/A"," ",U208*$AV208)</f>
        <v> </v>
      </c>
      <c r="BO208" s="303" t="str">
        <f aca="false">IF($A208="N/A"," ",V208*$AW208)</f>
        <v> </v>
      </c>
      <c r="BP208" s="303" t="str">
        <f aca="false">IF($A208="N/A"," ",W208*$AX208)</f>
        <v> </v>
      </c>
      <c r="BQ208" s="303" t="str">
        <f aca="false">IF($A208="N/A"," ",X208*$AY208)</f>
        <v> </v>
      </c>
      <c r="BR208" s="303" t="str">
        <f aca="false">IF($A208="N/A"," ",Y208*$AZ208)</f>
        <v> </v>
      </c>
      <c r="BS208" s="304" t="str">
        <f aca="false">IF($A208="N/A"," ",Z208*$BA208)</f>
        <v> </v>
      </c>
      <c r="BT208" s="305" t="str">
        <f aca="false">IF($A208="N/A"," ",AA208*$AS208)</f>
        <v> </v>
      </c>
      <c r="BU208" s="306" t="str">
        <f aca="false">IF($A208="N/A"," ",AB208*$AT208)</f>
        <v> </v>
      </c>
      <c r="BV208" s="306" t="str">
        <f aca="false">IF($A208="N/A"," ",AC208*$AU208)</f>
        <v> </v>
      </c>
      <c r="BW208" s="306" t="str">
        <f aca="false">IF($A208="N/A"," ",AD208*$AV208)</f>
        <v> </v>
      </c>
      <c r="BX208" s="306" t="str">
        <f aca="false">IF($A208="N/A"," ",AE208*$AW208)</f>
        <v> </v>
      </c>
      <c r="BY208" s="306" t="str">
        <f aca="false">IF($A208="N/A"," ",AF208*$AX208)</f>
        <v> </v>
      </c>
      <c r="BZ208" s="306" t="str">
        <f aca="false">IF($A208="N/A"," ",AG208*$AY208)</f>
        <v> </v>
      </c>
      <c r="CA208" s="306" t="str">
        <f aca="false">IF($A208="N/A"," ",AH208*$AZ208)</f>
        <v> </v>
      </c>
      <c r="CB208" s="307" t="str">
        <f aca="false">IF($A208="N/A"," ",AI208*$BA208)</f>
        <v> </v>
      </c>
      <c r="CC208" s="308" t="str">
        <f aca="false">IF($A208="N/A"," ",AJ208*$AS208)</f>
        <v> </v>
      </c>
      <c r="CD208" s="309" t="str">
        <f aca="false">IF($A208="N/A"," ",AK208*$AT208)</f>
        <v> </v>
      </c>
      <c r="CE208" s="309" t="str">
        <f aca="false">IF($A208="N/A"," ",AL208*$AU208)</f>
        <v> </v>
      </c>
      <c r="CF208" s="309" t="str">
        <f aca="false">IF($A208="N/A"," ",AM208*$AV208)</f>
        <v> </v>
      </c>
      <c r="CG208" s="309" t="str">
        <f aca="false">IF($A208="N/A"," ",AN208*$AW208)</f>
        <v> </v>
      </c>
      <c r="CH208" s="309" t="str">
        <f aca="false">IF($A208="N/A"," ",AO208*$AX208)</f>
        <v> </v>
      </c>
      <c r="CI208" s="309" t="str">
        <f aca="false">IF($A208="N/A"," ",AP208*$AY208)</f>
        <v> </v>
      </c>
      <c r="CJ208" s="309" t="str">
        <f aca="false">IF($A208="N/A"," ",AQ208*$AZ208)</f>
        <v> </v>
      </c>
      <c r="CK208" s="310" t="str">
        <f aca="false">IF($A208="N/A"," ",AR208*$BA208)</f>
        <v> </v>
      </c>
      <c r="CL208" s="311" t="str">
        <f aca="false">IF(A208="N/A"," ",(VLOOKUP(A208,PowerVolTable,(IF(VolBMO=2,7,IF(VolBMO=1,6,8))),FALSE())))</f>
        <v> </v>
      </c>
      <c r="CM208" s="312" t="str">
        <f aca="false">IF(A208="N/A"," ",(VLOOKUP(A208,IntraPowerVol,(IF(VolBMO=2,3,IF(VolBMO=1,2,4))),FALSE())*VLOOKUP(MONTH($A208),Volscale,2)))</f>
        <v> </v>
      </c>
      <c r="CN208" s="312" t="str">
        <f aca="false">IF($A208="N/A"," ",IF(VolType=1,CM208,CL208))</f>
        <v> </v>
      </c>
      <c r="CO208" s="312" t="str">
        <f aca="false">IF($A208="N/A"," ",(VLOOKUP($A208,OffPeakVol,(IF(VolBMO=2,7,IF(VolBMO=1,6,8))),FALSE())))</f>
        <v> </v>
      </c>
      <c r="CP208" s="312" t="str">
        <f aca="false">IF($A208="N/A"," ",(VLOOKUP($A208,OffPeakVol,(IF(VolBMO=2,3,IF(VolBMO=1,2,4))),FALSE())*VLOOKUP(MONTH($A208),Volscale,2)))</f>
        <v> </v>
      </c>
      <c r="CQ208" s="312" t="str">
        <f aca="false">IF($A208="N/A"," ",IF(VolType=1,CP208,CO208))</f>
        <v> </v>
      </c>
      <c r="CR208" s="312" t="str">
        <f aca="false">IF($A208="N/A"," ",(VLOOKUP($A208,GasVolTable,(IF(VolBMO=2,6,IF(VolBMO=1,7,5))),FALSE())))</f>
        <v> </v>
      </c>
      <c r="CS208" s="312" t="str">
        <f aca="false">IF($A208="N/A"," ",(VLOOKUP($A208,OmicronVol,(IF(VolBMO=2,3,IF(VolBMO=1,4,2))),FALSE())))</f>
        <v> </v>
      </c>
      <c r="CT208" s="312" t="str">
        <f aca="false">IF($A208="N/A"," ",(IF(DateToday&gt;$A208,$CS208,IF(VolType=1,((($CR208^2)*((($A208-1)-DateToday)/((EOMONTH($A208,0)+1)-DateToday-15)))+((($CS208)^2)*((15)/((EOMONTH($A208,0)+1)-DateToday-15))))^0.5,CR208))))</f>
        <v> </v>
      </c>
      <c r="CU208" s="312" t="str">
        <f aca="false">IF($A208="N/A"," ",IF('Pricing Inputs'!$AR$23=TRUE(),Inputs!$S$22,VLOOKUP($A208,CorrelationTable,2,FALSE())))</f>
        <v> </v>
      </c>
      <c r="CV208" s="313" t="str">
        <f aca="false">IF($A208="N/A"," ",F208+G208+(D208*('Pricing Inputs'!X243)))</f>
        <v> </v>
      </c>
      <c r="CW208" s="314" t="str">
        <f aca="false">IF($A208="N/A"," ",IF(PV=1,0,'Pricing Inputs'!Y243))</f>
        <v> </v>
      </c>
      <c r="CX208" s="315" t="str">
        <f aca="false">IF($A208="N/A"," ",(1+CW208/2)^(-2*((EOMONTH(A208,0)+20)-DateToday)/365.25))</f>
        <v> </v>
      </c>
      <c r="CY208" s="316" t="str">
        <f aca="false">IF($A208="N/A"," ",(IF(MONTH(A208)&gt;=4,IF(MONTH(A208)&lt;=10,Inputs!$S$26,Inputs!$S$27),Inputs!$S$27))*$CX208)</f>
        <v> </v>
      </c>
      <c r="CZ208" s="317" t="str">
        <f aca="false">IF($A208="N/A"," ",BK208+BL208+BN208+BO208+BQ208+BR208)</f>
        <v> </v>
      </c>
      <c r="DA208" s="318" t="str">
        <f aca="false">IF($A208="N/A"," ",BM208+BP208+BS208)</f>
        <v> </v>
      </c>
      <c r="DB208" s="319" t="str">
        <f aca="false">IF($A208="N/A"," ",BT208+BU208+BW208+BX208+BZ208+CA208)</f>
        <v> </v>
      </c>
      <c r="DC208" s="319" t="str">
        <f aca="false">IF($A208="N/A"," ",BV208+BY208+CB208)</f>
        <v> </v>
      </c>
      <c r="DD208" s="320" t="str">
        <f aca="false">IF($A208="N/A"," ",SUM(CC208:CK208))</f>
        <v> </v>
      </c>
      <c r="DE208" s="321" t="str">
        <f aca="false">IF($A208="N/A"," ",VLOOKUP($A208,NumberofDaysTable,2)*Availability)</f>
        <v> </v>
      </c>
      <c r="DF208" s="94" t="str">
        <f aca="false">IF($A208="N/A"," ",VLOOKUP($A208,NumberofDaysTable,3)*Availability)</f>
        <v> </v>
      </c>
      <c r="DG208" s="322" t="str">
        <f aca="false">IF($A208="N/A"," ",VLOOKUP($A208,NumberofDaysTable,4)*Availability)</f>
        <v> </v>
      </c>
      <c r="DH208" s="323" t="str">
        <f aca="false">IF($A208="N/A"," ",IF(Option=1,$D208*Inputs!$S$15*SUM(AS208:BA208),0))</f>
        <v> </v>
      </c>
      <c r="DI208" s="324" t="str">
        <f aca="false">IF($A208="N/A"," ",IF(Option=1,$D208*Inputs!$S$16*SUM(AS208:BA208),0))</f>
        <v> </v>
      </c>
      <c r="DJ208" s="325" t="str">
        <f aca="false">IF($A208="N/A"," ",SUM(AS208:AT208))</f>
        <v> </v>
      </c>
      <c r="DK208" s="325" t="str">
        <f aca="false">IF($A208="N/A"," ",SUM(AU208:BA208))</f>
        <v> </v>
      </c>
      <c r="DL208" s="325" t="str">
        <f aca="false">IF($A208="N/A"," ",SUM(BB208:BC208))</f>
        <v> </v>
      </c>
      <c r="DM208" s="325" t="str">
        <f aca="false">IF($A208="N/A"," ",SUM(BD208:BJ208))</f>
        <v> </v>
      </c>
    </row>
    <row r="209" customFormat="false" ht="12.75" hidden="false" customHeight="false" outlineLevel="0" collapsed="false">
      <c r="A209" s="282" t="str">
        <f aca="false">IF(A208="N/A","N/A",IF(EDATE(A208,1)&gt;Inputs!$S$5,"N/A",EDATE(A208,1)))</f>
        <v>N/A</v>
      </c>
      <c r="B209" s="283" t="str">
        <f aca="false">IF(A209="N/A"," ",YEAR(A209))</f>
        <v> </v>
      </c>
      <c r="C209" s="284" t="str">
        <f aca="false">IF(A209="N/A"," ",VLOOKUP(A209,ScaledPrice,14))</f>
        <v> </v>
      </c>
      <c r="D209" s="285" t="str">
        <f aca="false">IF(A209="N/A"," ",(VLOOKUP(MONTH($A209),Hrtable,2))/1000)</f>
        <v> </v>
      </c>
      <c r="E209" s="286" t="str">
        <f aca="false">IF($A209="N/A"," ",(C209)*D209)</f>
        <v> </v>
      </c>
      <c r="F209" s="287" t="str">
        <f aca="false">IF(A209="N/A"," ",VOM*(1+VOMesc)^(YEAR(A209)-YEAR(Today)))</f>
        <v> </v>
      </c>
      <c r="G209" s="287" t="str">
        <f aca="false">IF(A209="N/A"," ",Perstart/VLOOKUP(Dayrun,'Pricing Inputs'!$AQ$4:$AS$14,3)/(CY209/CX209))</f>
        <v> </v>
      </c>
      <c r="H209" s="288" t="str">
        <f aca="false">IF(A209="N/A"," ",SUM(E209:G209))</f>
        <v> </v>
      </c>
      <c r="I209" s="289" t="str">
        <f aca="false">VLOOKUP($A209,ScaledPrice,6)</f>
        <v> </v>
      </c>
      <c r="J209" s="290" t="str">
        <f aca="false">VLOOKUP($A209,ScaledPrice,10)</f>
        <v> </v>
      </c>
      <c r="K209" s="290" t="str">
        <f aca="false">VLOOKUP($A209,ScaledPrice,13)</f>
        <v> </v>
      </c>
      <c r="L209" s="290" t="str">
        <f aca="false">VLOOKUP($A209,ScaledPrice,7)</f>
        <v> </v>
      </c>
      <c r="M209" s="290" t="str">
        <f aca="false">VLOOKUP($A209,ScaledPrice,11)</f>
        <v> </v>
      </c>
      <c r="N209" s="290" t="str">
        <f aca="false">VLOOKUP($A209,ScaledPrice,13)</f>
        <v> </v>
      </c>
      <c r="O209" s="290" t="str">
        <f aca="false">VLOOKUP($A209,ScaledPrice,8)</f>
        <v> </v>
      </c>
      <c r="P209" s="290" t="str">
        <f aca="false">VLOOKUP($A209,ScaledPrice,12)</f>
        <v> </v>
      </c>
      <c r="Q209" s="291" t="str">
        <f aca="false">VLOOKUP($A209,ScaledPrice,13)</f>
        <v> </v>
      </c>
      <c r="R209" s="292" t="str">
        <f aca="false">IF($A209="N/A"," ",IF(Dayrun&gt;=3,IF(Option=1,MAX($I209-$H209,0),IF(Option=2,MAX($H209-$I209,0),0)),0))</f>
        <v> </v>
      </c>
      <c r="S209" s="286" t="str">
        <f aca="false">IF($A209="N/A"," ",IF(Dayrun&gt;=6,IF(Option=1,MAX($J209-H209,0),IF(Option=2,MAX(H209-$J209,0),0)),0))</f>
        <v> </v>
      </c>
      <c r="T209" s="286" t="str">
        <f aca="false">IF($A209="N/A"," ",IF(OR(Dayrun&lt;=2,Dayrun&gt;=9),IF(Option=1,MAX($K209-$H209,0),IF(Option=2,MAX($H209-$K209,0),0)),0))</f>
        <v> </v>
      </c>
      <c r="U209" s="286" t="str">
        <f aca="false">IF($A209="N/A"," ",IF(OR(Dayrun=1,Dayrun=4,Dayrun=5,Dayrun=7,Dayrun=8,Dayrun=10,Dayrun=11),IF(Option=1,MAX($L209-H209,0),IF(Option=2,MAX(H209-$L209,0),0)),0))</f>
        <v> </v>
      </c>
      <c r="V209" s="286" t="str">
        <f aca="false">IF($A209="N/A"," ",IF(OR(Dayrun=1,Dayrun=7,Dayrun=8,Dayrun=10,Dayrun=11),IF(Option=1,MAX($M209-H209,0),IF(Option=2,MAX(H209-$M209,0),0)),0))</f>
        <v> </v>
      </c>
      <c r="W209" s="286" t="str">
        <f aca="false">IF($A209="N/A"," ",IF(OR(Dayrun&lt;=2,Dayrun&gt;=10),IF(Option=1,MAX($N209-$H209,0),IF(Option=2,MAX($H209-$N209,0),0)),0))</f>
        <v> </v>
      </c>
      <c r="X209" s="286" t="str">
        <f aca="false">IF($A209="N/A"," ",IF(OR(Dayrun=1,Dayrun=5,Dayrun=8,Dayrun=11),IF(Option=1,MAX($O209-H209,0),IF(Option=2,MAX(H209-$O209,0),0)),0))</f>
        <v> </v>
      </c>
      <c r="Y209" s="286" t="str">
        <f aca="false">IF($A209="N/A"," ",IF(OR(Dayrun=1,Dayrun=8,Dayrun=11),IF(Option=1,MAX($P209-H209,0),IF(Option=2,MAX(H209-$P209,0),0)),0))</f>
        <v> </v>
      </c>
      <c r="Z209" s="293" t="str">
        <f aca="false">IF($A209="N/A"," ",IF(OR(Dayrun&lt;=2,Dayrun&gt;=11),IF(Option=1,MAX($Q209-$H209,0),IF(Option=2,MAX($H209-$Q209,0),0)),0))</f>
        <v> </v>
      </c>
      <c r="AA209" s="289" t="str">
        <f aca="false">IF($A209="N/A"," ",IF(Dayrun&gt;=3,(MAX(0,(xSPRDOPT(I209,($E209-'Pricing Inputs'!$X244*$D209),$CV209,0,($CN209+IF(Smile=TRUE(),VLOOKUP(MAX(-5,$H209-I209),Volsmile,2),0)),$CT209,$CU209,($A209-DateToday)+15,ABS(Option-2),0)-R209))),0))</f>
        <v> </v>
      </c>
      <c r="AB209" s="290" t="str">
        <f aca="false">IF($A209="N/A"," ",IF(Dayrun&gt;=6,MAX(0,(xSPRDOPT(J209,($E209-'Pricing Inputs'!$X244*$D209),$CV209,0,($CN209+IF(Smile=TRUE(),VLOOKUP(MAX(-5,$H209-J209),Volsmile,2),0)),$CT209,$CU209,($A209-DateToday)+15,ABS(Option-2),0)-S209)),0))</f>
        <v> </v>
      </c>
      <c r="AC209" s="290" t="str">
        <f aca="false">IF($A209="N/A"," ",IF(OR(Dayrun&lt;=2,Dayrun&gt;=9),IF(OffPeakEx=TRUE(),MAX(0,(xSPRDOPT(K209,($E209-'Pricing Inputs'!$X244*$D209),$CV209,0,($CQ209+IF(Smile=TRUE(),VLOOKUP(MAX(-5,$H209-K209),Volsmile,2),0)),$CT209,$CU209,($A209-DateToday)+15,ABS(Option-2),0)-T209)),0),0))</f>
        <v> </v>
      </c>
      <c r="AD209" s="290" t="str">
        <f aca="false">IF($A209="N/A"," ",IF(OR(Dayrun=1,Dayrun=4,Dayrun=5,Dayrun=7,Dayrun=8,Dayrun=10,Dayrun=11),MAX(0,(xSPRDOPT(L209,($E209-'Pricing Inputs'!$X244*$D209),$CV209,0,($CQ209+IF(Smile=TRUE(),VLOOKUP(MAX(-5,$H209-L209),Volsmile,2),0)),$CT209,$CU209,($A209-DateToday)+15,ABS(Option-2),0)-U209)),0))</f>
        <v> </v>
      </c>
      <c r="AE209" s="290" t="str">
        <f aca="false">IF($A209="N/A"," ",IF(OR(Dayrun=1,Dayrun=7,Dayrun=8,Dayrun=10,Dayrun=11),MAX(0,(xSPRDOPT(M209,($E209-'Pricing Inputs'!$X244*$D209),$CV209,0,($CQ209+IF(Smile=TRUE(),VLOOKUP(MAX(-5,$H209-M209),Volsmile,2),0)),$CT209,$CU209,($A209-DateToday)+15,ABS(Option-2),0)-V209)),0))</f>
        <v> </v>
      </c>
      <c r="AF209" s="290" t="str">
        <f aca="false">IF($A209="N/A"," ",IF(OR(Dayrun&lt;=2,Dayrun&gt;=10),IF(OffPeakEx=TRUE(),MAX(0,(xSPRDOPT(N209,($E209-'Pricing Inputs'!$X244*$D209),$CV209,0,($CQ209+IF(Smile=TRUE(),VLOOKUP(MAX(-5,$H209-N209),Volsmile,2),0)),$CT209,$CU209,($A209-DateToday)+15,ABS(Option-2),0)-W209)),0),0))</f>
        <v> </v>
      </c>
      <c r="AG209" s="290" t="str">
        <f aca="false">IF($A209="N/A"," ",IF(OR(Dayrun=1,Dayrun=5,Dayrun=8,Dayrun=11),MAX(0,(xSPRDOPT(O209,($E209-'Pricing Inputs'!$X244*$D209),$CV209,0,($CQ209+IF(Smile=TRUE(),VLOOKUP(MAX(-5,$H209-O209),Volsmile,2),0)),$CT209,$CU209,($A209-DateToday)+15,ABS(Option-2),0)-X209)),0))</f>
        <v> </v>
      </c>
      <c r="AH209" s="290" t="str">
        <f aca="false">IF($A209="N/A"," ",IF(OR(Dayrun=1,Dayrun=8,Dayrun=11),MAX(0,(xSPRDOPT(P209,($E209-'Pricing Inputs'!$X244*$D209),$CV209,0,($CQ209+IF(Smile=TRUE(),VLOOKUP(MAX(-5,$H209-P209),Volsmile,2),0)),$CT209,$CU209,($A209-DateToday)+15,ABS(Option-2),0)-Y209)),0))</f>
        <v> </v>
      </c>
      <c r="AI209" s="290" t="str">
        <f aca="false">IF($A209="N/A"," ",IF(OR(Dayrun&lt;=2,Dayrun&gt;=11),IF(OffPeakEx=TRUE(),MAX(0,(xSPRDOPT(Q209,($E209-'Pricing Inputs'!$X244*$D209),$CV209,0,($CQ209+IF(Smile=TRUE(),VLOOKUP(MAX(-5,$H209-Q209),Volsmile,2),0)),$CT209,$CU209,($A209-DateToday)+15,ABS(Option-2),0)-Z209)),0),0))</f>
        <v> </v>
      </c>
      <c r="AJ209" s="294" t="str">
        <f aca="false">IF($A209="N/A"," ",IF(Dayrun&gt;=3,IF(Option=1,$I209-$H209,IF(Option=2,$H209-$I209)),0))</f>
        <v> </v>
      </c>
      <c r="AK209" s="295" t="str">
        <f aca="false">IF($A209="N/A"," ",IF(Dayrun&gt;=6,IF(Option=1,$J209-H209,IF(Option=2,H209-$J209)),0))</f>
        <v> </v>
      </c>
      <c r="AL209" s="295" t="str">
        <f aca="false">IF($A209="N/A"," ",IF(OR(Dayrun&lt;=2,Dayrun&gt;=9),IF(Option=1,$K209-$H209,IF(Option=2,$H209-$K209)),0))</f>
        <v> </v>
      </c>
      <c r="AM209" s="295" t="str">
        <f aca="false">IF($A209="N/A"," ",IF(OR(Dayrun=1,Dayrun=4,Dayrun=5,Dayrun=7,Dayrun=8,Dayrun=10,Dayrun=11),IF(Option=1,$L209-H209,IF(Option=2,H209-$L209)),0))</f>
        <v> </v>
      </c>
      <c r="AN209" s="295" t="str">
        <f aca="false">IF($A209="N/A"," ",IF(OR(Dayrun=1,Dayrun=7,Dayrun=8,Dayrun=10,Dayrun=11),IF(Option=1,$M209-H209,IF(Option=2,H209-$M209)),0))</f>
        <v> </v>
      </c>
      <c r="AO209" s="295" t="str">
        <f aca="false">IF($A209="N/A"," ",IF(OR(Dayrun&lt;=2,Dayrun&gt;=9),IF(Option=1,$N209-$H209,IF(Option=2,$H209-$N209)),0))</f>
        <v> </v>
      </c>
      <c r="AP209" s="295" t="str">
        <f aca="false">IF($A209="N/A"," ",IF(OR(Dayrun=1,Dayrun=5,Dayrun=8,Dayrun=11),IF(Option=1,$O209-H209,IF(Option=2,H209-$O209)),0))</f>
        <v> </v>
      </c>
      <c r="AQ209" s="295" t="str">
        <f aca="false">IF($A209="N/A"," ",IF(OR(Dayrun=1,Dayrun=8,Dayrun=11),IF(Option=1,$P209-H209,IF(Option=2,H209-$P209)),0))</f>
        <v> </v>
      </c>
      <c r="AR209" s="296" t="str">
        <f aca="false">IF($A209="N/A"," ",IF(OR(Dayrun&lt;=2,Dayrun&gt;=9),IF(Option=1,$Q209-H209,IF(Option=2,H209-$Q209)),0))</f>
        <v> </v>
      </c>
      <c r="AS209" s="297" t="str">
        <f aca="false">IF($A209="N/A"," ",IF(VLOOKUP(MONTH($A209),ManualTable,2)=1,IF(Dayrun&gt;=3,$DE209*8*$CY209,0),0))</f>
        <v> </v>
      </c>
      <c r="AT209" s="297" t="str">
        <f aca="false">IF($A209="N/A"," ",IF(VLOOKUP(MONTH($A209),ManualTable,3)=1,IF(Dayrun&gt;=6,$DE209*8*$CY209,0),0))</f>
        <v> </v>
      </c>
      <c r="AU209" s="297" t="str">
        <f aca="false">IF($A209="N/A"," ",IF(VLOOKUP(MONTH($A209),ManualTable,4)=1,IF(OR(Dayrun&lt;=2,Dayrun&gt;=9),$DE209*8*$CY209,0),0))</f>
        <v> </v>
      </c>
      <c r="AV209" s="297" t="str">
        <f aca="false">IF($A209="N/A"," ",IF(VLOOKUP(MONTH($A209),ManualTable,5)=1,IF(OR(Dayrun=1,Dayrun=4,Dayrun=5,Dayrun=7,Dayrun=8,Dayrun=10,Dayrun=11),$DF209*8*$CY209,0),0))</f>
        <v> </v>
      </c>
      <c r="AW209" s="297" t="str">
        <f aca="false">IF($A209="N/A"," ",IF(VLOOKUP(MONTH($A209),ManualTable,6)=1,IF(OR(Dayrun=1,Dayrun=7,Dayrun=8,Dayrun=10,Dayrun=11),$DF209*8*$CY209,0),0))</f>
        <v> </v>
      </c>
      <c r="AX209" s="297" t="str">
        <f aca="false">IF($A209="N/A"," ",IF(VLOOKUP(MONTH($A209),ManualTable,7)=1,IF(OR(Dayrun&lt;=2,Dayrun&gt;=9),$DF209*8*$CY209,0),0))</f>
        <v> </v>
      </c>
      <c r="AY209" s="297" t="str">
        <f aca="false">IF($A209="N/A"," ",IF(VLOOKUP(MONTH($A209),ManualTable,8)=1,IF(OR(Dayrun=1,Dayrun=5,Dayrun=8,Dayrun=11),$DG209*8*$CY209,0),0))</f>
        <v> </v>
      </c>
      <c r="AZ209" s="297" t="str">
        <f aca="false">IF($A209="N/A"," ",IF(VLOOKUP(MONTH($A209),ManualTable,9)=1,IF(OR(Dayrun=1,Dayrun=8,Dayrun=11),$DG209*8*$CY209,0),0))</f>
        <v> </v>
      </c>
      <c r="BA209" s="298" t="str">
        <f aca="false">IF($A209="N/A"," ",IF(VLOOKUP(MONTH($A209),ManualTable,10)=1,IF(OR(Dayrun&lt;=2,Dayrun&gt;=9),$DG209*8*$CY209,0),0))</f>
        <v> </v>
      </c>
      <c r="BB209" s="299" t="str">
        <f aca="false">IF($A209="N/A"," ",IF(Dayrun&gt;=3,(MAX(0,(xSPRDOPT(I209,($E209-'Pricing Inputs'!$X244*$D209),$CV209,0,($CN209+IF(Smile=TRUE(),VLOOKUP(MAX(-5,$H209-I209),Volsmile,2),0)),$CT209,$CU209,($A209-DateToday)+15,ABS(Option-2),1)*DE209*8))),0))</f>
        <v> </v>
      </c>
      <c r="BC209" s="300" t="str">
        <f aca="false">IF($A209="N/A"," ",IF(Dayrun&gt;=6,MAX(0,(xSPRDOPT(J209,($E209-'Pricing Inputs'!$X244*$D209),$CV209,0,($CN209+IF(Smile=TRUE(),VLOOKUP(MAX(-5,$H209-J209),Volsmile,2),0)),$CT209,$CU209,($A209-DateToday)+15,ABS(Option-2),1)*DE209*8)),0))</f>
        <v> </v>
      </c>
      <c r="BD209" s="300" t="str">
        <f aca="false">IF($A209="N/A"," ",IF(OR(Dayrun&lt;=2,Dayrun&gt;=9),IF(OffPeakEx=TRUE(),MAX(0,(xSPRDOPT(K209,($E209-'Pricing Inputs'!$X244*$D209),$CV209,0,($CQ209+IF(Smile=TRUE(),VLOOKUP(MAX(-5,$H209-K209),Volsmile,2),0)),$CT209,$CU209,($A209-DateToday)+15,ABS(Option-2),1)*DE209*8)),0),0))</f>
        <v> </v>
      </c>
      <c r="BE209" s="300" t="str">
        <f aca="false">IF($A209="N/A"," ",IF(OR(Dayrun=1,Dayrun=4,Dayrun=5,Dayrun=7,Dayrun=8,Dayrun=10,Dayrun=11),MAX(0,(xSPRDOPT(L209,($E209-'Pricing Inputs'!$X244*$D209),$CV209,0,($CQ209+IF(Smile=TRUE(),VLOOKUP(MAX(-5,$H209-L209),Volsmile,2),0)),$CT209,$CU209,($A209-DateToday)+15,ABS(Option-2),1)*DF209*8)),0))</f>
        <v> </v>
      </c>
      <c r="BF209" s="300" t="str">
        <f aca="false">IF($A209="N/A"," ",IF(OR(Dayrun=1,Dayrun=7,Dayrun=8,Dayrun=10,Dayrun=11),MAX(0,(xSPRDOPT(M209,($E209-'Pricing Inputs'!$X244*$D209),$CV209,0,($CQ209+IF(Smile=TRUE(),VLOOKUP(MAX(-5,$H209-M209),Volsmile,2),0)),$CT209,$CU209,($A209-DateToday)+15,ABS(Option-2),1)*DF209*8)),0))</f>
        <v> </v>
      </c>
      <c r="BG209" s="300" t="str">
        <f aca="false">IF($A209="N/A"," ",IF(OR(Dayrun&lt;=2,Dayrun&gt;=10),IF(OffPeakEx=TRUE(),MAX(0,(xSPRDOPT(N209,($E209-'Pricing Inputs'!$X244*$D209),$CV209,0,($CQ209+IF(Smile=TRUE(),VLOOKUP(MAX(-5,$H209-N209),Volsmile,2),0)),$CT209,$CU209,($A209-DateToday)+15,ABS(Option-2),1)*DF209*8)),0),0))</f>
        <v> </v>
      </c>
      <c r="BH209" s="300" t="str">
        <f aca="false">IF($A209="N/A"," ",IF(OR(Dayrun=1,Dayrun=5,Dayrun=8,Dayrun=11),MAX(0,(xSPRDOPT(O209,($E209-'Pricing Inputs'!$X244*$D209),$CV209,0,($CQ209+IF(Smile=TRUE(),VLOOKUP(MAX(-5,$H209-O209),Volsmile,2),0)),$CT209,$CU209,($A209-DateToday)+15,ABS(Option-2),1)*DG209*8)),0))</f>
        <v> </v>
      </c>
      <c r="BI209" s="300" t="str">
        <f aca="false">IF($A209="N/A"," ",IF(OR(Dayrun=1,Dayrun=8,Dayrun=11),MAX(0,(xSPRDOPT(P209,($E209-'Pricing Inputs'!$X244*$D209),$CV209,0,($CQ209+IF(Smile=TRUE(),VLOOKUP(MAX(-5,$H209-P209),Volsmile,2),0)),$CT209,$CU209,($A209-DateToday)+15,ABS(Option-2),1)*DG209*8)),0))</f>
        <v> </v>
      </c>
      <c r="BJ209" s="301" t="str">
        <f aca="false">IF($A209="N/A"," ",IF(OR(Dayrun&lt;=2,Dayrun&gt;=11),IF(OffPeakEx=TRUE(),MAX(0,(xSPRDOPT(Q209,($E209-'Pricing Inputs'!$X244*$D209),$CV209,0,($CQ209+IF(Smile=TRUE(),VLOOKUP(MAX(-5,$H209-Q209),Volsmile,2),0)),$CT209,$CU209,($A209-DateToday)+15,ABS(Option-2),1)*DG209*8)),0),0))</f>
        <v> </v>
      </c>
      <c r="BK209" s="302" t="str">
        <f aca="false">IF($A209="N/A"," ",R209*$AS209)</f>
        <v> </v>
      </c>
      <c r="BL209" s="303" t="str">
        <f aca="false">IF($A209="N/A"," ",S209*$AT209)</f>
        <v> </v>
      </c>
      <c r="BM209" s="303" t="str">
        <f aca="false">IF($A209="N/A"," ",T209*$AU209)</f>
        <v> </v>
      </c>
      <c r="BN209" s="303" t="str">
        <f aca="false">IF($A209="N/A"," ",U209*$AV209)</f>
        <v> </v>
      </c>
      <c r="BO209" s="303" t="str">
        <f aca="false">IF($A209="N/A"," ",V209*$AW209)</f>
        <v> </v>
      </c>
      <c r="BP209" s="303" t="str">
        <f aca="false">IF($A209="N/A"," ",W209*$AX209)</f>
        <v> </v>
      </c>
      <c r="BQ209" s="303" t="str">
        <f aca="false">IF($A209="N/A"," ",X209*$AY209)</f>
        <v> </v>
      </c>
      <c r="BR209" s="303" t="str">
        <f aca="false">IF($A209="N/A"," ",Y209*$AZ209)</f>
        <v> </v>
      </c>
      <c r="BS209" s="304" t="str">
        <f aca="false">IF($A209="N/A"," ",Z209*$BA209)</f>
        <v> </v>
      </c>
      <c r="BT209" s="305" t="str">
        <f aca="false">IF($A209="N/A"," ",AA209*$AS209)</f>
        <v> </v>
      </c>
      <c r="BU209" s="306" t="str">
        <f aca="false">IF($A209="N/A"," ",AB209*$AT209)</f>
        <v> </v>
      </c>
      <c r="BV209" s="306" t="str">
        <f aca="false">IF($A209="N/A"," ",AC209*$AU209)</f>
        <v> </v>
      </c>
      <c r="BW209" s="306" t="str">
        <f aca="false">IF($A209="N/A"," ",AD209*$AV209)</f>
        <v> </v>
      </c>
      <c r="BX209" s="306" t="str">
        <f aca="false">IF($A209="N/A"," ",AE209*$AW209)</f>
        <v> </v>
      </c>
      <c r="BY209" s="306" t="str">
        <f aca="false">IF($A209="N/A"," ",AF209*$AX209)</f>
        <v> </v>
      </c>
      <c r="BZ209" s="306" t="str">
        <f aca="false">IF($A209="N/A"," ",AG209*$AY209)</f>
        <v> </v>
      </c>
      <c r="CA209" s="306" t="str">
        <f aca="false">IF($A209="N/A"," ",AH209*$AZ209)</f>
        <v> </v>
      </c>
      <c r="CB209" s="307" t="str">
        <f aca="false">IF($A209="N/A"," ",AI209*$BA209)</f>
        <v> </v>
      </c>
      <c r="CC209" s="308" t="str">
        <f aca="false">IF($A209="N/A"," ",AJ209*$AS209)</f>
        <v> </v>
      </c>
      <c r="CD209" s="309" t="str">
        <f aca="false">IF($A209="N/A"," ",AK209*$AT209)</f>
        <v> </v>
      </c>
      <c r="CE209" s="309" t="str">
        <f aca="false">IF($A209="N/A"," ",AL209*$AU209)</f>
        <v> </v>
      </c>
      <c r="CF209" s="309" t="str">
        <f aca="false">IF($A209="N/A"," ",AM209*$AV209)</f>
        <v> </v>
      </c>
      <c r="CG209" s="309" t="str">
        <f aca="false">IF($A209="N/A"," ",AN209*$AW209)</f>
        <v> </v>
      </c>
      <c r="CH209" s="309" t="str">
        <f aca="false">IF($A209="N/A"," ",AO209*$AX209)</f>
        <v> </v>
      </c>
      <c r="CI209" s="309" t="str">
        <f aca="false">IF($A209="N/A"," ",AP209*$AY209)</f>
        <v> </v>
      </c>
      <c r="CJ209" s="309" t="str">
        <f aca="false">IF($A209="N/A"," ",AQ209*$AZ209)</f>
        <v> </v>
      </c>
      <c r="CK209" s="310" t="str">
        <f aca="false">IF($A209="N/A"," ",AR209*$BA209)</f>
        <v> </v>
      </c>
      <c r="CL209" s="311" t="str">
        <f aca="false">IF(A209="N/A"," ",(VLOOKUP(A209,PowerVolTable,(IF(VolBMO=2,7,IF(VolBMO=1,6,8))),FALSE())))</f>
        <v> </v>
      </c>
      <c r="CM209" s="312" t="str">
        <f aca="false">IF(A209="N/A"," ",(VLOOKUP(A209,IntraPowerVol,(IF(VolBMO=2,3,IF(VolBMO=1,2,4))),FALSE())*VLOOKUP(MONTH($A209),Volscale,2)))</f>
        <v> </v>
      </c>
      <c r="CN209" s="312" t="str">
        <f aca="false">IF($A209="N/A"," ",IF(VolType=1,CM209,CL209))</f>
        <v> </v>
      </c>
      <c r="CO209" s="312" t="str">
        <f aca="false">IF($A209="N/A"," ",(VLOOKUP($A209,OffPeakVol,(IF(VolBMO=2,7,IF(VolBMO=1,6,8))),FALSE())))</f>
        <v> </v>
      </c>
      <c r="CP209" s="312" t="str">
        <f aca="false">IF($A209="N/A"," ",(VLOOKUP($A209,OffPeakVol,(IF(VolBMO=2,3,IF(VolBMO=1,2,4))),FALSE())*VLOOKUP(MONTH($A209),Volscale,2)))</f>
        <v> </v>
      </c>
      <c r="CQ209" s="312" t="str">
        <f aca="false">IF($A209="N/A"," ",IF(VolType=1,CP209,CO209))</f>
        <v> </v>
      </c>
      <c r="CR209" s="312" t="str">
        <f aca="false">IF($A209="N/A"," ",(VLOOKUP($A209,GasVolTable,(IF(VolBMO=2,6,IF(VolBMO=1,7,5))),FALSE())))</f>
        <v> </v>
      </c>
      <c r="CS209" s="312" t="str">
        <f aca="false">IF($A209="N/A"," ",(VLOOKUP($A209,OmicronVol,(IF(VolBMO=2,3,IF(VolBMO=1,4,2))),FALSE())))</f>
        <v> </v>
      </c>
      <c r="CT209" s="312" t="str">
        <f aca="false">IF($A209="N/A"," ",(IF(DateToday&gt;$A209,$CS209,IF(VolType=1,((($CR209^2)*((($A209-1)-DateToday)/((EOMONTH($A209,0)+1)-DateToday-15)))+((($CS209)^2)*((15)/((EOMONTH($A209,0)+1)-DateToday-15))))^0.5,CR209))))</f>
        <v> </v>
      </c>
      <c r="CU209" s="312" t="str">
        <f aca="false">IF($A209="N/A"," ",IF('Pricing Inputs'!$AR$23=TRUE(),Inputs!$S$22,VLOOKUP($A209,CorrelationTable,2,FALSE())))</f>
        <v> </v>
      </c>
      <c r="CV209" s="313" t="str">
        <f aca="false">IF($A209="N/A"," ",F209+G209+(D209*('Pricing Inputs'!X244)))</f>
        <v> </v>
      </c>
      <c r="CW209" s="314" t="str">
        <f aca="false">IF($A209="N/A"," ",IF(PV=1,0,'Pricing Inputs'!Y244))</f>
        <v> </v>
      </c>
      <c r="CX209" s="315" t="str">
        <f aca="false">IF($A209="N/A"," ",(1+CW209/2)^(-2*((EOMONTH(A209,0)+20)-DateToday)/365.25))</f>
        <v> </v>
      </c>
      <c r="CY209" s="316" t="str">
        <f aca="false">IF($A209="N/A"," ",(IF(MONTH(A209)&gt;=4,IF(MONTH(A209)&lt;=10,Inputs!$S$26,Inputs!$S$27),Inputs!$S$27))*$CX209)</f>
        <v> </v>
      </c>
      <c r="CZ209" s="317" t="str">
        <f aca="false">IF($A209="N/A"," ",BK209+BL209+BN209+BO209+BQ209+BR209)</f>
        <v> </v>
      </c>
      <c r="DA209" s="318" t="str">
        <f aca="false">IF($A209="N/A"," ",BM209+BP209+BS209)</f>
        <v> </v>
      </c>
      <c r="DB209" s="319" t="str">
        <f aca="false">IF($A209="N/A"," ",BT209+BU209+BW209+BX209+BZ209+CA209)</f>
        <v> </v>
      </c>
      <c r="DC209" s="319" t="str">
        <f aca="false">IF($A209="N/A"," ",BV209+BY209+CB209)</f>
        <v> </v>
      </c>
      <c r="DD209" s="320" t="str">
        <f aca="false">IF($A209="N/A"," ",SUM(CC209:CK209))</f>
        <v> </v>
      </c>
      <c r="DE209" s="321" t="str">
        <f aca="false">IF($A209="N/A"," ",VLOOKUP($A209,NumberofDaysTable,2)*Availability)</f>
        <v> </v>
      </c>
      <c r="DF209" s="94" t="str">
        <f aca="false">IF($A209="N/A"," ",VLOOKUP($A209,NumberofDaysTable,3)*Availability)</f>
        <v> </v>
      </c>
      <c r="DG209" s="322" t="str">
        <f aca="false">IF($A209="N/A"," ",VLOOKUP($A209,NumberofDaysTable,4)*Availability)</f>
        <v> </v>
      </c>
      <c r="DH209" s="323" t="str">
        <f aca="false">IF($A209="N/A"," ",IF(Option=1,$D209*Inputs!$S$15*SUM(AS209:BA209),0))</f>
        <v> </v>
      </c>
      <c r="DI209" s="324" t="str">
        <f aca="false">IF($A209="N/A"," ",IF(Option=1,$D209*Inputs!$S$16*SUM(AS209:BA209),0))</f>
        <v> </v>
      </c>
      <c r="DJ209" s="325" t="str">
        <f aca="false">IF($A209="N/A"," ",SUM(AS209:AT209))</f>
        <v> </v>
      </c>
      <c r="DK209" s="325" t="str">
        <f aca="false">IF($A209="N/A"," ",SUM(AU209:BA209))</f>
        <v> </v>
      </c>
      <c r="DL209" s="325" t="str">
        <f aca="false">IF($A209="N/A"," ",SUM(BB209:BC209))</f>
        <v> </v>
      </c>
      <c r="DM209" s="325" t="str">
        <f aca="false">IF($A209="N/A"," ",SUM(BD209:BJ209))</f>
        <v> </v>
      </c>
    </row>
    <row r="210" customFormat="false" ht="12.75" hidden="false" customHeight="false" outlineLevel="0" collapsed="false">
      <c r="A210" s="282" t="str">
        <f aca="false">IF(A209="N/A","N/A",IF(EDATE(A209,1)&gt;Inputs!$S$5,"N/A",EDATE(A209,1)))</f>
        <v>N/A</v>
      </c>
      <c r="B210" s="283" t="str">
        <f aca="false">IF(A210="N/A"," ",YEAR(A210))</f>
        <v> </v>
      </c>
      <c r="C210" s="284" t="str">
        <f aca="false">IF(A210="N/A"," ",VLOOKUP(A210,ScaledPrice,14))</f>
        <v> </v>
      </c>
      <c r="D210" s="285" t="str">
        <f aca="false">IF(A210="N/A"," ",(VLOOKUP(MONTH($A210),Hrtable,2))/1000)</f>
        <v> </v>
      </c>
      <c r="E210" s="286" t="str">
        <f aca="false">IF($A210="N/A"," ",(C210)*D210)</f>
        <v> </v>
      </c>
      <c r="F210" s="287" t="str">
        <f aca="false">IF(A210="N/A"," ",VOM*(1+VOMesc)^(YEAR(A210)-YEAR(Today)))</f>
        <v> </v>
      </c>
      <c r="G210" s="287" t="str">
        <f aca="false">IF(A210="N/A"," ",Perstart/VLOOKUP(Dayrun,'Pricing Inputs'!$AQ$4:$AS$14,3)/(CY210/CX210))</f>
        <v> </v>
      </c>
      <c r="H210" s="288" t="str">
        <f aca="false">IF(A210="N/A"," ",SUM(E210:G210))</f>
        <v> </v>
      </c>
      <c r="I210" s="289" t="str">
        <f aca="false">VLOOKUP($A210,ScaledPrice,6)</f>
        <v> </v>
      </c>
      <c r="J210" s="290" t="str">
        <f aca="false">VLOOKUP($A210,ScaledPrice,10)</f>
        <v> </v>
      </c>
      <c r="K210" s="290" t="str">
        <f aca="false">VLOOKUP($A210,ScaledPrice,13)</f>
        <v> </v>
      </c>
      <c r="L210" s="290" t="str">
        <f aca="false">VLOOKUP($A210,ScaledPrice,7)</f>
        <v> </v>
      </c>
      <c r="M210" s="290" t="str">
        <f aca="false">VLOOKUP($A210,ScaledPrice,11)</f>
        <v> </v>
      </c>
      <c r="N210" s="290" t="str">
        <f aca="false">VLOOKUP($A210,ScaledPrice,13)</f>
        <v> </v>
      </c>
      <c r="O210" s="290" t="str">
        <f aca="false">VLOOKUP($A210,ScaledPrice,8)</f>
        <v> </v>
      </c>
      <c r="P210" s="290" t="str">
        <f aca="false">VLOOKUP($A210,ScaledPrice,12)</f>
        <v> </v>
      </c>
      <c r="Q210" s="291" t="str">
        <f aca="false">VLOOKUP($A210,ScaledPrice,13)</f>
        <v> </v>
      </c>
      <c r="R210" s="292" t="str">
        <f aca="false">IF($A210="N/A"," ",IF(Dayrun&gt;=3,IF(Option=1,MAX($I210-$H210,0),IF(Option=2,MAX($H210-$I210,0),0)),0))</f>
        <v> </v>
      </c>
      <c r="S210" s="286" t="str">
        <f aca="false">IF($A210="N/A"," ",IF(Dayrun&gt;=6,IF(Option=1,MAX($J210-H210,0),IF(Option=2,MAX(H210-$J210,0),0)),0))</f>
        <v> </v>
      </c>
      <c r="T210" s="286" t="str">
        <f aca="false">IF($A210="N/A"," ",IF(OR(Dayrun&lt;=2,Dayrun&gt;=9),IF(Option=1,MAX($K210-$H210,0),IF(Option=2,MAX($H210-$K210,0),0)),0))</f>
        <v> </v>
      </c>
      <c r="U210" s="286" t="str">
        <f aca="false">IF($A210="N/A"," ",IF(OR(Dayrun=1,Dayrun=4,Dayrun=5,Dayrun=7,Dayrun=8,Dayrun=10,Dayrun=11),IF(Option=1,MAX($L210-H210,0),IF(Option=2,MAX(H210-$L210,0),0)),0))</f>
        <v> </v>
      </c>
      <c r="V210" s="286" t="str">
        <f aca="false">IF($A210="N/A"," ",IF(OR(Dayrun=1,Dayrun=7,Dayrun=8,Dayrun=10,Dayrun=11),IF(Option=1,MAX($M210-H210,0),IF(Option=2,MAX(H210-$M210,0),0)),0))</f>
        <v> </v>
      </c>
      <c r="W210" s="286" t="str">
        <f aca="false">IF($A210="N/A"," ",IF(OR(Dayrun&lt;=2,Dayrun&gt;=10),IF(Option=1,MAX($N210-$H210,0),IF(Option=2,MAX($H210-$N210,0),0)),0))</f>
        <v> </v>
      </c>
      <c r="X210" s="286" t="str">
        <f aca="false">IF($A210="N/A"," ",IF(OR(Dayrun=1,Dayrun=5,Dayrun=8,Dayrun=11),IF(Option=1,MAX($O210-H210,0),IF(Option=2,MAX(H210-$O210,0),0)),0))</f>
        <v> </v>
      </c>
      <c r="Y210" s="286" t="str">
        <f aca="false">IF($A210="N/A"," ",IF(OR(Dayrun=1,Dayrun=8,Dayrun=11),IF(Option=1,MAX($P210-H210,0),IF(Option=2,MAX(H210-$P210,0),0)),0))</f>
        <v> </v>
      </c>
      <c r="Z210" s="293" t="str">
        <f aca="false">IF($A210="N/A"," ",IF(OR(Dayrun&lt;=2,Dayrun&gt;=11),IF(Option=1,MAX($Q210-$H210,0),IF(Option=2,MAX($H210-$Q210,0),0)),0))</f>
        <v> </v>
      </c>
      <c r="AA210" s="289" t="str">
        <f aca="false">IF($A210="N/A"," ",IF(Dayrun&gt;=3,(MAX(0,(xSPRDOPT(I210,($E210-'Pricing Inputs'!$X245*$D210),$CV210,0,($CN210+IF(Smile=TRUE(),VLOOKUP(MAX(-5,$H210-I210),Volsmile,2),0)),$CT210,$CU210,($A210-DateToday)+15,ABS(Option-2),0)-R210))),0))</f>
        <v> </v>
      </c>
      <c r="AB210" s="290" t="str">
        <f aca="false">IF($A210="N/A"," ",IF(Dayrun&gt;=6,MAX(0,(xSPRDOPT(J210,($E210-'Pricing Inputs'!$X245*$D210),$CV210,0,($CN210+IF(Smile=TRUE(),VLOOKUP(MAX(-5,$H210-J210),Volsmile,2),0)),$CT210,$CU210,($A210-DateToday)+15,ABS(Option-2),0)-S210)),0))</f>
        <v> </v>
      </c>
      <c r="AC210" s="290" t="str">
        <f aca="false">IF($A210="N/A"," ",IF(OR(Dayrun&lt;=2,Dayrun&gt;=9),IF(OffPeakEx=TRUE(),MAX(0,(xSPRDOPT(K210,($E210-'Pricing Inputs'!$X245*$D210),$CV210,0,($CQ210+IF(Smile=TRUE(),VLOOKUP(MAX(-5,$H210-K210),Volsmile,2),0)),$CT210,$CU210,($A210-DateToday)+15,ABS(Option-2),0)-T210)),0),0))</f>
        <v> </v>
      </c>
      <c r="AD210" s="290" t="str">
        <f aca="false">IF($A210="N/A"," ",IF(OR(Dayrun=1,Dayrun=4,Dayrun=5,Dayrun=7,Dayrun=8,Dayrun=10,Dayrun=11),MAX(0,(xSPRDOPT(L210,($E210-'Pricing Inputs'!$X245*$D210),$CV210,0,($CQ210+IF(Smile=TRUE(),VLOOKUP(MAX(-5,$H210-L210),Volsmile,2),0)),$CT210,$CU210,($A210-DateToday)+15,ABS(Option-2),0)-U210)),0))</f>
        <v> </v>
      </c>
      <c r="AE210" s="290" t="str">
        <f aca="false">IF($A210="N/A"," ",IF(OR(Dayrun=1,Dayrun=7,Dayrun=8,Dayrun=10,Dayrun=11),MAX(0,(xSPRDOPT(M210,($E210-'Pricing Inputs'!$X245*$D210),$CV210,0,($CQ210+IF(Smile=TRUE(),VLOOKUP(MAX(-5,$H210-M210),Volsmile,2),0)),$CT210,$CU210,($A210-DateToday)+15,ABS(Option-2),0)-V210)),0))</f>
        <v> </v>
      </c>
      <c r="AF210" s="290" t="str">
        <f aca="false">IF($A210="N/A"," ",IF(OR(Dayrun&lt;=2,Dayrun&gt;=10),IF(OffPeakEx=TRUE(),MAX(0,(xSPRDOPT(N210,($E210-'Pricing Inputs'!$X245*$D210),$CV210,0,($CQ210+IF(Smile=TRUE(),VLOOKUP(MAX(-5,$H210-N210),Volsmile,2),0)),$CT210,$CU210,($A210-DateToday)+15,ABS(Option-2),0)-W210)),0),0))</f>
        <v> </v>
      </c>
      <c r="AG210" s="290" t="str">
        <f aca="false">IF($A210="N/A"," ",IF(OR(Dayrun=1,Dayrun=5,Dayrun=8,Dayrun=11),MAX(0,(xSPRDOPT(O210,($E210-'Pricing Inputs'!$X245*$D210),$CV210,0,($CQ210+IF(Smile=TRUE(),VLOOKUP(MAX(-5,$H210-O210),Volsmile,2),0)),$CT210,$CU210,($A210-DateToday)+15,ABS(Option-2),0)-X210)),0))</f>
        <v> </v>
      </c>
      <c r="AH210" s="290" t="str">
        <f aca="false">IF($A210="N/A"," ",IF(OR(Dayrun=1,Dayrun=8,Dayrun=11),MAX(0,(xSPRDOPT(P210,($E210-'Pricing Inputs'!$X245*$D210),$CV210,0,($CQ210+IF(Smile=TRUE(),VLOOKUP(MAX(-5,$H210-P210),Volsmile,2),0)),$CT210,$CU210,($A210-DateToday)+15,ABS(Option-2),0)-Y210)),0))</f>
        <v> </v>
      </c>
      <c r="AI210" s="290" t="str">
        <f aca="false">IF($A210="N/A"," ",IF(OR(Dayrun&lt;=2,Dayrun&gt;=11),IF(OffPeakEx=TRUE(),MAX(0,(xSPRDOPT(Q210,($E210-'Pricing Inputs'!$X245*$D210),$CV210,0,($CQ210+IF(Smile=TRUE(),VLOOKUP(MAX(-5,$H210-Q210),Volsmile,2),0)),$CT210,$CU210,($A210-DateToday)+15,ABS(Option-2),0)-Z210)),0),0))</f>
        <v> </v>
      </c>
      <c r="AJ210" s="294" t="str">
        <f aca="false">IF($A210="N/A"," ",IF(Dayrun&gt;=3,IF(Option=1,$I210-$H210,IF(Option=2,$H210-$I210)),0))</f>
        <v> </v>
      </c>
      <c r="AK210" s="295" t="str">
        <f aca="false">IF($A210="N/A"," ",IF(Dayrun&gt;=6,IF(Option=1,$J210-H210,IF(Option=2,H210-$J210)),0))</f>
        <v> </v>
      </c>
      <c r="AL210" s="295" t="str">
        <f aca="false">IF($A210="N/A"," ",IF(OR(Dayrun&lt;=2,Dayrun&gt;=9),IF(Option=1,$K210-$H210,IF(Option=2,$H210-$K210)),0))</f>
        <v> </v>
      </c>
      <c r="AM210" s="295" t="str">
        <f aca="false">IF($A210="N/A"," ",IF(OR(Dayrun=1,Dayrun=4,Dayrun=5,Dayrun=7,Dayrun=8,Dayrun=10,Dayrun=11),IF(Option=1,$L210-H210,IF(Option=2,H210-$L210)),0))</f>
        <v> </v>
      </c>
      <c r="AN210" s="295" t="str">
        <f aca="false">IF($A210="N/A"," ",IF(OR(Dayrun=1,Dayrun=7,Dayrun=8,Dayrun=10,Dayrun=11),IF(Option=1,$M210-H210,IF(Option=2,H210-$M210)),0))</f>
        <v> </v>
      </c>
      <c r="AO210" s="295" t="str">
        <f aca="false">IF($A210="N/A"," ",IF(OR(Dayrun&lt;=2,Dayrun&gt;=9),IF(Option=1,$N210-$H210,IF(Option=2,$H210-$N210)),0))</f>
        <v> </v>
      </c>
      <c r="AP210" s="295" t="str">
        <f aca="false">IF($A210="N/A"," ",IF(OR(Dayrun=1,Dayrun=5,Dayrun=8,Dayrun=11),IF(Option=1,$O210-H210,IF(Option=2,H210-$O210)),0))</f>
        <v> </v>
      </c>
      <c r="AQ210" s="295" t="str">
        <f aca="false">IF($A210="N/A"," ",IF(OR(Dayrun=1,Dayrun=8,Dayrun=11),IF(Option=1,$P210-H210,IF(Option=2,H210-$P210)),0))</f>
        <v> </v>
      </c>
      <c r="AR210" s="296" t="str">
        <f aca="false">IF($A210="N/A"," ",IF(OR(Dayrun&lt;=2,Dayrun&gt;=9),IF(Option=1,$Q210-H210,IF(Option=2,H210-$Q210)),0))</f>
        <v> </v>
      </c>
      <c r="AS210" s="297" t="str">
        <f aca="false">IF($A210="N/A"," ",IF(VLOOKUP(MONTH($A210),ManualTable,2)=1,IF(Dayrun&gt;=3,$DE210*8*$CY210,0),0))</f>
        <v> </v>
      </c>
      <c r="AT210" s="297" t="str">
        <f aca="false">IF($A210="N/A"," ",IF(VLOOKUP(MONTH($A210),ManualTable,3)=1,IF(Dayrun&gt;=6,$DE210*8*$CY210,0),0))</f>
        <v> </v>
      </c>
      <c r="AU210" s="297" t="str">
        <f aca="false">IF($A210="N/A"," ",IF(VLOOKUP(MONTH($A210),ManualTable,4)=1,IF(OR(Dayrun&lt;=2,Dayrun&gt;=9),$DE210*8*$CY210,0),0))</f>
        <v> </v>
      </c>
      <c r="AV210" s="297" t="str">
        <f aca="false">IF($A210="N/A"," ",IF(VLOOKUP(MONTH($A210),ManualTable,5)=1,IF(OR(Dayrun=1,Dayrun=4,Dayrun=5,Dayrun=7,Dayrun=8,Dayrun=10,Dayrun=11),$DF210*8*$CY210,0),0))</f>
        <v> </v>
      </c>
      <c r="AW210" s="297" t="str">
        <f aca="false">IF($A210="N/A"," ",IF(VLOOKUP(MONTH($A210),ManualTable,6)=1,IF(OR(Dayrun=1,Dayrun=7,Dayrun=8,Dayrun=10,Dayrun=11),$DF210*8*$CY210,0),0))</f>
        <v> </v>
      </c>
      <c r="AX210" s="297" t="str">
        <f aca="false">IF($A210="N/A"," ",IF(VLOOKUP(MONTH($A210),ManualTable,7)=1,IF(OR(Dayrun&lt;=2,Dayrun&gt;=9),$DF210*8*$CY210,0),0))</f>
        <v> </v>
      </c>
      <c r="AY210" s="297" t="str">
        <f aca="false">IF($A210="N/A"," ",IF(VLOOKUP(MONTH($A210),ManualTable,8)=1,IF(OR(Dayrun=1,Dayrun=5,Dayrun=8,Dayrun=11),$DG210*8*$CY210,0),0))</f>
        <v> </v>
      </c>
      <c r="AZ210" s="297" t="str">
        <f aca="false">IF($A210="N/A"," ",IF(VLOOKUP(MONTH($A210),ManualTable,9)=1,IF(OR(Dayrun=1,Dayrun=8,Dayrun=11),$DG210*8*$CY210,0),0))</f>
        <v> </v>
      </c>
      <c r="BA210" s="298" t="str">
        <f aca="false">IF($A210="N/A"," ",IF(VLOOKUP(MONTH($A210),ManualTable,10)=1,IF(OR(Dayrun&lt;=2,Dayrun&gt;=9),$DG210*8*$CY210,0),0))</f>
        <v> </v>
      </c>
      <c r="BB210" s="299" t="str">
        <f aca="false">IF($A210="N/A"," ",IF(Dayrun&gt;=3,(MAX(0,(xSPRDOPT(I210,($E210-'Pricing Inputs'!$X245*$D210),$CV210,0,($CN210+IF(Smile=TRUE(),VLOOKUP(MAX(-5,$H210-I210),Volsmile,2),0)),$CT210,$CU210,($A210-DateToday)+15,ABS(Option-2),1)*DE210*8))),0))</f>
        <v> </v>
      </c>
      <c r="BC210" s="300" t="str">
        <f aca="false">IF($A210="N/A"," ",IF(Dayrun&gt;=6,MAX(0,(xSPRDOPT(J210,($E210-'Pricing Inputs'!$X245*$D210),$CV210,0,($CN210+IF(Smile=TRUE(),VLOOKUP(MAX(-5,$H210-J210),Volsmile,2),0)),$CT210,$CU210,($A210-DateToday)+15,ABS(Option-2),1)*DE210*8)),0))</f>
        <v> </v>
      </c>
      <c r="BD210" s="300" t="str">
        <f aca="false">IF($A210="N/A"," ",IF(OR(Dayrun&lt;=2,Dayrun&gt;=9),IF(OffPeakEx=TRUE(),MAX(0,(xSPRDOPT(K210,($E210-'Pricing Inputs'!$X245*$D210),$CV210,0,($CQ210+IF(Smile=TRUE(),VLOOKUP(MAX(-5,$H210-K210),Volsmile,2),0)),$CT210,$CU210,($A210-DateToday)+15,ABS(Option-2),1)*DE210*8)),0),0))</f>
        <v> </v>
      </c>
      <c r="BE210" s="300" t="str">
        <f aca="false">IF($A210="N/A"," ",IF(OR(Dayrun=1,Dayrun=4,Dayrun=5,Dayrun=7,Dayrun=8,Dayrun=10,Dayrun=11),MAX(0,(xSPRDOPT(L210,($E210-'Pricing Inputs'!$X245*$D210),$CV210,0,($CQ210+IF(Smile=TRUE(),VLOOKUP(MAX(-5,$H210-L210),Volsmile,2),0)),$CT210,$CU210,($A210-DateToday)+15,ABS(Option-2),1)*DF210*8)),0))</f>
        <v> </v>
      </c>
      <c r="BF210" s="300" t="str">
        <f aca="false">IF($A210="N/A"," ",IF(OR(Dayrun=1,Dayrun=7,Dayrun=8,Dayrun=10,Dayrun=11),MAX(0,(xSPRDOPT(M210,($E210-'Pricing Inputs'!$X245*$D210),$CV210,0,($CQ210+IF(Smile=TRUE(),VLOOKUP(MAX(-5,$H210-M210),Volsmile,2),0)),$CT210,$CU210,($A210-DateToday)+15,ABS(Option-2),1)*DF210*8)),0))</f>
        <v> </v>
      </c>
      <c r="BG210" s="300" t="str">
        <f aca="false">IF($A210="N/A"," ",IF(OR(Dayrun&lt;=2,Dayrun&gt;=10),IF(OffPeakEx=TRUE(),MAX(0,(xSPRDOPT(N210,($E210-'Pricing Inputs'!$X245*$D210),$CV210,0,($CQ210+IF(Smile=TRUE(),VLOOKUP(MAX(-5,$H210-N210),Volsmile,2),0)),$CT210,$CU210,($A210-DateToday)+15,ABS(Option-2),1)*DF210*8)),0),0))</f>
        <v> </v>
      </c>
      <c r="BH210" s="300" t="str">
        <f aca="false">IF($A210="N/A"," ",IF(OR(Dayrun=1,Dayrun=5,Dayrun=8,Dayrun=11),MAX(0,(xSPRDOPT(O210,($E210-'Pricing Inputs'!$X245*$D210),$CV210,0,($CQ210+IF(Smile=TRUE(),VLOOKUP(MAX(-5,$H210-O210),Volsmile,2),0)),$CT210,$CU210,($A210-DateToday)+15,ABS(Option-2),1)*DG210*8)),0))</f>
        <v> </v>
      </c>
      <c r="BI210" s="300" t="str">
        <f aca="false">IF($A210="N/A"," ",IF(OR(Dayrun=1,Dayrun=8,Dayrun=11),MAX(0,(xSPRDOPT(P210,($E210-'Pricing Inputs'!$X245*$D210),$CV210,0,($CQ210+IF(Smile=TRUE(),VLOOKUP(MAX(-5,$H210-P210),Volsmile,2),0)),$CT210,$CU210,($A210-DateToday)+15,ABS(Option-2),1)*DG210*8)),0))</f>
        <v> </v>
      </c>
      <c r="BJ210" s="301" t="str">
        <f aca="false">IF($A210="N/A"," ",IF(OR(Dayrun&lt;=2,Dayrun&gt;=11),IF(OffPeakEx=TRUE(),MAX(0,(xSPRDOPT(Q210,($E210-'Pricing Inputs'!$X245*$D210),$CV210,0,($CQ210+IF(Smile=TRUE(),VLOOKUP(MAX(-5,$H210-Q210),Volsmile,2),0)),$CT210,$CU210,($A210-DateToday)+15,ABS(Option-2),1)*DG210*8)),0),0))</f>
        <v> </v>
      </c>
      <c r="BK210" s="302" t="str">
        <f aca="false">IF($A210="N/A"," ",R210*$AS210)</f>
        <v> </v>
      </c>
      <c r="BL210" s="303" t="str">
        <f aca="false">IF($A210="N/A"," ",S210*$AT210)</f>
        <v> </v>
      </c>
      <c r="BM210" s="303" t="str">
        <f aca="false">IF($A210="N/A"," ",T210*$AU210)</f>
        <v> </v>
      </c>
      <c r="BN210" s="303" t="str">
        <f aca="false">IF($A210="N/A"," ",U210*$AV210)</f>
        <v> </v>
      </c>
      <c r="BO210" s="303" t="str">
        <f aca="false">IF($A210="N/A"," ",V210*$AW210)</f>
        <v> </v>
      </c>
      <c r="BP210" s="303" t="str">
        <f aca="false">IF($A210="N/A"," ",W210*$AX210)</f>
        <v> </v>
      </c>
      <c r="BQ210" s="303" t="str">
        <f aca="false">IF($A210="N/A"," ",X210*$AY210)</f>
        <v> </v>
      </c>
      <c r="BR210" s="303" t="str">
        <f aca="false">IF($A210="N/A"," ",Y210*$AZ210)</f>
        <v> </v>
      </c>
      <c r="BS210" s="304" t="str">
        <f aca="false">IF($A210="N/A"," ",Z210*$BA210)</f>
        <v> </v>
      </c>
      <c r="BT210" s="305" t="str">
        <f aca="false">IF($A210="N/A"," ",AA210*$AS210)</f>
        <v> </v>
      </c>
      <c r="BU210" s="306" t="str">
        <f aca="false">IF($A210="N/A"," ",AB210*$AT210)</f>
        <v> </v>
      </c>
      <c r="BV210" s="306" t="str">
        <f aca="false">IF($A210="N/A"," ",AC210*$AU210)</f>
        <v> </v>
      </c>
      <c r="BW210" s="306" t="str">
        <f aca="false">IF($A210="N/A"," ",AD210*$AV210)</f>
        <v> </v>
      </c>
      <c r="BX210" s="306" t="str">
        <f aca="false">IF($A210="N/A"," ",AE210*$AW210)</f>
        <v> </v>
      </c>
      <c r="BY210" s="306" t="str">
        <f aca="false">IF($A210="N/A"," ",AF210*$AX210)</f>
        <v> </v>
      </c>
      <c r="BZ210" s="306" t="str">
        <f aca="false">IF($A210="N/A"," ",AG210*$AY210)</f>
        <v> </v>
      </c>
      <c r="CA210" s="306" t="str">
        <f aca="false">IF($A210="N/A"," ",AH210*$AZ210)</f>
        <v> </v>
      </c>
      <c r="CB210" s="307" t="str">
        <f aca="false">IF($A210="N/A"," ",AI210*$BA210)</f>
        <v> </v>
      </c>
      <c r="CC210" s="308" t="str">
        <f aca="false">IF($A210="N/A"," ",AJ210*$AS210)</f>
        <v> </v>
      </c>
      <c r="CD210" s="309" t="str">
        <f aca="false">IF($A210="N/A"," ",AK210*$AT210)</f>
        <v> </v>
      </c>
      <c r="CE210" s="309" t="str">
        <f aca="false">IF($A210="N/A"," ",AL210*$AU210)</f>
        <v> </v>
      </c>
      <c r="CF210" s="309" t="str">
        <f aca="false">IF($A210="N/A"," ",AM210*$AV210)</f>
        <v> </v>
      </c>
      <c r="CG210" s="309" t="str">
        <f aca="false">IF($A210="N/A"," ",AN210*$AW210)</f>
        <v> </v>
      </c>
      <c r="CH210" s="309" t="str">
        <f aca="false">IF($A210="N/A"," ",AO210*$AX210)</f>
        <v> </v>
      </c>
      <c r="CI210" s="309" t="str">
        <f aca="false">IF($A210="N/A"," ",AP210*$AY210)</f>
        <v> </v>
      </c>
      <c r="CJ210" s="309" t="str">
        <f aca="false">IF($A210="N/A"," ",AQ210*$AZ210)</f>
        <v> </v>
      </c>
      <c r="CK210" s="310" t="str">
        <f aca="false">IF($A210="N/A"," ",AR210*$BA210)</f>
        <v> </v>
      </c>
      <c r="CL210" s="311" t="str">
        <f aca="false">IF(A210="N/A"," ",(VLOOKUP(A210,PowerVolTable,(IF(VolBMO=2,7,IF(VolBMO=1,6,8))),FALSE())))</f>
        <v> </v>
      </c>
      <c r="CM210" s="312" t="str">
        <f aca="false">IF(A210="N/A"," ",(VLOOKUP(A210,IntraPowerVol,(IF(VolBMO=2,3,IF(VolBMO=1,2,4))),FALSE())*VLOOKUP(MONTH($A210),Volscale,2)))</f>
        <v> </v>
      </c>
      <c r="CN210" s="312" t="str">
        <f aca="false">IF($A210="N/A"," ",IF(VolType=1,CM210,CL210))</f>
        <v> </v>
      </c>
      <c r="CO210" s="312" t="str">
        <f aca="false">IF($A210="N/A"," ",(VLOOKUP($A210,OffPeakVol,(IF(VolBMO=2,7,IF(VolBMO=1,6,8))),FALSE())))</f>
        <v> </v>
      </c>
      <c r="CP210" s="312" t="str">
        <f aca="false">IF($A210="N/A"," ",(VLOOKUP($A210,OffPeakVol,(IF(VolBMO=2,3,IF(VolBMO=1,2,4))),FALSE())*VLOOKUP(MONTH($A210),Volscale,2)))</f>
        <v> </v>
      </c>
      <c r="CQ210" s="312" t="str">
        <f aca="false">IF($A210="N/A"," ",IF(VolType=1,CP210,CO210))</f>
        <v> </v>
      </c>
      <c r="CR210" s="312" t="str">
        <f aca="false">IF($A210="N/A"," ",(VLOOKUP($A210,GasVolTable,(IF(VolBMO=2,6,IF(VolBMO=1,7,5))),FALSE())))</f>
        <v> </v>
      </c>
      <c r="CS210" s="312" t="str">
        <f aca="false">IF($A210="N/A"," ",(VLOOKUP($A210,OmicronVol,(IF(VolBMO=2,3,IF(VolBMO=1,4,2))),FALSE())))</f>
        <v> </v>
      </c>
      <c r="CT210" s="312" t="str">
        <f aca="false">IF($A210="N/A"," ",(IF(DateToday&gt;$A210,$CS210,IF(VolType=1,((($CR210^2)*((($A210-1)-DateToday)/((EOMONTH($A210,0)+1)-DateToday-15)))+((($CS210)^2)*((15)/((EOMONTH($A210,0)+1)-DateToday-15))))^0.5,CR210))))</f>
        <v> </v>
      </c>
      <c r="CU210" s="312" t="str">
        <f aca="false">IF($A210="N/A"," ",IF('Pricing Inputs'!$AR$23=TRUE(),Inputs!$S$22,VLOOKUP($A210,CorrelationTable,2,FALSE())))</f>
        <v> </v>
      </c>
      <c r="CV210" s="313" t="str">
        <f aca="false">IF($A210="N/A"," ",F210+G210+(D210*('Pricing Inputs'!X245)))</f>
        <v> </v>
      </c>
      <c r="CW210" s="314" t="str">
        <f aca="false">IF($A210="N/A"," ",IF(PV=1,0,'Pricing Inputs'!Y245))</f>
        <v> </v>
      </c>
      <c r="CX210" s="315" t="str">
        <f aca="false">IF($A210="N/A"," ",(1+CW210/2)^(-2*((EOMONTH(A210,0)+20)-DateToday)/365.25))</f>
        <v> </v>
      </c>
      <c r="CY210" s="316" t="str">
        <f aca="false">IF($A210="N/A"," ",(IF(MONTH(A210)&gt;=4,IF(MONTH(A210)&lt;=10,Inputs!$S$26,Inputs!$S$27),Inputs!$S$27))*$CX210)</f>
        <v> </v>
      </c>
      <c r="CZ210" s="317" t="str">
        <f aca="false">IF($A210="N/A"," ",BK210+BL210+BN210+BO210+BQ210+BR210)</f>
        <v> </v>
      </c>
      <c r="DA210" s="318" t="str">
        <f aca="false">IF($A210="N/A"," ",BM210+BP210+BS210)</f>
        <v> </v>
      </c>
      <c r="DB210" s="319" t="str">
        <f aca="false">IF($A210="N/A"," ",BT210+BU210+BW210+BX210+BZ210+CA210)</f>
        <v> </v>
      </c>
      <c r="DC210" s="319" t="str">
        <f aca="false">IF($A210="N/A"," ",BV210+BY210+CB210)</f>
        <v> </v>
      </c>
      <c r="DD210" s="320" t="str">
        <f aca="false">IF($A210="N/A"," ",SUM(CC210:CK210))</f>
        <v> </v>
      </c>
      <c r="DE210" s="321" t="str">
        <f aca="false">IF($A210="N/A"," ",VLOOKUP($A210,NumberofDaysTable,2)*Availability)</f>
        <v> </v>
      </c>
      <c r="DF210" s="94" t="str">
        <f aca="false">IF($A210="N/A"," ",VLOOKUP($A210,NumberofDaysTable,3)*Availability)</f>
        <v> </v>
      </c>
      <c r="DG210" s="322" t="str">
        <f aca="false">IF($A210="N/A"," ",VLOOKUP($A210,NumberofDaysTable,4)*Availability)</f>
        <v> </v>
      </c>
      <c r="DH210" s="323" t="str">
        <f aca="false">IF($A210="N/A"," ",IF(Option=1,$D210*Inputs!$S$15*SUM(AS210:BA210),0))</f>
        <v> </v>
      </c>
      <c r="DI210" s="324" t="str">
        <f aca="false">IF($A210="N/A"," ",IF(Option=1,$D210*Inputs!$S$16*SUM(AS210:BA210),0))</f>
        <v> </v>
      </c>
      <c r="DJ210" s="325" t="str">
        <f aca="false">IF($A210="N/A"," ",SUM(AS210:AT210))</f>
        <v> </v>
      </c>
      <c r="DK210" s="325" t="str">
        <f aca="false">IF($A210="N/A"," ",SUM(AU210:BA210))</f>
        <v> </v>
      </c>
      <c r="DL210" s="325" t="str">
        <f aca="false">IF($A210="N/A"," ",SUM(BB210:BC210))</f>
        <v> </v>
      </c>
      <c r="DM210" s="325" t="str">
        <f aca="false">IF($A210="N/A"," ",SUM(BD210:BJ210))</f>
        <v> </v>
      </c>
    </row>
    <row r="211" customFormat="false" ht="12.75" hidden="false" customHeight="false" outlineLevel="0" collapsed="false">
      <c r="A211" s="282" t="str">
        <f aca="false">IF(A210="N/A","N/A",IF(EDATE(A210,1)&gt;Inputs!$S$5,"N/A",EDATE(A210,1)))</f>
        <v>N/A</v>
      </c>
      <c r="B211" s="283" t="str">
        <f aca="false">IF(A211="N/A"," ",YEAR(A211))</f>
        <v> </v>
      </c>
      <c r="C211" s="284" t="str">
        <f aca="false">IF(A211="N/A"," ",VLOOKUP(A211,ScaledPrice,14))</f>
        <v> </v>
      </c>
      <c r="D211" s="285" t="str">
        <f aca="false">IF(A211="N/A"," ",(VLOOKUP(MONTH($A211),Hrtable,2))/1000)</f>
        <v> </v>
      </c>
      <c r="E211" s="286" t="str">
        <f aca="false">IF($A211="N/A"," ",(C211)*D211)</f>
        <v> </v>
      </c>
      <c r="F211" s="287" t="str">
        <f aca="false">IF(A211="N/A"," ",VOM*(1+VOMesc)^(YEAR(A211)-YEAR(Today)))</f>
        <v> </v>
      </c>
      <c r="G211" s="287" t="str">
        <f aca="false">IF(A211="N/A"," ",Perstart/VLOOKUP(Dayrun,'Pricing Inputs'!$AQ$4:$AS$14,3)/(CY211/CX211))</f>
        <v> </v>
      </c>
      <c r="H211" s="288" t="str">
        <f aca="false">IF(A211="N/A"," ",SUM(E211:G211))</f>
        <v> </v>
      </c>
      <c r="I211" s="289" t="str">
        <f aca="false">VLOOKUP($A211,ScaledPrice,6)</f>
        <v> </v>
      </c>
      <c r="J211" s="290" t="str">
        <f aca="false">VLOOKUP($A211,ScaledPrice,10)</f>
        <v> </v>
      </c>
      <c r="K211" s="290" t="str">
        <f aca="false">VLOOKUP($A211,ScaledPrice,13)</f>
        <v> </v>
      </c>
      <c r="L211" s="290" t="str">
        <f aca="false">VLOOKUP($A211,ScaledPrice,7)</f>
        <v> </v>
      </c>
      <c r="M211" s="290" t="str">
        <f aca="false">VLOOKUP($A211,ScaledPrice,11)</f>
        <v> </v>
      </c>
      <c r="N211" s="290" t="str">
        <f aca="false">VLOOKUP($A211,ScaledPrice,13)</f>
        <v> </v>
      </c>
      <c r="O211" s="290" t="str">
        <f aca="false">VLOOKUP($A211,ScaledPrice,8)</f>
        <v> </v>
      </c>
      <c r="P211" s="290" t="str">
        <f aca="false">VLOOKUP($A211,ScaledPrice,12)</f>
        <v> </v>
      </c>
      <c r="Q211" s="291" t="str">
        <f aca="false">VLOOKUP($A211,ScaledPrice,13)</f>
        <v> </v>
      </c>
      <c r="R211" s="292" t="str">
        <f aca="false">IF($A211="N/A"," ",IF(Dayrun&gt;=3,IF(Option=1,MAX($I211-$H211,0),IF(Option=2,MAX($H211-$I211,0),0)),0))</f>
        <v> </v>
      </c>
      <c r="S211" s="286" t="str">
        <f aca="false">IF($A211="N/A"," ",IF(Dayrun&gt;=6,IF(Option=1,MAX($J211-H211,0),IF(Option=2,MAX(H211-$J211,0),0)),0))</f>
        <v> </v>
      </c>
      <c r="T211" s="286" t="str">
        <f aca="false">IF($A211="N/A"," ",IF(OR(Dayrun&lt;=2,Dayrun&gt;=9),IF(Option=1,MAX($K211-$H211,0),IF(Option=2,MAX($H211-$K211,0),0)),0))</f>
        <v> </v>
      </c>
      <c r="U211" s="286" t="str">
        <f aca="false">IF($A211="N/A"," ",IF(OR(Dayrun=1,Dayrun=4,Dayrun=5,Dayrun=7,Dayrun=8,Dayrun=10,Dayrun=11),IF(Option=1,MAX($L211-H211,0),IF(Option=2,MAX(H211-$L211,0),0)),0))</f>
        <v> </v>
      </c>
      <c r="V211" s="286" t="str">
        <f aca="false">IF($A211="N/A"," ",IF(OR(Dayrun=1,Dayrun=7,Dayrun=8,Dayrun=10,Dayrun=11),IF(Option=1,MAX($M211-H211,0),IF(Option=2,MAX(H211-$M211,0),0)),0))</f>
        <v> </v>
      </c>
      <c r="W211" s="286" t="str">
        <f aca="false">IF($A211="N/A"," ",IF(OR(Dayrun&lt;=2,Dayrun&gt;=10),IF(Option=1,MAX($N211-$H211,0),IF(Option=2,MAX($H211-$N211,0),0)),0))</f>
        <v> </v>
      </c>
      <c r="X211" s="286" t="str">
        <f aca="false">IF($A211="N/A"," ",IF(OR(Dayrun=1,Dayrun=5,Dayrun=8,Dayrun=11),IF(Option=1,MAX($O211-H211,0),IF(Option=2,MAX(H211-$O211,0),0)),0))</f>
        <v> </v>
      </c>
      <c r="Y211" s="286" t="str">
        <f aca="false">IF($A211="N/A"," ",IF(OR(Dayrun=1,Dayrun=8,Dayrun=11),IF(Option=1,MAX($P211-H211,0),IF(Option=2,MAX(H211-$P211,0),0)),0))</f>
        <v> </v>
      </c>
      <c r="Z211" s="293" t="str">
        <f aca="false">IF($A211="N/A"," ",IF(OR(Dayrun&lt;=2,Dayrun&gt;=11),IF(Option=1,MAX($Q211-$H211,0),IF(Option=2,MAX($H211-$Q211,0),0)),0))</f>
        <v> </v>
      </c>
      <c r="AA211" s="289" t="str">
        <f aca="false">IF($A211="N/A"," ",IF(Dayrun&gt;=3,(MAX(0,(xSPRDOPT(I211,($E211-'Pricing Inputs'!$X246*$D211),$CV211,0,($CN211+IF(Smile=TRUE(),VLOOKUP(MAX(-5,$H211-I211),Volsmile,2),0)),$CT211,$CU211,($A211-DateToday)+15,ABS(Option-2),0)-R211))),0))</f>
        <v> </v>
      </c>
      <c r="AB211" s="290" t="str">
        <f aca="false">IF($A211="N/A"," ",IF(Dayrun&gt;=6,MAX(0,(xSPRDOPT(J211,($E211-'Pricing Inputs'!$X246*$D211),$CV211,0,($CN211+IF(Smile=TRUE(),VLOOKUP(MAX(-5,$H211-J211),Volsmile,2),0)),$CT211,$CU211,($A211-DateToday)+15,ABS(Option-2),0)-S211)),0))</f>
        <v> </v>
      </c>
      <c r="AC211" s="290" t="str">
        <f aca="false">IF($A211="N/A"," ",IF(OR(Dayrun&lt;=2,Dayrun&gt;=9),IF(OffPeakEx=TRUE(),MAX(0,(xSPRDOPT(K211,($E211-'Pricing Inputs'!$X246*$D211),$CV211,0,($CQ211+IF(Smile=TRUE(),VLOOKUP(MAX(-5,$H211-K211),Volsmile,2),0)),$CT211,$CU211,($A211-DateToday)+15,ABS(Option-2),0)-T211)),0),0))</f>
        <v> </v>
      </c>
      <c r="AD211" s="290" t="str">
        <f aca="false">IF($A211="N/A"," ",IF(OR(Dayrun=1,Dayrun=4,Dayrun=5,Dayrun=7,Dayrun=8,Dayrun=10,Dayrun=11),MAX(0,(xSPRDOPT(L211,($E211-'Pricing Inputs'!$X246*$D211),$CV211,0,($CQ211+IF(Smile=TRUE(),VLOOKUP(MAX(-5,$H211-L211),Volsmile,2),0)),$CT211,$CU211,($A211-DateToday)+15,ABS(Option-2),0)-U211)),0))</f>
        <v> </v>
      </c>
      <c r="AE211" s="290" t="str">
        <f aca="false">IF($A211="N/A"," ",IF(OR(Dayrun=1,Dayrun=7,Dayrun=8,Dayrun=10,Dayrun=11),MAX(0,(xSPRDOPT(M211,($E211-'Pricing Inputs'!$X246*$D211),$CV211,0,($CQ211+IF(Smile=TRUE(),VLOOKUP(MAX(-5,$H211-M211),Volsmile,2),0)),$CT211,$CU211,($A211-DateToday)+15,ABS(Option-2),0)-V211)),0))</f>
        <v> </v>
      </c>
      <c r="AF211" s="290" t="str">
        <f aca="false">IF($A211="N/A"," ",IF(OR(Dayrun&lt;=2,Dayrun&gt;=10),IF(OffPeakEx=TRUE(),MAX(0,(xSPRDOPT(N211,($E211-'Pricing Inputs'!$X246*$D211),$CV211,0,($CQ211+IF(Smile=TRUE(),VLOOKUP(MAX(-5,$H211-N211),Volsmile,2),0)),$CT211,$CU211,($A211-DateToday)+15,ABS(Option-2),0)-W211)),0),0))</f>
        <v> </v>
      </c>
      <c r="AG211" s="290" t="str">
        <f aca="false">IF($A211="N/A"," ",IF(OR(Dayrun=1,Dayrun=5,Dayrun=8,Dayrun=11),MAX(0,(xSPRDOPT(O211,($E211-'Pricing Inputs'!$X246*$D211),$CV211,0,($CQ211+IF(Smile=TRUE(),VLOOKUP(MAX(-5,$H211-O211),Volsmile,2),0)),$CT211,$CU211,($A211-DateToday)+15,ABS(Option-2),0)-X211)),0))</f>
        <v> </v>
      </c>
      <c r="AH211" s="290" t="str">
        <f aca="false">IF($A211="N/A"," ",IF(OR(Dayrun=1,Dayrun=8,Dayrun=11),MAX(0,(xSPRDOPT(P211,($E211-'Pricing Inputs'!$X246*$D211),$CV211,0,($CQ211+IF(Smile=TRUE(),VLOOKUP(MAX(-5,$H211-P211),Volsmile,2),0)),$CT211,$CU211,($A211-DateToday)+15,ABS(Option-2),0)-Y211)),0))</f>
        <v> </v>
      </c>
      <c r="AI211" s="290" t="str">
        <f aca="false">IF($A211="N/A"," ",IF(OR(Dayrun&lt;=2,Dayrun&gt;=11),IF(OffPeakEx=TRUE(),MAX(0,(xSPRDOPT(Q211,($E211-'Pricing Inputs'!$X246*$D211),$CV211,0,($CQ211+IF(Smile=TRUE(),VLOOKUP(MAX(-5,$H211-Q211),Volsmile,2),0)),$CT211,$CU211,($A211-DateToday)+15,ABS(Option-2),0)-Z211)),0),0))</f>
        <v> </v>
      </c>
      <c r="AJ211" s="294" t="str">
        <f aca="false">IF($A211="N/A"," ",IF(Dayrun&gt;=3,IF(Option=1,$I211-$H211,IF(Option=2,$H211-$I211)),0))</f>
        <v> </v>
      </c>
      <c r="AK211" s="295" t="str">
        <f aca="false">IF($A211="N/A"," ",IF(Dayrun&gt;=6,IF(Option=1,$J211-H211,IF(Option=2,H211-$J211)),0))</f>
        <v> </v>
      </c>
      <c r="AL211" s="295" t="str">
        <f aca="false">IF($A211="N/A"," ",IF(OR(Dayrun&lt;=2,Dayrun&gt;=9),IF(Option=1,$K211-$H211,IF(Option=2,$H211-$K211)),0))</f>
        <v> </v>
      </c>
      <c r="AM211" s="295" t="str">
        <f aca="false">IF($A211="N/A"," ",IF(OR(Dayrun=1,Dayrun=4,Dayrun=5,Dayrun=7,Dayrun=8,Dayrun=10,Dayrun=11),IF(Option=1,$L211-H211,IF(Option=2,H211-$L211)),0))</f>
        <v> </v>
      </c>
      <c r="AN211" s="295" t="str">
        <f aca="false">IF($A211="N/A"," ",IF(OR(Dayrun=1,Dayrun=7,Dayrun=8,Dayrun=10,Dayrun=11),IF(Option=1,$M211-H211,IF(Option=2,H211-$M211)),0))</f>
        <v> </v>
      </c>
      <c r="AO211" s="295" t="str">
        <f aca="false">IF($A211="N/A"," ",IF(OR(Dayrun&lt;=2,Dayrun&gt;=9),IF(Option=1,$N211-$H211,IF(Option=2,$H211-$N211)),0))</f>
        <v> </v>
      </c>
      <c r="AP211" s="295" t="str">
        <f aca="false">IF($A211="N/A"," ",IF(OR(Dayrun=1,Dayrun=5,Dayrun=8,Dayrun=11),IF(Option=1,$O211-H211,IF(Option=2,H211-$O211)),0))</f>
        <v> </v>
      </c>
      <c r="AQ211" s="295" t="str">
        <f aca="false">IF($A211="N/A"," ",IF(OR(Dayrun=1,Dayrun=8,Dayrun=11),IF(Option=1,$P211-H211,IF(Option=2,H211-$P211)),0))</f>
        <v> </v>
      </c>
      <c r="AR211" s="296" t="str">
        <f aca="false">IF($A211="N/A"," ",IF(OR(Dayrun&lt;=2,Dayrun&gt;=9),IF(Option=1,$Q211-H211,IF(Option=2,H211-$Q211)),0))</f>
        <v> </v>
      </c>
      <c r="AS211" s="297" t="str">
        <f aca="false">IF($A211="N/A"," ",IF(VLOOKUP(MONTH($A211),ManualTable,2)=1,IF(Dayrun&gt;=3,$DE211*8*$CY211,0),0))</f>
        <v> </v>
      </c>
      <c r="AT211" s="297" t="str">
        <f aca="false">IF($A211="N/A"," ",IF(VLOOKUP(MONTH($A211),ManualTable,3)=1,IF(Dayrun&gt;=6,$DE211*8*$CY211,0),0))</f>
        <v> </v>
      </c>
      <c r="AU211" s="297" t="str">
        <f aca="false">IF($A211="N/A"," ",IF(VLOOKUP(MONTH($A211),ManualTable,4)=1,IF(OR(Dayrun&lt;=2,Dayrun&gt;=9),$DE211*8*$CY211,0),0))</f>
        <v> </v>
      </c>
      <c r="AV211" s="297" t="str">
        <f aca="false">IF($A211="N/A"," ",IF(VLOOKUP(MONTH($A211),ManualTable,5)=1,IF(OR(Dayrun=1,Dayrun=4,Dayrun=5,Dayrun=7,Dayrun=8,Dayrun=10,Dayrun=11),$DF211*8*$CY211,0),0))</f>
        <v> </v>
      </c>
      <c r="AW211" s="297" t="str">
        <f aca="false">IF($A211="N/A"," ",IF(VLOOKUP(MONTH($A211),ManualTable,6)=1,IF(OR(Dayrun=1,Dayrun=7,Dayrun=8,Dayrun=10,Dayrun=11),$DF211*8*$CY211,0),0))</f>
        <v> </v>
      </c>
      <c r="AX211" s="297" t="str">
        <f aca="false">IF($A211="N/A"," ",IF(VLOOKUP(MONTH($A211),ManualTable,7)=1,IF(OR(Dayrun&lt;=2,Dayrun&gt;=9),$DF211*8*$CY211,0),0))</f>
        <v> </v>
      </c>
      <c r="AY211" s="297" t="str">
        <f aca="false">IF($A211="N/A"," ",IF(VLOOKUP(MONTH($A211),ManualTable,8)=1,IF(OR(Dayrun=1,Dayrun=5,Dayrun=8,Dayrun=11),$DG211*8*$CY211,0),0))</f>
        <v> </v>
      </c>
      <c r="AZ211" s="297" t="str">
        <f aca="false">IF($A211="N/A"," ",IF(VLOOKUP(MONTH($A211),ManualTable,9)=1,IF(OR(Dayrun=1,Dayrun=8,Dayrun=11),$DG211*8*$CY211,0),0))</f>
        <v> </v>
      </c>
      <c r="BA211" s="298" t="str">
        <f aca="false">IF($A211="N/A"," ",IF(VLOOKUP(MONTH($A211),ManualTable,10)=1,IF(OR(Dayrun&lt;=2,Dayrun&gt;=9),$DG211*8*$CY211,0),0))</f>
        <v> </v>
      </c>
      <c r="BB211" s="299" t="str">
        <f aca="false">IF($A211="N/A"," ",IF(Dayrun&gt;=3,(MAX(0,(xSPRDOPT(I211,($E211-'Pricing Inputs'!$X246*$D211),$CV211,0,($CN211+IF(Smile=TRUE(),VLOOKUP(MAX(-5,$H211-I211),Volsmile,2),0)),$CT211,$CU211,($A211-DateToday)+15,ABS(Option-2),1)*DE211*8))),0))</f>
        <v> </v>
      </c>
      <c r="BC211" s="300" t="str">
        <f aca="false">IF($A211="N/A"," ",IF(Dayrun&gt;=6,MAX(0,(xSPRDOPT(J211,($E211-'Pricing Inputs'!$X246*$D211),$CV211,0,($CN211+IF(Smile=TRUE(),VLOOKUP(MAX(-5,$H211-J211),Volsmile,2),0)),$CT211,$CU211,($A211-DateToday)+15,ABS(Option-2),1)*DE211*8)),0))</f>
        <v> </v>
      </c>
      <c r="BD211" s="300" t="str">
        <f aca="false">IF($A211="N/A"," ",IF(OR(Dayrun&lt;=2,Dayrun&gt;=9),IF(OffPeakEx=TRUE(),MAX(0,(xSPRDOPT(K211,($E211-'Pricing Inputs'!$X246*$D211),$CV211,0,($CQ211+IF(Smile=TRUE(),VLOOKUP(MAX(-5,$H211-K211),Volsmile,2),0)),$CT211,$CU211,($A211-DateToday)+15,ABS(Option-2),1)*DE211*8)),0),0))</f>
        <v> </v>
      </c>
      <c r="BE211" s="300" t="str">
        <f aca="false">IF($A211="N/A"," ",IF(OR(Dayrun=1,Dayrun=4,Dayrun=5,Dayrun=7,Dayrun=8,Dayrun=10,Dayrun=11),MAX(0,(xSPRDOPT(L211,($E211-'Pricing Inputs'!$X246*$D211),$CV211,0,($CQ211+IF(Smile=TRUE(),VLOOKUP(MAX(-5,$H211-L211),Volsmile,2),0)),$CT211,$CU211,($A211-DateToday)+15,ABS(Option-2),1)*DF211*8)),0))</f>
        <v> </v>
      </c>
      <c r="BF211" s="300" t="str">
        <f aca="false">IF($A211="N/A"," ",IF(OR(Dayrun=1,Dayrun=7,Dayrun=8,Dayrun=10,Dayrun=11),MAX(0,(xSPRDOPT(M211,($E211-'Pricing Inputs'!$X246*$D211),$CV211,0,($CQ211+IF(Smile=TRUE(),VLOOKUP(MAX(-5,$H211-M211),Volsmile,2),0)),$CT211,$CU211,($A211-DateToday)+15,ABS(Option-2),1)*DF211*8)),0))</f>
        <v> </v>
      </c>
      <c r="BG211" s="300" t="str">
        <f aca="false">IF($A211="N/A"," ",IF(OR(Dayrun&lt;=2,Dayrun&gt;=10),IF(OffPeakEx=TRUE(),MAX(0,(xSPRDOPT(N211,($E211-'Pricing Inputs'!$X246*$D211),$CV211,0,($CQ211+IF(Smile=TRUE(),VLOOKUP(MAX(-5,$H211-N211),Volsmile,2),0)),$CT211,$CU211,($A211-DateToday)+15,ABS(Option-2),1)*DF211*8)),0),0))</f>
        <v> </v>
      </c>
      <c r="BH211" s="300" t="str">
        <f aca="false">IF($A211="N/A"," ",IF(OR(Dayrun=1,Dayrun=5,Dayrun=8,Dayrun=11),MAX(0,(xSPRDOPT(O211,($E211-'Pricing Inputs'!$X246*$D211),$CV211,0,($CQ211+IF(Smile=TRUE(),VLOOKUP(MAX(-5,$H211-O211),Volsmile,2),0)),$CT211,$CU211,($A211-DateToday)+15,ABS(Option-2),1)*DG211*8)),0))</f>
        <v> </v>
      </c>
      <c r="BI211" s="300" t="str">
        <f aca="false">IF($A211="N/A"," ",IF(OR(Dayrun=1,Dayrun=8,Dayrun=11),MAX(0,(xSPRDOPT(P211,($E211-'Pricing Inputs'!$X246*$D211),$CV211,0,($CQ211+IF(Smile=TRUE(),VLOOKUP(MAX(-5,$H211-P211),Volsmile,2),0)),$CT211,$CU211,($A211-DateToday)+15,ABS(Option-2),1)*DG211*8)),0))</f>
        <v> </v>
      </c>
      <c r="BJ211" s="301" t="str">
        <f aca="false">IF($A211="N/A"," ",IF(OR(Dayrun&lt;=2,Dayrun&gt;=11),IF(OffPeakEx=TRUE(),MAX(0,(xSPRDOPT(Q211,($E211-'Pricing Inputs'!$X246*$D211),$CV211,0,($CQ211+IF(Smile=TRUE(),VLOOKUP(MAX(-5,$H211-Q211),Volsmile,2),0)),$CT211,$CU211,($A211-DateToday)+15,ABS(Option-2),1)*DG211*8)),0),0))</f>
        <v> </v>
      </c>
      <c r="BK211" s="302" t="str">
        <f aca="false">IF($A211="N/A"," ",R211*$AS211)</f>
        <v> </v>
      </c>
      <c r="BL211" s="303" t="str">
        <f aca="false">IF($A211="N/A"," ",S211*$AT211)</f>
        <v> </v>
      </c>
      <c r="BM211" s="303" t="str">
        <f aca="false">IF($A211="N/A"," ",T211*$AU211)</f>
        <v> </v>
      </c>
      <c r="BN211" s="303" t="str">
        <f aca="false">IF($A211="N/A"," ",U211*$AV211)</f>
        <v> </v>
      </c>
      <c r="BO211" s="303" t="str">
        <f aca="false">IF($A211="N/A"," ",V211*$AW211)</f>
        <v> </v>
      </c>
      <c r="BP211" s="303" t="str">
        <f aca="false">IF($A211="N/A"," ",W211*$AX211)</f>
        <v> </v>
      </c>
      <c r="BQ211" s="303" t="str">
        <f aca="false">IF($A211="N/A"," ",X211*$AY211)</f>
        <v> </v>
      </c>
      <c r="BR211" s="303" t="str">
        <f aca="false">IF($A211="N/A"," ",Y211*$AZ211)</f>
        <v> </v>
      </c>
      <c r="BS211" s="304" t="str">
        <f aca="false">IF($A211="N/A"," ",Z211*$BA211)</f>
        <v> </v>
      </c>
      <c r="BT211" s="305" t="str">
        <f aca="false">IF($A211="N/A"," ",AA211*$AS211)</f>
        <v> </v>
      </c>
      <c r="BU211" s="306" t="str">
        <f aca="false">IF($A211="N/A"," ",AB211*$AT211)</f>
        <v> </v>
      </c>
      <c r="BV211" s="306" t="str">
        <f aca="false">IF($A211="N/A"," ",AC211*$AU211)</f>
        <v> </v>
      </c>
      <c r="BW211" s="306" t="str">
        <f aca="false">IF($A211="N/A"," ",AD211*$AV211)</f>
        <v> </v>
      </c>
      <c r="BX211" s="306" t="str">
        <f aca="false">IF($A211="N/A"," ",AE211*$AW211)</f>
        <v> </v>
      </c>
      <c r="BY211" s="306" t="str">
        <f aca="false">IF($A211="N/A"," ",AF211*$AX211)</f>
        <v> </v>
      </c>
      <c r="BZ211" s="306" t="str">
        <f aca="false">IF($A211="N/A"," ",AG211*$AY211)</f>
        <v> </v>
      </c>
      <c r="CA211" s="306" t="str">
        <f aca="false">IF($A211="N/A"," ",AH211*$AZ211)</f>
        <v> </v>
      </c>
      <c r="CB211" s="307" t="str">
        <f aca="false">IF($A211="N/A"," ",AI211*$BA211)</f>
        <v> </v>
      </c>
      <c r="CC211" s="308" t="str">
        <f aca="false">IF($A211="N/A"," ",AJ211*$AS211)</f>
        <v> </v>
      </c>
      <c r="CD211" s="309" t="str">
        <f aca="false">IF($A211="N/A"," ",AK211*$AT211)</f>
        <v> </v>
      </c>
      <c r="CE211" s="309" t="str">
        <f aca="false">IF($A211="N/A"," ",AL211*$AU211)</f>
        <v> </v>
      </c>
      <c r="CF211" s="309" t="str">
        <f aca="false">IF($A211="N/A"," ",AM211*$AV211)</f>
        <v> </v>
      </c>
      <c r="CG211" s="309" t="str">
        <f aca="false">IF($A211="N/A"," ",AN211*$AW211)</f>
        <v> </v>
      </c>
      <c r="CH211" s="309" t="str">
        <f aca="false">IF($A211="N/A"," ",AO211*$AX211)</f>
        <v> </v>
      </c>
      <c r="CI211" s="309" t="str">
        <f aca="false">IF($A211="N/A"," ",AP211*$AY211)</f>
        <v> </v>
      </c>
      <c r="CJ211" s="309" t="str">
        <f aca="false">IF($A211="N/A"," ",AQ211*$AZ211)</f>
        <v> </v>
      </c>
      <c r="CK211" s="310" t="str">
        <f aca="false">IF($A211="N/A"," ",AR211*$BA211)</f>
        <v> </v>
      </c>
      <c r="CL211" s="311" t="str">
        <f aca="false">IF(A211="N/A"," ",(VLOOKUP(A211,PowerVolTable,(IF(VolBMO=2,7,IF(VolBMO=1,6,8))),FALSE())))</f>
        <v> </v>
      </c>
      <c r="CM211" s="312" t="str">
        <f aca="false">IF(A211="N/A"," ",(VLOOKUP(A211,IntraPowerVol,(IF(VolBMO=2,3,IF(VolBMO=1,2,4))),FALSE())*VLOOKUP(MONTH($A211),Volscale,2)))</f>
        <v> </v>
      </c>
      <c r="CN211" s="312" t="str">
        <f aca="false">IF($A211="N/A"," ",IF(VolType=1,CM211,CL211))</f>
        <v> </v>
      </c>
      <c r="CO211" s="312" t="str">
        <f aca="false">IF($A211="N/A"," ",(VLOOKUP($A211,OffPeakVol,(IF(VolBMO=2,7,IF(VolBMO=1,6,8))),FALSE())))</f>
        <v> </v>
      </c>
      <c r="CP211" s="312" t="str">
        <f aca="false">IF($A211="N/A"," ",(VLOOKUP($A211,OffPeakVol,(IF(VolBMO=2,3,IF(VolBMO=1,2,4))),FALSE())*VLOOKUP(MONTH($A211),Volscale,2)))</f>
        <v> </v>
      </c>
      <c r="CQ211" s="312" t="str">
        <f aca="false">IF($A211="N/A"," ",IF(VolType=1,CP211,CO211))</f>
        <v> </v>
      </c>
      <c r="CR211" s="312" t="str">
        <f aca="false">IF($A211="N/A"," ",(VLOOKUP($A211,GasVolTable,(IF(VolBMO=2,6,IF(VolBMO=1,7,5))),FALSE())))</f>
        <v> </v>
      </c>
      <c r="CS211" s="312" t="str">
        <f aca="false">IF($A211="N/A"," ",(VLOOKUP($A211,OmicronVol,(IF(VolBMO=2,3,IF(VolBMO=1,4,2))),FALSE())))</f>
        <v> </v>
      </c>
      <c r="CT211" s="312" t="str">
        <f aca="false">IF($A211="N/A"," ",(IF(DateToday&gt;$A211,$CS211,IF(VolType=1,((($CR211^2)*((($A211-1)-DateToday)/((EOMONTH($A211,0)+1)-DateToday-15)))+((($CS211)^2)*((15)/((EOMONTH($A211,0)+1)-DateToday-15))))^0.5,CR211))))</f>
        <v> </v>
      </c>
      <c r="CU211" s="312" t="str">
        <f aca="false">IF($A211="N/A"," ",IF('Pricing Inputs'!$AR$23=TRUE(),Inputs!$S$22,VLOOKUP($A211,CorrelationTable,2,FALSE())))</f>
        <v> </v>
      </c>
      <c r="CV211" s="313" t="str">
        <f aca="false">IF($A211="N/A"," ",F211+G211+(D211*('Pricing Inputs'!X246)))</f>
        <v> </v>
      </c>
      <c r="CW211" s="314" t="str">
        <f aca="false">IF($A211="N/A"," ",IF(PV=1,0,'Pricing Inputs'!Y246))</f>
        <v> </v>
      </c>
      <c r="CX211" s="315" t="str">
        <f aca="false">IF($A211="N/A"," ",(1+CW211/2)^(-2*((EOMONTH(A211,0)+20)-DateToday)/365.25))</f>
        <v> </v>
      </c>
      <c r="CY211" s="316" t="str">
        <f aca="false">IF($A211="N/A"," ",(IF(MONTH(A211)&gt;=4,IF(MONTH(A211)&lt;=10,Inputs!$S$26,Inputs!$S$27),Inputs!$S$27))*$CX211)</f>
        <v> </v>
      </c>
      <c r="CZ211" s="317" t="str">
        <f aca="false">IF($A211="N/A"," ",BK211+BL211+BN211+BO211+BQ211+BR211)</f>
        <v> </v>
      </c>
      <c r="DA211" s="318" t="str">
        <f aca="false">IF($A211="N/A"," ",BM211+BP211+BS211)</f>
        <v> </v>
      </c>
      <c r="DB211" s="319" t="str">
        <f aca="false">IF($A211="N/A"," ",BT211+BU211+BW211+BX211+BZ211+CA211)</f>
        <v> </v>
      </c>
      <c r="DC211" s="319" t="str">
        <f aca="false">IF($A211="N/A"," ",BV211+BY211+CB211)</f>
        <v> </v>
      </c>
      <c r="DD211" s="320" t="str">
        <f aca="false">IF($A211="N/A"," ",SUM(CC211:CK211))</f>
        <v> </v>
      </c>
      <c r="DE211" s="321" t="str">
        <f aca="false">IF($A211="N/A"," ",VLOOKUP($A211,NumberofDaysTable,2)*Availability)</f>
        <v> </v>
      </c>
      <c r="DF211" s="94" t="str">
        <f aca="false">IF($A211="N/A"," ",VLOOKUP($A211,NumberofDaysTable,3)*Availability)</f>
        <v> </v>
      </c>
      <c r="DG211" s="322" t="str">
        <f aca="false">IF($A211="N/A"," ",VLOOKUP($A211,NumberofDaysTable,4)*Availability)</f>
        <v> </v>
      </c>
      <c r="DH211" s="323" t="str">
        <f aca="false">IF($A211="N/A"," ",IF(Option=1,$D211*Inputs!$S$15*SUM(AS211:BA211),0))</f>
        <v> </v>
      </c>
      <c r="DI211" s="324" t="str">
        <f aca="false">IF($A211="N/A"," ",IF(Option=1,$D211*Inputs!$S$16*SUM(AS211:BA211),0))</f>
        <v> </v>
      </c>
      <c r="DJ211" s="325" t="str">
        <f aca="false">IF($A211="N/A"," ",SUM(AS211:AT211))</f>
        <v> </v>
      </c>
      <c r="DK211" s="325" t="str">
        <f aca="false">IF($A211="N/A"," ",SUM(AU211:BA211))</f>
        <v> </v>
      </c>
      <c r="DL211" s="325" t="str">
        <f aca="false">IF($A211="N/A"," ",SUM(BB211:BC211))</f>
        <v> </v>
      </c>
      <c r="DM211" s="325" t="str">
        <f aca="false">IF($A211="N/A"," ",SUM(BD211:BJ211))</f>
        <v> </v>
      </c>
    </row>
    <row r="212" customFormat="false" ht="12.75" hidden="false" customHeight="false" outlineLevel="0" collapsed="false">
      <c r="A212" s="282" t="str">
        <f aca="false">IF(A211="N/A","N/A",IF(EDATE(A211,1)&gt;Inputs!$S$5,"N/A",EDATE(A211,1)))</f>
        <v>N/A</v>
      </c>
      <c r="B212" s="283" t="str">
        <f aca="false">IF(A212="N/A"," ",YEAR(A212))</f>
        <v> </v>
      </c>
      <c r="C212" s="284" t="str">
        <f aca="false">IF(A212="N/A"," ",VLOOKUP(A212,ScaledPrice,14))</f>
        <v> </v>
      </c>
      <c r="D212" s="285" t="str">
        <f aca="false">IF(A212="N/A"," ",(VLOOKUP(MONTH($A212),Hrtable,2))/1000)</f>
        <v> </v>
      </c>
      <c r="E212" s="286" t="str">
        <f aca="false">IF($A212="N/A"," ",(C212)*D212)</f>
        <v> </v>
      </c>
      <c r="F212" s="287" t="str">
        <f aca="false">IF(A212="N/A"," ",VOM*(1+VOMesc)^(YEAR(A212)-YEAR(Today)))</f>
        <v> </v>
      </c>
      <c r="G212" s="287" t="str">
        <f aca="false">IF(A212="N/A"," ",Perstart/VLOOKUP(Dayrun,'Pricing Inputs'!$AQ$4:$AS$14,3)/(CY212/CX212))</f>
        <v> </v>
      </c>
      <c r="H212" s="288" t="str">
        <f aca="false">IF(A212="N/A"," ",SUM(E212:G212))</f>
        <v> </v>
      </c>
      <c r="I212" s="289" t="str">
        <f aca="false">VLOOKUP($A212,ScaledPrice,6)</f>
        <v> </v>
      </c>
      <c r="J212" s="290" t="str">
        <f aca="false">VLOOKUP($A212,ScaledPrice,10)</f>
        <v> </v>
      </c>
      <c r="K212" s="290" t="str">
        <f aca="false">VLOOKUP($A212,ScaledPrice,13)</f>
        <v> </v>
      </c>
      <c r="L212" s="290" t="str">
        <f aca="false">VLOOKUP($A212,ScaledPrice,7)</f>
        <v> </v>
      </c>
      <c r="M212" s="290" t="str">
        <f aca="false">VLOOKUP($A212,ScaledPrice,11)</f>
        <v> </v>
      </c>
      <c r="N212" s="290" t="str">
        <f aca="false">VLOOKUP($A212,ScaledPrice,13)</f>
        <v> </v>
      </c>
      <c r="O212" s="290" t="str">
        <f aca="false">VLOOKUP($A212,ScaledPrice,8)</f>
        <v> </v>
      </c>
      <c r="P212" s="290" t="str">
        <f aca="false">VLOOKUP($A212,ScaledPrice,12)</f>
        <v> </v>
      </c>
      <c r="Q212" s="291" t="str">
        <f aca="false">VLOOKUP($A212,ScaledPrice,13)</f>
        <v> </v>
      </c>
      <c r="R212" s="292" t="str">
        <f aca="false">IF($A212="N/A"," ",IF(Dayrun&gt;=3,IF(Option=1,MAX($I212-$H212,0),IF(Option=2,MAX($H212-$I212,0),0)),0))</f>
        <v> </v>
      </c>
      <c r="S212" s="286" t="str">
        <f aca="false">IF($A212="N/A"," ",IF(Dayrun&gt;=6,IF(Option=1,MAX($J212-H212,0),IF(Option=2,MAX(H212-$J212,0),0)),0))</f>
        <v> </v>
      </c>
      <c r="T212" s="286" t="str">
        <f aca="false">IF($A212="N/A"," ",IF(OR(Dayrun&lt;=2,Dayrun&gt;=9),IF(Option=1,MAX($K212-$H212,0),IF(Option=2,MAX($H212-$K212,0),0)),0))</f>
        <v> </v>
      </c>
      <c r="U212" s="286" t="str">
        <f aca="false">IF($A212="N/A"," ",IF(OR(Dayrun=1,Dayrun=4,Dayrun=5,Dayrun=7,Dayrun=8,Dayrun=10,Dayrun=11),IF(Option=1,MAX($L212-H212,0),IF(Option=2,MAX(H212-$L212,0),0)),0))</f>
        <v> </v>
      </c>
      <c r="V212" s="286" t="str">
        <f aca="false">IF($A212="N/A"," ",IF(OR(Dayrun=1,Dayrun=7,Dayrun=8,Dayrun=10,Dayrun=11),IF(Option=1,MAX($M212-H212,0),IF(Option=2,MAX(H212-$M212,0),0)),0))</f>
        <v> </v>
      </c>
      <c r="W212" s="286" t="str">
        <f aca="false">IF($A212="N/A"," ",IF(OR(Dayrun&lt;=2,Dayrun&gt;=10),IF(Option=1,MAX($N212-$H212,0),IF(Option=2,MAX($H212-$N212,0),0)),0))</f>
        <v> </v>
      </c>
      <c r="X212" s="286" t="str">
        <f aca="false">IF($A212="N/A"," ",IF(OR(Dayrun=1,Dayrun=5,Dayrun=8,Dayrun=11),IF(Option=1,MAX($O212-H212,0),IF(Option=2,MAX(H212-$O212,0),0)),0))</f>
        <v> </v>
      </c>
      <c r="Y212" s="286" t="str">
        <f aca="false">IF($A212="N/A"," ",IF(OR(Dayrun=1,Dayrun=8,Dayrun=11),IF(Option=1,MAX($P212-H212,0),IF(Option=2,MAX(H212-$P212,0),0)),0))</f>
        <v> </v>
      </c>
      <c r="Z212" s="293" t="str">
        <f aca="false">IF($A212="N/A"," ",IF(OR(Dayrun&lt;=2,Dayrun&gt;=11),IF(Option=1,MAX($Q212-$H212,0),IF(Option=2,MAX($H212-$Q212,0),0)),0))</f>
        <v> </v>
      </c>
      <c r="AA212" s="289" t="str">
        <f aca="false">IF($A212="N/A"," ",IF(Dayrun&gt;=3,(MAX(0,(xSPRDOPT(I212,($E212-'Pricing Inputs'!$X247*$D212),$CV212,0,($CN212+IF(Smile=TRUE(),VLOOKUP(MAX(-5,$H212-I212),Volsmile,2),0)),$CT212,$CU212,($A212-DateToday)+15,ABS(Option-2),0)-R212))),0))</f>
        <v> </v>
      </c>
      <c r="AB212" s="290" t="str">
        <f aca="false">IF($A212="N/A"," ",IF(Dayrun&gt;=6,MAX(0,(xSPRDOPT(J212,($E212-'Pricing Inputs'!$X247*$D212),$CV212,0,($CN212+IF(Smile=TRUE(),VLOOKUP(MAX(-5,$H212-J212),Volsmile,2),0)),$CT212,$CU212,($A212-DateToday)+15,ABS(Option-2),0)-S212)),0))</f>
        <v> </v>
      </c>
      <c r="AC212" s="290" t="str">
        <f aca="false">IF($A212="N/A"," ",IF(OR(Dayrun&lt;=2,Dayrun&gt;=9),IF(OffPeakEx=TRUE(),MAX(0,(xSPRDOPT(K212,($E212-'Pricing Inputs'!$X247*$D212),$CV212,0,($CQ212+IF(Smile=TRUE(),VLOOKUP(MAX(-5,$H212-K212),Volsmile,2),0)),$CT212,$CU212,($A212-DateToday)+15,ABS(Option-2),0)-T212)),0),0))</f>
        <v> </v>
      </c>
      <c r="AD212" s="290" t="str">
        <f aca="false">IF($A212="N/A"," ",IF(OR(Dayrun=1,Dayrun=4,Dayrun=5,Dayrun=7,Dayrun=8,Dayrun=10,Dayrun=11),MAX(0,(xSPRDOPT(L212,($E212-'Pricing Inputs'!$X247*$D212),$CV212,0,($CQ212+IF(Smile=TRUE(),VLOOKUP(MAX(-5,$H212-L212),Volsmile,2),0)),$CT212,$CU212,($A212-DateToday)+15,ABS(Option-2),0)-U212)),0))</f>
        <v> </v>
      </c>
      <c r="AE212" s="290" t="str">
        <f aca="false">IF($A212="N/A"," ",IF(OR(Dayrun=1,Dayrun=7,Dayrun=8,Dayrun=10,Dayrun=11),MAX(0,(xSPRDOPT(M212,($E212-'Pricing Inputs'!$X247*$D212),$CV212,0,($CQ212+IF(Smile=TRUE(),VLOOKUP(MAX(-5,$H212-M212),Volsmile,2),0)),$CT212,$CU212,($A212-DateToday)+15,ABS(Option-2),0)-V212)),0))</f>
        <v> </v>
      </c>
      <c r="AF212" s="290" t="str">
        <f aca="false">IF($A212="N/A"," ",IF(OR(Dayrun&lt;=2,Dayrun&gt;=10),IF(OffPeakEx=TRUE(),MAX(0,(xSPRDOPT(N212,($E212-'Pricing Inputs'!$X247*$D212),$CV212,0,($CQ212+IF(Smile=TRUE(),VLOOKUP(MAX(-5,$H212-N212),Volsmile,2),0)),$CT212,$CU212,($A212-DateToday)+15,ABS(Option-2),0)-W212)),0),0))</f>
        <v> </v>
      </c>
      <c r="AG212" s="290" t="str">
        <f aca="false">IF($A212="N/A"," ",IF(OR(Dayrun=1,Dayrun=5,Dayrun=8,Dayrun=11),MAX(0,(xSPRDOPT(O212,($E212-'Pricing Inputs'!$X247*$D212),$CV212,0,($CQ212+IF(Smile=TRUE(),VLOOKUP(MAX(-5,$H212-O212),Volsmile,2),0)),$CT212,$CU212,($A212-DateToday)+15,ABS(Option-2),0)-X212)),0))</f>
        <v> </v>
      </c>
      <c r="AH212" s="290" t="str">
        <f aca="false">IF($A212="N/A"," ",IF(OR(Dayrun=1,Dayrun=8,Dayrun=11),MAX(0,(xSPRDOPT(P212,($E212-'Pricing Inputs'!$X247*$D212),$CV212,0,($CQ212+IF(Smile=TRUE(),VLOOKUP(MAX(-5,$H212-P212),Volsmile,2),0)),$CT212,$CU212,($A212-DateToday)+15,ABS(Option-2),0)-Y212)),0))</f>
        <v> </v>
      </c>
      <c r="AI212" s="290" t="str">
        <f aca="false">IF($A212="N/A"," ",IF(OR(Dayrun&lt;=2,Dayrun&gt;=11),IF(OffPeakEx=TRUE(),MAX(0,(xSPRDOPT(Q212,($E212-'Pricing Inputs'!$X247*$D212),$CV212,0,($CQ212+IF(Smile=TRUE(),VLOOKUP(MAX(-5,$H212-Q212),Volsmile,2),0)),$CT212,$CU212,($A212-DateToday)+15,ABS(Option-2),0)-Z212)),0),0))</f>
        <v> </v>
      </c>
      <c r="AJ212" s="294" t="str">
        <f aca="false">IF($A212="N/A"," ",IF(Dayrun&gt;=3,IF(Option=1,$I212-$H212,IF(Option=2,$H212-$I212)),0))</f>
        <v> </v>
      </c>
      <c r="AK212" s="295" t="str">
        <f aca="false">IF($A212="N/A"," ",IF(Dayrun&gt;=6,IF(Option=1,$J212-H212,IF(Option=2,H212-$J212)),0))</f>
        <v> </v>
      </c>
      <c r="AL212" s="295" t="str">
        <f aca="false">IF($A212="N/A"," ",IF(OR(Dayrun&lt;=2,Dayrun&gt;=9),IF(Option=1,$K212-$H212,IF(Option=2,$H212-$K212)),0))</f>
        <v> </v>
      </c>
      <c r="AM212" s="295" t="str">
        <f aca="false">IF($A212="N/A"," ",IF(OR(Dayrun=1,Dayrun=4,Dayrun=5,Dayrun=7,Dayrun=8,Dayrun=10,Dayrun=11),IF(Option=1,$L212-H212,IF(Option=2,H212-$L212)),0))</f>
        <v> </v>
      </c>
      <c r="AN212" s="295" t="str">
        <f aca="false">IF($A212="N/A"," ",IF(OR(Dayrun=1,Dayrun=7,Dayrun=8,Dayrun=10,Dayrun=11),IF(Option=1,$M212-H212,IF(Option=2,H212-$M212)),0))</f>
        <v> </v>
      </c>
      <c r="AO212" s="295" t="str">
        <f aca="false">IF($A212="N/A"," ",IF(OR(Dayrun&lt;=2,Dayrun&gt;=9),IF(Option=1,$N212-$H212,IF(Option=2,$H212-$N212)),0))</f>
        <v> </v>
      </c>
      <c r="AP212" s="295" t="str">
        <f aca="false">IF($A212="N/A"," ",IF(OR(Dayrun=1,Dayrun=5,Dayrun=8,Dayrun=11),IF(Option=1,$O212-H212,IF(Option=2,H212-$O212)),0))</f>
        <v> </v>
      </c>
      <c r="AQ212" s="295" t="str">
        <f aca="false">IF($A212="N/A"," ",IF(OR(Dayrun=1,Dayrun=8,Dayrun=11),IF(Option=1,$P212-H212,IF(Option=2,H212-$P212)),0))</f>
        <v> </v>
      </c>
      <c r="AR212" s="296" t="str">
        <f aca="false">IF($A212="N/A"," ",IF(OR(Dayrun&lt;=2,Dayrun&gt;=9),IF(Option=1,$Q212-H212,IF(Option=2,H212-$Q212)),0))</f>
        <v> </v>
      </c>
      <c r="AS212" s="297" t="str">
        <f aca="false">IF($A212="N/A"," ",IF(VLOOKUP(MONTH($A212),ManualTable,2)=1,IF(Dayrun&gt;=3,$DE212*8*$CY212,0),0))</f>
        <v> </v>
      </c>
      <c r="AT212" s="297" t="str">
        <f aca="false">IF($A212="N/A"," ",IF(VLOOKUP(MONTH($A212),ManualTable,3)=1,IF(Dayrun&gt;=6,$DE212*8*$CY212,0),0))</f>
        <v> </v>
      </c>
      <c r="AU212" s="297" t="str">
        <f aca="false">IF($A212="N/A"," ",IF(VLOOKUP(MONTH($A212),ManualTable,4)=1,IF(OR(Dayrun&lt;=2,Dayrun&gt;=9),$DE212*8*$CY212,0),0))</f>
        <v> </v>
      </c>
      <c r="AV212" s="297" t="str">
        <f aca="false">IF($A212="N/A"," ",IF(VLOOKUP(MONTH($A212),ManualTable,5)=1,IF(OR(Dayrun=1,Dayrun=4,Dayrun=5,Dayrun=7,Dayrun=8,Dayrun=10,Dayrun=11),$DF212*8*$CY212,0),0))</f>
        <v> </v>
      </c>
      <c r="AW212" s="297" t="str">
        <f aca="false">IF($A212="N/A"," ",IF(VLOOKUP(MONTH($A212),ManualTable,6)=1,IF(OR(Dayrun=1,Dayrun=7,Dayrun=8,Dayrun=10,Dayrun=11),$DF212*8*$CY212,0),0))</f>
        <v> </v>
      </c>
      <c r="AX212" s="297" t="str">
        <f aca="false">IF($A212="N/A"," ",IF(VLOOKUP(MONTH($A212),ManualTable,7)=1,IF(OR(Dayrun&lt;=2,Dayrun&gt;=9),$DF212*8*$CY212,0),0))</f>
        <v> </v>
      </c>
      <c r="AY212" s="297" t="str">
        <f aca="false">IF($A212="N/A"," ",IF(VLOOKUP(MONTH($A212),ManualTable,8)=1,IF(OR(Dayrun=1,Dayrun=5,Dayrun=8,Dayrun=11),$DG212*8*$CY212,0),0))</f>
        <v> </v>
      </c>
      <c r="AZ212" s="297" t="str">
        <f aca="false">IF($A212="N/A"," ",IF(VLOOKUP(MONTH($A212),ManualTable,9)=1,IF(OR(Dayrun=1,Dayrun=8,Dayrun=11),$DG212*8*$CY212,0),0))</f>
        <v> </v>
      </c>
      <c r="BA212" s="298" t="str">
        <f aca="false">IF($A212="N/A"," ",IF(VLOOKUP(MONTH($A212),ManualTable,10)=1,IF(OR(Dayrun&lt;=2,Dayrun&gt;=9),$DG212*8*$CY212,0),0))</f>
        <v> </v>
      </c>
      <c r="BB212" s="299" t="str">
        <f aca="false">IF($A212="N/A"," ",IF(Dayrun&gt;=3,(MAX(0,(xSPRDOPT(I212,($E212-'Pricing Inputs'!$X247*$D212),$CV212,0,($CN212+IF(Smile=TRUE(),VLOOKUP(MAX(-5,$H212-I212),Volsmile,2),0)),$CT212,$CU212,($A212-DateToday)+15,ABS(Option-2),1)*DE212*8))),0))</f>
        <v> </v>
      </c>
      <c r="BC212" s="300" t="str">
        <f aca="false">IF($A212="N/A"," ",IF(Dayrun&gt;=6,MAX(0,(xSPRDOPT(J212,($E212-'Pricing Inputs'!$X247*$D212),$CV212,0,($CN212+IF(Smile=TRUE(),VLOOKUP(MAX(-5,$H212-J212),Volsmile,2),0)),$CT212,$CU212,($A212-DateToday)+15,ABS(Option-2),1)*DE212*8)),0))</f>
        <v> </v>
      </c>
      <c r="BD212" s="300" t="str">
        <f aca="false">IF($A212="N/A"," ",IF(OR(Dayrun&lt;=2,Dayrun&gt;=9),IF(OffPeakEx=TRUE(),MAX(0,(xSPRDOPT(K212,($E212-'Pricing Inputs'!$X247*$D212),$CV212,0,($CQ212+IF(Smile=TRUE(),VLOOKUP(MAX(-5,$H212-K212),Volsmile,2),0)),$CT212,$CU212,($A212-DateToday)+15,ABS(Option-2),1)*DE212*8)),0),0))</f>
        <v> </v>
      </c>
      <c r="BE212" s="300" t="str">
        <f aca="false">IF($A212="N/A"," ",IF(OR(Dayrun=1,Dayrun=4,Dayrun=5,Dayrun=7,Dayrun=8,Dayrun=10,Dayrun=11),MAX(0,(xSPRDOPT(L212,($E212-'Pricing Inputs'!$X247*$D212),$CV212,0,($CQ212+IF(Smile=TRUE(),VLOOKUP(MAX(-5,$H212-L212),Volsmile,2),0)),$CT212,$CU212,($A212-DateToday)+15,ABS(Option-2),1)*DF212*8)),0))</f>
        <v> </v>
      </c>
      <c r="BF212" s="300" t="str">
        <f aca="false">IF($A212="N/A"," ",IF(OR(Dayrun=1,Dayrun=7,Dayrun=8,Dayrun=10,Dayrun=11),MAX(0,(xSPRDOPT(M212,($E212-'Pricing Inputs'!$X247*$D212),$CV212,0,($CQ212+IF(Smile=TRUE(),VLOOKUP(MAX(-5,$H212-M212),Volsmile,2),0)),$CT212,$CU212,($A212-DateToday)+15,ABS(Option-2),1)*DF212*8)),0))</f>
        <v> </v>
      </c>
      <c r="BG212" s="300" t="str">
        <f aca="false">IF($A212="N/A"," ",IF(OR(Dayrun&lt;=2,Dayrun&gt;=10),IF(OffPeakEx=TRUE(),MAX(0,(xSPRDOPT(N212,($E212-'Pricing Inputs'!$X247*$D212),$CV212,0,($CQ212+IF(Smile=TRUE(),VLOOKUP(MAX(-5,$H212-N212),Volsmile,2),0)),$CT212,$CU212,($A212-DateToday)+15,ABS(Option-2),1)*DF212*8)),0),0))</f>
        <v> </v>
      </c>
      <c r="BH212" s="300" t="str">
        <f aca="false">IF($A212="N/A"," ",IF(OR(Dayrun=1,Dayrun=5,Dayrun=8,Dayrun=11),MAX(0,(xSPRDOPT(O212,($E212-'Pricing Inputs'!$X247*$D212),$CV212,0,($CQ212+IF(Smile=TRUE(),VLOOKUP(MAX(-5,$H212-O212),Volsmile,2),0)),$CT212,$CU212,($A212-DateToday)+15,ABS(Option-2),1)*DG212*8)),0))</f>
        <v> </v>
      </c>
      <c r="BI212" s="300" t="str">
        <f aca="false">IF($A212="N/A"," ",IF(OR(Dayrun=1,Dayrun=8,Dayrun=11),MAX(0,(xSPRDOPT(P212,($E212-'Pricing Inputs'!$X247*$D212),$CV212,0,($CQ212+IF(Smile=TRUE(),VLOOKUP(MAX(-5,$H212-P212),Volsmile,2),0)),$CT212,$CU212,($A212-DateToday)+15,ABS(Option-2),1)*DG212*8)),0))</f>
        <v> </v>
      </c>
      <c r="BJ212" s="301" t="str">
        <f aca="false">IF($A212="N/A"," ",IF(OR(Dayrun&lt;=2,Dayrun&gt;=11),IF(OffPeakEx=TRUE(),MAX(0,(xSPRDOPT(Q212,($E212-'Pricing Inputs'!$X247*$D212),$CV212,0,($CQ212+IF(Smile=TRUE(),VLOOKUP(MAX(-5,$H212-Q212),Volsmile,2),0)),$CT212,$CU212,($A212-DateToday)+15,ABS(Option-2),1)*DG212*8)),0),0))</f>
        <v> </v>
      </c>
      <c r="BK212" s="302" t="str">
        <f aca="false">IF($A212="N/A"," ",R212*$AS212)</f>
        <v> </v>
      </c>
      <c r="BL212" s="303" t="str">
        <f aca="false">IF($A212="N/A"," ",S212*$AT212)</f>
        <v> </v>
      </c>
      <c r="BM212" s="303" t="str">
        <f aca="false">IF($A212="N/A"," ",T212*$AU212)</f>
        <v> </v>
      </c>
      <c r="BN212" s="303" t="str">
        <f aca="false">IF($A212="N/A"," ",U212*$AV212)</f>
        <v> </v>
      </c>
      <c r="BO212" s="303" t="str">
        <f aca="false">IF($A212="N/A"," ",V212*$AW212)</f>
        <v> </v>
      </c>
      <c r="BP212" s="303" t="str">
        <f aca="false">IF($A212="N/A"," ",W212*$AX212)</f>
        <v> </v>
      </c>
      <c r="BQ212" s="303" t="str">
        <f aca="false">IF($A212="N/A"," ",X212*$AY212)</f>
        <v> </v>
      </c>
      <c r="BR212" s="303" t="str">
        <f aca="false">IF($A212="N/A"," ",Y212*$AZ212)</f>
        <v> </v>
      </c>
      <c r="BS212" s="304" t="str">
        <f aca="false">IF($A212="N/A"," ",Z212*$BA212)</f>
        <v> </v>
      </c>
      <c r="BT212" s="305" t="str">
        <f aca="false">IF($A212="N/A"," ",AA212*$AS212)</f>
        <v> </v>
      </c>
      <c r="BU212" s="306" t="str">
        <f aca="false">IF($A212="N/A"," ",AB212*$AT212)</f>
        <v> </v>
      </c>
      <c r="BV212" s="306" t="str">
        <f aca="false">IF($A212="N/A"," ",AC212*$AU212)</f>
        <v> </v>
      </c>
      <c r="BW212" s="306" t="str">
        <f aca="false">IF($A212="N/A"," ",AD212*$AV212)</f>
        <v> </v>
      </c>
      <c r="BX212" s="306" t="str">
        <f aca="false">IF($A212="N/A"," ",AE212*$AW212)</f>
        <v> </v>
      </c>
      <c r="BY212" s="306" t="str">
        <f aca="false">IF($A212="N/A"," ",AF212*$AX212)</f>
        <v> </v>
      </c>
      <c r="BZ212" s="306" t="str">
        <f aca="false">IF($A212="N/A"," ",AG212*$AY212)</f>
        <v> </v>
      </c>
      <c r="CA212" s="306" t="str">
        <f aca="false">IF($A212="N/A"," ",AH212*$AZ212)</f>
        <v> </v>
      </c>
      <c r="CB212" s="307" t="str">
        <f aca="false">IF($A212="N/A"," ",AI212*$BA212)</f>
        <v> </v>
      </c>
      <c r="CC212" s="308" t="str">
        <f aca="false">IF($A212="N/A"," ",AJ212*$AS212)</f>
        <v> </v>
      </c>
      <c r="CD212" s="309" t="str">
        <f aca="false">IF($A212="N/A"," ",AK212*$AT212)</f>
        <v> </v>
      </c>
      <c r="CE212" s="309" t="str">
        <f aca="false">IF($A212="N/A"," ",AL212*$AU212)</f>
        <v> </v>
      </c>
      <c r="CF212" s="309" t="str">
        <f aca="false">IF($A212="N/A"," ",AM212*$AV212)</f>
        <v> </v>
      </c>
      <c r="CG212" s="309" t="str">
        <f aca="false">IF($A212="N/A"," ",AN212*$AW212)</f>
        <v> </v>
      </c>
      <c r="CH212" s="309" t="str">
        <f aca="false">IF($A212="N/A"," ",AO212*$AX212)</f>
        <v> </v>
      </c>
      <c r="CI212" s="309" t="str">
        <f aca="false">IF($A212="N/A"," ",AP212*$AY212)</f>
        <v> </v>
      </c>
      <c r="CJ212" s="309" t="str">
        <f aca="false">IF($A212="N/A"," ",AQ212*$AZ212)</f>
        <v> </v>
      </c>
      <c r="CK212" s="310" t="str">
        <f aca="false">IF($A212="N/A"," ",AR212*$BA212)</f>
        <v> </v>
      </c>
      <c r="CL212" s="311" t="str">
        <f aca="false">IF(A212="N/A"," ",(VLOOKUP(A212,PowerVolTable,(IF(VolBMO=2,7,IF(VolBMO=1,6,8))),FALSE())))</f>
        <v> </v>
      </c>
      <c r="CM212" s="312" t="str">
        <f aca="false">IF(A212="N/A"," ",(VLOOKUP(A212,IntraPowerVol,(IF(VolBMO=2,3,IF(VolBMO=1,2,4))),FALSE())*VLOOKUP(MONTH($A212),Volscale,2)))</f>
        <v> </v>
      </c>
      <c r="CN212" s="312" t="str">
        <f aca="false">IF($A212="N/A"," ",IF(VolType=1,CM212,CL212))</f>
        <v> </v>
      </c>
      <c r="CO212" s="312" t="str">
        <f aca="false">IF($A212="N/A"," ",(VLOOKUP($A212,OffPeakVol,(IF(VolBMO=2,7,IF(VolBMO=1,6,8))),FALSE())))</f>
        <v> </v>
      </c>
      <c r="CP212" s="312" t="str">
        <f aca="false">IF($A212="N/A"," ",(VLOOKUP($A212,OffPeakVol,(IF(VolBMO=2,3,IF(VolBMO=1,2,4))),FALSE())*VLOOKUP(MONTH($A212),Volscale,2)))</f>
        <v> </v>
      </c>
      <c r="CQ212" s="312" t="str">
        <f aca="false">IF($A212="N/A"," ",IF(VolType=1,CP212,CO212))</f>
        <v> </v>
      </c>
      <c r="CR212" s="312" t="str">
        <f aca="false">IF($A212="N/A"," ",(VLOOKUP($A212,GasVolTable,(IF(VolBMO=2,6,IF(VolBMO=1,7,5))),FALSE())))</f>
        <v> </v>
      </c>
      <c r="CS212" s="312" t="str">
        <f aca="false">IF($A212="N/A"," ",(VLOOKUP($A212,OmicronVol,(IF(VolBMO=2,3,IF(VolBMO=1,4,2))),FALSE())))</f>
        <v> </v>
      </c>
      <c r="CT212" s="312" t="str">
        <f aca="false">IF($A212="N/A"," ",(IF(DateToday&gt;$A212,$CS212,IF(VolType=1,((($CR212^2)*((($A212-1)-DateToday)/((EOMONTH($A212,0)+1)-DateToday-15)))+((($CS212)^2)*((15)/((EOMONTH($A212,0)+1)-DateToday-15))))^0.5,CR212))))</f>
        <v> </v>
      </c>
      <c r="CU212" s="312" t="str">
        <f aca="false">IF($A212="N/A"," ",IF('Pricing Inputs'!$AR$23=TRUE(),Inputs!$S$22,VLOOKUP($A212,CorrelationTable,2,FALSE())))</f>
        <v> </v>
      </c>
      <c r="CV212" s="313" t="str">
        <f aca="false">IF($A212="N/A"," ",F212+G212+(D212*('Pricing Inputs'!X247)))</f>
        <v> </v>
      </c>
      <c r="CW212" s="314" t="str">
        <f aca="false">IF($A212="N/A"," ",IF(PV=1,0,'Pricing Inputs'!Y247))</f>
        <v> </v>
      </c>
      <c r="CX212" s="315" t="str">
        <f aca="false">IF($A212="N/A"," ",(1+CW212/2)^(-2*((EOMONTH(A212,0)+20)-DateToday)/365.25))</f>
        <v> </v>
      </c>
      <c r="CY212" s="316" t="str">
        <f aca="false">IF($A212="N/A"," ",(IF(MONTH(A212)&gt;=4,IF(MONTH(A212)&lt;=10,Inputs!$S$26,Inputs!$S$27),Inputs!$S$27))*$CX212)</f>
        <v> </v>
      </c>
      <c r="CZ212" s="317" t="str">
        <f aca="false">IF($A212="N/A"," ",BK212+BL212+BN212+BO212+BQ212+BR212)</f>
        <v> </v>
      </c>
      <c r="DA212" s="318" t="str">
        <f aca="false">IF($A212="N/A"," ",BM212+BP212+BS212)</f>
        <v> </v>
      </c>
      <c r="DB212" s="319" t="str">
        <f aca="false">IF($A212="N/A"," ",BT212+BU212+BW212+BX212+BZ212+CA212)</f>
        <v> </v>
      </c>
      <c r="DC212" s="319" t="str">
        <f aca="false">IF($A212="N/A"," ",BV212+BY212+CB212)</f>
        <v> </v>
      </c>
      <c r="DD212" s="320" t="str">
        <f aca="false">IF($A212="N/A"," ",SUM(CC212:CK212))</f>
        <v> </v>
      </c>
      <c r="DE212" s="321" t="str">
        <f aca="false">IF($A212="N/A"," ",VLOOKUP($A212,NumberofDaysTable,2)*Availability)</f>
        <v> </v>
      </c>
      <c r="DF212" s="94" t="str">
        <f aca="false">IF($A212="N/A"," ",VLOOKUP($A212,NumberofDaysTable,3)*Availability)</f>
        <v> </v>
      </c>
      <c r="DG212" s="322" t="str">
        <f aca="false">IF($A212="N/A"," ",VLOOKUP($A212,NumberofDaysTable,4)*Availability)</f>
        <v> </v>
      </c>
      <c r="DH212" s="323" t="str">
        <f aca="false">IF($A212="N/A"," ",IF(Option=1,$D212*Inputs!$S$15*SUM(AS212:BA212),0))</f>
        <v> </v>
      </c>
      <c r="DI212" s="324" t="str">
        <f aca="false">IF($A212="N/A"," ",IF(Option=1,$D212*Inputs!$S$16*SUM(AS212:BA212),0))</f>
        <v> </v>
      </c>
      <c r="DJ212" s="325" t="str">
        <f aca="false">IF($A212="N/A"," ",SUM(AS212:AT212))</f>
        <v> </v>
      </c>
      <c r="DK212" s="325" t="str">
        <f aca="false">IF($A212="N/A"," ",SUM(AU212:BA212))</f>
        <v> </v>
      </c>
      <c r="DL212" s="325" t="str">
        <f aca="false">IF($A212="N/A"," ",SUM(BB212:BC212))</f>
        <v> </v>
      </c>
      <c r="DM212" s="325" t="str">
        <f aca="false">IF($A212="N/A"," ",SUM(BD212:BJ212))</f>
        <v> </v>
      </c>
    </row>
    <row r="213" customFormat="false" ht="12.75" hidden="false" customHeight="false" outlineLevel="0" collapsed="false">
      <c r="A213" s="282" t="str">
        <f aca="false">IF(A212="N/A","N/A",IF(EDATE(A212,1)&gt;Inputs!$S$5,"N/A",EDATE(A212,1)))</f>
        <v>N/A</v>
      </c>
      <c r="B213" s="283" t="str">
        <f aca="false">IF(A213="N/A"," ",YEAR(A213))</f>
        <v> </v>
      </c>
      <c r="C213" s="284" t="str">
        <f aca="false">IF(A213="N/A"," ",VLOOKUP(A213,ScaledPrice,14))</f>
        <v> </v>
      </c>
      <c r="D213" s="285" t="str">
        <f aca="false">IF(A213="N/A"," ",(VLOOKUP(MONTH($A213),Hrtable,2))/1000)</f>
        <v> </v>
      </c>
      <c r="E213" s="286" t="str">
        <f aca="false">IF($A213="N/A"," ",(C213)*D213)</f>
        <v> </v>
      </c>
      <c r="F213" s="287" t="str">
        <f aca="false">IF(A213="N/A"," ",VOM*(1+VOMesc)^(YEAR(A213)-YEAR(Today)))</f>
        <v> </v>
      </c>
      <c r="G213" s="287" t="str">
        <f aca="false">IF(A213="N/A"," ",Perstart/VLOOKUP(Dayrun,'Pricing Inputs'!$AQ$4:$AS$14,3)/(CY213/CX213))</f>
        <v> </v>
      </c>
      <c r="H213" s="288" t="str">
        <f aca="false">IF(A213="N/A"," ",SUM(E213:G213))</f>
        <v> </v>
      </c>
      <c r="I213" s="289" t="str">
        <f aca="false">VLOOKUP($A213,ScaledPrice,6)</f>
        <v> </v>
      </c>
      <c r="J213" s="290" t="str">
        <f aca="false">VLOOKUP($A213,ScaledPrice,10)</f>
        <v> </v>
      </c>
      <c r="K213" s="290" t="str">
        <f aca="false">VLOOKUP($A213,ScaledPrice,13)</f>
        <v> </v>
      </c>
      <c r="L213" s="290" t="str">
        <f aca="false">VLOOKUP($A213,ScaledPrice,7)</f>
        <v> </v>
      </c>
      <c r="M213" s="290" t="str">
        <f aca="false">VLOOKUP($A213,ScaledPrice,11)</f>
        <v> </v>
      </c>
      <c r="N213" s="290" t="str">
        <f aca="false">VLOOKUP($A213,ScaledPrice,13)</f>
        <v> </v>
      </c>
      <c r="O213" s="290" t="str">
        <f aca="false">VLOOKUP($A213,ScaledPrice,8)</f>
        <v> </v>
      </c>
      <c r="P213" s="290" t="str">
        <f aca="false">VLOOKUP($A213,ScaledPrice,12)</f>
        <v> </v>
      </c>
      <c r="Q213" s="291" t="str">
        <f aca="false">VLOOKUP($A213,ScaledPrice,13)</f>
        <v> </v>
      </c>
      <c r="R213" s="292" t="str">
        <f aca="false">IF($A213="N/A"," ",IF(Dayrun&gt;=3,IF(Option=1,MAX($I213-$H213,0),IF(Option=2,MAX($H213-$I213,0),0)),0))</f>
        <v> </v>
      </c>
      <c r="S213" s="286" t="str">
        <f aca="false">IF($A213="N/A"," ",IF(Dayrun&gt;=6,IF(Option=1,MAX($J213-H213,0),IF(Option=2,MAX(H213-$J213,0),0)),0))</f>
        <v> </v>
      </c>
      <c r="T213" s="286" t="str">
        <f aca="false">IF($A213="N/A"," ",IF(OR(Dayrun&lt;=2,Dayrun&gt;=9),IF(Option=1,MAX($K213-$H213,0),IF(Option=2,MAX($H213-$K213,0),0)),0))</f>
        <v> </v>
      </c>
      <c r="U213" s="286" t="str">
        <f aca="false">IF($A213="N/A"," ",IF(OR(Dayrun=1,Dayrun=4,Dayrun=5,Dayrun=7,Dayrun=8,Dayrun=10,Dayrun=11),IF(Option=1,MAX($L213-H213,0),IF(Option=2,MAX(H213-$L213,0),0)),0))</f>
        <v> </v>
      </c>
      <c r="V213" s="286" t="str">
        <f aca="false">IF($A213="N/A"," ",IF(OR(Dayrun=1,Dayrun=7,Dayrun=8,Dayrun=10,Dayrun=11),IF(Option=1,MAX($M213-H213,0),IF(Option=2,MAX(H213-$M213,0),0)),0))</f>
        <v> </v>
      </c>
      <c r="W213" s="286" t="str">
        <f aca="false">IF($A213="N/A"," ",IF(OR(Dayrun&lt;=2,Dayrun&gt;=10),IF(Option=1,MAX($N213-$H213,0),IF(Option=2,MAX($H213-$N213,0),0)),0))</f>
        <v> </v>
      </c>
      <c r="X213" s="286" t="str">
        <f aca="false">IF($A213="N/A"," ",IF(OR(Dayrun=1,Dayrun=5,Dayrun=8,Dayrun=11),IF(Option=1,MAX($O213-H213,0),IF(Option=2,MAX(H213-$O213,0),0)),0))</f>
        <v> </v>
      </c>
      <c r="Y213" s="286" t="str">
        <f aca="false">IF($A213="N/A"," ",IF(OR(Dayrun=1,Dayrun=8,Dayrun=11),IF(Option=1,MAX($P213-H213,0),IF(Option=2,MAX(H213-$P213,0),0)),0))</f>
        <v> </v>
      </c>
      <c r="Z213" s="293" t="str">
        <f aca="false">IF($A213="N/A"," ",IF(OR(Dayrun&lt;=2,Dayrun&gt;=11),IF(Option=1,MAX($Q213-$H213,0),IF(Option=2,MAX($H213-$Q213,0),0)),0))</f>
        <v> </v>
      </c>
      <c r="AA213" s="289" t="str">
        <f aca="false">IF($A213="N/A"," ",IF(Dayrun&gt;=3,(MAX(0,(xSPRDOPT(I213,($E213-'Pricing Inputs'!$X248*$D213),$CV213,0,($CN213+IF(Smile=TRUE(),VLOOKUP(MAX(-5,$H213-I213),Volsmile,2),0)),$CT213,$CU213,($A213-DateToday)+15,ABS(Option-2),0)-R213))),0))</f>
        <v> </v>
      </c>
      <c r="AB213" s="290" t="str">
        <f aca="false">IF($A213="N/A"," ",IF(Dayrun&gt;=6,MAX(0,(xSPRDOPT(J213,($E213-'Pricing Inputs'!$X248*$D213),$CV213,0,($CN213+IF(Smile=TRUE(),VLOOKUP(MAX(-5,$H213-J213),Volsmile,2),0)),$CT213,$CU213,($A213-DateToday)+15,ABS(Option-2),0)-S213)),0))</f>
        <v> </v>
      </c>
      <c r="AC213" s="290" t="str">
        <f aca="false">IF($A213="N/A"," ",IF(OR(Dayrun&lt;=2,Dayrun&gt;=9),IF(OffPeakEx=TRUE(),MAX(0,(xSPRDOPT(K213,($E213-'Pricing Inputs'!$X248*$D213),$CV213,0,($CQ213+IF(Smile=TRUE(),VLOOKUP(MAX(-5,$H213-K213),Volsmile,2),0)),$CT213,$CU213,($A213-DateToday)+15,ABS(Option-2),0)-T213)),0),0))</f>
        <v> </v>
      </c>
      <c r="AD213" s="290" t="str">
        <f aca="false">IF($A213="N/A"," ",IF(OR(Dayrun=1,Dayrun=4,Dayrun=5,Dayrun=7,Dayrun=8,Dayrun=10,Dayrun=11),MAX(0,(xSPRDOPT(L213,($E213-'Pricing Inputs'!$X248*$D213),$CV213,0,($CQ213+IF(Smile=TRUE(),VLOOKUP(MAX(-5,$H213-L213),Volsmile,2),0)),$CT213,$CU213,($A213-DateToday)+15,ABS(Option-2),0)-U213)),0))</f>
        <v> </v>
      </c>
      <c r="AE213" s="290" t="str">
        <f aca="false">IF($A213="N/A"," ",IF(OR(Dayrun=1,Dayrun=7,Dayrun=8,Dayrun=10,Dayrun=11),MAX(0,(xSPRDOPT(M213,($E213-'Pricing Inputs'!$X248*$D213),$CV213,0,($CQ213+IF(Smile=TRUE(),VLOOKUP(MAX(-5,$H213-M213),Volsmile,2),0)),$CT213,$CU213,($A213-DateToday)+15,ABS(Option-2),0)-V213)),0))</f>
        <v> </v>
      </c>
      <c r="AF213" s="290" t="str">
        <f aca="false">IF($A213="N/A"," ",IF(OR(Dayrun&lt;=2,Dayrun&gt;=10),IF(OffPeakEx=TRUE(),MAX(0,(xSPRDOPT(N213,($E213-'Pricing Inputs'!$X248*$D213),$CV213,0,($CQ213+IF(Smile=TRUE(),VLOOKUP(MAX(-5,$H213-N213),Volsmile,2),0)),$CT213,$CU213,($A213-DateToday)+15,ABS(Option-2),0)-W213)),0),0))</f>
        <v> </v>
      </c>
      <c r="AG213" s="290" t="str">
        <f aca="false">IF($A213="N/A"," ",IF(OR(Dayrun=1,Dayrun=5,Dayrun=8,Dayrun=11),MAX(0,(xSPRDOPT(O213,($E213-'Pricing Inputs'!$X248*$D213),$CV213,0,($CQ213+IF(Smile=TRUE(),VLOOKUP(MAX(-5,$H213-O213),Volsmile,2),0)),$CT213,$CU213,($A213-DateToday)+15,ABS(Option-2),0)-X213)),0))</f>
        <v> </v>
      </c>
      <c r="AH213" s="290" t="str">
        <f aca="false">IF($A213="N/A"," ",IF(OR(Dayrun=1,Dayrun=8,Dayrun=11),MAX(0,(xSPRDOPT(P213,($E213-'Pricing Inputs'!$X248*$D213),$CV213,0,($CQ213+IF(Smile=TRUE(),VLOOKUP(MAX(-5,$H213-P213),Volsmile,2),0)),$CT213,$CU213,($A213-DateToday)+15,ABS(Option-2),0)-Y213)),0))</f>
        <v> </v>
      </c>
      <c r="AI213" s="290" t="str">
        <f aca="false">IF($A213="N/A"," ",IF(OR(Dayrun&lt;=2,Dayrun&gt;=11),IF(OffPeakEx=TRUE(),MAX(0,(xSPRDOPT(Q213,($E213-'Pricing Inputs'!$X248*$D213),$CV213,0,($CQ213+IF(Smile=TRUE(),VLOOKUP(MAX(-5,$H213-Q213),Volsmile,2),0)),$CT213,$CU213,($A213-DateToday)+15,ABS(Option-2),0)-Z213)),0),0))</f>
        <v> </v>
      </c>
      <c r="AJ213" s="294" t="str">
        <f aca="false">IF($A213="N/A"," ",IF(Dayrun&gt;=3,IF(Option=1,$I213-$H213,IF(Option=2,$H213-$I213)),0))</f>
        <v> </v>
      </c>
      <c r="AK213" s="295" t="str">
        <f aca="false">IF($A213="N/A"," ",IF(Dayrun&gt;=6,IF(Option=1,$J213-H213,IF(Option=2,H213-$J213)),0))</f>
        <v> </v>
      </c>
      <c r="AL213" s="295" t="str">
        <f aca="false">IF($A213="N/A"," ",IF(OR(Dayrun&lt;=2,Dayrun&gt;=9),IF(Option=1,$K213-$H213,IF(Option=2,$H213-$K213)),0))</f>
        <v> </v>
      </c>
      <c r="AM213" s="295" t="str">
        <f aca="false">IF($A213="N/A"," ",IF(OR(Dayrun=1,Dayrun=4,Dayrun=5,Dayrun=7,Dayrun=8,Dayrun=10,Dayrun=11),IF(Option=1,$L213-H213,IF(Option=2,H213-$L213)),0))</f>
        <v> </v>
      </c>
      <c r="AN213" s="295" t="str">
        <f aca="false">IF($A213="N/A"," ",IF(OR(Dayrun=1,Dayrun=7,Dayrun=8,Dayrun=10,Dayrun=11),IF(Option=1,$M213-H213,IF(Option=2,H213-$M213)),0))</f>
        <v> </v>
      </c>
      <c r="AO213" s="295" t="str">
        <f aca="false">IF($A213="N/A"," ",IF(OR(Dayrun&lt;=2,Dayrun&gt;=9),IF(Option=1,$N213-$H213,IF(Option=2,$H213-$N213)),0))</f>
        <v> </v>
      </c>
      <c r="AP213" s="295" t="str">
        <f aca="false">IF($A213="N/A"," ",IF(OR(Dayrun=1,Dayrun=5,Dayrun=8,Dayrun=11),IF(Option=1,$O213-H213,IF(Option=2,H213-$O213)),0))</f>
        <v> </v>
      </c>
      <c r="AQ213" s="295" t="str">
        <f aca="false">IF($A213="N/A"," ",IF(OR(Dayrun=1,Dayrun=8,Dayrun=11),IF(Option=1,$P213-H213,IF(Option=2,H213-$P213)),0))</f>
        <v> </v>
      </c>
      <c r="AR213" s="296" t="str">
        <f aca="false">IF($A213="N/A"," ",IF(OR(Dayrun&lt;=2,Dayrun&gt;=9),IF(Option=1,$Q213-H213,IF(Option=2,H213-$Q213)),0))</f>
        <v> </v>
      </c>
      <c r="AS213" s="297" t="str">
        <f aca="false">IF($A213="N/A"," ",IF(VLOOKUP(MONTH($A213),ManualTable,2)=1,IF(Dayrun&gt;=3,$DE213*8*$CY213,0),0))</f>
        <v> </v>
      </c>
      <c r="AT213" s="297" t="str">
        <f aca="false">IF($A213="N/A"," ",IF(VLOOKUP(MONTH($A213),ManualTable,3)=1,IF(Dayrun&gt;=6,$DE213*8*$CY213,0),0))</f>
        <v> </v>
      </c>
      <c r="AU213" s="297" t="str">
        <f aca="false">IF($A213="N/A"," ",IF(VLOOKUP(MONTH($A213),ManualTable,4)=1,IF(OR(Dayrun&lt;=2,Dayrun&gt;=9),$DE213*8*$CY213,0),0))</f>
        <v> </v>
      </c>
      <c r="AV213" s="297" t="str">
        <f aca="false">IF($A213="N/A"," ",IF(VLOOKUP(MONTH($A213),ManualTable,5)=1,IF(OR(Dayrun=1,Dayrun=4,Dayrun=5,Dayrun=7,Dayrun=8,Dayrun=10,Dayrun=11),$DF213*8*$CY213,0),0))</f>
        <v> </v>
      </c>
      <c r="AW213" s="297" t="str">
        <f aca="false">IF($A213="N/A"," ",IF(VLOOKUP(MONTH($A213),ManualTable,6)=1,IF(OR(Dayrun=1,Dayrun=7,Dayrun=8,Dayrun=10,Dayrun=11),$DF213*8*$CY213,0),0))</f>
        <v> </v>
      </c>
      <c r="AX213" s="297" t="str">
        <f aca="false">IF($A213="N/A"," ",IF(VLOOKUP(MONTH($A213),ManualTable,7)=1,IF(OR(Dayrun&lt;=2,Dayrun&gt;=9),$DF213*8*$CY213,0),0))</f>
        <v> </v>
      </c>
      <c r="AY213" s="297" t="str">
        <f aca="false">IF($A213="N/A"," ",IF(VLOOKUP(MONTH($A213),ManualTable,8)=1,IF(OR(Dayrun=1,Dayrun=5,Dayrun=8,Dayrun=11),$DG213*8*$CY213,0),0))</f>
        <v> </v>
      </c>
      <c r="AZ213" s="297" t="str">
        <f aca="false">IF($A213="N/A"," ",IF(VLOOKUP(MONTH($A213),ManualTable,9)=1,IF(OR(Dayrun=1,Dayrun=8,Dayrun=11),$DG213*8*$CY213,0),0))</f>
        <v> </v>
      </c>
      <c r="BA213" s="298" t="str">
        <f aca="false">IF($A213="N/A"," ",IF(VLOOKUP(MONTH($A213),ManualTable,10)=1,IF(OR(Dayrun&lt;=2,Dayrun&gt;=9),$DG213*8*$CY213,0),0))</f>
        <v> </v>
      </c>
      <c r="BB213" s="299" t="str">
        <f aca="false">IF($A213="N/A"," ",IF(Dayrun&gt;=3,(MAX(0,(xSPRDOPT(I213,($E213-'Pricing Inputs'!$X248*$D213),$CV213,0,($CN213+IF(Smile=TRUE(),VLOOKUP(MAX(-5,$H213-I213),Volsmile,2),0)),$CT213,$CU213,($A213-DateToday)+15,ABS(Option-2),1)*DE213*8))),0))</f>
        <v> </v>
      </c>
      <c r="BC213" s="300" t="str">
        <f aca="false">IF($A213="N/A"," ",IF(Dayrun&gt;=6,MAX(0,(xSPRDOPT(J213,($E213-'Pricing Inputs'!$X248*$D213),$CV213,0,($CN213+IF(Smile=TRUE(),VLOOKUP(MAX(-5,$H213-J213),Volsmile,2),0)),$CT213,$CU213,($A213-DateToday)+15,ABS(Option-2),1)*DE213*8)),0))</f>
        <v> </v>
      </c>
      <c r="BD213" s="300" t="str">
        <f aca="false">IF($A213="N/A"," ",IF(OR(Dayrun&lt;=2,Dayrun&gt;=9),IF(OffPeakEx=TRUE(),MAX(0,(xSPRDOPT(K213,($E213-'Pricing Inputs'!$X248*$D213),$CV213,0,($CQ213+IF(Smile=TRUE(),VLOOKUP(MAX(-5,$H213-K213),Volsmile,2),0)),$CT213,$CU213,($A213-DateToday)+15,ABS(Option-2),1)*DE213*8)),0),0))</f>
        <v> </v>
      </c>
      <c r="BE213" s="300" t="str">
        <f aca="false">IF($A213="N/A"," ",IF(OR(Dayrun=1,Dayrun=4,Dayrun=5,Dayrun=7,Dayrun=8,Dayrun=10,Dayrun=11),MAX(0,(xSPRDOPT(L213,($E213-'Pricing Inputs'!$X248*$D213),$CV213,0,($CQ213+IF(Smile=TRUE(),VLOOKUP(MAX(-5,$H213-L213),Volsmile,2),0)),$CT213,$CU213,($A213-DateToday)+15,ABS(Option-2),1)*DF213*8)),0))</f>
        <v> </v>
      </c>
      <c r="BF213" s="300" t="str">
        <f aca="false">IF($A213="N/A"," ",IF(OR(Dayrun=1,Dayrun=7,Dayrun=8,Dayrun=10,Dayrun=11),MAX(0,(xSPRDOPT(M213,($E213-'Pricing Inputs'!$X248*$D213),$CV213,0,($CQ213+IF(Smile=TRUE(),VLOOKUP(MAX(-5,$H213-M213),Volsmile,2),0)),$CT213,$CU213,($A213-DateToday)+15,ABS(Option-2),1)*DF213*8)),0))</f>
        <v> </v>
      </c>
      <c r="BG213" s="300" t="str">
        <f aca="false">IF($A213="N/A"," ",IF(OR(Dayrun&lt;=2,Dayrun&gt;=10),IF(OffPeakEx=TRUE(),MAX(0,(xSPRDOPT(N213,($E213-'Pricing Inputs'!$X248*$D213),$CV213,0,($CQ213+IF(Smile=TRUE(),VLOOKUP(MAX(-5,$H213-N213),Volsmile,2),0)),$CT213,$CU213,($A213-DateToday)+15,ABS(Option-2),1)*DF213*8)),0),0))</f>
        <v> </v>
      </c>
      <c r="BH213" s="300" t="str">
        <f aca="false">IF($A213="N/A"," ",IF(OR(Dayrun=1,Dayrun=5,Dayrun=8,Dayrun=11),MAX(0,(xSPRDOPT(O213,($E213-'Pricing Inputs'!$X248*$D213),$CV213,0,($CQ213+IF(Smile=TRUE(),VLOOKUP(MAX(-5,$H213-O213),Volsmile,2),0)),$CT213,$CU213,($A213-DateToday)+15,ABS(Option-2),1)*DG213*8)),0))</f>
        <v> </v>
      </c>
      <c r="BI213" s="300" t="str">
        <f aca="false">IF($A213="N/A"," ",IF(OR(Dayrun=1,Dayrun=8,Dayrun=11),MAX(0,(xSPRDOPT(P213,($E213-'Pricing Inputs'!$X248*$D213),$CV213,0,($CQ213+IF(Smile=TRUE(),VLOOKUP(MAX(-5,$H213-P213),Volsmile,2),0)),$CT213,$CU213,($A213-DateToday)+15,ABS(Option-2),1)*DG213*8)),0))</f>
        <v> </v>
      </c>
      <c r="BJ213" s="301" t="str">
        <f aca="false">IF($A213="N/A"," ",IF(OR(Dayrun&lt;=2,Dayrun&gt;=11),IF(OffPeakEx=TRUE(),MAX(0,(xSPRDOPT(Q213,($E213-'Pricing Inputs'!$X248*$D213),$CV213,0,($CQ213+IF(Smile=TRUE(),VLOOKUP(MAX(-5,$H213-Q213),Volsmile,2),0)),$CT213,$CU213,($A213-DateToday)+15,ABS(Option-2),1)*DG213*8)),0),0))</f>
        <v> </v>
      </c>
      <c r="BK213" s="302" t="str">
        <f aca="false">IF($A213="N/A"," ",R213*$AS213)</f>
        <v> </v>
      </c>
      <c r="BL213" s="303" t="str">
        <f aca="false">IF($A213="N/A"," ",S213*$AT213)</f>
        <v> </v>
      </c>
      <c r="BM213" s="303" t="str">
        <f aca="false">IF($A213="N/A"," ",T213*$AU213)</f>
        <v> </v>
      </c>
      <c r="BN213" s="303" t="str">
        <f aca="false">IF($A213="N/A"," ",U213*$AV213)</f>
        <v> </v>
      </c>
      <c r="BO213" s="303" t="str">
        <f aca="false">IF($A213="N/A"," ",V213*$AW213)</f>
        <v> </v>
      </c>
      <c r="BP213" s="303" t="str">
        <f aca="false">IF($A213="N/A"," ",W213*$AX213)</f>
        <v> </v>
      </c>
      <c r="BQ213" s="303" t="str">
        <f aca="false">IF($A213="N/A"," ",X213*$AY213)</f>
        <v> </v>
      </c>
      <c r="BR213" s="303" t="str">
        <f aca="false">IF($A213="N/A"," ",Y213*$AZ213)</f>
        <v> </v>
      </c>
      <c r="BS213" s="304" t="str">
        <f aca="false">IF($A213="N/A"," ",Z213*$BA213)</f>
        <v> </v>
      </c>
      <c r="BT213" s="305" t="str">
        <f aca="false">IF($A213="N/A"," ",AA213*$AS213)</f>
        <v> </v>
      </c>
      <c r="BU213" s="306" t="str">
        <f aca="false">IF($A213="N/A"," ",AB213*$AT213)</f>
        <v> </v>
      </c>
      <c r="BV213" s="306" t="str">
        <f aca="false">IF($A213="N/A"," ",AC213*$AU213)</f>
        <v> </v>
      </c>
      <c r="BW213" s="306" t="str">
        <f aca="false">IF($A213="N/A"," ",AD213*$AV213)</f>
        <v> </v>
      </c>
      <c r="BX213" s="306" t="str">
        <f aca="false">IF($A213="N/A"," ",AE213*$AW213)</f>
        <v> </v>
      </c>
      <c r="BY213" s="306" t="str">
        <f aca="false">IF($A213="N/A"," ",AF213*$AX213)</f>
        <v> </v>
      </c>
      <c r="BZ213" s="306" t="str">
        <f aca="false">IF($A213="N/A"," ",AG213*$AY213)</f>
        <v> </v>
      </c>
      <c r="CA213" s="306" t="str">
        <f aca="false">IF($A213="N/A"," ",AH213*$AZ213)</f>
        <v> </v>
      </c>
      <c r="CB213" s="307" t="str">
        <f aca="false">IF($A213="N/A"," ",AI213*$BA213)</f>
        <v> </v>
      </c>
      <c r="CC213" s="308" t="str">
        <f aca="false">IF($A213="N/A"," ",AJ213*$AS213)</f>
        <v> </v>
      </c>
      <c r="CD213" s="309" t="str">
        <f aca="false">IF($A213="N/A"," ",AK213*$AT213)</f>
        <v> </v>
      </c>
      <c r="CE213" s="309" t="str">
        <f aca="false">IF($A213="N/A"," ",AL213*$AU213)</f>
        <v> </v>
      </c>
      <c r="CF213" s="309" t="str">
        <f aca="false">IF($A213="N/A"," ",AM213*$AV213)</f>
        <v> </v>
      </c>
      <c r="CG213" s="309" t="str">
        <f aca="false">IF($A213="N/A"," ",AN213*$AW213)</f>
        <v> </v>
      </c>
      <c r="CH213" s="309" t="str">
        <f aca="false">IF($A213="N/A"," ",AO213*$AX213)</f>
        <v> </v>
      </c>
      <c r="CI213" s="309" t="str">
        <f aca="false">IF($A213="N/A"," ",AP213*$AY213)</f>
        <v> </v>
      </c>
      <c r="CJ213" s="309" t="str">
        <f aca="false">IF($A213="N/A"," ",AQ213*$AZ213)</f>
        <v> </v>
      </c>
      <c r="CK213" s="310" t="str">
        <f aca="false">IF($A213="N/A"," ",AR213*$BA213)</f>
        <v> </v>
      </c>
      <c r="CL213" s="311" t="str">
        <f aca="false">IF(A213="N/A"," ",(VLOOKUP(A213,PowerVolTable,(IF(VolBMO=2,7,IF(VolBMO=1,6,8))),FALSE())))</f>
        <v> </v>
      </c>
      <c r="CM213" s="312" t="str">
        <f aca="false">IF(A213="N/A"," ",(VLOOKUP(A213,IntraPowerVol,(IF(VolBMO=2,3,IF(VolBMO=1,2,4))),FALSE())*VLOOKUP(MONTH($A213),Volscale,2)))</f>
        <v> </v>
      </c>
      <c r="CN213" s="312" t="str">
        <f aca="false">IF($A213="N/A"," ",IF(VolType=1,CM213,CL213))</f>
        <v> </v>
      </c>
      <c r="CO213" s="312" t="str">
        <f aca="false">IF($A213="N/A"," ",(VLOOKUP($A213,OffPeakVol,(IF(VolBMO=2,7,IF(VolBMO=1,6,8))),FALSE())))</f>
        <v> </v>
      </c>
      <c r="CP213" s="312" t="str">
        <f aca="false">IF($A213="N/A"," ",(VLOOKUP($A213,OffPeakVol,(IF(VolBMO=2,3,IF(VolBMO=1,2,4))),FALSE())*VLOOKUP(MONTH($A213),Volscale,2)))</f>
        <v> </v>
      </c>
      <c r="CQ213" s="312" t="str">
        <f aca="false">IF($A213="N/A"," ",IF(VolType=1,CP213,CO213))</f>
        <v> </v>
      </c>
      <c r="CR213" s="312" t="str">
        <f aca="false">IF($A213="N/A"," ",(VLOOKUP($A213,GasVolTable,(IF(VolBMO=2,6,IF(VolBMO=1,7,5))),FALSE())))</f>
        <v> </v>
      </c>
      <c r="CS213" s="312" t="str">
        <f aca="false">IF($A213="N/A"," ",(VLOOKUP($A213,OmicronVol,(IF(VolBMO=2,3,IF(VolBMO=1,4,2))),FALSE())))</f>
        <v> </v>
      </c>
      <c r="CT213" s="312" t="str">
        <f aca="false">IF($A213="N/A"," ",(IF(DateToday&gt;$A213,$CS213,IF(VolType=1,((($CR213^2)*((($A213-1)-DateToday)/((EOMONTH($A213,0)+1)-DateToday-15)))+((($CS213)^2)*((15)/((EOMONTH($A213,0)+1)-DateToday-15))))^0.5,CR213))))</f>
        <v> </v>
      </c>
      <c r="CU213" s="312" t="str">
        <f aca="false">IF($A213="N/A"," ",IF('Pricing Inputs'!$AR$23=TRUE(),Inputs!$S$22,VLOOKUP($A213,CorrelationTable,2,FALSE())))</f>
        <v> </v>
      </c>
      <c r="CV213" s="313" t="str">
        <f aca="false">IF($A213="N/A"," ",F213+G213+(D213*('Pricing Inputs'!X248)))</f>
        <v> </v>
      </c>
      <c r="CW213" s="314" t="str">
        <f aca="false">IF($A213="N/A"," ",IF(PV=1,0,'Pricing Inputs'!Y248))</f>
        <v> </v>
      </c>
      <c r="CX213" s="315" t="str">
        <f aca="false">IF($A213="N/A"," ",(1+CW213/2)^(-2*((EOMONTH(A213,0)+20)-DateToday)/365.25))</f>
        <v> </v>
      </c>
      <c r="CY213" s="316" t="str">
        <f aca="false">IF($A213="N/A"," ",(IF(MONTH(A213)&gt;=4,IF(MONTH(A213)&lt;=10,Inputs!$S$26,Inputs!$S$27),Inputs!$S$27))*$CX213)</f>
        <v> </v>
      </c>
      <c r="CZ213" s="317" t="str">
        <f aca="false">IF($A213="N/A"," ",BK213+BL213+BN213+BO213+BQ213+BR213)</f>
        <v> </v>
      </c>
      <c r="DA213" s="318" t="str">
        <f aca="false">IF($A213="N/A"," ",BM213+BP213+BS213)</f>
        <v> </v>
      </c>
      <c r="DB213" s="319" t="str">
        <f aca="false">IF($A213="N/A"," ",BT213+BU213+BW213+BX213+BZ213+CA213)</f>
        <v> </v>
      </c>
      <c r="DC213" s="319" t="str">
        <f aca="false">IF($A213="N/A"," ",BV213+BY213+CB213)</f>
        <v> </v>
      </c>
      <c r="DD213" s="320" t="str">
        <f aca="false">IF($A213="N/A"," ",SUM(CC213:CK213))</f>
        <v> </v>
      </c>
      <c r="DE213" s="321" t="str">
        <f aca="false">IF($A213="N/A"," ",VLOOKUP($A213,NumberofDaysTable,2)*Availability)</f>
        <v> </v>
      </c>
      <c r="DF213" s="94" t="str">
        <f aca="false">IF($A213="N/A"," ",VLOOKUP($A213,NumberofDaysTable,3)*Availability)</f>
        <v> </v>
      </c>
      <c r="DG213" s="322" t="str">
        <f aca="false">IF($A213="N/A"," ",VLOOKUP($A213,NumberofDaysTable,4)*Availability)</f>
        <v> </v>
      </c>
      <c r="DH213" s="323" t="str">
        <f aca="false">IF($A213="N/A"," ",IF(Option=1,$D213*Inputs!$S$15*SUM(AS213:BA213),0))</f>
        <v> </v>
      </c>
      <c r="DI213" s="324" t="str">
        <f aca="false">IF($A213="N/A"," ",IF(Option=1,$D213*Inputs!$S$16*SUM(AS213:BA213),0))</f>
        <v> </v>
      </c>
      <c r="DJ213" s="325" t="str">
        <f aca="false">IF($A213="N/A"," ",SUM(AS213:AT213))</f>
        <v> </v>
      </c>
      <c r="DK213" s="325" t="str">
        <f aca="false">IF($A213="N/A"," ",SUM(AU213:BA213))</f>
        <v> </v>
      </c>
      <c r="DL213" s="325" t="str">
        <f aca="false">IF($A213="N/A"," ",SUM(BB213:BC213))</f>
        <v> </v>
      </c>
      <c r="DM213" s="325" t="str">
        <f aca="false">IF($A213="N/A"," ",SUM(BD213:BJ213))</f>
        <v> </v>
      </c>
    </row>
    <row r="214" customFormat="false" ht="12.75" hidden="false" customHeight="false" outlineLevel="0" collapsed="false">
      <c r="A214" s="282" t="str">
        <f aca="false">IF(A213="N/A","N/A",IF(EDATE(A213,1)&gt;Inputs!$S$5,"N/A",EDATE(A213,1)))</f>
        <v>N/A</v>
      </c>
      <c r="B214" s="283" t="str">
        <f aca="false">IF(A214="N/A"," ",YEAR(A214))</f>
        <v> </v>
      </c>
      <c r="C214" s="284" t="str">
        <f aca="false">IF(A214="N/A"," ",VLOOKUP(A214,ScaledPrice,14))</f>
        <v> </v>
      </c>
      <c r="D214" s="285" t="str">
        <f aca="false">IF(A214="N/A"," ",(VLOOKUP(MONTH($A214),Hrtable,2))/1000)</f>
        <v> </v>
      </c>
      <c r="E214" s="286" t="str">
        <f aca="false">IF($A214="N/A"," ",(C214)*D214)</f>
        <v> </v>
      </c>
      <c r="F214" s="287" t="str">
        <f aca="false">IF(A214="N/A"," ",VOM*(1+VOMesc)^(YEAR(A214)-YEAR(Today)))</f>
        <v> </v>
      </c>
      <c r="G214" s="287" t="str">
        <f aca="false">IF(A214="N/A"," ",Perstart/VLOOKUP(Dayrun,'Pricing Inputs'!$AQ$4:$AS$14,3)/(CY214/CX214))</f>
        <v> </v>
      </c>
      <c r="H214" s="288" t="str">
        <f aca="false">IF(A214="N/A"," ",SUM(E214:G214))</f>
        <v> </v>
      </c>
      <c r="I214" s="289" t="str">
        <f aca="false">VLOOKUP($A214,ScaledPrice,6)</f>
        <v> </v>
      </c>
      <c r="J214" s="290" t="str">
        <f aca="false">VLOOKUP($A214,ScaledPrice,10)</f>
        <v> </v>
      </c>
      <c r="K214" s="290" t="str">
        <f aca="false">VLOOKUP($A214,ScaledPrice,13)</f>
        <v> </v>
      </c>
      <c r="L214" s="290" t="str">
        <f aca="false">VLOOKUP($A214,ScaledPrice,7)</f>
        <v> </v>
      </c>
      <c r="M214" s="290" t="str">
        <f aca="false">VLOOKUP($A214,ScaledPrice,11)</f>
        <v> </v>
      </c>
      <c r="N214" s="290" t="str">
        <f aca="false">VLOOKUP($A214,ScaledPrice,13)</f>
        <v> </v>
      </c>
      <c r="O214" s="290" t="str">
        <f aca="false">VLOOKUP($A214,ScaledPrice,8)</f>
        <v> </v>
      </c>
      <c r="P214" s="290" t="str">
        <f aca="false">VLOOKUP($A214,ScaledPrice,12)</f>
        <v> </v>
      </c>
      <c r="Q214" s="291" t="str">
        <f aca="false">VLOOKUP($A214,ScaledPrice,13)</f>
        <v> </v>
      </c>
      <c r="R214" s="292" t="str">
        <f aca="false">IF($A214="N/A"," ",IF(Dayrun&gt;=3,IF(Option=1,MAX($I214-$H214,0),IF(Option=2,MAX($H214-$I214,0),0)),0))</f>
        <v> </v>
      </c>
      <c r="S214" s="286" t="str">
        <f aca="false">IF($A214="N/A"," ",IF(Dayrun&gt;=6,IF(Option=1,MAX($J214-H214,0),IF(Option=2,MAX(H214-$J214,0),0)),0))</f>
        <v> </v>
      </c>
      <c r="T214" s="286" t="str">
        <f aca="false">IF($A214="N/A"," ",IF(OR(Dayrun&lt;=2,Dayrun&gt;=9),IF(Option=1,MAX($K214-$H214,0),IF(Option=2,MAX($H214-$K214,0),0)),0))</f>
        <v> </v>
      </c>
      <c r="U214" s="286" t="str">
        <f aca="false">IF($A214="N/A"," ",IF(OR(Dayrun=1,Dayrun=4,Dayrun=5,Dayrun=7,Dayrun=8,Dayrun=10,Dayrun=11),IF(Option=1,MAX($L214-H214,0),IF(Option=2,MAX(H214-$L214,0),0)),0))</f>
        <v> </v>
      </c>
      <c r="V214" s="286" t="str">
        <f aca="false">IF($A214="N/A"," ",IF(OR(Dayrun=1,Dayrun=7,Dayrun=8,Dayrun=10,Dayrun=11),IF(Option=1,MAX($M214-H214,0),IF(Option=2,MAX(H214-$M214,0),0)),0))</f>
        <v> </v>
      </c>
      <c r="W214" s="286" t="str">
        <f aca="false">IF($A214="N/A"," ",IF(OR(Dayrun&lt;=2,Dayrun&gt;=10),IF(Option=1,MAX($N214-$H214,0),IF(Option=2,MAX($H214-$N214,0),0)),0))</f>
        <v> </v>
      </c>
      <c r="X214" s="286" t="str">
        <f aca="false">IF($A214="N/A"," ",IF(OR(Dayrun=1,Dayrun=5,Dayrun=8,Dayrun=11),IF(Option=1,MAX($O214-H214,0),IF(Option=2,MAX(H214-$O214,0),0)),0))</f>
        <v> </v>
      </c>
      <c r="Y214" s="286" t="str">
        <f aca="false">IF($A214="N/A"," ",IF(OR(Dayrun=1,Dayrun=8,Dayrun=11),IF(Option=1,MAX($P214-H214,0),IF(Option=2,MAX(H214-$P214,0),0)),0))</f>
        <v> </v>
      </c>
      <c r="Z214" s="293" t="str">
        <f aca="false">IF($A214="N/A"," ",IF(OR(Dayrun&lt;=2,Dayrun&gt;=11),IF(Option=1,MAX($Q214-$H214,0),IF(Option=2,MAX($H214-$Q214,0),0)),0))</f>
        <v> </v>
      </c>
      <c r="AA214" s="289" t="str">
        <f aca="false">IF($A214="N/A"," ",IF(Dayrun&gt;=3,(MAX(0,(xSPRDOPT(I214,($E214-'Pricing Inputs'!$X249*$D214),$CV214,0,($CN214+IF(Smile=TRUE(),VLOOKUP(MAX(-5,$H214-I214),Volsmile,2),0)),$CT214,$CU214,($A214-DateToday)+15,ABS(Option-2),0)-R214))),0))</f>
        <v> </v>
      </c>
      <c r="AB214" s="290" t="str">
        <f aca="false">IF($A214="N/A"," ",IF(Dayrun&gt;=6,MAX(0,(xSPRDOPT(J214,($E214-'Pricing Inputs'!$X249*$D214),$CV214,0,($CN214+IF(Smile=TRUE(),VLOOKUP(MAX(-5,$H214-J214),Volsmile,2),0)),$CT214,$CU214,($A214-DateToday)+15,ABS(Option-2),0)-S214)),0))</f>
        <v> </v>
      </c>
      <c r="AC214" s="290" t="str">
        <f aca="false">IF($A214="N/A"," ",IF(OR(Dayrun&lt;=2,Dayrun&gt;=9),IF(OffPeakEx=TRUE(),MAX(0,(xSPRDOPT(K214,($E214-'Pricing Inputs'!$X249*$D214),$CV214,0,($CQ214+IF(Smile=TRUE(),VLOOKUP(MAX(-5,$H214-K214),Volsmile,2),0)),$CT214,$CU214,($A214-DateToday)+15,ABS(Option-2),0)-T214)),0),0))</f>
        <v> </v>
      </c>
      <c r="AD214" s="290" t="str">
        <f aca="false">IF($A214="N/A"," ",IF(OR(Dayrun=1,Dayrun=4,Dayrun=5,Dayrun=7,Dayrun=8,Dayrun=10,Dayrun=11),MAX(0,(xSPRDOPT(L214,($E214-'Pricing Inputs'!$X249*$D214),$CV214,0,($CQ214+IF(Smile=TRUE(),VLOOKUP(MAX(-5,$H214-L214),Volsmile,2),0)),$CT214,$CU214,($A214-DateToday)+15,ABS(Option-2),0)-U214)),0))</f>
        <v> </v>
      </c>
      <c r="AE214" s="290" t="str">
        <f aca="false">IF($A214="N/A"," ",IF(OR(Dayrun=1,Dayrun=7,Dayrun=8,Dayrun=10,Dayrun=11),MAX(0,(xSPRDOPT(M214,($E214-'Pricing Inputs'!$X249*$D214),$CV214,0,($CQ214+IF(Smile=TRUE(),VLOOKUP(MAX(-5,$H214-M214),Volsmile,2),0)),$CT214,$CU214,($A214-DateToday)+15,ABS(Option-2),0)-V214)),0))</f>
        <v> </v>
      </c>
      <c r="AF214" s="290" t="str">
        <f aca="false">IF($A214="N/A"," ",IF(OR(Dayrun&lt;=2,Dayrun&gt;=10),IF(OffPeakEx=TRUE(),MAX(0,(xSPRDOPT(N214,($E214-'Pricing Inputs'!$X249*$D214),$CV214,0,($CQ214+IF(Smile=TRUE(),VLOOKUP(MAX(-5,$H214-N214),Volsmile,2),0)),$CT214,$CU214,($A214-DateToday)+15,ABS(Option-2),0)-W214)),0),0))</f>
        <v> </v>
      </c>
      <c r="AG214" s="290" t="str">
        <f aca="false">IF($A214="N/A"," ",IF(OR(Dayrun=1,Dayrun=5,Dayrun=8,Dayrun=11),MAX(0,(xSPRDOPT(O214,($E214-'Pricing Inputs'!$X249*$D214),$CV214,0,($CQ214+IF(Smile=TRUE(),VLOOKUP(MAX(-5,$H214-O214),Volsmile,2),0)),$CT214,$CU214,($A214-DateToday)+15,ABS(Option-2),0)-X214)),0))</f>
        <v> </v>
      </c>
      <c r="AH214" s="290" t="str">
        <f aca="false">IF($A214="N/A"," ",IF(OR(Dayrun=1,Dayrun=8,Dayrun=11),MAX(0,(xSPRDOPT(P214,($E214-'Pricing Inputs'!$X249*$D214),$CV214,0,($CQ214+IF(Smile=TRUE(),VLOOKUP(MAX(-5,$H214-P214),Volsmile,2),0)),$CT214,$CU214,($A214-DateToday)+15,ABS(Option-2),0)-Y214)),0))</f>
        <v> </v>
      </c>
      <c r="AI214" s="290" t="str">
        <f aca="false">IF($A214="N/A"," ",IF(OR(Dayrun&lt;=2,Dayrun&gt;=11),IF(OffPeakEx=TRUE(),MAX(0,(xSPRDOPT(Q214,($E214-'Pricing Inputs'!$X249*$D214),$CV214,0,($CQ214+IF(Smile=TRUE(),VLOOKUP(MAX(-5,$H214-Q214),Volsmile,2),0)),$CT214,$CU214,($A214-DateToday)+15,ABS(Option-2),0)-Z214)),0),0))</f>
        <v> </v>
      </c>
      <c r="AJ214" s="294" t="str">
        <f aca="false">IF($A214="N/A"," ",IF(Dayrun&gt;=3,IF(Option=1,$I214-$H214,IF(Option=2,$H214-$I214)),0))</f>
        <v> </v>
      </c>
      <c r="AK214" s="295" t="str">
        <f aca="false">IF($A214="N/A"," ",IF(Dayrun&gt;=6,IF(Option=1,$J214-H214,IF(Option=2,H214-$J214)),0))</f>
        <v> </v>
      </c>
      <c r="AL214" s="295" t="str">
        <f aca="false">IF($A214="N/A"," ",IF(OR(Dayrun&lt;=2,Dayrun&gt;=9),IF(Option=1,$K214-$H214,IF(Option=2,$H214-$K214)),0))</f>
        <v> </v>
      </c>
      <c r="AM214" s="295" t="str">
        <f aca="false">IF($A214="N/A"," ",IF(OR(Dayrun=1,Dayrun=4,Dayrun=5,Dayrun=7,Dayrun=8,Dayrun=10,Dayrun=11),IF(Option=1,$L214-H214,IF(Option=2,H214-$L214)),0))</f>
        <v> </v>
      </c>
      <c r="AN214" s="295" t="str">
        <f aca="false">IF($A214="N/A"," ",IF(OR(Dayrun=1,Dayrun=7,Dayrun=8,Dayrun=10,Dayrun=11),IF(Option=1,$M214-H214,IF(Option=2,H214-$M214)),0))</f>
        <v> </v>
      </c>
      <c r="AO214" s="295" t="str">
        <f aca="false">IF($A214="N/A"," ",IF(OR(Dayrun&lt;=2,Dayrun&gt;=9),IF(Option=1,$N214-$H214,IF(Option=2,$H214-$N214)),0))</f>
        <v> </v>
      </c>
      <c r="AP214" s="295" t="str">
        <f aca="false">IF($A214="N/A"," ",IF(OR(Dayrun=1,Dayrun=5,Dayrun=8,Dayrun=11),IF(Option=1,$O214-H214,IF(Option=2,H214-$O214)),0))</f>
        <v> </v>
      </c>
      <c r="AQ214" s="295" t="str">
        <f aca="false">IF($A214="N/A"," ",IF(OR(Dayrun=1,Dayrun=8,Dayrun=11),IF(Option=1,$P214-H214,IF(Option=2,H214-$P214)),0))</f>
        <v> </v>
      </c>
      <c r="AR214" s="296" t="str">
        <f aca="false">IF($A214="N/A"," ",IF(OR(Dayrun&lt;=2,Dayrun&gt;=9),IF(Option=1,$Q214-H214,IF(Option=2,H214-$Q214)),0))</f>
        <v> </v>
      </c>
      <c r="AS214" s="297" t="str">
        <f aca="false">IF($A214="N/A"," ",IF(VLOOKUP(MONTH($A214),ManualTable,2)=1,IF(Dayrun&gt;=3,$DE214*8*$CY214,0),0))</f>
        <v> </v>
      </c>
      <c r="AT214" s="297" t="str">
        <f aca="false">IF($A214="N/A"," ",IF(VLOOKUP(MONTH($A214),ManualTable,3)=1,IF(Dayrun&gt;=6,$DE214*8*$CY214,0),0))</f>
        <v> </v>
      </c>
      <c r="AU214" s="297" t="str">
        <f aca="false">IF($A214="N/A"," ",IF(VLOOKUP(MONTH($A214),ManualTable,4)=1,IF(OR(Dayrun&lt;=2,Dayrun&gt;=9),$DE214*8*$CY214,0),0))</f>
        <v> </v>
      </c>
      <c r="AV214" s="297" t="str">
        <f aca="false">IF($A214="N/A"," ",IF(VLOOKUP(MONTH($A214),ManualTable,5)=1,IF(OR(Dayrun=1,Dayrun=4,Dayrun=5,Dayrun=7,Dayrun=8,Dayrun=10,Dayrun=11),$DF214*8*$CY214,0),0))</f>
        <v> </v>
      </c>
      <c r="AW214" s="297" t="str">
        <f aca="false">IF($A214="N/A"," ",IF(VLOOKUP(MONTH($A214),ManualTable,6)=1,IF(OR(Dayrun=1,Dayrun=7,Dayrun=8,Dayrun=10,Dayrun=11),$DF214*8*$CY214,0),0))</f>
        <v> </v>
      </c>
      <c r="AX214" s="297" t="str">
        <f aca="false">IF($A214="N/A"," ",IF(VLOOKUP(MONTH($A214),ManualTable,7)=1,IF(OR(Dayrun&lt;=2,Dayrun&gt;=9),$DF214*8*$CY214,0),0))</f>
        <v> </v>
      </c>
      <c r="AY214" s="297" t="str">
        <f aca="false">IF($A214="N/A"," ",IF(VLOOKUP(MONTH($A214),ManualTable,8)=1,IF(OR(Dayrun=1,Dayrun=5,Dayrun=8,Dayrun=11),$DG214*8*$CY214,0),0))</f>
        <v> </v>
      </c>
      <c r="AZ214" s="297" t="str">
        <f aca="false">IF($A214="N/A"," ",IF(VLOOKUP(MONTH($A214),ManualTable,9)=1,IF(OR(Dayrun=1,Dayrun=8,Dayrun=11),$DG214*8*$CY214,0),0))</f>
        <v> </v>
      </c>
      <c r="BA214" s="298" t="str">
        <f aca="false">IF($A214="N/A"," ",IF(VLOOKUP(MONTH($A214),ManualTable,10)=1,IF(OR(Dayrun&lt;=2,Dayrun&gt;=9),$DG214*8*$CY214,0),0))</f>
        <v> </v>
      </c>
      <c r="BB214" s="299" t="str">
        <f aca="false">IF($A214="N/A"," ",IF(Dayrun&gt;=3,(MAX(0,(xSPRDOPT(I214,($E214-'Pricing Inputs'!$X249*$D214),$CV214,0,($CN214+IF(Smile=TRUE(),VLOOKUP(MAX(-5,$H214-I214),Volsmile,2),0)),$CT214,$CU214,($A214-DateToday)+15,ABS(Option-2),1)*DE214*8))),0))</f>
        <v> </v>
      </c>
      <c r="BC214" s="300" t="str">
        <f aca="false">IF($A214="N/A"," ",IF(Dayrun&gt;=6,MAX(0,(xSPRDOPT(J214,($E214-'Pricing Inputs'!$X249*$D214),$CV214,0,($CN214+IF(Smile=TRUE(),VLOOKUP(MAX(-5,$H214-J214),Volsmile,2),0)),$CT214,$CU214,($A214-DateToday)+15,ABS(Option-2),1)*DE214*8)),0))</f>
        <v> </v>
      </c>
      <c r="BD214" s="300" t="str">
        <f aca="false">IF($A214="N/A"," ",IF(OR(Dayrun&lt;=2,Dayrun&gt;=9),IF(OffPeakEx=TRUE(),MAX(0,(xSPRDOPT(K214,($E214-'Pricing Inputs'!$X249*$D214),$CV214,0,($CQ214+IF(Smile=TRUE(),VLOOKUP(MAX(-5,$H214-K214),Volsmile,2),0)),$CT214,$CU214,($A214-DateToday)+15,ABS(Option-2),1)*DE214*8)),0),0))</f>
        <v> </v>
      </c>
      <c r="BE214" s="300" t="str">
        <f aca="false">IF($A214="N/A"," ",IF(OR(Dayrun=1,Dayrun=4,Dayrun=5,Dayrun=7,Dayrun=8,Dayrun=10,Dayrun=11),MAX(0,(xSPRDOPT(L214,($E214-'Pricing Inputs'!$X249*$D214),$CV214,0,($CQ214+IF(Smile=TRUE(),VLOOKUP(MAX(-5,$H214-L214),Volsmile,2),0)),$CT214,$CU214,($A214-DateToday)+15,ABS(Option-2),1)*DF214*8)),0))</f>
        <v> </v>
      </c>
      <c r="BF214" s="300" t="str">
        <f aca="false">IF($A214="N/A"," ",IF(OR(Dayrun=1,Dayrun=7,Dayrun=8,Dayrun=10,Dayrun=11),MAX(0,(xSPRDOPT(M214,($E214-'Pricing Inputs'!$X249*$D214),$CV214,0,($CQ214+IF(Smile=TRUE(),VLOOKUP(MAX(-5,$H214-M214),Volsmile,2),0)),$CT214,$CU214,($A214-DateToday)+15,ABS(Option-2),1)*DF214*8)),0))</f>
        <v> </v>
      </c>
      <c r="BG214" s="300" t="str">
        <f aca="false">IF($A214="N/A"," ",IF(OR(Dayrun&lt;=2,Dayrun&gt;=10),IF(OffPeakEx=TRUE(),MAX(0,(xSPRDOPT(N214,($E214-'Pricing Inputs'!$X249*$D214),$CV214,0,($CQ214+IF(Smile=TRUE(),VLOOKUP(MAX(-5,$H214-N214),Volsmile,2),0)),$CT214,$CU214,($A214-DateToday)+15,ABS(Option-2),1)*DF214*8)),0),0))</f>
        <v> </v>
      </c>
      <c r="BH214" s="300" t="str">
        <f aca="false">IF($A214="N/A"," ",IF(OR(Dayrun=1,Dayrun=5,Dayrun=8,Dayrun=11),MAX(0,(xSPRDOPT(O214,($E214-'Pricing Inputs'!$X249*$D214),$CV214,0,($CQ214+IF(Smile=TRUE(),VLOOKUP(MAX(-5,$H214-O214),Volsmile,2),0)),$CT214,$CU214,($A214-DateToday)+15,ABS(Option-2),1)*DG214*8)),0))</f>
        <v> </v>
      </c>
      <c r="BI214" s="300" t="str">
        <f aca="false">IF($A214="N/A"," ",IF(OR(Dayrun=1,Dayrun=8,Dayrun=11),MAX(0,(xSPRDOPT(P214,($E214-'Pricing Inputs'!$X249*$D214),$CV214,0,($CQ214+IF(Smile=TRUE(),VLOOKUP(MAX(-5,$H214-P214),Volsmile,2),0)),$CT214,$CU214,($A214-DateToday)+15,ABS(Option-2),1)*DG214*8)),0))</f>
        <v> </v>
      </c>
      <c r="BJ214" s="301" t="str">
        <f aca="false">IF($A214="N/A"," ",IF(OR(Dayrun&lt;=2,Dayrun&gt;=11),IF(OffPeakEx=TRUE(),MAX(0,(xSPRDOPT(Q214,($E214-'Pricing Inputs'!$X249*$D214),$CV214,0,($CQ214+IF(Smile=TRUE(),VLOOKUP(MAX(-5,$H214-Q214),Volsmile,2),0)),$CT214,$CU214,($A214-DateToday)+15,ABS(Option-2),1)*DG214*8)),0),0))</f>
        <v> </v>
      </c>
      <c r="BK214" s="302" t="str">
        <f aca="false">IF($A214="N/A"," ",R214*$AS214)</f>
        <v> </v>
      </c>
      <c r="BL214" s="303" t="str">
        <f aca="false">IF($A214="N/A"," ",S214*$AT214)</f>
        <v> </v>
      </c>
      <c r="BM214" s="303" t="str">
        <f aca="false">IF($A214="N/A"," ",T214*$AU214)</f>
        <v> </v>
      </c>
      <c r="BN214" s="303" t="str">
        <f aca="false">IF($A214="N/A"," ",U214*$AV214)</f>
        <v> </v>
      </c>
      <c r="BO214" s="303" t="str">
        <f aca="false">IF($A214="N/A"," ",V214*$AW214)</f>
        <v> </v>
      </c>
      <c r="BP214" s="303" t="str">
        <f aca="false">IF($A214="N/A"," ",W214*$AX214)</f>
        <v> </v>
      </c>
      <c r="BQ214" s="303" t="str">
        <f aca="false">IF($A214="N/A"," ",X214*$AY214)</f>
        <v> </v>
      </c>
      <c r="BR214" s="303" t="str">
        <f aca="false">IF($A214="N/A"," ",Y214*$AZ214)</f>
        <v> </v>
      </c>
      <c r="BS214" s="304" t="str">
        <f aca="false">IF($A214="N/A"," ",Z214*$BA214)</f>
        <v> </v>
      </c>
      <c r="BT214" s="305" t="str">
        <f aca="false">IF($A214="N/A"," ",AA214*$AS214)</f>
        <v> </v>
      </c>
      <c r="BU214" s="306" t="str">
        <f aca="false">IF($A214="N/A"," ",AB214*$AT214)</f>
        <v> </v>
      </c>
      <c r="BV214" s="306" t="str">
        <f aca="false">IF($A214="N/A"," ",AC214*$AU214)</f>
        <v> </v>
      </c>
      <c r="BW214" s="306" t="str">
        <f aca="false">IF($A214="N/A"," ",AD214*$AV214)</f>
        <v> </v>
      </c>
      <c r="BX214" s="306" t="str">
        <f aca="false">IF($A214="N/A"," ",AE214*$AW214)</f>
        <v> </v>
      </c>
      <c r="BY214" s="306" t="str">
        <f aca="false">IF($A214="N/A"," ",AF214*$AX214)</f>
        <v> </v>
      </c>
      <c r="BZ214" s="306" t="str">
        <f aca="false">IF($A214="N/A"," ",AG214*$AY214)</f>
        <v> </v>
      </c>
      <c r="CA214" s="306" t="str">
        <f aca="false">IF($A214="N/A"," ",AH214*$AZ214)</f>
        <v> </v>
      </c>
      <c r="CB214" s="307" t="str">
        <f aca="false">IF($A214="N/A"," ",AI214*$BA214)</f>
        <v> </v>
      </c>
      <c r="CC214" s="308" t="str">
        <f aca="false">IF($A214="N/A"," ",AJ214*$AS214)</f>
        <v> </v>
      </c>
      <c r="CD214" s="309" t="str">
        <f aca="false">IF($A214="N/A"," ",AK214*$AT214)</f>
        <v> </v>
      </c>
      <c r="CE214" s="309" t="str">
        <f aca="false">IF($A214="N/A"," ",AL214*$AU214)</f>
        <v> </v>
      </c>
      <c r="CF214" s="309" t="str">
        <f aca="false">IF($A214="N/A"," ",AM214*$AV214)</f>
        <v> </v>
      </c>
      <c r="CG214" s="309" t="str">
        <f aca="false">IF($A214="N/A"," ",AN214*$AW214)</f>
        <v> </v>
      </c>
      <c r="CH214" s="309" t="str">
        <f aca="false">IF($A214="N/A"," ",AO214*$AX214)</f>
        <v> </v>
      </c>
      <c r="CI214" s="309" t="str">
        <f aca="false">IF($A214="N/A"," ",AP214*$AY214)</f>
        <v> </v>
      </c>
      <c r="CJ214" s="309" t="str">
        <f aca="false">IF($A214="N/A"," ",AQ214*$AZ214)</f>
        <v> </v>
      </c>
      <c r="CK214" s="310" t="str">
        <f aca="false">IF($A214="N/A"," ",AR214*$BA214)</f>
        <v> </v>
      </c>
      <c r="CL214" s="311" t="str">
        <f aca="false">IF(A214="N/A"," ",(VLOOKUP(A214,PowerVolTable,(IF(VolBMO=2,7,IF(VolBMO=1,6,8))),FALSE())))</f>
        <v> </v>
      </c>
      <c r="CM214" s="312" t="str">
        <f aca="false">IF(A214="N/A"," ",(VLOOKUP(A214,IntraPowerVol,(IF(VolBMO=2,3,IF(VolBMO=1,2,4))),FALSE())*VLOOKUP(MONTH($A214),Volscale,2)))</f>
        <v> </v>
      </c>
      <c r="CN214" s="312" t="str">
        <f aca="false">IF($A214="N/A"," ",IF(VolType=1,CM214,CL214))</f>
        <v> </v>
      </c>
      <c r="CO214" s="312" t="str">
        <f aca="false">IF($A214="N/A"," ",(VLOOKUP($A214,OffPeakVol,(IF(VolBMO=2,7,IF(VolBMO=1,6,8))),FALSE())))</f>
        <v> </v>
      </c>
      <c r="CP214" s="312" t="str">
        <f aca="false">IF($A214="N/A"," ",(VLOOKUP($A214,OffPeakVol,(IF(VolBMO=2,3,IF(VolBMO=1,2,4))),FALSE())*VLOOKUP(MONTH($A214),Volscale,2)))</f>
        <v> </v>
      </c>
      <c r="CQ214" s="312" t="str">
        <f aca="false">IF($A214="N/A"," ",IF(VolType=1,CP214,CO214))</f>
        <v> </v>
      </c>
      <c r="CR214" s="312" t="str">
        <f aca="false">IF($A214="N/A"," ",(VLOOKUP($A214,GasVolTable,(IF(VolBMO=2,6,IF(VolBMO=1,7,5))),FALSE())))</f>
        <v> </v>
      </c>
      <c r="CS214" s="312" t="str">
        <f aca="false">IF($A214="N/A"," ",(VLOOKUP($A214,OmicronVol,(IF(VolBMO=2,3,IF(VolBMO=1,4,2))),FALSE())))</f>
        <v> </v>
      </c>
      <c r="CT214" s="312" t="str">
        <f aca="false">IF($A214="N/A"," ",(IF(DateToday&gt;$A214,$CS214,IF(VolType=1,((($CR214^2)*((($A214-1)-DateToday)/((EOMONTH($A214,0)+1)-DateToday-15)))+((($CS214)^2)*((15)/((EOMONTH($A214,0)+1)-DateToday-15))))^0.5,CR214))))</f>
        <v> </v>
      </c>
      <c r="CU214" s="312" t="str">
        <f aca="false">IF($A214="N/A"," ",IF('Pricing Inputs'!$AR$23=TRUE(),Inputs!$S$22,VLOOKUP($A214,CorrelationTable,2,FALSE())))</f>
        <v> </v>
      </c>
      <c r="CV214" s="313" t="str">
        <f aca="false">IF($A214="N/A"," ",F214+G214+(D214*('Pricing Inputs'!X249)))</f>
        <v> </v>
      </c>
      <c r="CW214" s="314" t="str">
        <f aca="false">IF($A214="N/A"," ",IF(PV=1,0,'Pricing Inputs'!Y249))</f>
        <v> </v>
      </c>
      <c r="CX214" s="315" t="str">
        <f aca="false">IF($A214="N/A"," ",(1+CW214/2)^(-2*((EOMONTH(A214,0)+20)-DateToday)/365.25))</f>
        <v> </v>
      </c>
      <c r="CY214" s="316" t="str">
        <f aca="false">IF($A214="N/A"," ",(IF(MONTH(A214)&gt;=4,IF(MONTH(A214)&lt;=10,Inputs!$S$26,Inputs!$S$27),Inputs!$S$27))*$CX214)</f>
        <v> </v>
      </c>
      <c r="CZ214" s="317" t="str">
        <f aca="false">IF($A214="N/A"," ",BK214+BL214+BN214+BO214+BQ214+BR214)</f>
        <v> </v>
      </c>
      <c r="DA214" s="318" t="str">
        <f aca="false">IF($A214="N/A"," ",BM214+BP214+BS214)</f>
        <v> </v>
      </c>
      <c r="DB214" s="319" t="str">
        <f aca="false">IF($A214="N/A"," ",BT214+BU214+BW214+BX214+BZ214+CA214)</f>
        <v> </v>
      </c>
      <c r="DC214" s="319" t="str">
        <f aca="false">IF($A214="N/A"," ",BV214+BY214+CB214)</f>
        <v> </v>
      </c>
      <c r="DD214" s="320" t="str">
        <f aca="false">IF($A214="N/A"," ",SUM(CC214:CK214))</f>
        <v> </v>
      </c>
      <c r="DE214" s="321" t="str">
        <f aca="false">IF($A214="N/A"," ",VLOOKUP($A214,NumberofDaysTable,2)*Availability)</f>
        <v> </v>
      </c>
      <c r="DF214" s="94" t="str">
        <f aca="false">IF($A214="N/A"," ",VLOOKUP($A214,NumberofDaysTable,3)*Availability)</f>
        <v> </v>
      </c>
      <c r="DG214" s="322" t="str">
        <f aca="false">IF($A214="N/A"," ",VLOOKUP($A214,NumberofDaysTable,4)*Availability)</f>
        <v> </v>
      </c>
      <c r="DH214" s="323" t="str">
        <f aca="false">IF($A214="N/A"," ",IF(Option=1,$D214*Inputs!$S$15*SUM(AS214:BA214),0))</f>
        <v> </v>
      </c>
      <c r="DI214" s="324" t="str">
        <f aca="false">IF($A214="N/A"," ",IF(Option=1,$D214*Inputs!$S$16*SUM(AS214:BA214),0))</f>
        <v> </v>
      </c>
      <c r="DJ214" s="325" t="str">
        <f aca="false">IF($A214="N/A"," ",SUM(AS214:AT214))</f>
        <v> </v>
      </c>
      <c r="DK214" s="325" t="str">
        <f aca="false">IF($A214="N/A"," ",SUM(AU214:BA214))</f>
        <v> </v>
      </c>
      <c r="DL214" s="325" t="str">
        <f aca="false">IF($A214="N/A"," ",SUM(BB214:BC214))</f>
        <v> </v>
      </c>
      <c r="DM214" s="325" t="str">
        <f aca="false">IF($A214="N/A"," ",SUM(BD214:BJ214))</f>
        <v> </v>
      </c>
    </row>
    <row r="215" customFormat="false" ht="12.75" hidden="false" customHeight="false" outlineLevel="0" collapsed="false">
      <c r="A215" s="282" t="str">
        <f aca="false">IF(A214="N/A","N/A",IF(EDATE(A214,1)&gt;Inputs!$S$5,"N/A",EDATE(A214,1)))</f>
        <v>N/A</v>
      </c>
      <c r="B215" s="283" t="str">
        <f aca="false">IF(A215="N/A"," ",YEAR(A215))</f>
        <v> </v>
      </c>
      <c r="C215" s="284" t="str">
        <f aca="false">IF(A215="N/A"," ",VLOOKUP(A215,ScaledPrice,14))</f>
        <v> </v>
      </c>
      <c r="D215" s="285" t="str">
        <f aca="false">IF(A215="N/A"," ",(VLOOKUP(MONTH($A215),Hrtable,2))/1000)</f>
        <v> </v>
      </c>
      <c r="E215" s="286" t="str">
        <f aca="false">IF($A215="N/A"," ",(C215)*D215)</f>
        <v> </v>
      </c>
      <c r="F215" s="287" t="str">
        <f aca="false">IF(A215="N/A"," ",VOM*(1+VOMesc)^(YEAR(A215)-YEAR(Today)))</f>
        <v> </v>
      </c>
      <c r="G215" s="287" t="str">
        <f aca="false">IF(A215="N/A"," ",Perstart/VLOOKUP(Dayrun,'Pricing Inputs'!$AQ$4:$AS$14,3)/(CY215/CX215))</f>
        <v> </v>
      </c>
      <c r="H215" s="288" t="str">
        <f aca="false">IF(A215="N/A"," ",SUM(E215:G215))</f>
        <v> </v>
      </c>
      <c r="I215" s="289" t="str">
        <f aca="false">VLOOKUP($A215,ScaledPrice,6)</f>
        <v> </v>
      </c>
      <c r="J215" s="290" t="str">
        <f aca="false">VLOOKUP($A215,ScaledPrice,10)</f>
        <v> </v>
      </c>
      <c r="K215" s="290" t="str">
        <f aca="false">VLOOKUP($A215,ScaledPrice,13)</f>
        <v> </v>
      </c>
      <c r="L215" s="290" t="str">
        <f aca="false">VLOOKUP($A215,ScaledPrice,7)</f>
        <v> </v>
      </c>
      <c r="M215" s="290" t="str">
        <f aca="false">VLOOKUP($A215,ScaledPrice,11)</f>
        <v> </v>
      </c>
      <c r="N215" s="290" t="str">
        <f aca="false">VLOOKUP($A215,ScaledPrice,13)</f>
        <v> </v>
      </c>
      <c r="O215" s="290" t="str">
        <f aca="false">VLOOKUP($A215,ScaledPrice,8)</f>
        <v> </v>
      </c>
      <c r="P215" s="290" t="str">
        <f aca="false">VLOOKUP($A215,ScaledPrice,12)</f>
        <v> </v>
      </c>
      <c r="Q215" s="291" t="str">
        <f aca="false">VLOOKUP($A215,ScaledPrice,13)</f>
        <v> </v>
      </c>
      <c r="R215" s="292" t="str">
        <f aca="false">IF($A215="N/A"," ",IF(Dayrun&gt;=3,IF(Option=1,MAX($I215-$H215,0),IF(Option=2,MAX($H215-$I215,0),0)),0))</f>
        <v> </v>
      </c>
      <c r="S215" s="286" t="str">
        <f aca="false">IF($A215="N/A"," ",IF(Dayrun&gt;=6,IF(Option=1,MAX($J215-H215,0),IF(Option=2,MAX(H215-$J215,0),0)),0))</f>
        <v> </v>
      </c>
      <c r="T215" s="286" t="str">
        <f aca="false">IF($A215="N/A"," ",IF(OR(Dayrun&lt;=2,Dayrun&gt;=9),IF(Option=1,MAX($K215-$H215,0),IF(Option=2,MAX($H215-$K215,0),0)),0))</f>
        <v> </v>
      </c>
      <c r="U215" s="286" t="str">
        <f aca="false">IF($A215="N/A"," ",IF(OR(Dayrun=1,Dayrun=4,Dayrun=5,Dayrun=7,Dayrun=8,Dayrun=10,Dayrun=11),IF(Option=1,MAX($L215-H215,0),IF(Option=2,MAX(H215-$L215,0),0)),0))</f>
        <v> </v>
      </c>
      <c r="V215" s="286" t="str">
        <f aca="false">IF($A215="N/A"," ",IF(OR(Dayrun=1,Dayrun=7,Dayrun=8,Dayrun=10,Dayrun=11),IF(Option=1,MAX($M215-H215,0),IF(Option=2,MAX(H215-$M215,0),0)),0))</f>
        <v> </v>
      </c>
      <c r="W215" s="286" t="str">
        <f aca="false">IF($A215="N/A"," ",IF(OR(Dayrun&lt;=2,Dayrun&gt;=10),IF(Option=1,MAX($N215-$H215,0),IF(Option=2,MAX($H215-$N215,0),0)),0))</f>
        <v> </v>
      </c>
      <c r="X215" s="286" t="str">
        <f aca="false">IF($A215="N/A"," ",IF(OR(Dayrun=1,Dayrun=5,Dayrun=8,Dayrun=11),IF(Option=1,MAX($O215-H215,0),IF(Option=2,MAX(H215-$O215,0),0)),0))</f>
        <v> </v>
      </c>
      <c r="Y215" s="286" t="str">
        <f aca="false">IF($A215="N/A"," ",IF(OR(Dayrun=1,Dayrun=8,Dayrun=11),IF(Option=1,MAX($P215-H215,0),IF(Option=2,MAX(H215-$P215,0),0)),0))</f>
        <v> </v>
      </c>
      <c r="Z215" s="293" t="str">
        <f aca="false">IF($A215="N/A"," ",IF(OR(Dayrun&lt;=2,Dayrun&gt;=11),IF(Option=1,MAX($Q215-$H215,0),IF(Option=2,MAX($H215-$Q215,0),0)),0))</f>
        <v> </v>
      </c>
      <c r="AA215" s="289" t="str">
        <f aca="false">IF($A215="N/A"," ",IF(Dayrun&gt;=3,(MAX(0,(xSPRDOPT(I215,($E215-'Pricing Inputs'!$X250*$D215),$CV215,0,($CN215+IF(Smile=TRUE(),VLOOKUP(MAX(-5,$H215-I215),Volsmile,2),0)),$CT215,$CU215,($A215-DateToday)+15,ABS(Option-2),0)-R215))),0))</f>
        <v> </v>
      </c>
      <c r="AB215" s="290" t="str">
        <f aca="false">IF($A215="N/A"," ",IF(Dayrun&gt;=6,MAX(0,(xSPRDOPT(J215,($E215-'Pricing Inputs'!$X250*$D215),$CV215,0,($CN215+IF(Smile=TRUE(),VLOOKUP(MAX(-5,$H215-J215),Volsmile,2),0)),$CT215,$CU215,($A215-DateToday)+15,ABS(Option-2),0)-S215)),0))</f>
        <v> </v>
      </c>
      <c r="AC215" s="290" t="str">
        <f aca="false">IF($A215="N/A"," ",IF(OR(Dayrun&lt;=2,Dayrun&gt;=9),IF(OffPeakEx=TRUE(),MAX(0,(xSPRDOPT(K215,($E215-'Pricing Inputs'!$X250*$D215),$CV215,0,($CQ215+IF(Smile=TRUE(),VLOOKUP(MAX(-5,$H215-K215),Volsmile,2),0)),$CT215,$CU215,($A215-DateToday)+15,ABS(Option-2),0)-T215)),0),0))</f>
        <v> </v>
      </c>
      <c r="AD215" s="290" t="str">
        <f aca="false">IF($A215="N/A"," ",IF(OR(Dayrun=1,Dayrun=4,Dayrun=5,Dayrun=7,Dayrun=8,Dayrun=10,Dayrun=11),MAX(0,(xSPRDOPT(L215,($E215-'Pricing Inputs'!$X250*$D215),$CV215,0,($CQ215+IF(Smile=TRUE(),VLOOKUP(MAX(-5,$H215-L215),Volsmile,2),0)),$CT215,$CU215,($A215-DateToday)+15,ABS(Option-2),0)-U215)),0))</f>
        <v> </v>
      </c>
      <c r="AE215" s="290" t="str">
        <f aca="false">IF($A215="N/A"," ",IF(OR(Dayrun=1,Dayrun=7,Dayrun=8,Dayrun=10,Dayrun=11),MAX(0,(xSPRDOPT(M215,($E215-'Pricing Inputs'!$X250*$D215),$CV215,0,($CQ215+IF(Smile=TRUE(),VLOOKUP(MAX(-5,$H215-M215),Volsmile,2),0)),$CT215,$CU215,($A215-DateToday)+15,ABS(Option-2),0)-V215)),0))</f>
        <v> </v>
      </c>
      <c r="AF215" s="290" t="str">
        <f aca="false">IF($A215="N/A"," ",IF(OR(Dayrun&lt;=2,Dayrun&gt;=10),IF(OffPeakEx=TRUE(),MAX(0,(xSPRDOPT(N215,($E215-'Pricing Inputs'!$X250*$D215),$CV215,0,($CQ215+IF(Smile=TRUE(),VLOOKUP(MAX(-5,$H215-N215),Volsmile,2),0)),$CT215,$CU215,($A215-DateToday)+15,ABS(Option-2),0)-W215)),0),0))</f>
        <v> </v>
      </c>
      <c r="AG215" s="290" t="str">
        <f aca="false">IF($A215="N/A"," ",IF(OR(Dayrun=1,Dayrun=5,Dayrun=8,Dayrun=11),MAX(0,(xSPRDOPT(O215,($E215-'Pricing Inputs'!$X250*$D215),$CV215,0,($CQ215+IF(Smile=TRUE(),VLOOKUP(MAX(-5,$H215-O215),Volsmile,2),0)),$CT215,$CU215,($A215-DateToday)+15,ABS(Option-2),0)-X215)),0))</f>
        <v> </v>
      </c>
      <c r="AH215" s="290" t="str">
        <f aca="false">IF($A215="N/A"," ",IF(OR(Dayrun=1,Dayrun=8,Dayrun=11),MAX(0,(xSPRDOPT(P215,($E215-'Pricing Inputs'!$X250*$D215),$CV215,0,($CQ215+IF(Smile=TRUE(),VLOOKUP(MAX(-5,$H215-P215),Volsmile,2),0)),$CT215,$CU215,($A215-DateToday)+15,ABS(Option-2),0)-Y215)),0))</f>
        <v> </v>
      </c>
      <c r="AI215" s="290" t="str">
        <f aca="false">IF($A215="N/A"," ",IF(OR(Dayrun&lt;=2,Dayrun&gt;=11),IF(OffPeakEx=TRUE(),MAX(0,(xSPRDOPT(Q215,($E215-'Pricing Inputs'!$X250*$D215),$CV215,0,($CQ215+IF(Smile=TRUE(),VLOOKUP(MAX(-5,$H215-Q215),Volsmile,2),0)),$CT215,$CU215,($A215-DateToday)+15,ABS(Option-2),0)-Z215)),0),0))</f>
        <v> </v>
      </c>
      <c r="AJ215" s="294" t="str">
        <f aca="false">IF($A215="N/A"," ",IF(Dayrun&gt;=3,IF(Option=1,$I215-$H215,IF(Option=2,$H215-$I215)),0))</f>
        <v> </v>
      </c>
      <c r="AK215" s="295" t="str">
        <f aca="false">IF($A215="N/A"," ",IF(Dayrun&gt;=6,IF(Option=1,$J215-H215,IF(Option=2,H215-$J215)),0))</f>
        <v> </v>
      </c>
      <c r="AL215" s="295" t="str">
        <f aca="false">IF($A215="N/A"," ",IF(OR(Dayrun&lt;=2,Dayrun&gt;=9),IF(Option=1,$K215-$H215,IF(Option=2,$H215-$K215)),0))</f>
        <v> </v>
      </c>
      <c r="AM215" s="295" t="str">
        <f aca="false">IF($A215="N/A"," ",IF(OR(Dayrun=1,Dayrun=4,Dayrun=5,Dayrun=7,Dayrun=8,Dayrun=10,Dayrun=11),IF(Option=1,$L215-H215,IF(Option=2,H215-$L215)),0))</f>
        <v> </v>
      </c>
      <c r="AN215" s="295" t="str">
        <f aca="false">IF($A215="N/A"," ",IF(OR(Dayrun=1,Dayrun=7,Dayrun=8,Dayrun=10,Dayrun=11),IF(Option=1,$M215-H215,IF(Option=2,H215-$M215)),0))</f>
        <v> </v>
      </c>
      <c r="AO215" s="295" t="str">
        <f aca="false">IF($A215="N/A"," ",IF(OR(Dayrun&lt;=2,Dayrun&gt;=9),IF(Option=1,$N215-$H215,IF(Option=2,$H215-$N215)),0))</f>
        <v> </v>
      </c>
      <c r="AP215" s="295" t="str">
        <f aca="false">IF($A215="N/A"," ",IF(OR(Dayrun=1,Dayrun=5,Dayrun=8,Dayrun=11),IF(Option=1,$O215-H215,IF(Option=2,H215-$O215)),0))</f>
        <v> </v>
      </c>
      <c r="AQ215" s="295" t="str">
        <f aca="false">IF($A215="N/A"," ",IF(OR(Dayrun=1,Dayrun=8,Dayrun=11),IF(Option=1,$P215-H215,IF(Option=2,H215-$P215)),0))</f>
        <v> </v>
      </c>
      <c r="AR215" s="296" t="str">
        <f aca="false">IF($A215="N/A"," ",IF(OR(Dayrun&lt;=2,Dayrun&gt;=9),IF(Option=1,$Q215-H215,IF(Option=2,H215-$Q215)),0))</f>
        <v> </v>
      </c>
      <c r="AS215" s="297" t="str">
        <f aca="false">IF($A215="N/A"," ",IF(VLOOKUP(MONTH($A215),ManualTable,2)=1,IF(Dayrun&gt;=3,$DE215*8*$CY215,0),0))</f>
        <v> </v>
      </c>
      <c r="AT215" s="297" t="str">
        <f aca="false">IF($A215="N/A"," ",IF(VLOOKUP(MONTH($A215),ManualTable,3)=1,IF(Dayrun&gt;=6,$DE215*8*$CY215,0),0))</f>
        <v> </v>
      </c>
      <c r="AU215" s="297" t="str">
        <f aca="false">IF($A215="N/A"," ",IF(VLOOKUP(MONTH($A215),ManualTable,4)=1,IF(OR(Dayrun&lt;=2,Dayrun&gt;=9),$DE215*8*$CY215,0),0))</f>
        <v> </v>
      </c>
      <c r="AV215" s="297" t="str">
        <f aca="false">IF($A215="N/A"," ",IF(VLOOKUP(MONTH($A215),ManualTable,5)=1,IF(OR(Dayrun=1,Dayrun=4,Dayrun=5,Dayrun=7,Dayrun=8,Dayrun=10,Dayrun=11),$DF215*8*$CY215,0),0))</f>
        <v> </v>
      </c>
      <c r="AW215" s="297" t="str">
        <f aca="false">IF($A215="N/A"," ",IF(VLOOKUP(MONTH($A215),ManualTable,6)=1,IF(OR(Dayrun=1,Dayrun=7,Dayrun=8,Dayrun=10,Dayrun=11),$DF215*8*$CY215,0),0))</f>
        <v> </v>
      </c>
      <c r="AX215" s="297" t="str">
        <f aca="false">IF($A215="N/A"," ",IF(VLOOKUP(MONTH($A215),ManualTable,7)=1,IF(OR(Dayrun&lt;=2,Dayrun&gt;=9),$DF215*8*$CY215,0),0))</f>
        <v> </v>
      </c>
      <c r="AY215" s="297" t="str">
        <f aca="false">IF($A215="N/A"," ",IF(VLOOKUP(MONTH($A215),ManualTable,8)=1,IF(OR(Dayrun=1,Dayrun=5,Dayrun=8,Dayrun=11),$DG215*8*$CY215,0),0))</f>
        <v> </v>
      </c>
      <c r="AZ215" s="297" t="str">
        <f aca="false">IF($A215="N/A"," ",IF(VLOOKUP(MONTH($A215),ManualTable,9)=1,IF(OR(Dayrun=1,Dayrun=8,Dayrun=11),$DG215*8*$CY215,0),0))</f>
        <v> </v>
      </c>
      <c r="BA215" s="298" t="str">
        <f aca="false">IF($A215="N/A"," ",IF(VLOOKUP(MONTH($A215),ManualTable,10)=1,IF(OR(Dayrun&lt;=2,Dayrun&gt;=9),$DG215*8*$CY215,0),0))</f>
        <v> </v>
      </c>
      <c r="BB215" s="299" t="str">
        <f aca="false">IF($A215="N/A"," ",IF(Dayrun&gt;=3,(MAX(0,(xSPRDOPT(I215,($E215-'Pricing Inputs'!$X250*$D215),$CV215,0,($CN215+IF(Smile=TRUE(),VLOOKUP(MAX(-5,$H215-I215),Volsmile,2),0)),$CT215,$CU215,($A215-DateToday)+15,ABS(Option-2),1)*DE215*8))),0))</f>
        <v> </v>
      </c>
      <c r="BC215" s="300" t="str">
        <f aca="false">IF($A215="N/A"," ",IF(Dayrun&gt;=6,MAX(0,(xSPRDOPT(J215,($E215-'Pricing Inputs'!$X250*$D215),$CV215,0,($CN215+IF(Smile=TRUE(),VLOOKUP(MAX(-5,$H215-J215),Volsmile,2),0)),$CT215,$CU215,($A215-DateToday)+15,ABS(Option-2),1)*DE215*8)),0))</f>
        <v> </v>
      </c>
      <c r="BD215" s="300" t="str">
        <f aca="false">IF($A215="N/A"," ",IF(OR(Dayrun&lt;=2,Dayrun&gt;=9),IF(OffPeakEx=TRUE(),MAX(0,(xSPRDOPT(K215,($E215-'Pricing Inputs'!$X250*$D215),$CV215,0,($CQ215+IF(Smile=TRUE(),VLOOKUP(MAX(-5,$H215-K215),Volsmile,2),0)),$CT215,$CU215,($A215-DateToday)+15,ABS(Option-2),1)*DE215*8)),0),0))</f>
        <v> </v>
      </c>
      <c r="BE215" s="300" t="str">
        <f aca="false">IF($A215="N/A"," ",IF(OR(Dayrun=1,Dayrun=4,Dayrun=5,Dayrun=7,Dayrun=8,Dayrun=10,Dayrun=11),MAX(0,(xSPRDOPT(L215,($E215-'Pricing Inputs'!$X250*$D215),$CV215,0,($CQ215+IF(Smile=TRUE(),VLOOKUP(MAX(-5,$H215-L215),Volsmile,2),0)),$CT215,$CU215,($A215-DateToday)+15,ABS(Option-2),1)*DF215*8)),0))</f>
        <v> </v>
      </c>
      <c r="BF215" s="300" t="str">
        <f aca="false">IF($A215="N/A"," ",IF(OR(Dayrun=1,Dayrun=7,Dayrun=8,Dayrun=10,Dayrun=11),MAX(0,(xSPRDOPT(M215,($E215-'Pricing Inputs'!$X250*$D215),$CV215,0,($CQ215+IF(Smile=TRUE(),VLOOKUP(MAX(-5,$H215-M215),Volsmile,2),0)),$CT215,$CU215,($A215-DateToday)+15,ABS(Option-2),1)*DF215*8)),0))</f>
        <v> </v>
      </c>
      <c r="BG215" s="300" t="str">
        <f aca="false">IF($A215="N/A"," ",IF(OR(Dayrun&lt;=2,Dayrun&gt;=10),IF(OffPeakEx=TRUE(),MAX(0,(xSPRDOPT(N215,($E215-'Pricing Inputs'!$X250*$D215),$CV215,0,($CQ215+IF(Smile=TRUE(),VLOOKUP(MAX(-5,$H215-N215),Volsmile,2),0)),$CT215,$CU215,($A215-DateToday)+15,ABS(Option-2),1)*DF215*8)),0),0))</f>
        <v> </v>
      </c>
      <c r="BH215" s="300" t="str">
        <f aca="false">IF($A215="N/A"," ",IF(OR(Dayrun=1,Dayrun=5,Dayrun=8,Dayrun=11),MAX(0,(xSPRDOPT(O215,($E215-'Pricing Inputs'!$X250*$D215),$CV215,0,($CQ215+IF(Smile=TRUE(),VLOOKUP(MAX(-5,$H215-O215),Volsmile,2),0)),$CT215,$CU215,($A215-DateToday)+15,ABS(Option-2),1)*DG215*8)),0))</f>
        <v> </v>
      </c>
      <c r="BI215" s="300" t="str">
        <f aca="false">IF($A215="N/A"," ",IF(OR(Dayrun=1,Dayrun=8,Dayrun=11),MAX(0,(xSPRDOPT(P215,($E215-'Pricing Inputs'!$X250*$D215),$CV215,0,($CQ215+IF(Smile=TRUE(),VLOOKUP(MAX(-5,$H215-P215),Volsmile,2),0)),$CT215,$CU215,($A215-DateToday)+15,ABS(Option-2),1)*DG215*8)),0))</f>
        <v> </v>
      </c>
      <c r="BJ215" s="301" t="str">
        <f aca="false">IF($A215="N/A"," ",IF(OR(Dayrun&lt;=2,Dayrun&gt;=11),IF(OffPeakEx=TRUE(),MAX(0,(xSPRDOPT(Q215,($E215-'Pricing Inputs'!$X250*$D215),$CV215,0,($CQ215+IF(Smile=TRUE(),VLOOKUP(MAX(-5,$H215-Q215),Volsmile,2),0)),$CT215,$CU215,($A215-DateToday)+15,ABS(Option-2),1)*DG215*8)),0),0))</f>
        <v> </v>
      </c>
      <c r="BK215" s="302" t="str">
        <f aca="false">IF($A215="N/A"," ",R215*$AS215)</f>
        <v> </v>
      </c>
      <c r="BL215" s="303" t="str">
        <f aca="false">IF($A215="N/A"," ",S215*$AT215)</f>
        <v> </v>
      </c>
      <c r="BM215" s="303" t="str">
        <f aca="false">IF($A215="N/A"," ",T215*$AU215)</f>
        <v> </v>
      </c>
      <c r="BN215" s="303" t="str">
        <f aca="false">IF($A215="N/A"," ",U215*$AV215)</f>
        <v> </v>
      </c>
      <c r="BO215" s="303" t="str">
        <f aca="false">IF($A215="N/A"," ",V215*$AW215)</f>
        <v> </v>
      </c>
      <c r="BP215" s="303" t="str">
        <f aca="false">IF($A215="N/A"," ",W215*$AX215)</f>
        <v> </v>
      </c>
      <c r="BQ215" s="303" t="str">
        <f aca="false">IF($A215="N/A"," ",X215*$AY215)</f>
        <v> </v>
      </c>
      <c r="BR215" s="303" t="str">
        <f aca="false">IF($A215="N/A"," ",Y215*$AZ215)</f>
        <v> </v>
      </c>
      <c r="BS215" s="304" t="str">
        <f aca="false">IF($A215="N/A"," ",Z215*$BA215)</f>
        <v> </v>
      </c>
      <c r="BT215" s="305" t="str">
        <f aca="false">IF($A215="N/A"," ",AA215*$AS215)</f>
        <v> </v>
      </c>
      <c r="BU215" s="306" t="str">
        <f aca="false">IF($A215="N/A"," ",AB215*$AT215)</f>
        <v> </v>
      </c>
      <c r="BV215" s="306" t="str">
        <f aca="false">IF($A215="N/A"," ",AC215*$AU215)</f>
        <v> </v>
      </c>
      <c r="BW215" s="306" t="str">
        <f aca="false">IF($A215="N/A"," ",AD215*$AV215)</f>
        <v> </v>
      </c>
      <c r="BX215" s="306" t="str">
        <f aca="false">IF($A215="N/A"," ",AE215*$AW215)</f>
        <v> </v>
      </c>
      <c r="BY215" s="306" t="str">
        <f aca="false">IF($A215="N/A"," ",AF215*$AX215)</f>
        <v> </v>
      </c>
      <c r="BZ215" s="306" t="str">
        <f aca="false">IF($A215="N/A"," ",AG215*$AY215)</f>
        <v> </v>
      </c>
      <c r="CA215" s="306" t="str">
        <f aca="false">IF($A215="N/A"," ",AH215*$AZ215)</f>
        <v> </v>
      </c>
      <c r="CB215" s="307" t="str">
        <f aca="false">IF($A215="N/A"," ",AI215*$BA215)</f>
        <v> </v>
      </c>
      <c r="CC215" s="308" t="str">
        <f aca="false">IF($A215="N/A"," ",AJ215*$AS215)</f>
        <v> </v>
      </c>
      <c r="CD215" s="309" t="str">
        <f aca="false">IF($A215="N/A"," ",AK215*$AT215)</f>
        <v> </v>
      </c>
      <c r="CE215" s="309" t="str">
        <f aca="false">IF($A215="N/A"," ",AL215*$AU215)</f>
        <v> </v>
      </c>
      <c r="CF215" s="309" t="str">
        <f aca="false">IF($A215="N/A"," ",AM215*$AV215)</f>
        <v> </v>
      </c>
      <c r="CG215" s="309" t="str">
        <f aca="false">IF($A215="N/A"," ",AN215*$AW215)</f>
        <v> </v>
      </c>
      <c r="CH215" s="309" t="str">
        <f aca="false">IF($A215="N/A"," ",AO215*$AX215)</f>
        <v> </v>
      </c>
      <c r="CI215" s="309" t="str">
        <f aca="false">IF($A215="N/A"," ",AP215*$AY215)</f>
        <v> </v>
      </c>
      <c r="CJ215" s="309" t="str">
        <f aca="false">IF($A215="N/A"," ",AQ215*$AZ215)</f>
        <v> </v>
      </c>
      <c r="CK215" s="310" t="str">
        <f aca="false">IF($A215="N/A"," ",AR215*$BA215)</f>
        <v> </v>
      </c>
      <c r="CL215" s="311" t="str">
        <f aca="false">IF(A215="N/A"," ",(VLOOKUP(A215,PowerVolTable,(IF(VolBMO=2,7,IF(VolBMO=1,6,8))),FALSE())))</f>
        <v> </v>
      </c>
      <c r="CM215" s="312" t="str">
        <f aca="false">IF(A215="N/A"," ",(VLOOKUP(A215,IntraPowerVol,(IF(VolBMO=2,3,IF(VolBMO=1,2,4))),FALSE())*VLOOKUP(MONTH($A215),Volscale,2)))</f>
        <v> </v>
      </c>
      <c r="CN215" s="312" t="str">
        <f aca="false">IF($A215="N/A"," ",IF(VolType=1,CM215,CL215))</f>
        <v> </v>
      </c>
      <c r="CO215" s="312" t="str">
        <f aca="false">IF($A215="N/A"," ",(VLOOKUP($A215,OffPeakVol,(IF(VolBMO=2,7,IF(VolBMO=1,6,8))),FALSE())))</f>
        <v> </v>
      </c>
      <c r="CP215" s="312" t="str">
        <f aca="false">IF($A215="N/A"," ",(VLOOKUP($A215,OffPeakVol,(IF(VolBMO=2,3,IF(VolBMO=1,2,4))),FALSE())*VLOOKUP(MONTH($A215),Volscale,2)))</f>
        <v> </v>
      </c>
      <c r="CQ215" s="312" t="str">
        <f aca="false">IF($A215="N/A"," ",IF(VolType=1,CP215,CO215))</f>
        <v> </v>
      </c>
      <c r="CR215" s="312" t="str">
        <f aca="false">IF($A215="N/A"," ",(VLOOKUP($A215,GasVolTable,(IF(VolBMO=2,6,IF(VolBMO=1,7,5))),FALSE())))</f>
        <v> </v>
      </c>
      <c r="CS215" s="312" t="str">
        <f aca="false">IF($A215="N/A"," ",(VLOOKUP($A215,OmicronVol,(IF(VolBMO=2,3,IF(VolBMO=1,4,2))),FALSE())))</f>
        <v> </v>
      </c>
      <c r="CT215" s="312" t="str">
        <f aca="false">IF($A215="N/A"," ",(IF(DateToday&gt;$A215,$CS215,IF(VolType=1,((($CR215^2)*((($A215-1)-DateToday)/((EOMONTH($A215,0)+1)-DateToday-15)))+((($CS215)^2)*((15)/((EOMONTH($A215,0)+1)-DateToday-15))))^0.5,CR215))))</f>
        <v> </v>
      </c>
      <c r="CU215" s="312" t="str">
        <f aca="false">IF($A215="N/A"," ",IF('Pricing Inputs'!$AR$23=TRUE(),Inputs!$S$22,VLOOKUP($A215,CorrelationTable,2,FALSE())))</f>
        <v> </v>
      </c>
      <c r="CV215" s="313" t="str">
        <f aca="false">IF($A215="N/A"," ",F215+G215+(D215*('Pricing Inputs'!X250)))</f>
        <v> </v>
      </c>
      <c r="CW215" s="314" t="str">
        <f aca="false">IF($A215="N/A"," ",IF(PV=1,0,'Pricing Inputs'!Y250))</f>
        <v> </v>
      </c>
      <c r="CX215" s="315" t="str">
        <f aca="false">IF($A215="N/A"," ",(1+CW215/2)^(-2*((EOMONTH(A215,0)+20)-DateToday)/365.25))</f>
        <v> </v>
      </c>
      <c r="CY215" s="316" t="str">
        <f aca="false">IF($A215="N/A"," ",(IF(MONTH(A215)&gt;=4,IF(MONTH(A215)&lt;=10,Inputs!$S$26,Inputs!$S$27),Inputs!$S$27))*$CX215)</f>
        <v> </v>
      </c>
      <c r="CZ215" s="317" t="str">
        <f aca="false">IF($A215="N/A"," ",BK215+BL215+BN215+BO215+BQ215+BR215)</f>
        <v> </v>
      </c>
      <c r="DA215" s="318" t="str">
        <f aca="false">IF($A215="N/A"," ",BM215+BP215+BS215)</f>
        <v> </v>
      </c>
      <c r="DB215" s="319" t="str">
        <f aca="false">IF($A215="N/A"," ",BT215+BU215+BW215+BX215+BZ215+CA215)</f>
        <v> </v>
      </c>
      <c r="DC215" s="319" t="str">
        <f aca="false">IF($A215="N/A"," ",BV215+BY215+CB215)</f>
        <v> </v>
      </c>
      <c r="DD215" s="320" t="str">
        <f aca="false">IF($A215="N/A"," ",SUM(CC215:CK215))</f>
        <v> </v>
      </c>
      <c r="DE215" s="321" t="str">
        <f aca="false">IF($A215="N/A"," ",VLOOKUP($A215,NumberofDaysTable,2)*Availability)</f>
        <v> </v>
      </c>
      <c r="DF215" s="94" t="str">
        <f aca="false">IF($A215="N/A"," ",VLOOKUP($A215,NumberofDaysTable,3)*Availability)</f>
        <v> </v>
      </c>
      <c r="DG215" s="322" t="str">
        <f aca="false">IF($A215="N/A"," ",VLOOKUP($A215,NumberofDaysTable,4)*Availability)</f>
        <v> </v>
      </c>
      <c r="DH215" s="323" t="str">
        <f aca="false">IF($A215="N/A"," ",IF(Option=1,$D215*Inputs!$S$15*SUM(AS215:BA215),0))</f>
        <v> </v>
      </c>
      <c r="DI215" s="324" t="str">
        <f aca="false">IF($A215="N/A"," ",IF(Option=1,$D215*Inputs!$S$16*SUM(AS215:BA215),0))</f>
        <v> </v>
      </c>
      <c r="DJ215" s="325" t="str">
        <f aca="false">IF($A215="N/A"," ",SUM(AS215:AT215))</f>
        <v> </v>
      </c>
      <c r="DK215" s="325" t="str">
        <f aca="false">IF($A215="N/A"," ",SUM(AU215:BA215))</f>
        <v> </v>
      </c>
      <c r="DL215" s="325" t="str">
        <f aca="false">IF($A215="N/A"," ",SUM(BB215:BC215))</f>
        <v> </v>
      </c>
      <c r="DM215" s="325" t="str">
        <f aca="false">IF($A215="N/A"," ",SUM(BD215:BJ215))</f>
        <v> </v>
      </c>
    </row>
    <row r="216" customFormat="false" ht="12.75" hidden="false" customHeight="false" outlineLevel="0" collapsed="false">
      <c r="A216" s="282" t="str">
        <f aca="false">IF(A215="N/A","N/A",IF(EDATE(A215,1)&gt;Inputs!$S$5,"N/A",EDATE(A215,1)))</f>
        <v>N/A</v>
      </c>
      <c r="B216" s="283" t="str">
        <f aca="false">IF(A216="N/A"," ",YEAR(A216))</f>
        <v> </v>
      </c>
      <c r="C216" s="284" t="str">
        <f aca="false">IF(A216="N/A"," ",VLOOKUP(A216,ScaledPrice,14))</f>
        <v> </v>
      </c>
      <c r="D216" s="285" t="str">
        <f aca="false">IF(A216="N/A"," ",(VLOOKUP(MONTH($A216),Hrtable,2))/1000)</f>
        <v> </v>
      </c>
      <c r="E216" s="286" t="str">
        <f aca="false">IF($A216="N/A"," ",(C216)*D216)</f>
        <v> </v>
      </c>
      <c r="F216" s="287" t="str">
        <f aca="false">IF(A216="N/A"," ",VOM*(1+VOMesc)^(YEAR(A216)-YEAR(Today)))</f>
        <v> </v>
      </c>
      <c r="G216" s="287" t="str">
        <f aca="false">IF(A216="N/A"," ",Perstart/VLOOKUP(Dayrun,'Pricing Inputs'!$AQ$4:$AS$14,3)/(CY216/CX216))</f>
        <v> </v>
      </c>
      <c r="H216" s="288" t="str">
        <f aca="false">IF(A216="N/A"," ",SUM(E216:G216))</f>
        <v> </v>
      </c>
      <c r="I216" s="289" t="str">
        <f aca="false">VLOOKUP($A216,ScaledPrice,6)</f>
        <v> </v>
      </c>
      <c r="J216" s="290" t="str">
        <f aca="false">VLOOKUP($A216,ScaledPrice,10)</f>
        <v> </v>
      </c>
      <c r="K216" s="290" t="str">
        <f aca="false">VLOOKUP($A216,ScaledPrice,13)</f>
        <v> </v>
      </c>
      <c r="L216" s="290" t="str">
        <f aca="false">VLOOKUP($A216,ScaledPrice,7)</f>
        <v> </v>
      </c>
      <c r="M216" s="290" t="str">
        <f aca="false">VLOOKUP($A216,ScaledPrice,11)</f>
        <v> </v>
      </c>
      <c r="N216" s="290" t="str">
        <f aca="false">VLOOKUP($A216,ScaledPrice,13)</f>
        <v> </v>
      </c>
      <c r="O216" s="290" t="str">
        <f aca="false">VLOOKUP($A216,ScaledPrice,8)</f>
        <v> </v>
      </c>
      <c r="P216" s="290" t="str">
        <f aca="false">VLOOKUP($A216,ScaledPrice,12)</f>
        <v> </v>
      </c>
      <c r="Q216" s="291" t="str">
        <f aca="false">VLOOKUP($A216,ScaledPrice,13)</f>
        <v> </v>
      </c>
      <c r="R216" s="292" t="str">
        <f aca="false">IF($A216="N/A"," ",IF(Dayrun&gt;=3,IF(Option=1,MAX($I216-$H216,0),IF(Option=2,MAX($H216-$I216,0),0)),0))</f>
        <v> </v>
      </c>
      <c r="S216" s="286" t="str">
        <f aca="false">IF($A216="N/A"," ",IF(Dayrun&gt;=6,IF(Option=1,MAX($J216-H216,0),IF(Option=2,MAX(H216-$J216,0),0)),0))</f>
        <v> </v>
      </c>
      <c r="T216" s="286" t="str">
        <f aca="false">IF($A216="N/A"," ",IF(OR(Dayrun&lt;=2,Dayrun&gt;=9),IF(Option=1,MAX($K216-$H216,0),IF(Option=2,MAX($H216-$K216,0),0)),0))</f>
        <v> </v>
      </c>
      <c r="U216" s="286" t="str">
        <f aca="false">IF($A216="N/A"," ",IF(OR(Dayrun=1,Dayrun=4,Dayrun=5,Dayrun=7,Dayrun=8,Dayrun=10,Dayrun=11),IF(Option=1,MAX($L216-H216,0),IF(Option=2,MAX(H216-$L216,0),0)),0))</f>
        <v> </v>
      </c>
      <c r="V216" s="286" t="str">
        <f aca="false">IF($A216="N/A"," ",IF(OR(Dayrun=1,Dayrun=7,Dayrun=8,Dayrun=10,Dayrun=11),IF(Option=1,MAX($M216-H216,0),IF(Option=2,MAX(H216-$M216,0),0)),0))</f>
        <v> </v>
      </c>
      <c r="W216" s="286" t="str">
        <f aca="false">IF($A216="N/A"," ",IF(OR(Dayrun&lt;=2,Dayrun&gt;=10),IF(Option=1,MAX($N216-$H216,0),IF(Option=2,MAX($H216-$N216,0),0)),0))</f>
        <v> </v>
      </c>
      <c r="X216" s="286" t="str">
        <f aca="false">IF($A216="N/A"," ",IF(OR(Dayrun=1,Dayrun=5,Dayrun=8,Dayrun=11),IF(Option=1,MAX($O216-H216,0),IF(Option=2,MAX(H216-$O216,0),0)),0))</f>
        <v> </v>
      </c>
      <c r="Y216" s="286" t="str">
        <f aca="false">IF($A216="N/A"," ",IF(OR(Dayrun=1,Dayrun=8,Dayrun=11),IF(Option=1,MAX($P216-H216,0),IF(Option=2,MAX(H216-$P216,0),0)),0))</f>
        <v> </v>
      </c>
      <c r="Z216" s="293" t="str">
        <f aca="false">IF($A216="N/A"," ",IF(OR(Dayrun&lt;=2,Dayrun&gt;=11),IF(Option=1,MAX($Q216-$H216,0),IF(Option=2,MAX($H216-$Q216,0),0)),0))</f>
        <v> </v>
      </c>
      <c r="AA216" s="289" t="str">
        <f aca="false">IF($A216="N/A"," ",IF(Dayrun&gt;=3,(MAX(0,(xSPRDOPT(I216,($E216-'Pricing Inputs'!$X251*$D216),$CV216,0,($CN216+IF(Smile=TRUE(),VLOOKUP(MAX(-5,$H216-I216),Volsmile,2),0)),$CT216,$CU216,($A216-DateToday)+15,ABS(Option-2),0)-R216))),0))</f>
        <v> </v>
      </c>
      <c r="AB216" s="290" t="str">
        <f aca="false">IF($A216="N/A"," ",IF(Dayrun&gt;=6,MAX(0,(xSPRDOPT(J216,($E216-'Pricing Inputs'!$X251*$D216),$CV216,0,($CN216+IF(Smile=TRUE(),VLOOKUP(MAX(-5,$H216-J216),Volsmile,2),0)),$CT216,$CU216,($A216-DateToday)+15,ABS(Option-2),0)-S216)),0))</f>
        <v> </v>
      </c>
      <c r="AC216" s="290" t="str">
        <f aca="false">IF($A216="N/A"," ",IF(OR(Dayrun&lt;=2,Dayrun&gt;=9),IF(OffPeakEx=TRUE(),MAX(0,(xSPRDOPT(K216,($E216-'Pricing Inputs'!$X251*$D216),$CV216,0,($CQ216+IF(Smile=TRUE(),VLOOKUP(MAX(-5,$H216-K216),Volsmile,2),0)),$CT216,$CU216,($A216-DateToday)+15,ABS(Option-2),0)-T216)),0),0))</f>
        <v> </v>
      </c>
      <c r="AD216" s="290" t="str">
        <f aca="false">IF($A216="N/A"," ",IF(OR(Dayrun=1,Dayrun=4,Dayrun=5,Dayrun=7,Dayrun=8,Dayrun=10,Dayrun=11),MAX(0,(xSPRDOPT(L216,($E216-'Pricing Inputs'!$X251*$D216),$CV216,0,($CQ216+IF(Smile=TRUE(),VLOOKUP(MAX(-5,$H216-L216),Volsmile,2),0)),$CT216,$CU216,($A216-DateToday)+15,ABS(Option-2),0)-U216)),0))</f>
        <v> </v>
      </c>
      <c r="AE216" s="290" t="str">
        <f aca="false">IF($A216="N/A"," ",IF(OR(Dayrun=1,Dayrun=7,Dayrun=8,Dayrun=10,Dayrun=11),MAX(0,(xSPRDOPT(M216,($E216-'Pricing Inputs'!$X251*$D216),$CV216,0,($CQ216+IF(Smile=TRUE(),VLOOKUP(MAX(-5,$H216-M216),Volsmile,2),0)),$CT216,$CU216,($A216-DateToday)+15,ABS(Option-2),0)-V216)),0))</f>
        <v> </v>
      </c>
      <c r="AF216" s="290" t="str">
        <f aca="false">IF($A216="N/A"," ",IF(OR(Dayrun&lt;=2,Dayrun&gt;=10),IF(OffPeakEx=TRUE(),MAX(0,(xSPRDOPT(N216,($E216-'Pricing Inputs'!$X251*$D216),$CV216,0,($CQ216+IF(Smile=TRUE(),VLOOKUP(MAX(-5,$H216-N216),Volsmile,2),0)),$CT216,$CU216,($A216-DateToday)+15,ABS(Option-2),0)-W216)),0),0))</f>
        <v> </v>
      </c>
      <c r="AG216" s="290" t="str">
        <f aca="false">IF($A216="N/A"," ",IF(OR(Dayrun=1,Dayrun=5,Dayrun=8,Dayrun=11),MAX(0,(xSPRDOPT(O216,($E216-'Pricing Inputs'!$X251*$D216),$CV216,0,($CQ216+IF(Smile=TRUE(),VLOOKUP(MAX(-5,$H216-O216),Volsmile,2),0)),$CT216,$CU216,($A216-DateToday)+15,ABS(Option-2),0)-X216)),0))</f>
        <v> </v>
      </c>
      <c r="AH216" s="290" t="str">
        <f aca="false">IF($A216="N/A"," ",IF(OR(Dayrun=1,Dayrun=8,Dayrun=11),MAX(0,(xSPRDOPT(P216,($E216-'Pricing Inputs'!$X251*$D216),$CV216,0,($CQ216+IF(Smile=TRUE(),VLOOKUP(MAX(-5,$H216-P216),Volsmile,2),0)),$CT216,$CU216,($A216-DateToday)+15,ABS(Option-2),0)-Y216)),0))</f>
        <v> </v>
      </c>
      <c r="AI216" s="290" t="str">
        <f aca="false">IF($A216="N/A"," ",IF(OR(Dayrun&lt;=2,Dayrun&gt;=11),IF(OffPeakEx=TRUE(),MAX(0,(xSPRDOPT(Q216,($E216-'Pricing Inputs'!$X251*$D216),$CV216,0,($CQ216+IF(Smile=TRUE(),VLOOKUP(MAX(-5,$H216-Q216),Volsmile,2),0)),$CT216,$CU216,($A216-DateToday)+15,ABS(Option-2),0)-Z216)),0),0))</f>
        <v> </v>
      </c>
      <c r="AJ216" s="294" t="str">
        <f aca="false">IF($A216="N/A"," ",IF(Dayrun&gt;=3,IF(Option=1,$I216-$H216,IF(Option=2,$H216-$I216)),0))</f>
        <v> </v>
      </c>
      <c r="AK216" s="295" t="str">
        <f aca="false">IF($A216="N/A"," ",IF(Dayrun&gt;=6,IF(Option=1,$J216-H216,IF(Option=2,H216-$J216)),0))</f>
        <v> </v>
      </c>
      <c r="AL216" s="295" t="str">
        <f aca="false">IF($A216="N/A"," ",IF(OR(Dayrun&lt;=2,Dayrun&gt;=9),IF(Option=1,$K216-$H216,IF(Option=2,$H216-$K216)),0))</f>
        <v> </v>
      </c>
      <c r="AM216" s="295" t="str">
        <f aca="false">IF($A216="N/A"," ",IF(OR(Dayrun=1,Dayrun=4,Dayrun=5,Dayrun=7,Dayrun=8,Dayrun=10,Dayrun=11),IF(Option=1,$L216-H216,IF(Option=2,H216-$L216)),0))</f>
        <v> </v>
      </c>
      <c r="AN216" s="295" t="str">
        <f aca="false">IF($A216="N/A"," ",IF(OR(Dayrun=1,Dayrun=7,Dayrun=8,Dayrun=10,Dayrun=11),IF(Option=1,$M216-H216,IF(Option=2,H216-$M216)),0))</f>
        <v> </v>
      </c>
      <c r="AO216" s="295" t="str">
        <f aca="false">IF($A216="N/A"," ",IF(OR(Dayrun&lt;=2,Dayrun&gt;=9),IF(Option=1,$N216-$H216,IF(Option=2,$H216-$N216)),0))</f>
        <v> </v>
      </c>
      <c r="AP216" s="295" t="str">
        <f aca="false">IF($A216="N/A"," ",IF(OR(Dayrun=1,Dayrun=5,Dayrun=8,Dayrun=11),IF(Option=1,$O216-H216,IF(Option=2,H216-$O216)),0))</f>
        <v> </v>
      </c>
      <c r="AQ216" s="295" t="str">
        <f aca="false">IF($A216="N/A"," ",IF(OR(Dayrun=1,Dayrun=8,Dayrun=11),IF(Option=1,$P216-H216,IF(Option=2,H216-$P216)),0))</f>
        <v> </v>
      </c>
      <c r="AR216" s="296" t="str">
        <f aca="false">IF($A216="N/A"," ",IF(OR(Dayrun&lt;=2,Dayrun&gt;=9),IF(Option=1,$Q216-H216,IF(Option=2,H216-$Q216)),0))</f>
        <v> </v>
      </c>
      <c r="AS216" s="297" t="str">
        <f aca="false">IF($A216="N/A"," ",IF(VLOOKUP(MONTH($A216),ManualTable,2)=1,IF(Dayrun&gt;=3,$DE216*8*$CY216,0),0))</f>
        <v> </v>
      </c>
      <c r="AT216" s="297" t="str">
        <f aca="false">IF($A216="N/A"," ",IF(VLOOKUP(MONTH($A216),ManualTable,3)=1,IF(Dayrun&gt;=6,$DE216*8*$CY216,0),0))</f>
        <v> </v>
      </c>
      <c r="AU216" s="297" t="str">
        <f aca="false">IF($A216="N/A"," ",IF(VLOOKUP(MONTH($A216),ManualTable,4)=1,IF(OR(Dayrun&lt;=2,Dayrun&gt;=9),$DE216*8*$CY216,0),0))</f>
        <v> </v>
      </c>
      <c r="AV216" s="297" t="str">
        <f aca="false">IF($A216="N/A"," ",IF(VLOOKUP(MONTH($A216),ManualTable,5)=1,IF(OR(Dayrun=1,Dayrun=4,Dayrun=5,Dayrun=7,Dayrun=8,Dayrun=10,Dayrun=11),$DF216*8*$CY216,0),0))</f>
        <v> </v>
      </c>
      <c r="AW216" s="297" t="str">
        <f aca="false">IF($A216="N/A"," ",IF(VLOOKUP(MONTH($A216),ManualTable,6)=1,IF(OR(Dayrun=1,Dayrun=7,Dayrun=8,Dayrun=10,Dayrun=11),$DF216*8*$CY216,0),0))</f>
        <v> </v>
      </c>
      <c r="AX216" s="297" t="str">
        <f aca="false">IF($A216="N/A"," ",IF(VLOOKUP(MONTH($A216),ManualTable,7)=1,IF(OR(Dayrun&lt;=2,Dayrun&gt;=9),$DF216*8*$CY216,0),0))</f>
        <v> </v>
      </c>
      <c r="AY216" s="297" t="str">
        <f aca="false">IF($A216="N/A"," ",IF(VLOOKUP(MONTH($A216),ManualTable,8)=1,IF(OR(Dayrun=1,Dayrun=5,Dayrun=8,Dayrun=11),$DG216*8*$CY216,0),0))</f>
        <v> </v>
      </c>
      <c r="AZ216" s="297" t="str">
        <f aca="false">IF($A216="N/A"," ",IF(VLOOKUP(MONTH($A216),ManualTable,9)=1,IF(OR(Dayrun=1,Dayrun=8,Dayrun=11),$DG216*8*$CY216,0),0))</f>
        <v> </v>
      </c>
      <c r="BA216" s="298" t="str">
        <f aca="false">IF($A216="N/A"," ",IF(VLOOKUP(MONTH($A216),ManualTable,10)=1,IF(OR(Dayrun&lt;=2,Dayrun&gt;=9),$DG216*8*$CY216,0),0))</f>
        <v> </v>
      </c>
      <c r="BB216" s="299" t="str">
        <f aca="false">IF($A216="N/A"," ",IF(Dayrun&gt;=3,(MAX(0,(xSPRDOPT(I216,($E216-'Pricing Inputs'!$X251*$D216),$CV216,0,($CN216+IF(Smile=TRUE(),VLOOKUP(MAX(-5,$H216-I216),Volsmile,2),0)),$CT216,$CU216,($A216-DateToday)+15,ABS(Option-2),1)*DE216*8))),0))</f>
        <v> </v>
      </c>
      <c r="BC216" s="300" t="str">
        <f aca="false">IF($A216="N/A"," ",IF(Dayrun&gt;=6,MAX(0,(xSPRDOPT(J216,($E216-'Pricing Inputs'!$X251*$D216),$CV216,0,($CN216+IF(Smile=TRUE(),VLOOKUP(MAX(-5,$H216-J216),Volsmile,2),0)),$CT216,$CU216,($A216-DateToday)+15,ABS(Option-2),1)*DE216*8)),0))</f>
        <v> </v>
      </c>
      <c r="BD216" s="300" t="str">
        <f aca="false">IF($A216="N/A"," ",IF(OR(Dayrun&lt;=2,Dayrun&gt;=9),IF(OffPeakEx=TRUE(),MAX(0,(xSPRDOPT(K216,($E216-'Pricing Inputs'!$X251*$D216),$CV216,0,($CQ216+IF(Smile=TRUE(),VLOOKUP(MAX(-5,$H216-K216),Volsmile,2),0)),$CT216,$CU216,($A216-DateToday)+15,ABS(Option-2),1)*DE216*8)),0),0))</f>
        <v> </v>
      </c>
      <c r="BE216" s="300" t="str">
        <f aca="false">IF($A216="N/A"," ",IF(OR(Dayrun=1,Dayrun=4,Dayrun=5,Dayrun=7,Dayrun=8,Dayrun=10,Dayrun=11),MAX(0,(xSPRDOPT(L216,($E216-'Pricing Inputs'!$X251*$D216),$CV216,0,($CQ216+IF(Smile=TRUE(),VLOOKUP(MAX(-5,$H216-L216),Volsmile,2),0)),$CT216,$CU216,($A216-DateToday)+15,ABS(Option-2),1)*DF216*8)),0))</f>
        <v> </v>
      </c>
      <c r="BF216" s="300" t="str">
        <f aca="false">IF($A216="N/A"," ",IF(OR(Dayrun=1,Dayrun=7,Dayrun=8,Dayrun=10,Dayrun=11),MAX(0,(xSPRDOPT(M216,($E216-'Pricing Inputs'!$X251*$D216),$CV216,0,($CQ216+IF(Smile=TRUE(),VLOOKUP(MAX(-5,$H216-M216),Volsmile,2),0)),$CT216,$CU216,($A216-DateToday)+15,ABS(Option-2),1)*DF216*8)),0))</f>
        <v> </v>
      </c>
      <c r="BG216" s="300" t="str">
        <f aca="false">IF($A216="N/A"," ",IF(OR(Dayrun&lt;=2,Dayrun&gt;=10),IF(OffPeakEx=TRUE(),MAX(0,(xSPRDOPT(N216,($E216-'Pricing Inputs'!$X251*$D216),$CV216,0,($CQ216+IF(Smile=TRUE(),VLOOKUP(MAX(-5,$H216-N216),Volsmile,2),0)),$CT216,$CU216,($A216-DateToday)+15,ABS(Option-2),1)*DF216*8)),0),0))</f>
        <v> </v>
      </c>
      <c r="BH216" s="300" t="str">
        <f aca="false">IF($A216="N/A"," ",IF(OR(Dayrun=1,Dayrun=5,Dayrun=8,Dayrun=11),MAX(0,(xSPRDOPT(O216,($E216-'Pricing Inputs'!$X251*$D216),$CV216,0,($CQ216+IF(Smile=TRUE(),VLOOKUP(MAX(-5,$H216-O216),Volsmile,2),0)),$CT216,$CU216,($A216-DateToday)+15,ABS(Option-2),1)*DG216*8)),0))</f>
        <v> </v>
      </c>
      <c r="BI216" s="300" t="str">
        <f aca="false">IF($A216="N/A"," ",IF(OR(Dayrun=1,Dayrun=8,Dayrun=11),MAX(0,(xSPRDOPT(P216,($E216-'Pricing Inputs'!$X251*$D216),$CV216,0,($CQ216+IF(Smile=TRUE(),VLOOKUP(MAX(-5,$H216-P216),Volsmile,2),0)),$CT216,$CU216,($A216-DateToday)+15,ABS(Option-2),1)*DG216*8)),0))</f>
        <v> </v>
      </c>
      <c r="BJ216" s="301" t="str">
        <f aca="false">IF($A216="N/A"," ",IF(OR(Dayrun&lt;=2,Dayrun&gt;=11),IF(OffPeakEx=TRUE(),MAX(0,(xSPRDOPT(Q216,($E216-'Pricing Inputs'!$X251*$D216),$CV216,0,($CQ216+IF(Smile=TRUE(),VLOOKUP(MAX(-5,$H216-Q216),Volsmile,2),0)),$CT216,$CU216,($A216-DateToday)+15,ABS(Option-2),1)*DG216*8)),0),0))</f>
        <v> </v>
      </c>
      <c r="BK216" s="302" t="str">
        <f aca="false">IF($A216="N/A"," ",R216*$AS216)</f>
        <v> </v>
      </c>
      <c r="BL216" s="303" t="str">
        <f aca="false">IF($A216="N/A"," ",S216*$AT216)</f>
        <v> </v>
      </c>
      <c r="BM216" s="303" t="str">
        <f aca="false">IF($A216="N/A"," ",T216*$AU216)</f>
        <v> </v>
      </c>
      <c r="BN216" s="303" t="str">
        <f aca="false">IF($A216="N/A"," ",U216*$AV216)</f>
        <v> </v>
      </c>
      <c r="BO216" s="303" t="str">
        <f aca="false">IF($A216="N/A"," ",V216*$AW216)</f>
        <v> </v>
      </c>
      <c r="BP216" s="303" t="str">
        <f aca="false">IF($A216="N/A"," ",W216*$AX216)</f>
        <v> </v>
      </c>
      <c r="BQ216" s="303" t="str">
        <f aca="false">IF($A216="N/A"," ",X216*$AY216)</f>
        <v> </v>
      </c>
      <c r="BR216" s="303" t="str">
        <f aca="false">IF($A216="N/A"," ",Y216*$AZ216)</f>
        <v> </v>
      </c>
      <c r="BS216" s="304" t="str">
        <f aca="false">IF($A216="N/A"," ",Z216*$BA216)</f>
        <v> </v>
      </c>
      <c r="BT216" s="305" t="str">
        <f aca="false">IF($A216="N/A"," ",AA216*$AS216)</f>
        <v> </v>
      </c>
      <c r="BU216" s="306" t="str">
        <f aca="false">IF($A216="N/A"," ",AB216*$AT216)</f>
        <v> </v>
      </c>
      <c r="BV216" s="306" t="str">
        <f aca="false">IF($A216="N/A"," ",AC216*$AU216)</f>
        <v> </v>
      </c>
      <c r="BW216" s="306" t="str">
        <f aca="false">IF($A216="N/A"," ",AD216*$AV216)</f>
        <v> </v>
      </c>
      <c r="BX216" s="306" t="str">
        <f aca="false">IF($A216="N/A"," ",AE216*$AW216)</f>
        <v> </v>
      </c>
      <c r="BY216" s="306" t="str">
        <f aca="false">IF($A216="N/A"," ",AF216*$AX216)</f>
        <v> </v>
      </c>
      <c r="BZ216" s="306" t="str">
        <f aca="false">IF($A216="N/A"," ",AG216*$AY216)</f>
        <v> </v>
      </c>
      <c r="CA216" s="306" t="str">
        <f aca="false">IF($A216="N/A"," ",AH216*$AZ216)</f>
        <v> </v>
      </c>
      <c r="CB216" s="307" t="str">
        <f aca="false">IF($A216="N/A"," ",AI216*$BA216)</f>
        <v> </v>
      </c>
      <c r="CC216" s="308" t="str">
        <f aca="false">IF($A216="N/A"," ",AJ216*$AS216)</f>
        <v> </v>
      </c>
      <c r="CD216" s="309" t="str">
        <f aca="false">IF($A216="N/A"," ",AK216*$AT216)</f>
        <v> </v>
      </c>
      <c r="CE216" s="309" t="str">
        <f aca="false">IF($A216="N/A"," ",AL216*$AU216)</f>
        <v> </v>
      </c>
      <c r="CF216" s="309" t="str">
        <f aca="false">IF($A216="N/A"," ",AM216*$AV216)</f>
        <v> </v>
      </c>
      <c r="CG216" s="309" t="str">
        <f aca="false">IF($A216="N/A"," ",AN216*$AW216)</f>
        <v> </v>
      </c>
      <c r="CH216" s="309" t="str">
        <f aca="false">IF($A216="N/A"," ",AO216*$AX216)</f>
        <v> </v>
      </c>
      <c r="CI216" s="309" t="str">
        <f aca="false">IF($A216="N/A"," ",AP216*$AY216)</f>
        <v> </v>
      </c>
      <c r="CJ216" s="309" t="str">
        <f aca="false">IF($A216="N/A"," ",AQ216*$AZ216)</f>
        <v> </v>
      </c>
      <c r="CK216" s="310" t="str">
        <f aca="false">IF($A216="N/A"," ",AR216*$BA216)</f>
        <v> </v>
      </c>
      <c r="CL216" s="311" t="str">
        <f aca="false">IF(A216="N/A"," ",(VLOOKUP(A216,PowerVolTable,(IF(VolBMO=2,7,IF(VolBMO=1,6,8))),FALSE())))</f>
        <v> </v>
      </c>
      <c r="CM216" s="312" t="str">
        <f aca="false">IF(A216="N/A"," ",(VLOOKUP(A216,IntraPowerVol,(IF(VolBMO=2,3,IF(VolBMO=1,2,4))),FALSE())*VLOOKUP(MONTH($A216),Volscale,2)))</f>
        <v> </v>
      </c>
      <c r="CN216" s="312" t="str">
        <f aca="false">IF($A216="N/A"," ",IF(VolType=1,CM216,CL216))</f>
        <v> </v>
      </c>
      <c r="CO216" s="312" t="str">
        <f aca="false">IF($A216="N/A"," ",(VLOOKUP($A216,OffPeakVol,(IF(VolBMO=2,7,IF(VolBMO=1,6,8))),FALSE())))</f>
        <v> </v>
      </c>
      <c r="CP216" s="312" t="str">
        <f aca="false">IF($A216="N/A"," ",(VLOOKUP($A216,OffPeakVol,(IF(VolBMO=2,3,IF(VolBMO=1,2,4))),FALSE())*VLOOKUP(MONTH($A216),Volscale,2)))</f>
        <v> </v>
      </c>
      <c r="CQ216" s="312" t="str">
        <f aca="false">IF($A216="N/A"," ",IF(VolType=1,CP216,CO216))</f>
        <v> </v>
      </c>
      <c r="CR216" s="312" t="str">
        <f aca="false">IF($A216="N/A"," ",(VLOOKUP($A216,GasVolTable,(IF(VolBMO=2,6,IF(VolBMO=1,7,5))),FALSE())))</f>
        <v> </v>
      </c>
      <c r="CS216" s="312" t="str">
        <f aca="false">IF($A216="N/A"," ",(VLOOKUP($A216,OmicronVol,(IF(VolBMO=2,3,IF(VolBMO=1,4,2))),FALSE())))</f>
        <v> </v>
      </c>
      <c r="CT216" s="312" t="str">
        <f aca="false">IF($A216="N/A"," ",(IF(DateToday&gt;$A216,$CS216,IF(VolType=1,((($CR216^2)*((($A216-1)-DateToday)/((EOMONTH($A216,0)+1)-DateToday-15)))+((($CS216)^2)*((15)/((EOMONTH($A216,0)+1)-DateToday-15))))^0.5,CR216))))</f>
        <v> </v>
      </c>
      <c r="CU216" s="312" t="str">
        <f aca="false">IF($A216="N/A"," ",IF('Pricing Inputs'!$AR$23=TRUE(),Inputs!$S$22,VLOOKUP($A216,CorrelationTable,2,FALSE())))</f>
        <v> </v>
      </c>
      <c r="CV216" s="313" t="str">
        <f aca="false">IF($A216="N/A"," ",F216+G216+(D216*('Pricing Inputs'!X251)))</f>
        <v> </v>
      </c>
      <c r="CW216" s="314" t="str">
        <f aca="false">IF($A216="N/A"," ",IF(PV=1,0,'Pricing Inputs'!Y251))</f>
        <v> </v>
      </c>
      <c r="CX216" s="315" t="str">
        <f aca="false">IF($A216="N/A"," ",(1+CW216/2)^(-2*((EOMONTH(A216,0)+20)-DateToday)/365.25))</f>
        <v> </v>
      </c>
      <c r="CY216" s="316" t="str">
        <f aca="false">IF($A216="N/A"," ",(IF(MONTH(A216)&gt;=4,IF(MONTH(A216)&lt;=10,Inputs!$S$26,Inputs!$S$27),Inputs!$S$27))*$CX216)</f>
        <v> </v>
      </c>
      <c r="CZ216" s="317" t="str">
        <f aca="false">IF($A216="N/A"," ",BK216+BL216+BN216+BO216+BQ216+BR216)</f>
        <v> </v>
      </c>
      <c r="DA216" s="318" t="str">
        <f aca="false">IF($A216="N/A"," ",BM216+BP216+BS216)</f>
        <v> </v>
      </c>
      <c r="DB216" s="319" t="str">
        <f aca="false">IF($A216="N/A"," ",BT216+BU216+BW216+BX216+BZ216+CA216)</f>
        <v> </v>
      </c>
      <c r="DC216" s="319" t="str">
        <f aca="false">IF($A216="N/A"," ",BV216+BY216+CB216)</f>
        <v> </v>
      </c>
      <c r="DD216" s="320" t="str">
        <f aca="false">IF($A216="N/A"," ",SUM(CC216:CK216))</f>
        <v> </v>
      </c>
      <c r="DE216" s="321" t="str">
        <f aca="false">IF($A216="N/A"," ",VLOOKUP($A216,NumberofDaysTable,2)*Availability)</f>
        <v> </v>
      </c>
      <c r="DF216" s="94" t="str">
        <f aca="false">IF($A216="N/A"," ",VLOOKUP($A216,NumberofDaysTable,3)*Availability)</f>
        <v> </v>
      </c>
      <c r="DG216" s="322" t="str">
        <f aca="false">IF($A216="N/A"," ",VLOOKUP($A216,NumberofDaysTable,4)*Availability)</f>
        <v> </v>
      </c>
      <c r="DH216" s="323" t="str">
        <f aca="false">IF($A216="N/A"," ",IF(Option=1,$D216*Inputs!$S$15*SUM(AS216:BA216),0))</f>
        <v> </v>
      </c>
      <c r="DI216" s="324" t="str">
        <f aca="false">IF($A216="N/A"," ",IF(Option=1,$D216*Inputs!$S$16*SUM(AS216:BA216),0))</f>
        <v> </v>
      </c>
      <c r="DJ216" s="325" t="str">
        <f aca="false">IF($A216="N/A"," ",SUM(AS216:AT216))</f>
        <v> </v>
      </c>
      <c r="DK216" s="325" t="str">
        <f aca="false">IF($A216="N/A"," ",SUM(AU216:BA216))</f>
        <v> </v>
      </c>
      <c r="DL216" s="325" t="str">
        <f aca="false">IF($A216="N/A"," ",SUM(BB216:BC216))</f>
        <v> </v>
      </c>
      <c r="DM216" s="325" t="str">
        <f aca="false">IF($A216="N/A"," ",SUM(BD216:BJ216))</f>
        <v> </v>
      </c>
    </row>
    <row r="217" customFormat="false" ht="12.75" hidden="false" customHeight="false" outlineLevel="0" collapsed="false">
      <c r="A217" s="282" t="str">
        <f aca="false">IF(A216="N/A","N/A",IF(EDATE(A216,1)&gt;Inputs!$S$5,"N/A",EDATE(A216,1)))</f>
        <v>N/A</v>
      </c>
      <c r="B217" s="283" t="str">
        <f aca="false">IF(A217="N/A"," ",YEAR(A217))</f>
        <v> </v>
      </c>
      <c r="C217" s="284" t="str">
        <f aca="false">IF(A217="N/A"," ",VLOOKUP(A217,ScaledPrice,14))</f>
        <v> </v>
      </c>
      <c r="D217" s="285" t="str">
        <f aca="false">IF(A217="N/A"," ",(VLOOKUP(MONTH($A217),Hrtable,2))/1000)</f>
        <v> </v>
      </c>
      <c r="E217" s="286" t="str">
        <f aca="false">IF($A217="N/A"," ",(C217)*D217)</f>
        <v> </v>
      </c>
      <c r="F217" s="287" t="str">
        <f aca="false">IF(A217="N/A"," ",VOM*(1+VOMesc)^(YEAR(A217)-YEAR(Today)))</f>
        <v> </v>
      </c>
      <c r="G217" s="287" t="str">
        <f aca="false">IF(A217="N/A"," ",Perstart/VLOOKUP(Dayrun,'Pricing Inputs'!$AQ$4:$AS$14,3)/(CY217/CX217))</f>
        <v> </v>
      </c>
      <c r="H217" s="288" t="str">
        <f aca="false">IF(A217="N/A"," ",SUM(E217:G217))</f>
        <v> </v>
      </c>
      <c r="I217" s="289" t="str">
        <f aca="false">VLOOKUP($A217,ScaledPrice,6)</f>
        <v> </v>
      </c>
      <c r="J217" s="290" t="str">
        <f aca="false">VLOOKUP($A217,ScaledPrice,10)</f>
        <v> </v>
      </c>
      <c r="K217" s="290" t="str">
        <f aca="false">VLOOKUP($A217,ScaledPrice,13)</f>
        <v> </v>
      </c>
      <c r="L217" s="290" t="str">
        <f aca="false">VLOOKUP($A217,ScaledPrice,7)</f>
        <v> </v>
      </c>
      <c r="M217" s="290" t="str">
        <f aca="false">VLOOKUP($A217,ScaledPrice,11)</f>
        <v> </v>
      </c>
      <c r="N217" s="290" t="str">
        <f aca="false">VLOOKUP($A217,ScaledPrice,13)</f>
        <v> </v>
      </c>
      <c r="O217" s="290" t="str">
        <f aca="false">VLOOKUP($A217,ScaledPrice,8)</f>
        <v> </v>
      </c>
      <c r="P217" s="290" t="str">
        <f aca="false">VLOOKUP($A217,ScaledPrice,12)</f>
        <v> </v>
      </c>
      <c r="Q217" s="291" t="str">
        <f aca="false">VLOOKUP($A217,ScaledPrice,13)</f>
        <v> </v>
      </c>
      <c r="R217" s="292" t="str">
        <f aca="false">IF($A217="N/A"," ",IF(Dayrun&gt;=3,IF(Option=1,MAX($I217-$H217,0),IF(Option=2,MAX($H217-$I217,0),0)),0))</f>
        <v> </v>
      </c>
      <c r="S217" s="286" t="str">
        <f aca="false">IF($A217="N/A"," ",IF(Dayrun&gt;=6,IF(Option=1,MAX($J217-H217,0),IF(Option=2,MAX(H217-$J217,0),0)),0))</f>
        <v> </v>
      </c>
      <c r="T217" s="286" t="str">
        <f aca="false">IF($A217="N/A"," ",IF(OR(Dayrun&lt;=2,Dayrun&gt;=9),IF(Option=1,MAX($K217-$H217,0),IF(Option=2,MAX($H217-$K217,0),0)),0))</f>
        <v> </v>
      </c>
      <c r="U217" s="286" t="str">
        <f aca="false">IF($A217="N/A"," ",IF(OR(Dayrun=1,Dayrun=4,Dayrun=5,Dayrun=7,Dayrun=8,Dayrun=10,Dayrun=11),IF(Option=1,MAX($L217-H217,0),IF(Option=2,MAX(H217-$L217,0),0)),0))</f>
        <v> </v>
      </c>
      <c r="V217" s="286" t="str">
        <f aca="false">IF($A217="N/A"," ",IF(OR(Dayrun=1,Dayrun=7,Dayrun=8,Dayrun=10,Dayrun=11),IF(Option=1,MAX($M217-H217,0),IF(Option=2,MAX(H217-$M217,0),0)),0))</f>
        <v> </v>
      </c>
      <c r="W217" s="286" t="str">
        <f aca="false">IF($A217="N/A"," ",IF(OR(Dayrun&lt;=2,Dayrun&gt;=10),IF(Option=1,MAX($N217-$H217,0),IF(Option=2,MAX($H217-$N217,0),0)),0))</f>
        <v> </v>
      </c>
      <c r="X217" s="286" t="str">
        <f aca="false">IF($A217="N/A"," ",IF(OR(Dayrun=1,Dayrun=5,Dayrun=8,Dayrun=11),IF(Option=1,MAX($O217-H217,0),IF(Option=2,MAX(H217-$O217,0),0)),0))</f>
        <v> </v>
      </c>
      <c r="Y217" s="286" t="str">
        <f aca="false">IF($A217="N/A"," ",IF(OR(Dayrun=1,Dayrun=8,Dayrun=11),IF(Option=1,MAX($P217-H217,0),IF(Option=2,MAX(H217-$P217,0),0)),0))</f>
        <v> </v>
      </c>
      <c r="Z217" s="293" t="str">
        <f aca="false">IF($A217="N/A"," ",IF(OR(Dayrun&lt;=2,Dayrun&gt;=11),IF(Option=1,MAX($Q217-$H217,0),IF(Option=2,MAX($H217-$Q217,0),0)),0))</f>
        <v> </v>
      </c>
      <c r="AA217" s="289" t="str">
        <f aca="false">IF($A217="N/A"," ",IF(Dayrun&gt;=3,(MAX(0,(xSPRDOPT(I217,($E217-'Pricing Inputs'!$X252*$D217),$CV217,0,($CN217+IF(Smile=TRUE(),VLOOKUP(MAX(-5,$H217-I217),Volsmile,2),0)),$CT217,$CU217,($A217-DateToday)+15,ABS(Option-2),0)-R217))),0))</f>
        <v> </v>
      </c>
      <c r="AB217" s="290" t="str">
        <f aca="false">IF($A217="N/A"," ",IF(Dayrun&gt;=6,MAX(0,(xSPRDOPT(J217,($E217-'Pricing Inputs'!$X252*$D217),$CV217,0,($CN217+IF(Smile=TRUE(),VLOOKUP(MAX(-5,$H217-J217),Volsmile,2),0)),$CT217,$CU217,($A217-DateToday)+15,ABS(Option-2),0)-S217)),0))</f>
        <v> </v>
      </c>
      <c r="AC217" s="290" t="str">
        <f aca="false">IF($A217="N/A"," ",IF(OR(Dayrun&lt;=2,Dayrun&gt;=9),IF(OffPeakEx=TRUE(),MAX(0,(xSPRDOPT(K217,($E217-'Pricing Inputs'!$X252*$D217),$CV217,0,($CQ217+IF(Smile=TRUE(),VLOOKUP(MAX(-5,$H217-K217),Volsmile,2),0)),$CT217,$CU217,($A217-DateToday)+15,ABS(Option-2),0)-T217)),0),0))</f>
        <v> </v>
      </c>
      <c r="AD217" s="290" t="str">
        <f aca="false">IF($A217="N/A"," ",IF(OR(Dayrun=1,Dayrun=4,Dayrun=5,Dayrun=7,Dayrun=8,Dayrun=10,Dayrun=11),MAX(0,(xSPRDOPT(L217,($E217-'Pricing Inputs'!$X252*$D217),$CV217,0,($CQ217+IF(Smile=TRUE(),VLOOKUP(MAX(-5,$H217-L217),Volsmile,2),0)),$CT217,$CU217,($A217-DateToday)+15,ABS(Option-2),0)-U217)),0))</f>
        <v> </v>
      </c>
      <c r="AE217" s="290" t="str">
        <f aca="false">IF($A217="N/A"," ",IF(OR(Dayrun=1,Dayrun=7,Dayrun=8,Dayrun=10,Dayrun=11),MAX(0,(xSPRDOPT(M217,($E217-'Pricing Inputs'!$X252*$D217),$CV217,0,($CQ217+IF(Smile=TRUE(),VLOOKUP(MAX(-5,$H217-M217),Volsmile,2),0)),$CT217,$CU217,($A217-DateToday)+15,ABS(Option-2),0)-V217)),0))</f>
        <v> </v>
      </c>
      <c r="AF217" s="290" t="str">
        <f aca="false">IF($A217="N/A"," ",IF(OR(Dayrun&lt;=2,Dayrun&gt;=10),IF(OffPeakEx=TRUE(),MAX(0,(xSPRDOPT(N217,($E217-'Pricing Inputs'!$X252*$D217),$CV217,0,($CQ217+IF(Smile=TRUE(),VLOOKUP(MAX(-5,$H217-N217),Volsmile,2),0)),$CT217,$CU217,($A217-DateToday)+15,ABS(Option-2),0)-W217)),0),0))</f>
        <v> </v>
      </c>
      <c r="AG217" s="290" t="str">
        <f aca="false">IF($A217="N/A"," ",IF(OR(Dayrun=1,Dayrun=5,Dayrun=8,Dayrun=11),MAX(0,(xSPRDOPT(O217,($E217-'Pricing Inputs'!$X252*$D217),$CV217,0,($CQ217+IF(Smile=TRUE(),VLOOKUP(MAX(-5,$H217-O217),Volsmile,2),0)),$CT217,$CU217,($A217-DateToday)+15,ABS(Option-2),0)-X217)),0))</f>
        <v> </v>
      </c>
      <c r="AH217" s="290" t="str">
        <f aca="false">IF($A217="N/A"," ",IF(OR(Dayrun=1,Dayrun=8,Dayrun=11),MAX(0,(xSPRDOPT(P217,($E217-'Pricing Inputs'!$X252*$D217),$CV217,0,($CQ217+IF(Smile=TRUE(),VLOOKUP(MAX(-5,$H217-P217),Volsmile,2),0)),$CT217,$CU217,($A217-DateToday)+15,ABS(Option-2),0)-Y217)),0))</f>
        <v> </v>
      </c>
      <c r="AI217" s="290" t="str">
        <f aca="false">IF($A217="N/A"," ",IF(OR(Dayrun&lt;=2,Dayrun&gt;=11),IF(OffPeakEx=TRUE(),MAX(0,(xSPRDOPT(Q217,($E217-'Pricing Inputs'!$X252*$D217),$CV217,0,($CQ217+IF(Smile=TRUE(),VLOOKUP(MAX(-5,$H217-Q217),Volsmile,2),0)),$CT217,$CU217,($A217-DateToday)+15,ABS(Option-2),0)-Z217)),0),0))</f>
        <v> </v>
      </c>
      <c r="AJ217" s="294" t="str">
        <f aca="false">IF($A217="N/A"," ",IF(Dayrun&gt;=3,IF(Option=1,$I217-$H217,IF(Option=2,$H217-$I217)),0))</f>
        <v> </v>
      </c>
      <c r="AK217" s="295" t="str">
        <f aca="false">IF($A217="N/A"," ",IF(Dayrun&gt;=6,IF(Option=1,$J217-H217,IF(Option=2,H217-$J217)),0))</f>
        <v> </v>
      </c>
      <c r="AL217" s="295" t="str">
        <f aca="false">IF($A217="N/A"," ",IF(OR(Dayrun&lt;=2,Dayrun&gt;=9),IF(Option=1,$K217-$H217,IF(Option=2,$H217-$K217)),0))</f>
        <v> </v>
      </c>
      <c r="AM217" s="295" t="str">
        <f aca="false">IF($A217="N/A"," ",IF(OR(Dayrun=1,Dayrun=4,Dayrun=5,Dayrun=7,Dayrun=8,Dayrun=10,Dayrun=11),IF(Option=1,$L217-H217,IF(Option=2,H217-$L217)),0))</f>
        <v> </v>
      </c>
      <c r="AN217" s="295" t="str">
        <f aca="false">IF($A217="N/A"," ",IF(OR(Dayrun=1,Dayrun=7,Dayrun=8,Dayrun=10,Dayrun=11),IF(Option=1,$M217-H217,IF(Option=2,H217-$M217)),0))</f>
        <v> </v>
      </c>
      <c r="AO217" s="295" t="str">
        <f aca="false">IF($A217="N/A"," ",IF(OR(Dayrun&lt;=2,Dayrun&gt;=9),IF(Option=1,$N217-$H217,IF(Option=2,$H217-$N217)),0))</f>
        <v> </v>
      </c>
      <c r="AP217" s="295" t="str">
        <f aca="false">IF($A217="N/A"," ",IF(OR(Dayrun=1,Dayrun=5,Dayrun=8,Dayrun=11),IF(Option=1,$O217-H217,IF(Option=2,H217-$O217)),0))</f>
        <v> </v>
      </c>
      <c r="AQ217" s="295" t="str">
        <f aca="false">IF($A217="N/A"," ",IF(OR(Dayrun=1,Dayrun=8,Dayrun=11),IF(Option=1,$P217-H217,IF(Option=2,H217-$P217)),0))</f>
        <v> </v>
      </c>
      <c r="AR217" s="296" t="str">
        <f aca="false">IF($A217="N/A"," ",IF(OR(Dayrun&lt;=2,Dayrun&gt;=9),IF(Option=1,$Q217-H217,IF(Option=2,H217-$Q217)),0))</f>
        <v> </v>
      </c>
      <c r="AS217" s="297" t="str">
        <f aca="false">IF($A217="N/A"," ",IF(VLOOKUP(MONTH($A217),ManualTable,2)=1,IF(Dayrun&gt;=3,$DE217*8*$CY217,0),0))</f>
        <v> </v>
      </c>
      <c r="AT217" s="297" t="str">
        <f aca="false">IF($A217="N/A"," ",IF(VLOOKUP(MONTH($A217),ManualTable,3)=1,IF(Dayrun&gt;=6,$DE217*8*$CY217,0),0))</f>
        <v> </v>
      </c>
      <c r="AU217" s="297" t="str">
        <f aca="false">IF($A217="N/A"," ",IF(VLOOKUP(MONTH($A217),ManualTable,4)=1,IF(OR(Dayrun&lt;=2,Dayrun&gt;=9),$DE217*8*$CY217,0),0))</f>
        <v> </v>
      </c>
      <c r="AV217" s="297" t="str">
        <f aca="false">IF($A217="N/A"," ",IF(VLOOKUP(MONTH($A217),ManualTable,5)=1,IF(OR(Dayrun=1,Dayrun=4,Dayrun=5,Dayrun=7,Dayrun=8,Dayrun=10,Dayrun=11),$DF217*8*$CY217,0),0))</f>
        <v> </v>
      </c>
      <c r="AW217" s="297" t="str">
        <f aca="false">IF($A217="N/A"," ",IF(VLOOKUP(MONTH($A217),ManualTable,6)=1,IF(OR(Dayrun=1,Dayrun=7,Dayrun=8,Dayrun=10,Dayrun=11),$DF217*8*$CY217,0),0))</f>
        <v> </v>
      </c>
      <c r="AX217" s="297" t="str">
        <f aca="false">IF($A217="N/A"," ",IF(VLOOKUP(MONTH($A217),ManualTable,7)=1,IF(OR(Dayrun&lt;=2,Dayrun&gt;=9),$DF217*8*$CY217,0),0))</f>
        <v> </v>
      </c>
      <c r="AY217" s="297" t="str">
        <f aca="false">IF($A217="N/A"," ",IF(VLOOKUP(MONTH($A217),ManualTable,8)=1,IF(OR(Dayrun=1,Dayrun=5,Dayrun=8,Dayrun=11),$DG217*8*$CY217,0),0))</f>
        <v> </v>
      </c>
      <c r="AZ217" s="297" t="str">
        <f aca="false">IF($A217="N/A"," ",IF(VLOOKUP(MONTH($A217),ManualTable,9)=1,IF(OR(Dayrun=1,Dayrun=8,Dayrun=11),$DG217*8*$CY217,0),0))</f>
        <v> </v>
      </c>
      <c r="BA217" s="298" t="str">
        <f aca="false">IF($A217="N/A"," ",IF(VLOOKUP(MONTH($A217),ManualTable,10)=1,IF(OR(Dayrun&lt;=2,Dayrun&gt;=9),$DG217*8*$CY217,0),0))</f>
        <v> </v>
      </c>
      <c r="BB217" s="299" t="str">
        <f aca="false">IF($A217="N/A"," ",IF(Dayrun&gt;=3,(MAX(0,(xSPRDOPT(I217,($E217-'Pricing Inputs'!$X252*$D217),$CV217,0,($CN217+IF(Smile=TRUE(),VLOOKUP(MAX(-5,$H217-I217),Volsmile,2),0)),$CT217,$CU217,($A217-DateToday)+15,ABS(Option-2),1)*DE217*8))),0))</f>
        <v> </v>
      </c>
      <c r="BC217" s="300" t="str">
        <f aca="false">IF($A217="N/A"," ",IF(Dayrun&gt;=6,MAX(0,(xSPRDOPT(J217,($E217-'Pricing Inputs'!$X252*$D217),$CV217,0,($CN217+IF(Smile=TRUE(),VLOOKUP(MAX(-5,$H217-J217),Volsmile,2),0)),$CT217,$CU217,($A217-DateToday)+15,ABS(Option-2),1)*DE217*8)),0))</f>
        <v> </v>
      </c>
      <c r="BD217" s="300" t="str">
        <f aca="false">IF($A217="N/A"," ",IF(OR(Dayrun&lt;=2,Dayrun&gt;=9),IF(OffPeakEx=TRUE(),MAX(0,(xSPRDOPT(K217,($E217-'Pricing Inputs'!$X252*$D217),$CV217,0,($CQ217+IF(Smile=TRUE(),VLOOKUP(MAX(-5,$H217-K217),Volsmile,2),0)),$CT217,$CU217,($A217-DateToday)+15,ABS(Option-2),1)*DE217*8)),0),0))</f>
        <v> </v>
      </c>
      <c r="BE217" s="300" t="str">
        <f aca="false">IF($A217="N/A"," ",IF(OR(Dayrun=1,Dayrun=4,Dayrun=5,Dayrun=7,Dayrun=8,Dayrun=10,Dayrun=11),MAX(0,(xSPRDOPT(L217,($E217-'Pricing Inputs'!$X252*$D217),$CV217,0,($CQ217+IF(Smile=TRUE(),VLOOKUP(MAX(-5,$H217-L217),Volsmile,2),0)),$CT217,$CU217,($A217-DateToday)+15,ABS(Option-2),1)*DF217*8)),0))</f>
        <v> </v>
      </c>
      <c r="BF217" s="300" t="str">
        <f aca="false">IF($A217="N/A"," ",IF(OR(Dayrun=1,Dayrun=7,Dayrun=8,Dayrun=10,Dayrun=11),MAX(0,(xSPRDOPT(M217,($E217-'Pricing Inputs'!$X252*$D217),$CV217,0,($CQ217+IF(Smile=TRUE(),VLOOKUP(MAX(-5,$H217-M217),Volsmile,2),0)),$CT217,$CU217,($A217-DateToday)+15,ABS(Option-2),1)*DF217*8)),0))</f>
        <v> </v>
      </c>
      <c r="BG217" s="300" t="str">
        <f aca="false">IF($A217="N/A"," ",IF(OR(Dayrun&lt;=2,Dayrun&gt;=10),IF(OffPeakEx=TRUE(),MAX(0,(xSPRDOPT(N217,($E217-'Pricing Inputs'!$X252*$D217),$CV217,0,($CQ217+IF(Smile=TRUE(),VLOOKUP(MAX(-5,$H217-N217),Volsmile,2),0)),$CT217,$CU217,($A217-DateToday)+15,ABS(Option-2),1)*DF217*8)),0),0))</f>
        <v> </v>
      </c>
      <c r="BH217" s="300" t="str">
        <f aca="false">IF($A217="N/A"," ",IF(OR(Dayrun=1,Dayrun=5,Dayrun=8,Dayrun=11),MAX(0,(xSPRDOPT(O217,($E217-'Pricing Inputs'!$X252*$D217),$CV217,0,($CQ217+IF(Smile=TRUE(),VLOOKUP(MAX(-5,$H217-O217),Volsmile,2),0)),$CT217,$CU217,($A217-DateToday)+15,ABS(Option-2),1)*DG217*8)),0))</f>
        <v> </v>
      </c>
      <c r="BI217" s="300" t="str">
        <f aca="false">IF($A217="N/A"," ",IF(OR(Dayrun=1,Dayrun=8,Dayrun=11),MAX(0,(xSPRDOPT(P217,($E217-'Pricing Inputs'!$X252*$D217),$CV217,0,($CQ217+IF(Smile=TRUE(),VLOOKUP(MAX(-5,$H217-P217),Volsmile,2),0)),$CT217,$CU217,($A217-DateToday)+15,ABS(Option-2),1)*DG217*8)),0))</f>
        <v> </v>
      </c>
      <c r="BJ217" s="301" t="str">
        <f aca="false">IF($A217="N/A"," ",IF(OR(Dayrun&lt;=2,Dayrun&gt;=11),IF(OffPeakEx=TRUE(),MAX(0,(xSPRDOPT(Q217,($E217-'Pricing Inputs'!$X252*$D217),$CV217,0,($CQ217+IF(Smile=TRUE(),VLOOKUP(MAX(-5,$H217-Q217),Volsmile,2),0)),$CT217,$CU217,($A217-DateToday)+15,ABS(Option-2),1)*DG217*8)),0),0))</f>
        <v> </v>
      </c>
      <c r="BK217" s="302" t="str">
        <f aca="false">IF($A217="N/A"," ",R217*$AS217)</f>
        <v> </v>
      </c>
      <c r="BL217" s="303" t="str">
        <f aca="false">IF($A217="N/A"," ",S217*$AT217)</f>
        <v> </v>
      </c>
      <c r="BM217" s="303" t="str">
        <f aca="false">IF($A217="N/A"," ",T217*$AU217)</f>
        <v> </v>
      </c>
      <c r="BN217" s="303" t="str">
        <f aca="false">IF($A217="N/A"," ",U217*$AV217)</f>
        <v> </v>
      </c>
      <c r="BO217" s="303" t="str">
        <f aca="false">IF($A217="N/A"," ",V217*$AW217)</f>
        <v> </v>
      </c>
      <c r="BP217" s="303" t="str">
        <f aca="false">IF($A217="N/A"," ",W217*$AX217)</f>
        <v> </v>
      </c>
      <c r="BQ217" s="303" t="str">
        <f aca="false">IF($A217="N/A"," ",X217*$AY217)</f>
        <v> </v>
      </c>
      <c r="BR217" s="303" t="str">
        <f aca="false">IF($A217="N/A"," ",Y217*$AZ217)</f>
        <v> </v>
      </c>
      <c r="BS217" s="304" t="str">
        <f aca="false">IF($A217="N/A"," ",Z217*$BA217)</f>
        <v> </v>
      </c>
      <c r="BT217" s="305" t="str">
        <f aca="false">IF($A217="N/A"," ",AA217*$AS217)</f>
        <v> </v>
      </c>
      <c r="BU217" s="306" t="str">
        <f aca="false">IF($A217="N/A"," ",AB217*$AT217)</f>
        <v> </v>
      </c>
      <c r="BV217" s="306" t="str">
        <f aca="false">IF($A217="N/A"," ",AC217*$AU217)</f>
        <v> </v>
      </c>
      <c r="BW217" s="306" t="str">
        <f aca="false">IF($A217="N/A"," ",AD217*$AV217)</f>
        <v> </v>
      </c>
      <c r="BX217" s="306" t="str">
        <f aca="false">IF($A217="N/A"," ",AE217*$AW217)</f>
        <v> </v>
      </c>
      <c r="BY217" s="306" t="str">
        <f aca="false">IF($A217="N/A"," ",AF217*$AX217)</f>
        <v> </v>
      </c>
      <c r="BZ217" s="306" t="str">
        <f aca="false">IF($A217="N/A"," ",AG217*$AY217)</f>
        <v> </v>
      </c>
      <c r="CA217" s="306" t="str">
        <f aca="false">IF($A217="N/A"," ",AH217*$AZ217)</f>
        <v> </v>
      </c>
      <c r="CB217" s="307" t="str">
        <f aca="false">IF($A217="N/A"," ",AI217*$BA217)</f>
        <v> </v>
      </c>
      <c r="CC217" s="308" t="str">
        <f aca="false">IF($A217="N/A"," ",AJ217*$AS217)</f>
        <v> </v>
      </c>
      <c r="CD217" s="309" t="str">
        <f aca="false">IF($A217="N/A"," ",AK217*$AT217)</f>
        <v> </v>
      </c>
      <c r="CE217" s="309" t="str">
        <f aca="false">IF($A217="N/A"," ",AL217*$AU217)</f>
        <v> </v>
      </c>
      <c r="CF217" s="309" t="str">
        <f aca="false">IF($A217="N/A"," ",AM217*$AV217)</f>
        <v> </v>
      </c>
      <c r="CG217" s="309" t="str">
        <f aca="false">IF($A217="N/A"," ",AN217*$AW217)</f>
        <v> </v>
      </c>
      <c r="CH217" s="309" t="str">
        <f aca="false">IF($A217="N/A"," ",AO217*$AX217)</f>
        <v> </v>
      </c>
      <c r="CI217" s="309" t="str">
        <f aca="false">IF($A217="N/A"," ",AP217*$AY217)</f>
        <v> </v>
      </c>
      <c r="CJ217" s="309" t="str">
        <f aca="false">IF($A217="N/A"," ",AQ217*$AZ217)</f>
        <v> </v>
      </c>
      <c r="CK217" s="310" t="str">
        <f aca="false">IF($A217="N/A"," ",AR217*$BA217)</f>
        <v> </v>
      </c>
      <c r="CL217" s="311" t="str">
        <f aca="false">IF(A217="N/A"," ",(VLOOKUP(A217,PowerVolTable,(IF(VolBMO=2,7,IF(VolBMO=1,6,8))),FALSE())))</f>
        <v> </v>
      </c>
      <c r="CM217" s="312" t="str">
        <f aca="false">IF(A217="N/A"," ",(VLOOKUP(A217,IntraPowerVol,(IF(VolBMO=2,3,IF(VolBMO=1,2,4))),FALSE())*VLOOKUP(MONTH($A217),Volscale,2)))</f>
        <v> </v>
      </c>
      <c r="CN217" s="312" t="str">
        <f aca="false">IF($A217="N/A"," ",IF(VolType=1,CM217,CL217))</f>
        <v> </v>
      </c>
      <c r="CO217" s="312" t="str">
        <f aca="false">IF($A217="N/A"," ",(VLOOKUP($A217,OffPeakVol,(IF(VolBMO=2,7,IF(VolBMO=1,6,8))),FALSE())))</f>
        <v> </v>
      </c>
      <c r="CP217" s="312" t="str">
        <f aca="false">IF($A217="N/A"," ",(VLOOKUP($A217,OffPeakVol,(IF(VolBMO=2,3,IF(VolBMO=1,2,4))),FALSE())*VLOOKUP(MONTH($A217),Volscale,2)))</f>
        <v> </v>
      </c>
      <c r="CQ217" s="312" t="str">
        <f aca="false">IF($A217="N/A"," ",IF(VolType=1,CP217,CO217))</f>
        <v> </v>
      </c>
      <c r="CR217" s="312" t="str">
        <f aca="false">IF($A217="N/A"," ",(VLOOKUP($A217,GasVolTable,(IF(VolBMO=2,6,IF(VolBMO=1,7,5))),FALSE())))</f>
        <v> </v>
      </c>
      <c r="CS217" s="312" t="str">
        <f aca="false">IF($A217="N/A"," ",(VLOOKUP($A217,OmicronVol,(IF(VolBMO=2,3,IF(VolBMO=1,4,2))),FALSE())))</f>
        <v> </v>
      </c>
      <c r="CT217" s="312" t="str">
        <f aca="false">IF($A217="N/A"," ",(IF(DateToday&gt;$A217,$CS217,IF(VolType=1,((($CR217^2)*((($A217-1)-DateToday)/((EOMONTH($A217,0)+1)-DateToday-15)))+((($CS217)^2)*((15)/((EOMONTH($A217,0)+1)-DateToday-15))))^0.5,CR217))))</f>
        <v> </v>
      </c>
      <c r="CU217" s="312" t="str">
        <f aca="false">IF($A217="N/A"," ",IF('Pricing Inputs'!$AR$23=TRUE(),Inputs!$S$22,VLOOKUP($A217,CorrelationTable,2,FALSE())))</f>
        <v> </v>
      </c>
      <c r="CV217" s="313" t="str">
        <f aca="false">IF($A217="N/A"," ",F217+G217+(D217*('Pricing Inputs'!X252)))</f>
        <v> </v>
      </c>
      <c r="CW217" s="314" t="str">
        <f aca="false">IF($A217="N/A"," ",IF(PV=1,0,'Pricing Inputs'!Y252))</f>
        <v> </v>
      </c>
      <c r="CX217" s="315" t="str">
        <f aca="false">IF($A217="N/A"," ",(1+CW217/2)^(-2*((EOMONTH(A217,0)+20)-DateToday)/365.25))</f>
        <v> </v>
      </c>
      <c r="CY217" s="316" t="str">
        <f aca="false">IF($A217="N/A"," ",(IF(MONTH(A217)&gt;=4,IF(MONTH(A217)&lt;=10,Inputs!$S$26,Inputs!$S$27),Inputs!$S$27))*$CX217)</f>
        <v> </v>
      </c>
      <c r="CZ217" s="317" t="str">
        <f aca="false">IF($A217="N/A"," ",BK217+BL217+BN217+BO217+BQ217+BR217)</f>
        <v> </v>
      </c>
      <c r="DA217" s="318" t="str">
        <f aca="false">IF($A217="N/A"," ",BM217+BP217+BS217)</f>
        <v> </v>
      </c>
      <c r="DB217" s="319" t="str">
        <f aca="false">IF($A217="N/A"," ",BT217+BU217+BW217+BX217+BZ217+CA217)</f>
        <v> </v>
      </c>
      <c r="DC217" s="319" t="str">
        <f aca="false">IF($A217="N/A"," ",BV217+BY217+CB217)</f>
        <v> </v>
      </c>
      <c r="DD217" s="320" t="str">
        <f aca="false">IF($A217="N/A"," ",SUM(CC217:CK217))</f>
        <v> </v>
      </c>
      <c r="DE217" s="321" t="str">
        <f aca="false">IF($A217="N/A"," ",VLOOKUP($A217,NumberofDaysTable,2)*Availability)</f>
        <v> </v>
      </c>
      <c r="DF217" s="94" t="str">
        <f aca="false">IF($A217="N/A"," ",VLOOKUP($A217,NumberofDaysTable,3)*Availability)</f>
        <v> </v>
      </c>
      <c r="DG217" s="322" t="str">
        <f aca="false">IF($A217="N/A"," ",VLOOKUP($A217,NumberofDaysTable,4)*Availability)</f>
        <v> </v>
      </c>
      <c r="DH217" s="323" t="str">
        <f aca="false">IF($A217="N/A"," ",IF(Option=1,$D217*Inputs!$S$15*SUM(AS217:BA217),0))</f>
        <v> </v>
      </c>
      <c r="DI217" s="324" t="str">
        <f aca="false">IF($A217="N/A"," ",IF(Option=1,$D217*Inputs!$S$16*SUM(AS217:BA217),0))</f>
        <v> </v>
      </c>
      <c r="DJ217" s="325" t="str">
        <f aca="false">IF($A217="N/A"," ",SUM(AS217:AT217))</f>
        <v> </v>
      </c>
      <c r="DK217" s="325" t="str">
        <f aca="false">IF($A217="N/A"," ",SUM(AU217:BA217))</f>
        <v> </v>
      </c>
      <c r="DL217" s="325" t="str">
        <f aca="false">IF($A217="N/A"," ",SUM(BB217:BC217))</f>
        <v> </v>
      </c>
      <c r="DM217" s="325" t="str">
        <f aca="false">IF($A217="N/A"," ",SUM(BD217:BJ217))</f>
        <v> </v>
      </c>
    </row>
    <row r="218" customFormat="false" ht="12.75" hidden="false" customHeight="false" outlineLevel="0" collapsed="false">
      <c r="A218" s="282" t="str">
        <f aca="false">IF(A217="N/A","N/A",IF(EDATE(A217,1)&gt;Inputs!$S$5,"N/A",EDATE(A217,1)))</f>
        <v>N/A</v>
      </c>
      <c r="B218" s="283" t="str">
        <f aca="false">IF(A218="N/A"," ",YEAR(A218))</f>
        <v> </v>
      </c>
      <c r="C218" s="284" t="str">
        <f aca="false">IF(A218="N/A"," ",VLOOKUP(A218,ScaledPrice,14))</f>
        <v> </v>
      </c>
      <c r="D218" s="285" t="str">
        <f aca="false">IF(A218="N/A"," ",(VLOOKUP(MONTH($A218),Hrtable,2))/1000)</f>
        <v> </v>
      </c>
      <c r="E218" s="286" t="str">
        <f aca="false">IF($A218="N/A"," ",(C218)*D218)</f>
        <v> </v>
      </c>
      <c r="F218" s="287" t="str">
        <f aca="false">IF(A218="N/A"," ",VOM*(1+VOMesc)^(YEAR(A218)-YEAR(Today)))</f>
        <v> </v>
      </c>
      <c r="G218" s="287" t="str">
        <f aca="false">IF(A218="N/A"," ",Perstart/VLOOKUP(Dayrun,'Pricing Inputs'!$AQ$4:$AS$14,3)/(CY218/CX218))</f>
        <v> </v>
      </c>
      <c r="H218" s="288" t="str">
        <f aca="false">IF(A218="N/A"," ",SUM(E218:G218))</f>
        <v> </v>
      </c>
      <c r="I218" s="289" t="str">
        <f aca="false">VLOOKUP($A218,ScaledPrice,6)</f>
        <v> </v>
      </c>
      <c r="J218" s="290" t="str">
        <f aca="false">VLOOKUP($A218,ScaledPrice,10)</f>
        <v> </v>
      </c>
      <c r="K218" s="290" t="str">
        <f aca="false">VLOOKUP($A218,ScaledPrice,13)</f>
        <v> </v>
      </c>
      <c r="L218" s="290" t="str">
        <f aca="false">VLOOKUP($A218,ScaledPrice,7)</f>
        <v> </v>
      </c>
      <c r="M218" s="290" t="str">
        <f aca="false">VLOOKUP($A218,ScaledPrice,11)</f>
        <v> </v>
      </c>
      <c r="N218" s="290" t="str">
        <f aca="false">VLOOKUP($A218,ScaledPrice,13)</f>
        <v> </v>
      </c>
      <c r="O218" s="290" t="str">
        <f aca="false">VLOOKUP($A218,ScaledPrice,8)</f>
        <v> </v>
      </c>
      <c r="P218" s="290" t="str">
        <f aca="false">VLOOKUP($A218,ScaledPrice,12)</f>
        <v> </v>
      </c>
      <c r="Q218" s="291" t="str">
        <f aca="false">VLOOKUP($A218,ScaledPrice,13)</f>
        <v> </v>
      </c>
      <c r="R218" s="292" t="str">
        <f aca="false">IF($A218="N/A"," ",IF(Dayrun&gt;=3,IF(Option=1,MAX($I218-$H218,0),IF(Option=2,MAX($H218-$I218,0),0)),0))</f>
        <v> </v>
      </c>
      <c r="S218" s="286" t="str">
        <f aca="false">IF($A218="N/A"," ",IF(Dayrun&gt;=6,IF(Option=1,MAX($J218-H218,0),IF(Option=2,MAX(H218-$J218,0),0)),0))</f>
        <v> </v>
      </c>
      <c r="T218" s="286" t="str">
        <f aca="false">IF($A218="N/A"," ",IF(OR(Dayrun&lt;=2,Dayrun&gt;=9),IF(Option=1,MAX($K218-$H218,0),IF(Option=2,MAX($H218-$K218,0),0)),0))</f>
        <v> </v>
      </c>
      <c r="U218" s="286" t="str">
        <f aca="false">IF($A218="N/A"," ",IF(OR(Dayrun=1,Dayrun=4,Dayrun=5,Dayrun=7,Dayrun=8,Dayrun=10,Dayrun=11),IF(Option=1,MAX($L218-H218,0),IF(Option=2,MAX(H218-$L218,0),0)),0))</f>
        <v> </v>
      </c>
      <c r="V218" s="286" t="str">
        <f aca="false">IF($A218="N/A"," ",IF(OR(Dayrun=1,Dayrun=7,Dayrun=8,Dayrun=10,Dayrun=11),IF(Option=1,MAX($M218-H218,0),IF(Option=2,MAX(H218-$M218,0),0)),0))</f>
        <v> </v>
      </c>
      <c r="W218" s="286" t="str">
        <f aca="false">IF($A218="N/A"," ",IF(OR(Dayrun&lt;=2,Dayrun&gt;=10),IF(Option=1,MAX($N218-$H218,0),IF(Option=2,MAX($H218-$N218,0),0)),0))</f>
        <v> </v>
      </c>
      <c r="X218" s="286" t="str">
        <f aca="false">IF($A218="N/A"," ",IF(OR(Dayrun=1,Dayrun=5,Dayrun=8,Dayrun=11),IF(Option=1,MAX($O218-H218,0),IF(Option=2,MAX(H218-$O218,0),0)),0))</f>
        <v> </v>
      </c>
      <c r="Y218" s="286" t="str">
        <f aca="false">IF($A218="N/A"," ",IF(OR(Dayrun=1,Dayrun=8,Dayrun=11),IF(Option=1,MAX($P218-H218,0),IF(Option=2,MAX(H218-$P218,0),0)),0))</f>
        <v> </v>
      </c>
      <c r="Z218" s="293" t="str">
        <f aca="false">IF($A218="N/A"," ",IF(OR(Dayrun&lt;=2,Dayrun&gt;=11),IF(Option=1,MAX($Q218-$H218,0),IF(Option=2,MAX($H218-$Q218,0),0)),0))</f>
        <v> </v>
      </c>
      <c r="AA218" s="289" t="str">
        <f aca="false">IF($A218="N/A"," ",IF(Dayrun&gt;=3,(MAX(0,(xSPRDOPT(I218,($E218-'Pricing Inputs'!$X253*$D218),$CV218,0,($CN218+IF(Smile=TRUE(),VLOOKUP(MAX(-5,$H218-I218),Volsmile,2),0)),$CT218,$CU218,($A218-DateToday)+15,ABS(Option-2),0)-R218))),0))</f>
        <v> </v>
      </c>
      <c r="AB218" s="290" t="str">
        <f aca="false">IF($A218="N/A"," ",IF(Dayrun&gt;=6,MAX(0,(xSPRDOPT(J218,($E218-'Pricing Inputs'!$X253*$D218),$CV218,0,($CN218+IF(Smile=TRUE(),VLOOKUP(MAX(-5,$H218-J218),Volsmile,2),0)),$CT218,$CU218,($A218-DateToday)+15,ABS(Option-2),0)-S218)),0))</f>
        <v> </v>
      </c>
      <c r="AC218" s="290" t="str">
        <f aca="false">IF($A218="N/A"," ",IF(OR(Dayrun&lt;=2,Dayrun&gt;=9),IF(OffPeakEx=TRUE(),MAX(0,(xSPRDOPT(K218,($E218-'Pricing Inputs'!$X253*$D218),$CV218,0,($CQ218+IF(Smile=TRUE(),VLOOKUP(MAX(-5,$H218-K218),Volsmile,2),0)),$CT218,$CU218,($A218-DateToday)+15,ABS(Option-2),0)-T218)),0),0))</f>
        <v> </v>
      </c>
      <c r="AD218" s="290" t="str">
        <f aca="false">IF($A218="N/A"," ",IF(OR(Dayrun=1,Dayrun=4,Dayrun=5,Dayrun=7,Dayrun=8,Dayrun=10,Dayrun=11),MAX(0,(xSPRDOPT(L218,($E218-'Pricing Inputs'!$X253*$D218),$CV218,0,($CQ218+IF(Smile=TRUE(),VLOOKUP(MAX(-5,$H218-L218),Volsmile,2),0)),$CT218,$CU218,($A218-DateToday)+15,ABS(Option-2),0)-U218)),0))</f>
        <v> </v>
      </c>
      <c r="AE218" s="290" t="str">
        <f aca="false">IF($A218="N/A"," ",IF(OR(Dayrun=1,Dayrun=7,Dayrun=8,Dayrun=10,Dayrun=11),MAX(0,(xSPRDOPT(M218,($E218-'Pricing Inputs'!$X253*$D218),$CV218,0,($CQ218+IF(Smile=TRUE(),VLOOKUP(MAX(-5,$H218-M218),Volsmile,2),0)),$CT218,$CU218,($A218-DateToday)+15,ABS(Option-2),0)-V218)),0))</f>
        <v> </v>
      </c>
      <c r="AF218" s="290" t="str">
        <f aca="false">IF($A218="N/A"," ",IF(OR(Dayrun&lt;=2,Dayrun&gt;=10),IF(OffPeakEx=TRUE(),MAX(0,(xSPRDOPT(N218,($E218-'Pricing Inputs'!$X253*$D218),$CV218,0,($CQ218+IF(Smile=TRUE(),VLOOKUP(MAX(-5,$H218-N218),Volsmile,2),0)),$CT218,$CU218,($A218-DateToday)+15,ABS(Option-2),0)-W218)),0),0))</f>
        <v> </v>
      </c>
      <c r="AG218" s="290" t="str">
        <f aca="false">IF($A218="N/A"," ",IF(OR(Dayrun=1,Dayrun=5,Dayrun=8,Dayrun=11),MAX(0,(xSPRDOPT(O218,($E218-'Pricing Inputs'!$X253*$D218),$CV218,0,($CQ218+IF(Smile=TRUE(),VLOOKUP(MAX(-5,$H218-O218),Volsmile,2),0)),$CT218,$CU218,($A218-DateToday)+15,ABS(Option-2),0)-X218)),0))</f>
        <v> </v>
      </c>
      <c r="AH218" s="290" t="str">
        <f aca="false">IF($A218="N/A"," ",IF(OR(Dayrun=1,Dayrun=8,Dayrun=11),MAX(0,(xSPRDOPT(P218,($E218-'Pricing Inputs'!$X253*$D218),$CV218,0,($CQ218+IF(Smile=TRUE(),VLOOKUP(MAX(-5,$H218-P218),Volsmile,2),0)),$CT218,$CU218,($A218-DateToday)+15,ABS(Option-2),0)-Y218)),0))</f>
        <v> </v>
      </c>
      <c r="AI218" s="290" t="str">
        <f aca="false">IF($A218="N/A"," ",IF(OR(Dayrun&lt;=2,Dayrun&gt;=11),IF(OffPeakEx=TRUE(),MAX(0,(xSPRDOPT(Q218,($E218-'Pricing Inputs'!$X253*$D218),$CV218,0,($CQ218+IF(Smile=TRUE(),VLOOKUP(MAX(-5,$H218-Q218),Volsmile,2),0)),$CT218,$CU218,($A218-DateToday)+15,ABS(Option-2),0)-Z218)),0),0))</f>
        <v> </v>
      </c>
      <c r="AJ218" s="294" t="str">
        <f aca="false">IF($A218="N/A"," ",IF(Dayrun&gt;=3,IF(Option=1,$I218-$H218,IF(Option=2,$H218-$I218)),0))</f>
        <v> </v>
      </c>
      <c r="AK218" s="295" t="str">
        <f aca="false">IF($A218="N/A"," ",IF(Dayrun&gt;=6,IF(Option=1,$J218-H218,IF(Option=2,H218-$J218)),0))</f>
        <v> </v>
      </c>
      <c r="AL218" s="295" t="str">
        <f aca="false">IF($A218="N/A"," ",IF(OR(Dayrun&lt;=2,Dayrun&gt;=9),IF(Option=1,$K218-$H218,IF(Option=2,$H218-$K218)),0))</f>
        <v> </v>
      </c>
      <c r="AM218" s="295" t="str">
        <f aca="false">IF($A218="N/A"," ",IF(OR(Dayrun=1,Dayrun=4,Dayrun=5,Dayrun=7,Dayrun=8,Dayrun=10,Dayrun=11),IF(Option=1,$L218-H218,IF(Option=2,H218-$L218)),0))</f>
        <v> </v>
      </c>
      <c r="AN218" s="295" t="str">
        <f aca="false">IF($A218="N/A"," ",IF(OR(Dayrun=1,Dayrun=7,Dayrun=8,Dayrun=10,Dayrun=11),IF(Option=1,$M218-H218,IF(Option=2,H218-$M218)),0))</f>
        <v> </v>
      </c>
      <c r="AO218" s="295" t="str">
        <f aca="false">IF($A218="N/A"," ",IF(OR(Dayrun&lt;=2,Dayrun&gt;=9),IF(Option=1,$N218-$H218,IF(Option=2,$H218-$N218)),0))</f>
        <v> </v>
      </c>
      <c r="AP218" s="295" t="str">
        <f aca="false">IF($A218="N/A"," ",IF(OR(Dayrun=1,Dayrun=5,Dayrun=8,Dayrun=11),IF(Option=1,$O218-H218,IF(Option=2,H218-$O218)),0))</f>
        <v> </v>
      </c>
      <c r="AQ218" s="295" t="str">
        <f aca="false">IF($A218="N/A"," ",IF(OR(Dayrun=1,Dayrun=8,Dayrun=11),IF(Option=1,$P218-H218,IF(Option=2,H218-$P218)),0))</f>
        <v> </v>
      </c>
      <c r="AR218" s="296" t="str">
        <f aca="false">IF($A218="N/A"," ",IF(OR(Dayrun&lt;=2,Dayrun&gt;=9),IF(Option=1,$Q218-H218,IF(Option=2,H218-$Q218)),0))</f>
        <v> </v>
      </c>
      <c r="AS218" s="297" t="str">
        <f aca="false">IF($A218="N/A"," ",IF(VLOOKUP(MONTH($A218),ManualTable,2)=1,IF(Dayrun&gt;=3,$DE218*8*$CY218,0),0))</f>
        <v> </v>
      </c>
      <c r="AT218" s="297" t="str">
        <f aca="false">IF($A218="N/A"," ",IF(VLOOKUP(MONTH($A218),ManualTable,3)=1,IF(Dayrun&gt;=6,$DE218*8*$CY218,0),0))</f>
        <v> </v>
      </c>
      <c r="AU218" s="297" t="str">
        <f aca="false">IF($A218="N/A"," ",IF(VLOOKUP(MONTH($A218),ManualTable,4)=1,IF(OR(Dayrun&lt;=2,Dayrun&gt;=9),$DE218*8*$CY218,0),0))</f>
        <v> </v>
      </c>
      <c r="AV218" s="297" t="str">
        <f aca="false">IF($A218="N/A"," ",IF(VLOOKUP(MONTH($A218),ManualTable,5)=1,IF(OR(Dayrun=1,Dayrun=4,Dayrun=5,Dayrun=7,Dayrun=8,Dayrun=10,Dayrun=11),$DF218*8*$CY218,0),0))</f>
        <v> </v>
      </c>
      <c r="AW218" s="297" t="str">
        <f aca="false">IF($A218="N/A"," ",IF(VLOOKUP(MONTH($A218),ManualTable,6)=1,IF(OR(Dayrun=1,Dayrun=7,Dayrun=8,Dayrun=10,Dayrun=11),$DF218*8*$CY218,0),0))</f>
        <v> </v>
      </c>
      <c r="AX218" s="297" t="str">
        <f aca="false">IF($A218="N/A"," ",IF(VLOOKUP(MONTH($A218),ManualTable,7)=1,IF(OR(Dayrun&lt;=2,Dayrun&gt;=9),$DF218*8*$CY218,0),0))</f>
        <v> </v>
      </c>
      <c r="AY218" s="297" t="str">
        <f aca="false">IF($A218="N/A"," ",IF(VLOOKUP(MONTH($A218),ManualTable,8)=1,IF(OR(Dayrun=1,Dayrun=5,Dayrun=8,Dayrun=11),$DG218*8*$CY218,0),0))</f>
        <v> </v>
      </c>
      <c r="AZ218" s="297" t="str">
        <f aca="false">IF($A218="N/A"," ",IF(VLOOKUP(MONTH($A218),ManualTable,9)=1,IF(OR(Dayrun=1,Dayrun=8,Dayrun=11),$DG218*8*$CY218,0),0))</f>
        <v> </v>
      </c>
      <c r="BA218" s="298" t="str">
        <f aca="false">IF($A218="N/A"," ",IF(VLOOKUP(MONTH($A218),ManualTable,10)=1,IF(OR(Dayrun&lt;=2,Dayrun&gt;=9),$DG218*8*$CY218,0),0))</f>
        <v> </v>
      </c>
      <c r="BB218" s="299" t="str">
        <f aca="false">IF($A218="N/A"," ",IF(Dayrun&gt;=3,(MAX(0,(xSPRDOPT(I218,($E218-'Pricing Inputs'!$X253*$D218),$CV218,0,($CN218+IF(Smile=TRUE(),VLOOKUP(MAX(-5,$H218-I218),Volsmile,2),0)),$CT218,$CU218,($A218-DateToday)+15,ABS(Option-2),1)*DE218*8))),0))</f>
        <v> </v>
      </c>
      <c r="BC218" s="300" t="str">
        <f aca="false">IF($A218="N/A"," ",IF(Dayrun&gt;=6,MAX(0,(xSPRDOPT(J218,($E218-'Pricing Inputs'!$X253*$D218),$CV218,0,($CN218+IF(Smile=TRUE(),VLOOKUP(MAX(-5,$H218-J218),Volsmile,2),0)),$CT218,$CU218,($A218-DateToday)+15,ABS(Option-2),1)*DE218*8)),0))</f>
        <v> </v>
      </c>
      <c r="BD218" s="300" t="str">
        <f aca="false">IF($A218="N/A"," ",IF(OR(Dayrun&lt;=2,Dayrun&gt;=9),IF(OffPeakEx=TRUE(),MAX(0,(xSPRDOPT(K218,($E218-'Pricing Inputs'!$X253*$D218),$CV218,0,($CQ218+IF(Smile=TRUE(),VLOOKUP(MAX(-5,$H218-K218),Volsmile,2),0)),$CT218,$CU218,($A218-DateToday)+15,ABS(Option-2),1)*DE218*8)),0),0))</f>
        <v> </v>
      </c>
      <c r="BE218" s="300" t="str">
        <f aca="false">IF($A218="N/A"," ",IF(OR(Dayrun=1,Dayrun=4,Dayrun=5,Dayrun=7,Dayrun=8,Dayrun=10,Dayrun=11),MAX(0,(xSPRDOPT(L218,($E218-'Pricing Inputs'!$X253*$D218),$CV218,0,($CQ218+IF(Smile=TRUE(),VLOOKUP(MAX(-5,$H218-L218),Volsmile,2),0)),$CT218,$CU218,($A218-DateToday)+15,ABS(Option-2),1)*DF218*8)),0))</f>
        <v> </v>
      </c>
      <c r="BF218" s="300" t="str">
        <f aca="false">IF($A218="N/A"," ",IF(OR(Dayrun=1,Dayrun=7,Dayrun=8,Dayrun=10,Dayrun=11),MAX(0,(xSPRDOPT(M218,($E218-'Pricing Inputs'!$X253*$D218),$CV218,0,($CQ218+IF(Smile=TRUE(),VLOOKUP(MAX(-5,$H218-M218),Volsmile,2),0)),$CT218,$CU218,($A218-DateToday)+15,ABS(Option-2),1)*DF218*8)),0))</f>
        <v> </v>
      </c>
      <c r="BG218" s="300" t="str">
        <f aca="false">IF($A218="N/A"," ",IF(OR(Dayrun&lt;=2,Dayrun&gt;=10),IF(OffPeakEx=TRUE(),MAX(0,(xSPRDOPT(N218,($E218-'Pricing Inputs'!$X253*$D218),$CV218,0,($CQ218+IF(Smile=TRUE(),VLOOKUP(MAX(-5,$H218-N218),Volsmile,2),0)),$CT218,$CU218,($A218-DateToday)+15,ABS(Option-2),1)*DF218*8)),0),0))</f>
        <v> </v>
      </c>
      <c r="BH218" s="300" t="str">
        <f aca="false">IF($A218="N/A"," ",IF(OR(Dayrun=1,Dayrun=5,Dayrun=8,Dayrun=11),MAX(0,(xSPRDOPT(O218,($E218-'Pricing Inputs'!$X253*$D218),$CV218,0,($CQ218+IF(Smile=TRUE(),VLOOKUP(MAX(-5,$H218-O218),Volsmile,2),0)),$CT218,$CU218,($A218-DateToday)+15,ABS(Option-2),1)*DG218*8)),0))</f>
        <v> </v>
      </c>
      <c r="BI218" s="300" t="str">
        <f aca="false">IF($A218="N/A"," ",IF(OR(Dayrun=1,Dayrun=8,Dayrun=11),MAX(0,(xSPRDOPT(P218,($E218-'Pricing Inputs'!$X253*$D218),$CV218,0,($CQ218+IF(Smile=TRUE(),VLOOKUP(MAX(-5,$H218-P218),Volsmile,2),0)),$CT218,$CU218,($A218-DateToday)+15,ABS(Option-2),1)*DG218*8)),0))</f>
        <v> </v>
      </c>
      <c r="BJ218" s="301" t="str">
        <f aca="false">IF($A218="N/A"," ",IF(OR(Dayrun&lt;=2,Dayrun&gt;=11),IF(OffPeakEx=TRUE(),MAX(0,(xSPRDOPT(Q218,($E218-'Pricing Inputs'!$X253*$D218),$CV218,0,($CQ218+IF(Smile=TRUE(),VLOOKUP(MAX(-5,$H218-Q218),Volsmile,2),0)),$CT218,$CU218,($A218-DateToday)+15,ABS(Option-2),1)*DG218*8)),0),0))</f>
        <v> </v>
      </c>
      <c r="BK218" s="302" t="str">
        <f aca="false">IF($A218="N/A"," ",R218*$AS218)</f>
        <v> </v>
      </c>
      <c r="BL218" s="303" t="str">
        <f aca="false">IF($A218="N/A"," ",S218*$AT218)</f>
        <v> </v>
      </c>
      <c r="BM218" s="303" t="str">
        <f aca="false">IF($A218="N/A"," ",T218*$AU218)</f>
        <v> </v>
      </c>
      <c r="BN218" s="303" t="str">
        <f aca="false">IF($A218="N/A"," ",U218*$AV218)</f>
        <v> </v>
      </c>
      <c r="BO218" s="303" t="str">
        <f aca="false">IF($A218="N/A"," ",V218*$AW218)</f>
        <v> </v>
      </c>
      <c r="BP218" s="303" t="str">
        <f aca="false">IF($A218="N/A"," ",W218*$AX218)</f>
        <v> </v>
      </c>
      <c r="BQ218" s="303" t="str">
        <f aca="false">IF($A218="N/A"," ",X218*$AY218)</f>
        <v> </v>
      </c>
      <c r="BR218" s="303" t="str">
        <f aca="false">IF($A218="N/A"," ",Y218*$AZ218)</f>
        <v> </v>
      </c>
      <c r="BS218" s="304" t="str">
        <f aca="false">IF($A218="N/A"," ",Z218*$BA218)</f>
        <v> </v>
      </c>
      <c r="BT218" s="305" t="str">
        <f aca="false">IF($A218="N/A"," ",AA218*$AS218)</f>
        <v> </v>
      </c>
      <c r="BU218" s="306" t="str">
        <f aca="false">IF($A218="N/A"," ",AB218*$AT218)</f>
        <v> </v>
      </c>
      <c r="BV218" s="306" t="str">
        <f aca="false">IF($A218="N/A"," ",AC218*$AU218)</f>
        <v> </v>
      </c>
      <c r="BW218" s="306" t="str">
        <f aca="false">IF($A218="N/A"," ",AD218*$AV218)</f>
        <v> </v>
      </c>
      <c r="BX218" s="306" t="str">
        <f aca="false">IF($A218="N/A"," ",AE218*$AW218)</f>
        <v> </v>
      </c>
      <c r="BY218" s="306" t="str">
        <f aca="false">IF($A218="N/A"," ",AF218*$AX218)</f>
        <v> </v>
      </c>
      <c r="BZ218" s="306" t="str">
        <f aca="false">IF($A218="N/A"," ",AG218*$AY218)</f>
        <v> </v>
      </c>
      <c r="CA218" s="306" t="str">
        <f aca="false">IF($A218="N/A"," ",AH218*$AZ218)</f>
        <v> </v>
      </c>
      <c r="CB218" s="307" t="str">
        <f aca="false">IF($A218="N/A"," ",AI218*$BA218)</f>
        <v> </v>
      </c>
      <c r="CC218" s="308" t="str">
        <f aca="false">IF($A218="N/A"," ",AJ218*$AS218)</f>
        <v> </v>
      </c>
      <c r="CD218" s="309" t="str">
        <f aca="false">IF($A218="N/A"," ",AK218*$AT218)</f>
        <v> </v>
      </c>
      <c r="CE218" s="309" t="str">
        <f aca="false">IF($A218="N/A"," ",AL218*$AU218)</f>
        <v> </v>
      </c>
      <c r="CF218" s="309" t="str">
        <f aca="false">IF($A218="N/A"," ",AM218*$AV218)</f>
        <v> </v>
      </c>
      <c r="CG218" s="309" t="str">
        <f aca="false">IF($A218="N/A"," ",AN218*$AW218)</f>
        <v> </v>
      </c>
      <c r="CH218" s="309" t="str">
        <f aca="false">IF($A218="N/A"," ",AO218*$AX218)</f>
        <v> </v>
      </c>
      <c r="CI218" s="309" t="str">
        <f aca="false">IF($A218="N/A"," ",AP218*$AY218)</f>
        <v> </v>
      </c>
      <c r="CJ218" s="309" t="str">
        <f aca="false">IF($A218="N/A"," ",AQ218*$AZ218)</f>
        <v> </v>
      </c>
      <c r="CK218" s="310" t="str">
        <f aca="false">IF($A218="N/A"," ",AR218*$BA218)</f>
        <v> </v>
      </c>
      <c r="CL218" s="311" t="str">
        <f aca="false">IF(A218="N/A"," ",(VLOOKUP(A218,PowerVolTable,(IF(VolBMO=2,7,IF(VolBMO=1,6,8))),FALSE())))</f>
        <v> </v>
      </c>
      <c r="CM218" s="312" t="str">
        <f aca="false">IF(A218="N/A"," ",(VLOOKUP(A218,IntraPowerVol,(IF(VolBMO=2,3,IF(VolBMO=1,2,4))),FALSE())*VLOOKUP(MONTH($A218),Volscale,2)))</f>
        <v> </v>
      </c>
      <c r="CN218" s="312" t="str">
        <f aca="false">IF($A218="N/A"," ",IF(VolType=1,CM218,CL218))</f>
        <v> </v>
      </c>
      <c r="CO218" s="312" t="str">
        <f aca="false">IF($A218="N/A"," ",(VLOOKUP($A218,OffPeakVol,(IF(VolBMO=2,7,IF(VolBMO=1,6,8))),FALSE())))</f>
        <v> </v>
      </c>
      <c r="CP218" s="312" t="str">
        <f aca="false">IF($A218="N/A"," ",(VLOOKUP($A218,OffPeakVol,(IF(VolBMO=2,3,IF(VolBMO=1,2,4))),FALSE())*VLOOKUP(MONTH($A218),Volscale,2)))</f>
        <v> </v>
      </c>
      <c r="CQ218" s="312" t="str">
        <f aca="false">IF($A218="N/A"," ",IF(VolType=1,CP218,CO218))</f>
        <v> </v>
      </c>
      <c r="CR218" s="312" t="str">
        <f aca="false">IF($A218="N/A"," ",(VLOOKUP($A218,GasVolTable,(IF(VolBMO=2,6,IF(VolBMO=1,7,5))),FALSE())))</f>
        <v> </v>
      </c>
      <c r="CS218" s="312" t="str">
        <f aca="false">IF($A218="N/A"," ",(VLOOKUP($A218,OmicronVol,(IF(VolBMO=2,3,IF(VolBMO=1,4,2))),FALSE())))</f>
        <v> </v>
      </c>
      <c r="CT218" s="312" t="str">
        <f aca="false">IF($A218="N/A"," ",(IF(DateToday&gt;$A218,$CS218,IF(VolType=1,((($CR218^2)*((($A218-1)-DateToday)/((EOMONTH($A218,0)+1)-DateToday-15)))+((($CS218)^2)*((15)/((EOMONTH($A218,0)+1)-DateToday-15))))^0.5,CR218))))</f>
        <v> </v>
      </c>
      <c r="CU218" s="312" t="str">
        <f aca="false">IF($A218="N/A"," ",IF('Pricing Inputs'!$AR$23=TRUE(),Inputs!$S$22,VLOOKUP($A218,CorrelationTable,2,FALSE())))</f>
        <v> </v>
      </c>
      <c r="CV218" s="313" t="str">
        <f aca="false">IF($A218="N/A"," ",F218+G218+(D218*('Pricing Inputs'!X253)))</f>
        <v> </v>
      </c>
      <c r="CW218" s="314" t="str">
        <f aca="false">IF($A218="N/A"," ",IF(PV=1,0,'Pricing Inputs'!Y253))</f>
        <v> </v>
      </c>
      <c r="CX218" s="315" t="str">
        <f aca="false">IF($A218="N/A"," ",(1+CW218/2)^(-2*((EOMONTH(A218,0)+20)-DateToday)/365.25))</f>
        <v> </v>
      </c>
      <c r="CY218" s="316" t="str">
        <f aca="false">IF($A218="N/A"," ",(IF(MONTH(A218)&gt;=4,IF(MONTH(A218)&lt;=10,Inputs!$S$26,Inputs!$S$27),Inputs!$S$27))*$CX218)</f>
        <v> </v>
      </c>
      <c r="CZ218" s="317" t="str">
        <f aca="false">IF($A218="N/A"," ",BK218+BL218+BN218+BO218+BQ218+BR218)</f>
        <v> </v>
      </c>
      <c r="DA218" s="318" t="str">
        <f aca="false">IF($A218="N/A"," ",BM218+BP218+BS218)</f>
        <v> </v>
      </c>
      <c r="DB218" s="319" t="str">
        <f aca="false">IF($A218="N/A"," ",BT218+BU218+BW218+BX218+BZ218+CA218)</f>
        <v> </v>
      </c>
      <c r="DC218" s="319" t="str">
        <f aca="false">IF($A218="N/A"," ",BV218+BY218+CB218)</f>
        <v> </v>
      </c>
      <c r="DD218" s="320" t="str">
        <f aca="false">IF($A218="N/A"," ",SUM(CC218:CK218))</f>
        <v> </v>
      </c>
      <c r="DE218" s="321" t="str">
        <f aca="false">IF($A218="N/A"," ",VLOOKUP($A218,NumberofDaysTable,2)*Availability)</f>
        <v> </v>
      </c>
      <c r="DF218" s="94" t="str">
        <f aca="false">IF($A218="N/A"," ",VLOOKUP($A218,NumberofDaysTable,3)*Availability)</f>
        <v> </v>
      </c>
      <c r="DG218" s="322" t="str">
        <f aca="false">IF($A218="N/A"," ",VLOOKUP($A218,NumberofDaysTable,4)*Availability)</f>
        <v> </v>
      </c>
      <c r="DH218" s="323" t="str">
        <f aca="false">IF($A218="N/A"," ",IF(Option=1,$D218*Inputs!$S$15*SUM(AS218:BA218),0))</f>
        <v> </v>
      </c>
      <c r="DI218" s="324" t="str">
        <f aca="false">IF($A218="N/A"," ",IF(Option=1,$D218*Inputs!$S$16*SUM(AS218:BA218),0))</f>
        <v> </v>
      </c>
      <c r="DJ218" s="325" t="str">
        <f aca="false">IF($A218="N/A"," ",SUM(AS218:AT218))</f>
        <v> </v>
      </c>
      <c r="DK218" s="325" t="str">
        <f aca="false">IF($A218="N/A"," ",SUM(AU218:BA218))</f>
        <v> </v>
      </c>
      <c r="DL218" s="325" t="str">
        <f aca="false">IF($A218="N/A"," ",SUM(BB218:BC218))</f>
        <v> </v>
      </c>
      <c r="DM218" s="325" t="str">
        <f aca="false">IF($A218="N/A"," ",SUM(BD218:BJ218))</f>
        <v> </v>
      </c>
    </row>
    <row r="219" customFormat="false" ht="12.75" hidden="false" customHeight="false" outlineLevel="0" collapsed="false">
      <c r="A219" s="282" t="str">
        <f aca="false">IF(A218="N/A","N/A",IF(EDATE(A218,1)&gt;Inputs!$S$5,"N/A",EDATE(A218,1)))</f>
        <v>N/A</v>
      </c>
      <c r="B219" s="283" t="str">
        <f aca="false">IF(A219="N/A"," ",YEAR(A219))</f>
        <v> </v>
      </c>
      <c r="C219" s="284" t="str">
        <f aca="false">IF(A219="N/A"," ",VLOOKUP(A219,ScaledPrice,14))</f>
        <v> </v>
      </c>
      <c r="D219" s="285" t="str">
        <f aca="false">IF(A219="N/A"," ",(VLOOKUP(MONTH($A219),Hrtable,2))/1000)</f>
        <v> </v>
      </c>
      <c r="E219" s="286" t="str">
        <f aca="false">IF($A219="N/A"," ",(C219)*D219)</f>
        <v> </v>
      </c>
      <c r="F219" s="287" t="str">
        <f aca="false">IF(A219="N/A"," ",VOM*(1+VOMesc)^(YEAR(A219)-YEAR(Today)))</f>
        <v> </v>
      </c>
      <c r="G219" s="287" t="str">
        <f aca="false">IF(A219="N/A"," ",Perstart/VLOOKUP(Dayrun,'Pricing Inputs'!$AQ$4:$AS$14,3)/(CY219/CX219))</f>
        <v> </v>
      </c>
      <c r="H219" s="288" t="str">
        <f aca="false">IF(A219="N/A"," ",SUM(E219:G219))</f>
        <v> </v>
      </c>
      <c r="I219" s="289" t="str">
        <f aca="false">VLOOKUP($A219,ScaledPrice,6)</f>
        <v> </v>
      </c>
      <c r="J219" s="290" t="str">
        <f aca="false">VLOOKUP($A219,ScaledPrice,10)</f>
        <v> </v>
      </c>
      <c r="K219" s="290" t="str">
        <f aca="false">VLOOKUP($A219,ScaledPrice,13)</f>
        <v> </v>
      </c>
      <c r="L219" s="290" t="str">
        <f aca="false">VLOOKUP($A219,ScaledPrice,7)</f>
        <v> </v>
      </c>
      <c r="M219" s="290" t="str">
        <f aca="false">VLOOKUP($A219,ScaledPrice,11)</f>
        <v> </v>
      </c>
      <c r="N219" s="290" t="str">
        <f aca="false">VLOOKUP($A219,ScaledPrice,13)</f>
        <v> </v>
      </c>
      <c r="O219" s="290" t="str">
        <f aca="false">VLOOKUP($A219,ScaledPrice,8)</f>
        <v> </v>
      </c>
      <c r="P219" s="290" t="str">
        <f aca="false">VLOOKUP($A219,ScaledPrice,12)</f>
        <v> </v>
      </c>
      <c r="Q219" s="291" t="str">
        <f aca="false">VLOOKUP($A219,ScaledPrice,13)</f>
        <v> </v>
      </c>
      <c r="R219" s="292" t="str">
        <f aca="false">IF($A219="N/A"," ",IF(Dayrun&gt;=3,IF(Option=1,MAX($I219-$H219,0),IF(Option=2,MAX($H219-$I219,0),0)),0))</f>
        <v> </v>
      </c>
      <c r="S219" s="286" t="str">
        <f aca="false">IF($A219="N/A"," ",IF(Dayrun&gt;=6,IF(Option=1,MAX($J219-H219,0),IF(Option=2,MAX(H219-$J219,0),0)),0))</f>
        <v> </v>
      </c>
      <c r="T219" s="286" t="str">
        <f aca="false">IF($A219="N/A"," ",IF(OR(Dayrun&lt;=2,Dayrun&gt;=9),IF(Option=1,MAX($K219-$H219,0),IF(Option=2,MAX($H219-$K219,0),0)),0))</f>
        <v> </v>
      </c>
      <c r="U219" s="286" t="str">
        <f aca="false">IF($A219="N/A"," ",IF(OR(Dayrun=1,Dayrun=4,Dayrun=5,Dayrun=7,Dayrun=8,Dayrun=10,Dayrun=11),IF(Option=1,MAX($L219-H219,0),IF(Option=2,MAX(H219-$L219,0),0)),0))</f>
        <v> </v>
      </c>
      <c r="V219" s="286" t="str">
        <f aca="false">IF($A219="N/A"," ",IF(OR(Dayrun=1,Dayrun=7,Dayrun=8,Dayrun=10,Dayrun=11),IF(Option=1,MAX($M219-H219,0),IF(Option=2,MAX(H219-$M219,0),0)),0))</f>
        <v> </v>
      </c>
      <c r="W219" s="286" t="str">
        <f aca="false">IF($A219="N/A"," ",IF(OR(Dayrun&lt;=2,Dayrun&gt;=10),IF(Option=1,MAX($N219-$H219,0),IF(Option=2,MAX($H219-$N219,0),0)),0))</f>
        <v> </v>
      </c>
      <c r="X219" s="286" t="str">
        <f aca="false">IF($A219="N/A"," ",IF(OR(Dayrun=1,Dayrun=5,Dayrun=8,Dayrun=11),IF(Option=1,MAX($O219-H219,0),IF(Option=2,MAX(H219-$O219,0),0)),0))</f>
        <v> </v>
      </c>
      <c r="Y219" s="286" t="str">
        <f aca="false">IF($A219="N/A"," ",IF(OR(Dayrun=1,Dayrun=8,Dayrun=11),IF(Option=1,MAX($P219-H219,0),IF(Option=2,MAX(H219-$P219,0),0)),0))</f>
        <v> </v>
      </c>
      <c r="Z219" s="293" t="str">
        <f aca="false">IF($A219="N/A"," ",IF(OR(Dayrun&lt;=2,Dayrun&gt;=11),IF(Option=1,MAX($Q219-$H219,0),IF(Option=2,MAX($H219-$Q219,0),0)),0))</f>
        <v> </v>
      </c>
      <c r="AA219" s="289" t="str">
        <f aca="false">IF($A219="N/A"," ",IF(Dayrun&gt;=3,(MAX(0,(xSPRDOPT(I219,($E219-'Pricing Inputs'!$X254*$D219),$CV219,0,($CN219+IF(Smile=TRUE(),VLOOKUP(MAX(-5,$H219-I219),Volsmile,2),0)),$CT219,$CU219,($A219-DateToday)+15,ABS(Option-2),0)-R219))),0))</f>
        <v> </v>
      </c>
      <c r="AB219" s="290" t="str">
        <f aca="false">IF($A219="N/A"," ",IF(Dayrun&gt;=6,MAX(0,(xSPRDOPT(J219,($E219-'Pricing Inputs'!$X254*$D219),$CV219,0,($CN219+IF(Smile=TRUE(),VLOOKUP(MAX(-5,$H219-J219),Volsmile,2),0)),$CT219,$CU219,($A219-DateToday)+15,ABS(Option-2),0)-S219)),0))</f>
        <v> </v>
      </c>
      <c r="AC219" s="290" t="str">
        <f aca="false">IF($A219="N/A"," ",IF(OR(Dayrun&lt;=2,Dayrun&gt;=9),IF(OffPeakEx=TRUE(),MAX(0,(xSPRDOPT(K219,($E219-'Pricing Inputs'!$X254*$D219),$CV219,0,($CQ219+IF(Smile=TRUE(),VLOOKUP(MAX(-5,$H219-K219),Volsmile,2),0)),$CT219,$CU219,($A219-DateToday)+15,ABS(Option-2),0)-T219)),0),0))</f>
        <v> </v>
      </c>
      <c r="AD219" s="290" t="str">
        <f aca="false">IF($A219="N/A"," ",IF(OR(Dayrun=1,Dayrun=4,Dayrun=5,Dayrun=7,Dayrun=8,Dayrun=10,Dayrun=11),MAX(0,(xSPRDOPT(L219,($E219-'Pricing Inputs'!$X254*$D219),$CV219,0,($CQ219+IF(Smile=TRUE(),VLOOKUP(MAX(-5,$H219-L219),Volsmile,2),0)),$CT219,$CU219,($A219-DateToday)+15,ABS(Option-2),0)-U219)),0))</f>
        <v> </v>
      </c>
      <c r="AE219" s="290" t="str">
        <f aca="false">IF($A219="N/A"," ",IF(OR(Dayrun=1,Dayrun=7,Dayrun=8,Dayrun=10,Dayrun=11),MAX(0,(xSPRDOPT(M219,($E219-'Pricing Inputs'!$X254*$D219),$CV219,0,($CQ219+IF(Smile=TRUE(),VLOOKUP(MAX(-5,$H219-M219),Volsmile,2),0)),$CT219,$CU219,($A219-DateToday)+15,ABS(Option-2),0)-V219)),0))</f>
        <v> </v>
      </c>
      <c r="AF219" s="290" t="str">
        <f aca="false">IF($A219="N/A"," ",IF(OR(Dayrun&lt;=2,Dayrun&gt;=10),IF(OffPeakEx=TRUE(),MAX(0,(xSPRDOPT(N219,($E219-'Pricing Inputs'!$X254*$D219),$CV219,0,($CQ219+IF(Smile=TRUE(),VLOOKUP(MAX(-5,$H219-N219),Volsmile,2),0)),$CT219,$CU219,($A219-DateToday)+15,ABS(Option-2),0)-W219)),0),0))</f>
        <v> </v>
      </c>
      <c r="AG219" s="290" t="str">
        <f aca="false">IF($A219="N/A"," ",IF(OR(Dayrun=1,Dayrun=5,Dayrun=8,Dayrun=11),MAX(0,(xSPRDOPT(O219,($E219-'Pricing Inputs'!$X254*$D219),$CV219,0,($CQ219+IF(Smile=TRUE(),VLOOKUP(MAX(-5,$H219-O219),Volsmile,2),0)),$CT219,$CU219,($A219-DateToday)+15,ABS(Option-2),0)-X219)),0))</f>
        <v> </v>
      </c>
      <c r="AH219" s="290" t="str">
        <f aca="false">IF($A219="N/A"," ",IF(OR(Dayrun=1,Dayrun=8,Dayrun=11),MAX(0,(xSPRDOPT(P219,($E219-'Pricing Inputs'!$X254*$D219),$CV219,0,($CQ219+IF(Smile=TRUE(),VLOOKUP(MAX(-5,$H219-P219),Volsmile,2),0)),$CT219,$CU219,($A219-DateToday)+15,ABS(Option-2),0)-Y219)),0))</f>
        <v> </v>
      </c>
      <c r="AI219" s="290" t="str">
        <f aca="false">IF($A219="N/A"," ",IF(OR(Dayrun&lt;=2,Dayrun&gt;=11),IF(OffPeakEx=TRUE(),MAX(0,(xSPRDOPT(Q219,($E219-'Pricing Inputs'!$X254*$D219),$CV219,0,($CQ219+IF(Smile=TRUE(),VLOOKUP(MAX(-5,$H219-Q219),Volsmile,2),0)),$CT219,$CU219,($A219-DateToday)+15,ABS(Option-2),0)-Z219)),0),0))</f>
        <v> </v>
      </c>
      <c r="AJ219" s="294" t="str">
        <f aca="false">IF($A219="N/A"," ",IF(Dayrun&gt;=3,IF(Option=1,$I219-$H219,IF(Option=2,$H219-$I219)),0))</f>
        <v> </v>
      </c>
      <c r="AK219" s="295" t="str">
        <f aca="false">IF($A219="N/A"," ",IF(Dayrun&gt;=6,IF(Option=1,$J219-H219,IF(Option=2,H219-$J219)),0))</f>
        <v> </v>
      </c>
      <c r="AL219" s="295" t="str">
        <f aca="false">IF($A219="N/A"," ",IF(OR(Dayrun&lt;=2,Dayrun&gt;=9),IF(Option=1,$K219-$H219,IF(Option=2,$H219-$K219)),0))</f>
        <v> </v>
      </c>
      <c r="AM219" s="295" t="str">
        <f aca="false">IF($A219="N/A"," ",IF(OR(Dayrun=1,Dayrun=4,Dayrun=5,Dayrun=7,Dayrun=8,Dayrun=10,Dayrun=11),IF(Option=1,$L219-H219,IF(Option=2,H219-$L219)),0))</f>
        <v> </v>
      </c>
      <c r="AN219" s="295" t="str">
        <f aca="false">IF($A219="N/A"," ",IF(OR(Dayrun=1,Dayrun=7,Dayrun=8,Dayrun=10,Dayrun=11),IF(Option=1,$M219-H219,IF(Option=2,H219-$M219)),0))</f>
        <v> </v>
      </c>
      <c r="AO219" s="295" t="str">
        <f aca="false">IF($A219="N/A"," ",IF(OR(Dayrun&lt;=2,Dayrun&gt;=9),IF(Option=1,$N219-$H219,IF(Option=2,$H219-$N219)),0))</f>
        <v> </v>
      </c>
      <c r="AP219" s="295" t="str">
        <f aca="false">IF($A219="N/A"," ",IF(OR(Dayrun=1,Dayrun=5,Dayrun=8,Dayrun=11),IF(Option=1,$O219-H219,IF(Option=2,H219-$O219)),0))</f>
        <v> </v>
      </c>
      <c r="AQ219" s="295" t="str">
        <f aca="false">IF($A219="N/A"," ",IF(OR(Dayrun=1,Dayrun=8,Dayrun=11),IF(Option=1,$P219-H219,IF(Option=2,H219-$P219)),0))</f>
        <v> </v>
      </c>
      <c r="AR219" s="296" t="str">
        <f aca="false">IF($A219="N/A"," ",IF(OR(Dayrun&lt;=2,Dayrun&gt;=9),IF(Option=1,$Q219-H219,IF(Option=2,H219-$Q219)),0))</f>
        <v> </v>
      </c>
      <c r="AS219" s="297" t="str">
        <f aca="false">IF($A219="N/A"," ",IF(VLOOKUP(MONTH($A219),ManualTable,2)=1,IF(Dayrun&gt;=3,$DE219*8*$CY219,0),0))</f>
        <v> </v>
      </c>
      <c r="AT219" s="297" t="str">
        <f aca="false">IF($A219="N/A"," ",IF(VLOOKUP(MONTH($A219),ManualTable,3)=1,IF(Dayrun&gt;=6,$DE219*8*$CY219,0),0))</f>
        <v> </v>
      </c>
      <c r="AU219" s="297" t="str">
        <f aca="false">IF($A219="N/A"," ",IF(VLOOKUP(MONTH($A219),ManualTable,4)=1,IF(OR(Dayrun&lt;=2,Dayrun&gt;=9),$DE219*8*$CY219,0),0))</f>
        <v> </v>
      </c>
      <c r="AV219" s="297" t="str">
        <f aca="false">IF($A219="N/A"," ",IF(VLOOKUP(MONTH($A219),ManualTable,5)=1,IF(OR(Dayrun=1,Dayrun=4,Dayrun=5,Dayrun=7,Dayrun=8,Dayrun=10,Dayrun=11),$DF219*8*$CY219,0),0))</f>
        <v> </v>
      </c>
      <c r="AW219" s="297" t="str">
        <f aca="false">IF($A219="N/A"," ",IF(VLOOKUP(MONTH($A219),ManualTable,6)=1,IF(OR(Dayrun=1,Dayrun=7,Dayrun=8,Dayrun=10,Dayrun=11),$DF219*8*$CY219,0),0))</f>
        <v> </v>
      </c>
      <c r="AX219" s="297" t="str">
        <f aca="false">IF($A219="N/A"," ",IF(VLOOKUP(MONTH($A219),ManualTable,7)=1,IF(OR(Dayrun&lt;=2,Dayrun&gt;=9),$DF219*8*$CY219,0),0))</f>
        <v> </v>
      </c>
      <c r="AY219" s="297" t="str">
        <f aca="false">IF($A219="N/A"," ",IF(VLOOKUP(MONTH($A219),ManualTable,8)=1,IF(OR(Dayrun=1,Dayrun=5,Dayrun=8,Dayrun=11),$DG219*8*$CY219,0),0))</f>
        <v> </v>
      </c>
      <c r="AZ219" s="297" t="str">
        <f aca="false">IF($A219="N/A"," ",IF(VLOOKUP(MONTH($A219),ManualTable,9)=1,IF(OR(Dayrun=1,Dayrun=8,Dayrun=11),$DG219*8*$CY219,0),0))</f>
        <v> </v>
      </c>
      <c r="BA219" s="298" t="str">
        <f aca="false">IF($A219="N/A"," ",IF(VLOOKUP(MONTH($A219),ManualTable,10)=1,IF(OR(Dayrun&lt;=2,Dayrun&gt;=9),$DG219*8*$CY219,0),0))</f>
        <v> </v>
      </c>
      <c r="BB219" s="299" t="str">
        <f aca="false">IF($A219="N/A"," ",IF(Dayrun&gt;=3,(MAX(0,(xSPRDOPT(I219,($E219-'Pricing Inputs'!$X254*$D219),$CV219,0,($CN219+IF(Smile=TRUE(),VLOOKUP(MAX(-5,$H219-I219),Volsmile,2),0)),$CT219,$CU219,($A219-DateToday)+15,ABS(Option-2),1)*DE219*8))),0))</f>
        <v> </v>
      </c>
      <c r="BC219" s="300" t="str">
        <f aca="false">IF($A219="N/A"," ",IF(Dayrun&gt;=6,MAX(0,(xSPRDOPT(J219,($E219-'Pricing Inputs'!$X254*$D219),$CV219,0,($CN219+IF(Smile=TRUE(),VLOOKUP(MAX(-5,$H219-J219),Volsmile,2),0)),$CT219,$CU219,($A219-DateToday)+15,ABS(Option-2),1)*DE219*8)),0))</f>
        <v> </v>
      </c>
      <c r="BD219" s="300" t="str">
        <f aca="false">IF($A219="N/A"," ",IF(OR(Dayrun&lt;=2,Dayrun&gt;=9),IF(OffPeakEx=TRUE(),MAX(0,(xSPRDOPT(K219,($E219-'Pricing Inputs'!$X254*$D219),$CV219,0,($CQ219+IF(Smile=TRUE(),VLOOKUP(MAX(-5,$H219-K219),Volsmile,2),0)),$CT219,$CU219,($A219-DateToday)+15,ABS(Option-2),1)*DE219*8)),0),0))</f>
        <v> </v>
      </c>
      <c r="BE219" s="300" t="str">
        <f aca="false">IF($A219="N/A"," ",IF(OR(Dayrun=1,Dayrun=4,Dayrun=5,Dayrun=7,Dayrun=8,Dayrun=10,Dayrun=11),MAX(0,(xSPRDOPT(L219,($E219-'Pricing Inputs'!$X254*$D219),$CV219,0,($CQ219+IF(Smile=TRUE(),VLOOKUP(MAX(-5,$H219-L219),Volsmile,2),0)),$CT219,$CU219,($A219-DateToday)+15,ABS(Option-2),1)*DF219*8)),0))</f>
        <v> </v>
      </c>
      <c r="BF219" s="300" t="str">
        <f aca="false">IF($A219="N/A"," ",IF(OR(Dayrun=1,Dayrun=7,Dayrun=8,Dayrun=10,Dayrun=11),MAX(0,(xSPRDOPT(M219,($E219-'Pricing Inputs'!$X254*$D219),$CV219,0,($CQ219+IF(Smile=TRUE(),VLOOKUP(MAX(-5,$H219-M219),Volsmile,2),0)),$CT219,$CU219,($A219-DateToday)+15,ABS(Option-2),1)*DF219*8)),0))</f>
        <v> </v>
      </c>
      <c r="BG219" s="300" t="str">
        <f aca="false">IF($A219="N/A"," ",IF(OR(Dayrun&lt;=2,Dayrun&gt;=10),IF(OffPeakEx=TRUE(),MAX(0,(xSPRDOPT(N219,($E219-'Pricing Inputs'!$X254*$D219),$CV219,0,($CQ219+IF(Smile=TRUE(),VLOOKUP(MAX(-5,$H219-N219),Volsmile,2),0)),$CT219,$CU219,($A219-DateToday)+15,ABS(Option-2),1)*DF219*8)),0),0))</f>
        <v> </v>
      </c>
      <c r="BH219" s="300" t="str">
        <f aca="false">IF($A219="N/A"," ",IF(OR(Dayrun=1,Dayrun=5,Dayrun=8,Dayrun=11),MAX(0,(xSPRDOPT(O219,($E219-'Pricing Inputs'!$X254*$D219),$CV219,0,($CQ219+IF(Smile=TRUE(),VLOOKUP(MAX(-5,$H219-O219),Volsmile,2),0)),$CT219,$CU219,($A219-DateToday)+15,ABS(Option-2),1)*DG219*8)),0))</f>
        <v> </v>
      </c>
      <c r="BI219" s="300" t="str">
        <f aca="false">IF($A219="N/A"," ",IF(OR(Dayrun=1,Dayrun=8,Dayrun=11),MAX(0,(xSPRDOPT(P219,($E219-'Pricing Inputs'!$X254*$D219),$CV219,0,($CQ219+IF(Smile=TRUE(),VLOOKUP(MAX(-5,$H219-P219),Volsmile,2),0)),$CT219,$CU219,($A219-DateToday)+15,ABS(Option-2),1)*DG219*8)),0))</f>
        <v> </v>
      </c>
      <c r="BJ219" s="301" t="str">
        <f aca="false">IF($A219="N/A"," ",IF(OR(Dayrun&lt;=2,Dayrun&gt;=11),IF(OffPeakEx=TRUE(),MAX(0,(xSPRDOPT(Q219,($E219-'Pricing Inputs'!$X254*$D219),$CV219,0,($CQ219+IF(Smile=TRUE(),VLOOKUP(MAX(-5,$H219-Q219),Volsmile,2),0)),$CT219,$CU219,($A219-DateToday)+15,ABS(Option-2),1)*DG219*8)),0),0))</f>
        <v> </v>
      </c>
      <c r="BK219" s="302" t="str">
        <f aca="false">IF($A219="N/A"," ",R219*$AS219)</f>
        <v> </v>
      </c>
      <c r="BL219" s="303" t="str">
        <f aca="false">IF($A219="N/A"," ",S219*$AT219)</f>
        <v> </v>
      </c>
      <c r="BM219" s="303" t="str">
        <f aca="false">IF($A219="N/A"," ",T219*$AU219)</f>
        <v> </v>
      </c>
      <c r="BN219" s="303" t="str">
        <f aca="false">IF($A219="N/A"," ",U219*$AV219)</f>
        <v> </v>
      </c>
      <c r="BO219" s="303" t="str">
        <f aca="false">IF($A219="N/A"," ",V219*$AW219)</f>
        <v> </v>
      </c>
      <c r="BP219" s="303" t="str">
        <f aca="false">IF($A219="N/A"," ",W219*$AX219)</f>
        <v> </v>
      </c>
      <c r="BQ219" s="303" t="str">
        <f aca="false">IF($A219="N/A"," ",X219*$AY219)</f>
        <v> </v>
      </c>
      <c r="BR219" s="303" t="str">
        <f aca="false">IF($A219="N/A"," ",Y219*$AZ219)</f>
        <v> </v>
      </c>
      <c r="BS219" s="304" t="str">
        <f aca="false">IF($A219="N/A"," ",Z219*$BA219)</f>
        <v> </v>
      </c>
      <c r="BT219" s="305" t="str">
        <f aca="false">IF($A219="N/A"," ",AA219*$AS219)</f>
        <v> </v>
      </c>
      <c r="BU219" s="306" t="str">
        <f aca="false">IF($A219="N/A"," ",AB219*$AT219)</f>
        <v> </v>
      </c>
      <c r="BV219" s="306" t="str">
        <f aca="false">IF($A219="N/A"," ",AC219*$AU219)</f>
        <v> </v>
      </c>
      <c r="BW219" s="306" t="str">
        <f aca="false">IF($A219="N/A"," ",AD219*$AV219)</f>
        <v> </v>
      </c>
      <c r="BX219" s="306" t="str">
        <f aca="false">IF($A219="N/A"," ",AE219*$AW219)</f>
        <v> </v>
      </c>
      <c r="BY219" s="306" t="str">
        <f aca="false">IF($A219="N/A"," ",AF219*$AX219)</f>
        <v> </v>
      </c>
      <c r="BZ219" s="306" t="str">
        <f aca="false">IF($A219="N/A"," ",AG219*$AY219)</f>
        <v> </v>
      </c>
      <c r="CA219" s="306" t="str">
        <f aca="false">IF($A219="N/A"," ",AH219*$AZ219)</f>
        <v> </v>
      </c>
      <c r="CB219" s="307" t="str">
        <f aca="false">IF($A219="N/A"," ",AI219*$BA219)</f>
        <v> </v>
      </c>
      <c r="CC219" s="308" t="str">
        <f aca="false">IF($A219="N/A"," ",AJ219*$AS219)</f>
        <v> </v>
      </c>
      <c r="CD219" s="309" t="str">
        <f aca="false">IF($A219="N/A"," ",AK219*$AT219)</f>
        <v> </v>
      </c>
      <c r="CE219" s="309" t="str">
        <f aca="false">IF($A219="N/A"," ",AL219*$AU219)</f>
        <v> </v>
      </c>
      <c r="CF219" s="309" t="str">
        <f aca="false">IF($A219="N/A"," ",AM219*$AV219)</f>
        <v> </v>
      </c>
      <c r="CG219" s="309" t="str">
        <f aca="false">IF($A219="N/A"," ",AN219*$AW219)</f>
        <v> </v>
      </c>
      <c r="CH219" s="309" t="str">
        <f aca="false">IF($A219="N/A"," ",AO219*$AX219)</f>
        <v> </v>
      </c>
      <c r="CI219" s="309" t="str">
        <f aca="false">IF($A219="N/A"," ",AP219*$AY219)</f>
        <v> </v>
      </c>
      <c r="CJ219" s="309" t="str">
        <f aca="false">IF($A219="N/A"," ",AQ219*$AZ219)</f>
        <v> </v>
      </c>
      <c r="CK219" s="310" t="str">
        <f aca="false">IF($A219="N/A"," ",AR219*$BA219)</f>
        <v> </v>
      </c>
      <c r="CL219" s="311" t="str">
        <f aca="false">IF(A219="N/A"," ",(VLOOKUP(A219,PowerVolTable,(IF(VolBMO=2,7,IF(VolBMO=1,6,8))),FALSE())))</f>
        <v> </v>
      </c>
      <c r="CM219" s="312" t="str">
        <f aca="false">IF(A219="N/A"," ",(VLOOKUP(A219,IntraPowerVol,(IF(VolBMO=2,3,IF(VolBMO=1,2,4))),FALSE())*VLOOKUP(MONTH($A219),Volscale,2)))</f>
        <v> </v>
      </c>
      <c r="CN219" s="312" t="str">
        <f aca="false">IF($A219="N/A"," ",IF(VolType=1,CM219,CL219))</f>
        <v> </v>
      </c>
      <c r="CO219" s="312" t="str">
        <f aca="false">IF($A219="N/A"," ",(VLOOKUP($A219,OffPeakVol,(IF(VolBMO=2,7,IF(VolBMO=1,6,8))),FALSE())))</f>
        <v> </v>
      </c>
      <c r="CP219" s="312" t="str">
        <f aca="false">IF($A219="N/A"," ",(VLOOKUP($A219,OffPeakVol,(IF(VolBMO=2,3,IF(VolBMO=1,2,4))),FALSE())*VLOOKUP(MONTH($A219),Volscale,2)))</f>
        <v> </v>
      </c>
      <c r="CQ219" s="312" t="str">
        <f aca="false">IF($A219="N/A"," ",IF(VolType=1,CP219,CO219))</f>
        <v> </v>
      </c>
      <c r="CR219" s="312" t="str">
        <f aca="false">IF($A219="N/A"," ",(VLOOKUP($A219,GasVolTable,(IF(VolBMO=2,6,IF(VolBMO=1,7,5))),FALSE())))</f>
        <v> </v>
      </c>
      <c r="CS219" s="312" t="str">
        <f aca="false">IF($A219="N/A"," ",(VLOOKUP($A219,OmicronVol,(IF(VolBMO=2,3,IF(VolBMO=1,4,2))),FALSE())))</f>
        <v> </v>
      </c>
      <c r="CT219" s="312" t="str">
        <f aca="false">IF($A219="N/A"," ",(IF(DateToday&gt;$A219,$CS219,IF(VolType=1,((($CR219^2)*((($A219-1)-DateToday)/((EOMONTH($A219,0)+1)-DateToday-15)))+((($CS219)^2)*((15)/((EOMONTH($A219,0)+1)-DateToday-15))))^0.5,CR219))))</f>
        <v> </v>
      </c>
      <c r="CU219" s="312" t="str">
        <f aca="false">IF($A219="N/A"," ",IF('Pricing Inputs'!$AR$23=TRUE(),Inputs!$S$22,VLOOKUP($A219,CorrelationTable,2,FALSE())))</f>
        <v> </v>
      </c>
      <c r="CV219" s="313" t="str">
        <f aca="false">IF($A219="N/A"," ",F219+G219+(D219*('Pricing Inputs'!X254)))</f>
        <v> </v>
      </c>
      <c r="CW219" s="314" t="str">
        <f aca="false">IF($A219="N/A"," ",IF(PV=1,0,'Pricing Inputs'!Y254))</f>
        <v> </v>
      </c>
      <c r="CX219" s="315" t="str">
        <f aca="false">IF($A219="N/A"," ",(1+CW219/2)^(-2*((EOMONTH(A219,0)+20)-DateToday)/365.25))</f>
        <v> </v>
      </c>
      <c r="CY219" s="316" t="str">
        <f aca="false">IF($A219="N/A"," ",(IF(MONTH(A219)&gt;=4,IF(MONTH(A219)&lt;=10,Inputs!$S$26,Inputs!$S$27),Inputs!$S$27))*$CX219)</f>
        <v> </v>
      </c>
      <c r="CZ219" s="317" t="str">
        <f aca="false">IF($A219="N/A"," ",BK219+BL219+BN219+BO219+BQ219+BR219)</f>
        <v> </v>
      </c>
      <c r="DA219" s="318" t="str">
        <f aca="false">IF($A219="N/A"," ",BM219+BP219+BS219)</f>
        <v> </v>
      </c>
      <c r="DB219" s="319" t="str">
        <f aca="false">IF($A219="N/A"," ",BT219+BU219+BW219+BX219+BZ219+CA219)</f>
        <v> </v>
      </c>
      <c r="DC219" s="319" t="str">
        <f aca="false">IF($A219="N/A"," ",BV219+BY219+CB219)</f>
        <v> </v>
      </c>
      <c r="DD219" s="320" t="str">
        <f aca="false">IF($A219="N/A"," ",SUM(CC219:CK219))</f>
        <v> </v>
      </c>
      <c r="DE219" s="321" t="str">
        <f aca="false">IF($A219="N/A"," ",VLOOKUP($A219,NumberofDaysTable,2)*Availability)</f>
        <v> </v>
      </c>
      <c r="DF219" s="94" t="str">
        <f aca="false">IF($A219="N/A"," ",VLOOKUP($A219,NumberofDaysTable,3)*Availability)</f>
        <v> </v>
      </c>
      <c r="DG219" s="322" t="str">
        <f aca="false">IF($A219="N/A"," ",VLOOKUP($A219,NumberofDaysTable,4)*Availability)</f>
        <v> </v>
      </c>
      <c r="DH219" s="323" t="str">
        <f aca="false">IF($A219="N/A"," ",IF(Option=1,$D219*Inputs!$S$15*SUM(AS219:BA219),0))</f>
        <v> </v>
      </c>
      <c r="DI219" s="324" t="str">
        <f aca="false">IF($A219="N/A"," ",IF(Option=1,$D219*Inputs!$S$16*SUM(AS219:BA219),0))</f>
        <v> </v>
      </c>
      <c r="DJ219" s="325" t="str">
        <f aca="false">IF($A219="N/A"," ",SUM(AS219:AT219))</f>
        <v> </v>
      </c>
      <c r="DK219" s="325" t="str">
        <f aca="false">IF($A219="N/A"," ",SUM(AU219:BA219))</f>
        <v> </v>
      </c>
      <c r="DL219" s="325" t="str">
        <f aca="false">IF($A219="N/A"," ",SUM(BB219:BC219))</f>
        <v> </v>
      </c>
      <c r="DM219" s="325" t="str">
        <f aca="false">IF($A219="N/A"," ",SUM(BD219:BJ219))</f>
        <v> </v>
      </c>
    </row>
    <row r="220" customFormat="false" ht="12.75" hidden="false" customHeight="false" outlineLevel="0" collapsed="false">
      <c r="A220" s="282" t="str">
        <f aca="false">IF(A219="N/A","N/A",IF(EDATE(A219,1)&gt;Inputs!$S$5,"N/A",EDATE(A219,1)))</f>
        <v>N/A</v>
      </c>
      <c r="B220" s="283" t="str">
        <f aca="false">IF(A220="N/A"," ",YEAR(A220))</f>
        <v> </v>
      </c>
      <c r="C220" s="284" t="str">
        <f aca="false">IF(A220="N/A"," ",VLOOKUP(A220,ScaledPrice,14))</f>
        <v> </v>
      </c>
      <c r="D220" s="285" t="str">
        <f aca="false">IF(A220="N/A"," ",(VLOOKUP(MONTH($A220),Hrtable,2))/1000)</f>
        <v> </v>
      </c>
      <c r="E220" s="286" t="str">
        <f aca="false">IF($A220="N/A"," ",(C220)*D220)</f>
        <v> </v>
      </c>
      <c r="F220" s="287" t="str">
        <f aca="false">IF(A220="N/A"," ",VOM*(1+VOMesc)^(YEAR(A220)-YEAR(Today)))</f>
        <v> </v>
      </c>
      <c r="G220" s="287" t="str">
        <f aca="false">IF(A220="N/A"," ",Perstart/VLOOKUP(Dayrun,'Pricing Inputs'!$AQ$4:$AS$14,3)/(CY220/CX220))</f>
        <v> </v>
      </c>
      <c r="H220" s="288" t="str">
        <f aca="false">IF(A220="N/A"," ",SUM(E220:G220))</f>
        <v> </v>
      </c>
      <c r="I220" s="289" t="str">
        <f aca="false">VLOOKUP($A220,ScaledPrice,6)</f>
        <v> </v>
      </c>
      <c r="J220" s="290" t="str">
        <f aca="false">VLOOKUP($A220,ScaledPrice,10)</f>
        <v> </v>
      </c>
      <c r="K220" s="290" t="str">
        <f aca="false">VLOOKUP($A220,ScaledPrice,13)</f>
        <v> </v>
      </c>
      <c r="L220" s="290" t="str">
        <f aca="false">VLOOKUP($A220,ScaledPrice,7)</f>
        <v> </v>
      </c>
      <c r="M220" s="290" t="str">
        <f aca="false">VLOOKUP($A220,ScaledPrice,11)</f>
        <v> </v>
      </c>
      <c r="N220" s="290" t="str">
        <f aca="false">VLOOKUP($A220,ScaledPrice,13)</f>
        <v> </v>
      </c>
      <c r="O220" s="290" t="str">
        <f aca="false">VLOOKUP($A220,ScaledPrice,8)</f>
        <v> </v>
      </c>
      <c r="P220" s="290" t="str">
        <f aca="false">VLOOKUP($A220,ScaledPrice,12)</f>
        <v> </v>
      </c>
      <c r="Q220" s="291" t="str">
        <f aca="false">VLOOKUP($A220,ScaledPrice,13)</f>
        <v> </v>
      </c>
      <c r="R220" s="292" t="str">
        <f aca="false">IF($A220="N/A"," ",IF(Dayrun&gt;=3,IF(Option=1,MAX($I220-$H220,0),IF(Option=2,MAX($H220-$I220,0),0)),0))</f>
        <v> </v>
      </c>
      <c r="S220" s="286" t="str">
        <f aca="false">IF($A220="N/A"," ",IF(Dayrun&gt;=6,IF(Option=1,MAX($J220-H220,0),IF(Option=2,MAX(H220-$J220,0),0)),0))</f>
        <v> </v>
      </c>
      <c r="T220" s="286" t="str">
        <f aca="false">IF($A220="N/A"," ",IF(OR(Dayrun&lt;=2,Dayrun&gt;=9),IF(Option=1,MAX($K220-$H220,0),IF(Option=2,MAX($H220-$K220,0),0)),0))</f>
        <v> </v>
      </c>
      <c r="U220" s="286" t="str">
        <f aca="false">IF($A220="N/A"," ",IF(OR(Dayrun=1,Dayrun=4,Dayrun=5,Dayrun=7,Dayrun=8,Dayrun=10,Dayrun=11),IF(Option=1,MAX($L220-H220,0),IF(Option=2,MAX(H220-$L220,0),0)),0))</f>
        <v> </v>
      </c>
      <c r="V220" s="286" t="str">
        <f aca="false">IF($A220="N/A"," ",IF(OR(Dayrun=1,Dayrun=7,Dayrun=8,Dayrun=10,Dayrun=11),IF(Option=1,MAX($M220-H220,0),IF(Option=2,MAX(H220-$M220,0),0)),0))</f>
        <v> </v>
      </c>
      <c r="W220" s="286" t="str">
        <f aca="false">IF($A220="N/A"," ",IF(OR(Dayrun&lt;=2,Dayrun&gt;=10),IF(Option=1,MAX($N220-$H220,0),IF(Option=2,MAX($H220-$N220,0),0)),0))</f>
        <v> </v>
      </c>
      <c r="X220" s="286" t="str">
        <f aca="false">IF($A220="N/A"," ",IF(OR(Dayrun=1,Dayrun=5,Dayrun=8,Dayrun=11),IF(Option=1,MAX($O220-H220,0),IF(Option=2,MAX(H220-$O220,0),0)),0))</f>
        <v> </v>
      </c>
      <c r="Y220" s="286" t="str">
        <f aca="false">IF($A220="N/A"," ",IF(OR(Dayrun=1,Dayrun=8,Dayrun=11),IF(Option=1,MAX($P220-H220,0),IF(Option=2,MAX(H220-$P220,0),0)),0))</f>
        <v> </v>
      </c>
      <c r="Z220" s="293" t="str">
        <f aca="false">IF($A220="N/A"," ",IF(OR(Dayrun&lt;=2,Dayrun&gt;=11),IF(Option=1,MAX($Q220-$H220,0),IF(Option=2,MAX($H220-$Q220,0),0)),0))</f>
        <v> </v>
      </c>
      <c r="AA220" s="289" t="str">
        <f aca="false">IF($A220="N/A"," ",IF(Dayrun&gt;=3,(MAX(0,(xSPRDOPT(I220,($E220-'Pricing Inputs'!$X255*$D220),$CV220,0,($CN220+IF(Smile=TRUE(),VLOOKUP(MAX(-5,$H220-I220),Volsmile,2),0)),$CT220,$CU220,($A220-DateToday)+15,ABS(Option-2),0)-R220))),0))</f>
        <v> </v>
      </c>
      <c r="AB220" s="290" t="str">
        <f aca="false">IF($A220="N/A"," ",IF(Dayrun&gt;=6,MAX(0,(xSPRDOPT(J220,($E220-'Pricing Inputs'!$X255*$D220),$CV220,0,($CN220+IF(Smile=TRUE(),VLOOKUP(MAX(-5,$H220-J220),Volsmile,2),0)),$CT220,$CU220,($A220-DateToday)+15,ABS(Option-2),0)-S220)),0))</f>
        <v> </v>
      </c>
      <c r="AC220" s="290" t="str">
        <f aca="false">IF($A220="N/A"," ",IF(OR(Dayrun&lt;=2,Dayrun&gt;=9),IF(OffPeakEx=TRUE(),MAX(0,(xSPRDOPT(K220,($E220-'Pricing Inputs'!$X255*$D220),$CV220,0,($CQ220+IF(Smile=TRUE(),VLOOKUP(MAX(-5,$H220-K220),Volsmile,2),0)),$CT220,$CU220,($A220-DateToday)+15,ABS(Option-2),0)-T220)),0),0))</f>
        <v> </v>
      </c>
      <c r="AD220" s="290" t="str">
        <f aca="false">IF($A220="N/A"," ",IF(OR(Dayrun=1,Dayrun=4,Dayrun=5,Dayrun=7,Dayrun=8,Dayrun=10,Dayrun=11),MAX(0,(xSPRDOPT(L220,($E220-'Pricing Inputs'!$X255*$D220),$CV220,0,($CQ220+IF(Smile=TRUE(),VLOOKUP(MAX(-5,$H220-L220),Volsmile,2),0)),$CT220,$CU220,($A220-DateToday)+15,ABS(Option-2),0)-U220)),0))</f>
        <v> </v>
      </c>
      <c r="AE220" s="290" t="str">
        <f aca="false">IF($A220="N/A"," ",IF(OR(Dayrun=1,Dayrun=7,Dayrun=8,Dayrun=10,Dayrun=11),MAX(0,(xSPRDOPT(M220,($E220-'Pricing Inputs'!$X255*$D220),$CV220,0,($CQ220+IF(Smile=TRUE(),VLOOKUP(MAX(-5,$H220-M220),Volsmile,2),0)),$CT220,$CU220,($A220-DateToday)+15,ABS(Option-2),0)-V220)),0))</f>
        <v> </v>
      </c>
      <c r="AF220" s="290" t="str">
        <f aca="false">IF($A220="N/A"," ",IF(OR(Dayrun&lt;=2,Dayrun&gt;=10),IF(OffPeakEx=TRUE(),MAX(0,(xSPRDOPT(N220,($E220-'Pricing Inputs'!$X255*$D220),$CV220,0,($CQ220+IF(Smile=TRUE(),VLOOKUP(MAX(-5,$H220-N220),Volsmile,2),0)),$CT220,$CU220,($A220-DateToday)+15,ABS(Option-2),0)-W220)),0),0))</f>
        <v> </v>
      </c>
      <c r="AG220" s="290" t="str">
        <f aca="false">IF($A220="N/A"," ",IF(OR(Dayrun=1,Dayrun=5,Dayrun=8,Dayrun=11),MAX(0,(xSPRDOPT(O220,($E220-'Pricing Inputs'!$X255*$D220),$CV220,0,($CQ220+IF(Smile=TRUE(),VLOOKUP(MAX(-5,$H220-O220),Volsmile,2),0)),$CT220,$CU220,($A220-DateToday)+15,ABS(Option-2),0)-X220)),0))</f>
        <v> </v>
      </c>
      <c r="AH220" s="290" t="str">
        <f aca="false">IF($A220="N/A"," ",IF(OR(Dayrun=1,Dayrun=8,Dayrun=11),MAX(0,(xSPRDOPT(P220,($E220-'Pricing Inputs'!$X255*$D220),$CV220,0,($CQ220+IF(Smile=TRUE(),VLOOKUP(MAX(-5,$H220-P220),Volsmile,2),0)),$CT220,$CU220,($A220-DateToday)+15,ABS(Option-2),0)-Y220)),0))</f>
        <v> </v>
      </c>
      <c r="AI220" s="290" t="str">
        <f aca="false">IF($A220="N/A"," ",IF(OR(Dayrun&lt;=2,Dayrun&gt;=11),IF(OffPeakEx=TRUE(),MAX(0,(xSPRDOPT(Q220,($E220-'Pricing Inputs'!$X255*$D220),$CV220,0,($CQ220+IF(Smile=TRUE(),VLOOKUP(MAX(-5,$H220-Q220),Volsmile,2),0)),$CT220,$CU220,($A220-DateToday)+15,ABS(Option-2),0)-Z220)),0),0))</f>
        <v> </v>
      </c>
      <c r="AJ220" s="294" t="str">
        <f aca="false">IF($A220="N/A"," ",IF(Dayrun&gt;=3,IF(Option=1,$I220-$H220,IF(Option=2,$H220-$I220)),0))</f>
        <v> </v>
      </c>
      <c r="AK220" s="295" t="str">
        <f aca="false">IF($A220="N/A"," ",IF(Dayrun&gt;=6,IF(Option=1,$J220-H220,IF(Option=2,H220-$J220)),0))</f>
        <v> </v>
      </c>
      <c r="AL220" s="295" t="str">
        <f aca="false">IF($A220="N/A"," ",IF(OR(Dayrun&lt;=2,Dayrun&gt;=9),IF(Option=1,$K220-$H220,IF(Option=2,$H220-$K220)),0))</f>
        <v> </v>
      </c>
      <c r="AM220" s="295" t="str">
        <f aca="false">IF($A220="N/A"," ",IF(OR(Dayrun=1,Dayrun=4,Dayrun=5,Dayrun=7,Dayrun=8,Dayrun=10,Dayrun=11),IF(Option=1,$L220-H220,IF(Option=2,H220-$L220)),0))</f>
        <v> </v>
      </c>
      <c r="AN220" s="295" t="str">
        <f aca="false">IF($A220="N/A"," ",IF(OR(Dayrun=1,Dayrun=7,Dayrun=8,Dayrun=10,Dayrun=11),IF(Option=1,$M220-H220,IF(Option=2,H220-$M220)),0))</f>
        <v> </v>
      </c>
      <c r="AO220" s="295" t="str">
        <f aca="false">IF($A220="N/A"," ",IF(OR(Dayrun&lt;=2,Dayrun&gt;=9),IF(Option=1,$N220-$H220,IF(Option=2,$H220-$N220)),0))</f>
        <v> </v>
      </c>
      <c r="AP220" s="295" t="str">
        <f aca="false">IF($A220="N/A"," ",IF(OR(Dayrun=1,Dayrun=5,Dayrun=8,Dayrun=11),IF(Option=1,$O220-H220,IF(Option=2,H220-$O220)),0))</f>
        <v> </v>
      </c>
      <c r="AQ220" s="295" t="str">
        <f aca="false">IF($A220="N/A"," ",IF(OR(Dayrun=1,Dayrun=8,Dayrun=11),IF(Option=1,$P220-H220,IF(Option=2,H220-$P220)),0))</f>
        <v> </v>
      </c>
      <c r="AR220" s="296" t="str">
        <f aca="false">IF($A220="N/A"," ",IF(OR(Dayrun&lt;=2,Dayrun&gt;=9),IF(Option=1,$Q220-H220,IF(Option=2,H220-$Q220)),0))</f>
        <v> </v>
      </c>
      <c r="AS220" s="297" t="str">
        <f aca="false">IF($A220="N/A"," ",IF(VLOOKUP(MONTH($A220),ManualTable,2)=1,IF(Dayrun&gt;=3,$DE220*8*$CY220,0),0))</f>
        <v> </v>
      </c>
      <c r="AT220" s="297" t="str">
        <f aca="false">IF($A220="N/A"," ",IF(VLOOKUP(MONTH($A220),ManualTable,3)=1,IF(Dayrun&gt;=6,$DE220*8*$CY220,0),0))</f>
        <v> </v>
      </c>
      <c r="AU220" s="297" t="str">
        <f aca="false">IF($A220="N/A"," ",IF(VLOOKUP(MONTH($A220),ManualTable,4)=1,IF(OR(Dayrun&lt;=2,Dayrun&gt;=9),$DE220*8*$CY220,0),0))</f>
        <v> </v>
      </c>
      <c r="AV220" s="297" t="str">
        <f aca="false">IF($A220="N/A"," ",IF(VLOOKUP(MONTH($A220),ManualTable,5)=1,IF(OR(Dayrun=1,Dayrun=4,Dayrun=5,Dayrun=7,Dayrun=8,Dayrun=10,Dayrun=11),$DF220*8*$CY220,0),0))</f>
        <v> </v>
      </c>
      <c r="AW220" s="297" t="str">
        <f aca="false">IF($A220="N/A"," ",IF(VLOOKUP(MONTH($A220),ManualTable,6)=1,IF(OR(Dayrun=1,Dayrun=7,Dayrun=8,Dayrun=10,Dayrun=11),$DF220*8*$CY220,0),0))</f>
        <v> </v>
      </c>
      <c r="AX220" s="297" t="str">
        <f aca="false">IF($A220="N/A"," ",IF(VLOOKUP(MONTH($A220),ManualTable,7)=1,IF(OR(Dayrun&lt;=2,Dayrun&gt;=9),$DF220*8*$CY220,0),0))</f>
        <v> </v>
      </c>
      <c r="AY220" s="297" t="str">
        <f aca="false">IF($A220="N/A"," ",IF(VLOOKUP(MONTH($A220),ManualTable,8)=1,IF(OR(Dayrun=1,Dayrun=5,Dayrun=8,Dayrun=11),$DG220*8*$CY220,0),0))</f>
        <v> </v>
      </c>
      <c r="AZ220" s="297" t="str">
        <f aca="false">IF($A220="N/A"," ",IF(VLOOKUP(MONTH($A220),ManualTable,9)=1,IF(OR(Dayrun=1,Dayrun=8,Dayrun=11),$DG220*8*$CY220,0),0))</f>
        <v> </v>
      </c>
      <c r="BA220" s="298" t="str">
        <f aca="false">IF($A220="N/A"," ",IF(VLOOKUP(MONTH($A220),ManualTable,10)=1,IF(OR(Dayrun&lt;=2,Dayrun&gt;=9),$DG220*8*$CY220,0),0))</f>
        <v> </v>
      </c>
      <c r="BB220" s="299" t="str">
        <f aca="false">IF($A220="N/A"," ",IF(Dayrun&gt;=3,(MAX(0,(xSPRDOPT(I220,($E220-'Pricing Inputs'!$X255*$D220),$CV220,0,($CN220+IF(Smile=TRUE(),VLOOKUP(MAX(-5,$H220-I220),Volsmile,2),0)),$CT220,$CU220,($A220-DateToday)+15,ABS(Option-2),1)*DE220*8))),0))</f>
        <v> </v>
      </c>
      <c r="BC220" s="300" t="str">
        <f aca="false">IF($A220="N/A"," ",IF(Dayrun&gt;=6,MAX(0,(xSPRDOPT(J220,($E220-'Pricing Inputs'!$X255*$D220),$CV220,0,($CN220+IF(Smile=TRUE(),VLOOKUP(MAX(-5,$H220-J220),Volsmile,2),0)),$CT220,$CU220,($A220-DateToday)+15,ABS(Option-2),1)*DE220*8)),0))</f>
        <v> </v>
      </c>
      <c r="BD220" s="300" t="str">
        <f aca="false">IF($A220="N/A"," ",IF(OR(Dayrun&lt;=2,Dayrun&gt;=9),IF(OffPeakEx=TRUE(),MAX(0,(xSPRDOPT(K220,($E220-'Pricing Inputs'!$X255*$D220),$CV220,0,($CQ220+IF(Smile=TRUE(),VLOOKUP(MAX(-5,$H220-K220),Volsmile,2),0)),$CT220,$CU220,($A220-DateToday)+15,ABS(Option-2),1)*DE220*8)),0),0))</f>
        <v> </v>
      </c>
      <c r="BE220" s="300" t="str">
        <f aca="false">IF($A220="N/A"," ",IF(OR(Dayrun=1,Dayrun=4,Dayrun=5,Dayrun=7,Dayrun=8,Dayrun=10,Dayrun=11),MAX(0,(xSPRDOPT(L220,($E220-'Pricing Inputs'!$X255*$D220),$CV220,0,($CQ220+IF(Smile=TRUE(),VLOOKUP(MAX(-5,$H220-L220),Volsmile,2),0)),$CT220,$CU220,($A220-DateToday)+15,ABS(Option-2),1)*DF220*8)),0))</f>
        <v> </v>
      </c>
      <c r="BF220" s="300" t="str">
        <f aca="false">IF($A220="N/A"," ",IF(OR(Dayrun=1,Dayrun=7,Dayrun=8,Dayrun=10,Dayrun=11),MAX(0,(xSPRDOPT(M220,($E220-'Pricing Inputs'!$X255*$D220),$CV220,0,($CQ220+IF(Smile=TRUE(),VLOOKUP(MAX(-5,$H220-M220),Volsmile,2),0)),$CT220,$CU220,($A220-DateToday)+15,ABS(Option-2),1)*DF220*8)),0))</f>
        <v> </v>
      </c>
      <c r="BG220" s="300" t="str">
        <f aca="false">IF($A220="N/A"," ",IF(OR(Dayrun&lt;=2,Dayrun&gt;=10),IF(OffPeakEx=TRUE(),MAX(0,(xSPRDOPT(N220,($E220-'Pricing Inputs'!$X255*$D220),$CV220,0,($CQ220+IF(Smile=TRUE(),VLOOKUP(MAX(-5,$H220-N220),Volsmile,2),0)),$CT220,$CU220,($A220-DateToday)+15,ABS(Option-2),1)*DF220*8)),0),0))</f>
        <v> </v>
      </c>
      <c r="BH220" s="300" t="str">
        <f aca="false">IF($A220="N/A"," ",IF(OR(Dayrun=1,Dayrun=5,Dayrun=8,Dayrun=11),MAX(0,(xSPRDOPT(O220,($E220-'Pricing Inputs'!$X255*$D220),$CV220,0,($CQ220+IF(Smile=TRUE(),VLOOKUP(MAX(-5,$H220-O220),Volsmile,2),0)),$CT220,$CU220,($A220-DateToday)+15,ABS(Option-2),1)*DG220*8)),0))</f>
        <v> </v>
      </c>
      <c r="BI220" s="300" t="str">
        <f aca="false">IF($A220="N/A"," ",IF(OR(Dayrun=1,Dayrun=8,Dayrun=11),MAX(0,(xSPRDOPT(P220,($E220-'Pricing Inputs'!$X255*$D220),$CV220,0,($CQ220+IF(Smile=TRUE(),VLOOKUP(MAX(-5,$H220-P220),Volsmile,2),0)),$CT220,$CU220,($A220-DateToday)+15,ABS(Option-2),1)*DG220*8)),0))</f>
        <v> </v>
      </c>
      <c r="BJ220" s="301" t="str">
        <f aca="false">IF($A220="N/A"," ",IF(OR(Dayrun&lt;=2,Dayrun&gt;=11),IF(OffPeakEx=TRUE(),MAX(0,(xSPRDOPT(Q220,($E220-'Pricing Inputs'!$X255*$D220),$CV220,0,($CQ220+IF(Smile=TRUE(),VLOOKUP(MAX(-5,$H220-Q220),Volsmile,2),0)),$CT220,$CU220,($A220-DateToday)+15,ABS(Option-2),1)*DG220*8)),0),0))</f>
        <v> </v>
      </c>
      <c r="BK220" s="302" t="str">
        <f aca="false">IF($A220="N/A"," ",R220*$AS220)</f>
        <v> </v>
      </c>
      <c r="BL220" s="303" t="str">
        <f aca="false">IF($A220="N/A"," ",S220*$AT220)</f>
        <v> </v>
      </c>
      <c r="BM220" s="303" t="str">
        <f aca="false">IF($A220="N/A"," ",T220*$AU220)</f>
        <v> </v>
      </c>
      <c r="BN220" s="303" t="str">
        <f aca="false">IF($A220="N/A"," ",U220*$AV220)</f>
        <v> </v>
      </c>
      <c r="BO220" s="303" t="str">
        <f aca="false">IF($A220="N/A"," ",V220*$AW220)</f>
        <v> </v>
      </c>
      <c r="BP220" s="303" t="str">
        <f aca="false">IF($A220="N/A"," ",W220*$AX220)</f>
        <v> </v>
      </c>
      <c r="BQ220" s="303" t="str">
        <f aca="false">IF($A220="N/A"," ",X220*$AY220)</f>
        <v> </v>
      </c>
      <c r="BR220" s="303" t="str">
        <f aca="false">IF($A220="N/A"," ",Y220*$AZ220)</f>
        <v> </v>
      </c>
      <c r="BS220" s="304" t="str">
        <f aca="false">IF($A220="N/A"," ",Z220*$BA220)</f>
        <v> </v>
      </c>
      <c r="BT220" s="305" t="str">
        <f aca="false">IF($A220="N/A"," ",AA220*$AS220)</f>
        <v> </v>
      </c>
      <c r="BU220" s="306" t="str">
        <f aca="false">IF($A220="N/A"," ",AB220*$AT220)</f>
        <v> </v>
      </c>
      <c r="BV220" s="306" t="str">
        <f aca="false">IF($A220="N/A"," ",AC220*$AU220)</f>
        <v> </v>
      </c>
      <c r="BW220" s="306" t="str">
        <f aca="false">IF($A220="N/A"," ",AD220*$AV220)</f>
        <v> </v>
      </c>
      <c r="BX220" s="306" t="str">
        <f aca="false">IF($A220="N/A"," ",AE220*$AW220)</f>
        <v> </v>
      </c>
      <c r="BY220" s="306" t="str">
        <f aca="false">IF($A220="N/A"," ",AF220*$AX220)</f>
        <v> </v>
      </c>
      <c r="BZ220" s="306" t="str">
        <f aca="false">IF($A220="N/A"," ",AG220*$AY220)</f>
        <v> </v>
      </c>
      <c r="CA220" s="306" t="str">
        <f aca="false">IF($A220="N/A"," ",AH220*$AZ220)</f>
        <v> </v>
      </c>
      <c r="CB220" s="307" t="str">
        <f aca="false">IF($A220="N/A"," ",AI220*$BA220)</f>
        <v> </v>
      </c>
      <c r="CC220" s="308" t="str">
        <f aca="false">IF($A220="N/A"," ",AJ220*$AS220)</f>
        <v> </v>
      </c>
      <c r="CD220" s="309" t="str">
        <f aca="false">IF($A220="N/A"," ",AK220*$AT220)</f>
        <v> </v>
      </c>
      <c r="CE220" s="309" t="str">
        <f aca="false">IF($A220="N/A"," ",AL220*$AU220)</f>
        <v> </v>
      </c>
      <c r="CF220" s="309" t="str">
        <f aca="false">IF($A220="N/A"," ",AM220*$AV220)</f>
        <v> </v>
      </c>
      <c r="CG220" s="309" t="str">
        <f aca="false">IF($A220="N/A"," ",AN220*$AW220)</f>
        <v> </v>
      </c>
      <c r="CH220" s="309" t="str">
        <f aca="false">IF($A220="N/A"," ",AO220*$AX220)</f>
        <v> </v>
      </c>
      <c r="CI220" s="309" t="str">
        <f aca="false">IF($A220="N/A"," ",AP220*$AY220)</f>
        <v> </v>
      </c>
      <c r="CJ220" s="309" t="str">
        <f aca="false">IF($A220="N/A"," ",AQ220*$AZ220)</f>
        <v> </v>
      </c>
      <c r="CK220" s="310" t="str">
        <f aca="false">IF($A220="N/A"," ",AR220*$BA220)</f>
        <v> </v>
      </c>
      <c r="CL220" s="311" t="str">
        <f aca="false">IF(A220="N/A"," ",(VLOOKUP(A220,PowerVolTable,(IF(VolBMO=2,7,IF(VolBMO=1,6,8))),FALSE())))</f>
        <v> </v>
      </c>
      <c r="CM220" s="312" t="str">
        <f aca="false">IF(A220="N/A"," ",(VLOOKUP(A220,IntraPowerVol,(IF(VolBMO=2,3,IF(VolBMO=1,2,4))),FALSE())*VLOOKUP(MONTH($A220),Volscale,2)))</f>
        <v> </v>
      </c>
      <c r="CN220" s="312" t="str">
        <f aca="false">IF($A220="N/A"," ",IF(VolType=1,CM220,CL220))</f>
        <v> </v>
      </c>
      <c r="CO220" s="312" t="str">
        <f aca="false">IF($A220="N/A"," ",(VLOOKUP($A220,OffPeakVol,(IF(VolBMO=2,7,IF(VolBMO=1,6,8))),FALSE())))</f>
        <v> </v>
      </c>
      <c r="CP220" s="312" t="str">
        <f aca="false">IF($A220="N/A"," ",(VLOOKUP($A220,OffPeakVol,(IF(VolBMO=2,3,IF(VolBMO=1,2,4))),FALSE())*VLOOKUP(MONTH($A220),Volscale,2)))</f>
        <v> </v>
      </c>
      <c r="CQ220" s="312" t="str">
        <f aca="false">IF($A220="N/A"," ",IF(VolType=1,CP220,CO220))</f>
        <v> </v>
      </c>
      <c r="CR220" s="312" t="str">
        <f aca="false">IF($A220="N/A"," ",(VLOOKUP($A220,GasVolTable,(IF(VolBMO=2,6,IF(VolBMO=1,7,5))),FALSE())))</f>
        <v> </v>
      </c>
      <c r="CS220" s="312" t="str">
        <f aca="false">IF($A220="N/A"," ",(VLOOKUP($A220,OmicronVol,(IF(VolBMO=2,3,IF(VolBMO=1,4,2))),FALSE())))</f>
        <v> </v>
      </c>
      <c r="CT220" s="312" t="str">
        <f aca="false">IF($A220="N/A"," ",(IF(DateToday&gt;$A220,$CS220,IF(VolType=1,((($CR220^2)*((($A220-1)-DateToday)/((EOMONTH($A220,0)+1)-DateToday-15)))+((($CS220)^2)*((15)/((EOMONTH($A220,0)+1)-DateToday-15))))^0.5,CR220))))</f>
        <v> </v>
      </c>
      <c r="CU220" s="312" t="str">
        <f aca="false">IF($A220="N/A"," ",IF('Pricing Inputs'!$AR$23=TRUE(),Inputs!$S$22,VLOOKUP($A220,CorrelationTable,2,FALSE())))</f>
        <v> </v>
      </c>
      <c r="CV220" s="313" t="str">
        <f aca="false">IF($A220="N/A"," ",F220+G220+(D220*('Pricing Inputs'!X255)))</f>
        <v> </v>
      </c>
      <c r="CW220" s="314" t="str">
        <f aca="false">IF($A220="N/A"," ",IF(PV=1,0,'Pricing Inputs'!Y255))</f>
        <v> </v>
      </c>
      <c r="CX220" s="315" t="str">
        <f aca="false">IF($A220="N/A"," ",(1+CW220/2)^(-2*((EOMONTH(A220,0)+20)-DateToday)/365.25))</f>
        <v> </v>
      </c>
      <c r="CY220" s="316" t="str">
        <f aca="false">IF($A220="N/A"," ",(IF(MONTH(A220)&gt;=4,IF(MONTH(A220)&lt;=10,Inputs!$S$26,Inputs!$S$27),Inputs!$S$27))*$CX220)</f>
        <v> </v>
      </c>
      <c r="CZ220" s="317" t="str">
        <f aca="false">IF($A220="N/A"," ",BK220+BL220+BN220+BO220+BQ220+BR220)</f>
        <v> </v>
      </c>
      <c r="DA220" s="318" t="str">
        <f aca="false">IF($A220="N/A"," ",BM220+BP220+BS220)</f>
        <v> </v>
      </c>
      <c r="DB220" s="319" t="str">
        <f aca="false">IF($A220="N/A"," ",BT220+BU220+BW220+BX220+BZ220+CA220)</f>
        <v> </v>
      </c>
      <c r="DC220" s="319" t="str">
        <f aca="false">IF($A220="N/A"," ",BV220+BY220+CB220)</f>
        <v> </v>
      </c>
      <c r="DD220" s="320" t="str">
        <f aca="false">IF($A220="N/A"," ",SUM(CC220:CK220))</f>
        <v> </v>
      </c>
      <c r="DE220" s="321" t="str">
        <f aca="false">IF($A220="N/A"," ",VLOOKUP($A220,NumberofDaysTable,2)*Availability)</f>
        <v> </v>
      </c>
      <c r="DF220" s="94" t="str">
        <f aca="false">IF($A220="N/A"," ",VLOOKUP($A220,NumberofDaysTable,3)*Availability)</f>
        <v> </v>
      </c>
      <c r="DG220" s="322" t="str">
        <f aca="false">IF($A220="N/A"," ",VLOOKUP($A220,NumberofDaysTable,4)*Availability)</f>
        <v> </v>
      </c>
      <c r="DH220" s="323" t="str">
        <f aca="false">IF($A220="N/A"," ",IF(Option=1,$D220*Inputs!$S$15*SUM(AS220:BA220),0))</f>
        <v> </v>
      </c>
      <c r="DI220" s="324" t="str">
        <f aca="false">IF($A220="N/A"," ",IF(Option=1,$D220*Inputs!$S$16*SUM(AS220:BA220),0))</f>
        <v> </v>
      </c>
      <c r="DJ220" s="325" t="str">
        <f aca="false">IF($A220="N/A"," ",SUM(AS220:AT220))</f>
        <v> </v>
      </c>
      <c r="DK220" s="325" t="str">
        <f aca="false">IF($A220="N/A"," ",SUM(AU220:BA220))</f>
        <v> </v>
      </c>
      <c r="DL220" s="325" t="str">
        <f aca="false">IF($A220="N/A"," ",SUM(BB220:BC220))</f>
        <v> </v>
      </c>
      <c r="DM220" s="325" t="str">
        <f aca="false">IF($A220="N/A"," ",SUM(BD220:BJ220))</f>
        <v> </v>
      </c>
    </row>
    <row r="221" customFormat="false" ht="12.75" hidden="false" customHeight="false" outlineLevel="0" collapsed="false">
      <c r="A221" s="282" t="str">
        <f aca="false">IF(A220="N/A","N/A",IF(EDATE(A220,1)&gt;Inputs!$S$5,"N/A",EDATE(A220,1)))</f>
        <v>N/A</v>
      </c>
      <c r="B221" s="283" t="str">
        <f aca="false">IF(A221="N/A"," ",YEAR(A221))</f>
        <v> </v>
      </c>
      <c r="C221" s="284" t="str">
        <f aca="false">IF(A221="N/A"," ",VLOOKUP(A221,ScaledPrice,14))</f>
        <v> </v>
      </c>
      <c r="D221" s="285" t="str">
        <f aca="false">IF(A221="N/A"," ",(VLOOKUP(MONTH($A221),Hrtable,2))/1000)</f>
        <v> </v>
      </c>
      <c r="E221" s="286" t="str">
        <f aca="false">IF($A221="N/A"," ",(C221)*D221)</f>
        <v> </v>
      </c>
      <c r="F221" s="287" t="str">
        <f aca="false">IF(A221="N/A"," ",VOM*(1+VOMesc)^(YEAR(A221)-YEAR(Today)))</f>
        <v> </v>
      </c>
      <c r="G221" s="287" t="str">
        <f aca="false">IF(A221="N/A"," ",Perstart/VLOOKUP(Dayrun,'Pricing Inputs'!$AQ$4:$AS$14,3)/(CY221/CX221))</f>
        <v> </v>
      </c>
      <c r="H221" s="288" t="str">
        <f aca="false">IF(A221="N/A"," ",SUM(E221:G221))</f>
        <v> </v>
      </c>
      <c r="I221" s="289" t="str">
        <f aca="false">VLOOKUP($A221,ScaledPrice,6)</f>
        <v> </v>
      </c>
      <c r="J221" s="290" t="str">
        <f aca="false">VLOOKUP($A221,ScaledPrice,10)</f>
        <v> </v>
      </c>
      <c r="K221" s="290" t="str">
        <f aca="false">VLOOKUP($A221,ScaledPrice,13)</f>
        <v> </v>
      </c>
      <c r="L221" s="290" t="str">
        <f aca="false">VLOOKUP($A221,ScaledPrice,7)</f>
        <v> </v>
      </c>
      <c r="M221" s="290" t="str">
        <f aca="false">VLOOKUP($A221,ScaledPrice,11)</f>
        <v> </v>
      </c>
      <c r="N221" s="290" t="str">
        <f aca="false">VLOOKUP($A221,ScaledPrice,13)</f>
        <v> </v>
      </c>
      <c r="O221" s="290" t="str">
        <f aca="false">VLOOKUP($A221,ScaledPrice,8)</f>
        <v> </v>
      </c>
      <c r="P221" s="290" t="str">
        <f aca="false">VLOOKUP($A221,ScaledPrice,12)</f>
        <v> </v>
      </c>
      <c r="Q221" s="291" t="str">
        <f aca="false">VLOOKUP($A221,ScaledPrice,13)</f>
        <v> </v>
      </c>
      <c r="R221" s="292" t="str">
        <f aca="false">IF($A221="N/A"," ",IF(Dayrun&gt;=3,IF(Option=1,MAX($I221-$H221,0),IF(Option=2,MAX($H221-$I221,0),0)),0))</f>
        <v> </v>
      </c>
      <c r="S221" s="286" t="str">
        <f aca="false">IF($A221="N/A"," ",IF(Dayrun&gt;=6,IF(Option=1,MAX($J221-H221,0),IF(Option=2,MAX(H221-$J221,0),0)),0))</f>
        <v> </v>
      </c>
      <c r="T221" s="286" t="str">
        <f aca="false">IF($A221="N/A"," ",IF(OR(Dayrun&lt;=2,Dayrun&gt;=9),IF(Option=1,MAX($K221-$H221,0),IF(Option=2,MAX($H221-$K221,0),0)),0))</f>
        <v> </v>
      </c>
      <c r="U221" s="286" t="str">
        <f aca="false">IF($A221="N/A"," ",IF(OR(Dayrun=1,Dayrun=4,Dayrun=5,Dayrun=7,Dayrun=8,Dayrun=10,Dayrun=11),IF(Option=1,MAX($L221-H221,0),IF(Option=2,MAX(H221-$L221,0),0)),0))</f>
        <v> </v>
      </c>
      <c r="V221" s="286" t="str">
        <f aca="false">IF($A221="N/A"," ",IF(OR(Dayrun=1,Dayrun=7,Dayrun=8,Dayrun=10,Dayrun=11),IF(Option=1,MAX($M221-H221,0),IF(Option=2,MAX(H221-$M221,0),0)),0))</f>
        <v> </v>
      </c>
      <c r="W221" s="286" t="str">
        <f aca="false">IF($A221="N/A"," ",IF(OR(Dayrun&lt;=2,Dayrun&gt;=10),IF(Option=1,MAX($N221-$H221,0),IF(Option=2,MAX($H221-$N221,0),0)),0))</f>
        <v> </v>
      </c>
      <c r="X221" s="286" t="str">
        <f aca="false">IF($A221="N/A"," ",IF(OR(Dayrun=1,Dayrun=5,Dayrun=8,Dayrun=11),IF(Option=1,MAX($O221-H221,0),IF(Option=2,MAX(H221-$O221,0),0)),0))</f>
        <v> </v>
      </c>
      <c r="Y221" s="286" t="str">
        <f aca="false">IF($A221="N/A"," ",IF(OR(Dayrun=1,Dayrun=8,Dayrun=11),IF(Option=1,MAX($P221-H221,0),IF(Option=2,MAX(H221-$P221,0),0)),0))</f>
        <v> </v>
      </c>
      <c r="Z221" s="293" t="str">
        <f aca="false">IF($A221="N/A"," ",IF(OR(Dayrun&lt;=2,Dayrun&gt;=11),IF(Option=1,MAX($Q221-$H221,0),IF(Option=2,MAX($H221-$Q221,0),0)),0))</f>
        <v> </v>
      </c>
      <c r="AA221" s="289" t="str">
        <f aca="false">IF($A221="N/A"," ",IF(Dayrun&gt;=3,(MAX(0,(xSPRDOPT(I221,($E221-'Pricing Inputs'!$X256*$D221),$CV221,0,($CN221+IF(Smile=TRUE(),VLOOKUP(MAX(-5,$H221-I221),Volsmile,2),0)),$CT221,$CU221,($A221-DateToday)+15,ABS(Option-2),0)-R221))),0))</f>
        <v> </v>
      </c>
      <c r="AB221" s="290" t="str">
        <f aca="false">IF($A221="N/A"," ",IF(Dayrun&gt;=6,MAX(0,(xSPRDOPT(J221,($E221-'Pricing Inputs'!$X256*$D221),$CV221,0,($CN221+IF(Smile=TRUE(),VLOOKUP(MAX(-5,$H221-J221),Volsmile,2),0)),$CT221,$CU221,($A221-DateToday)+15,ABS(Option-2),0)-S221)),0))</f>
        <v> </v>
      </c>
      <c r="AC221" s="290" t="str">
        <f aca="false">IF($A221="N/A"," ",IF(OR(Dayrun&lt;=2,Dayrun&gt;=9),IF(OffPeakEx=TRUE(),MAX(0,(xSPRDOPT(K221,($E221-'Pricing Inputs'!$X256*$D221),$CV221,0,($CQ221+IF(Smile=TRUE(),VLOOKUP(MAX(-5,$H221-K221),Volsmile,2),0)),$CT221,$CU221,($A221-DateToday)+15,ABS(Option-2),0)-T221)),0),0))</f>
        <v> </v>
      </c>
      <c r="AD221" s="290" t="str">
        <f aca="false">IF($A221="N/A"," ",IF(OR(Dayrun=1,Dayrun=4,Dayrun=5,Dayrun=7,Dayrun=8,Dayrun=10,Dayrun=11),MAX(0,(xSPRDOPT(L221,($E221-'Pricing Inputs'!$X256*$D221),$CV221,0,($CQ221+IF(Smile=TRUE(),VLOOKUP(MAX(-5,$H221-L221),Volsmile,2),0)),$CT221,$CU221,($A221-DateToday)+15,ABS(Option-2),0)-U221)),0))</f>
        <v> </v>
      </c>
      <c r="AE221" s="290" t="str">
        <f aca="false">IF($A221="N/A"," ",IF(OR(Dayrun=1,Dayrun=7,Dayrun=8,Dayrun=10,Dayrun=11),MAX(0,(xSPRDOPT(M221,($E221-'Pricing Inputs'!$X256*$D221),$CV221,0,($CQ221+IF(Smile=TRUE(),VLOOKUP(MAX(-5,$H221-M221),Volsmile,2),0)),$CT221,$CU221,($A221-DateToday)+15,ABS(Option-2),0)-V221)),0))</f>
        <v> </v>
      </c>
      <c r="AF221" s="290" t="str">
        <f aca="false">IF($A221="N/A"," ",IF(OR(Dayrun&lt;=2,Dayrun&gt;=10),IF(OffPeakEx=TRUE(),MAX(0,(xSPRDOPT(N221,($E221-'Pricing Inputs'!$X256*$D221),$CV221,0,($CQ221+IF(Smile=TRUE(),VLOOKUP(MAX(-5,$H221-N221),Volsmile,2),0)),$CT221,$CU221,($A221-DateToday)+15,ABS(Option-2),0)-W221)),0),0))</f>
        <v> </v>
      </c>
      <c r="AG221" s="290" t="str">
        <f aca="false">IF($A221="N/A"," ",IF(OR(Dayrun=1,Dayrun=5,Dayrun=8,Dayrun=11),MAX(0,(xSPRDOPT(O221,($E221-'Pricing Inputs'!$X256*$D221),$CV221,0,($CQ221+IF(Smile=TRUE(),VLOOKUP(MAX(-5,$H221-O221),Volsmile,2),0)),$CT221,$CU221,($A221-DateToday)+15,ABS(Option-2),0)-X221)),0))</f>
        <v> </v>
      </c>
      <c r="AH221" s="290" t="str">
        <f aca="false">IF($A221="N/A"," ",IF(OR(Dayrun=1,Dayrun=8,Dayrun=11),MAX(0,(xSPRDOPT(P221,($E221-'Pricing Inputs'!$X256*$D221),$CV221,0,($CQ221+IF(Smile=TRUE(),VLOOKUP(MAX(-5,$H221-P221),Volsmile,2),0)),$CT221,$CU221,($A221-DateToday)+15,ABS(Option-2),0)-Y221)),0))</f>
        <v> </v>
      </c>
      <c r="AI221" s="290" t="str">
        <f aca="false">IF($A221="N/A"," ",IF(OR(Dayrun&lt;=2,Dayrun&gt;=11),IF(OffPeakEx=TRUE(),MAX(0,(xSPRDOPT(Q221,($E221-'Pricing Inputs'!$X256*$D221),$CV221,0,($CQ221+IF(Smile=TRUE(),VLOOKUP(MAX(-5,$H221-Q221),Volsmile,2),0)),$CT221,$CU221,($A221-DateToday)+15,ABS(Option-2),0)-Z221)),0),0))</f>
        <v> </v>
      </c>
      <c r="AJ221" s="294" t="str">
        <f aca="false">IF($A221="N/A"," ",IF(Dayrun&gt;=3,IF(Option=1,$I221-$H221,IF(Option=2,$H221-$I221)),0))</f>
        <v> </v>
      </c>
      <c r="AK221" s="295" t="str">
        <f aca="false">IF($A221="N/A"," ",IF(Dayrun&gt;=6,IF(Option=1,$J221-H221,IF(Option=2,H221-$J221)),0))</f>
        <v> </v>
      </c>
      <c r="AL221" s="295" t="str">
        <f aca="false">IF($A221="N/A"," ",IF(OR(Dayrun&lt;=2,Dayrun&gt;=9),IF(Option=1,$K221-$H221,IF(Option=2,$H221-$K221)),0))</f>
        <v> </v>
      </c>
      <c r="AM221" s="295" t="str">
        <f aca="false">IF($A221="N/A"," ",IF(OR(Dayrun=1,Dayrun=4,Dayrun=5,Dayrun=7,Dayrun=8,Dayrun=10,Dayrun=11),IF(Option=1,$L221-H221,IF(Option=2,H221-$L221)),0))</f>
        <v> </v>
      </c>
      <c r="AN221" s="295" t="str">
        <f aca="false">IF($A221="N/A"," ",IF(OR(Dayrun=1,Dayrun=7,Dayrun=8,Dayrun=10,Dayrun=11),IF(Option=1,$M221-H221,IF(Option=2,H221-$M221)),0))</f>
        <v> </v>
      </c>
      <c r="AO221" s="295" t="str">
        <f aca="false">IF($A221="N/A"," ",IF(OR(Dayrun&lt;=2,Dayrun&gt;=9),IF(Option=1,$N221-$H221,IF(Option=2,$H221-$N221)),0))</f>
        <v> </v>
      </c>
      <c r="AP221" s="295" t="str">
        <f aca="false">IF($A221="N/A"," ",IF(OR(Dayrun=1,Dayrun=5,Dayrun=8,Dayrun=11),IF(Option=1,$O221-H221,IF(Option=2,H221-$O221)),0))</f>
        <v> </v>
      </c>
      <c r="AQ221" s="295" t="str">
        <f aca="false">IF($A221="N/A"," ",IF(OR(Dayrun=1,Dayrun=8,Dayrun=11),IF(Option=1,$P221-H221,IF(Option=2,H221-$P221)),0))</f>
        <v> </v>
      </c>
      <c r="AR221" s="296" t="str">
        <f aca="false">IF($A221="N/A"," ",IF(OR(Dayrun&lt;=2,Dayrun&gt;=9),IF(Option=1,$Q221-H221,IF(Option=2,H221-$Q221)),0))</f>
        <v> </v>
      </c>
      <c r="AS221" s="297" t="str">
        <f aca="false">IF($A221="N/A"," ",IF(VLOOKUP(MONTH($A221),ManualTable,2)=1,IF(Dayrun&gt;=3,$DE221*8*$CY221,0),0))</f>
        <v> </v>
      </c>
      <c r="AT221" s="297" t="str">
        <f aca="false">IF($A221="N/A"," ",IF(VLOOKUP(MONTH($A221),ManualTable,3)=1,IF(Dayrun&gt;=6,$DE221*8*$CY221,0),0))</f>
        <v> </v>
      </c>
      <c r="AU221" s="297" t="str">
        <f aca="false">IF($A221="N/A"," ",IF(VLOOKUP(MONTH($A221),ManualTable,4)=1,IF(OR(Dayrun&lt;=2,Dayrun&gt;=9),$DE221*8*$CY221,0),0))</f>
        <v> </v>
      </c>
      <c r="AV221" s="297" t="str">
        <f aca="false">IF($A221="N/A"," ",IF(VLOOKUP(MONTH($A221),ManualTable,5)=1,IF(OR(Dayrun=1,Dayrun=4,Dayrun=5,Dayrun=7,Dayrun=8,Dayrun=10,Dayrun=11),$DF221*8*$CY221,0),0))</f>
        <v> </v>
      </c>
      <c r="AW221" s="297" t="str">
        <f aca="false">IF($A221="N/A"," ",IF(VLOOKUP(MONTH($A221),ManualTable,6)=1,IF(OR(Dayrun=1,Dayrun=7,Dayrun=8,Dayrun=10,Dayrun=11),$DF221*8*$CY221,0),0))</f>
        <v> </v>
      </c>
      <c r="AX221" s="297" t="str">
        <f aca="false">IF($A221="N/A"," ",IF(VLOOKUP(MONTH($A221),ManualTable,7)=1,IF(OR(Dayrun&lt;=2,Dayrun&gt;=9),$DF221*8*$CY221,0),0))</f>
        <v> </v>
      </c>
      <c r="AY221" s="297" t="str">
        <f aca="false">IF($A221="N/A"," ",IF(VLOOKUP(MONTH($A221),ManualTable,8)=1,IF(OR(Dayrun=1,Dayrun=5,Dayrun=8,Dayrun=11),$DG221*8*$CY221,0),0))</f>
        <v> </v>
      </c>
      <c r="AZ221" s="297" t="str">
        <f aca="false">IF($A221="N/A"," ",IF(VLOOKUP(MONTH($A221),ManualTable,9)=1,IF(OR(Dayrun=1,Dayrun=8,Dayrun=11),$DG221*8*$CY221,0),0))</f>
        <v> </v>
      </c>
      <c r="BA221" s="298" t="str">
        <f aca="false">IF($A221="N/A"," ",IF(VLOOKUP(MONTH($A221),ManualTable,10)=1,IF(OR(Dayrun&lt;=2,Dayrun&gt;=9),$DG221*8*$CY221,0),0))</f>
        <v> </v>
      </c>
      <c r="BB221" s="299" t="str">
        <f aca="false">IF($A221="N/A"," ",IF(Dayrun&gt;=3,(MAX(0,(xSPRDOPT(I221,($E221-'Pricing Inputs'!$X256*$D221),$CV221,0,($CN221+IF(Smile=TRUE(),VLOOKUP(MAX(-5,$H221-I221),Volsmile,2),0)),$CT221,$CU221,($A221-DateToday)+15,ABS(Option-2),1)*DE221*8))),0))</f>
        <v> </v>
      </c>
      <c r="BC221" s="300" t="str">
        <f aca="false">IF($A221="N/A"," ",IF(Dayrun&gt;=6,MAX(0,(xSPRDOPT(J221,($E221-'Pricing Inputs'!$X256*$D221),$CV221,0,($CN221+IF(Smile=TRUE(),VLOOKUP(MAX(-5,$H221-J221),Volsmile,2),0)),$CT221,$CU221,($A221-DateToday)+15,ABS(Option-2),1)*DE221*8)),0))</f>
        <v> </v>
      </c>
      <c r="BD221" s="300" t="str">
        <f aca="false">IF($A221="N/A"," ",IF(OR(Dayrun&lt;=2,Dayrun&gt;=9),IF(OffPeakEx=TRUE(),MAX(0,(xSPRDOPT(K221,($E221-'Pricing Inputs'!$X256*$D221),$CV221,0,($CQ221+IF(Smile=TRUE(),VLOOKUP(MAX(-5,$H221-K221),Volsmile,2),0)),$CT221,$CU221,($A221-DateToday)+15,ABS(Option-2),1)*DE221*8)),0),0))</f>
        <v> </v>
      </c>
      <c r="BE221" s="300" t="str">
        <f aca="false">IF($A221="N/A"," ",IF(OR(Dayrun=1,Dayrun=4,Dayrun=5,Dayrun=7,Dayrun=8,Dayrun=10,Dayrun=11),MAX(0,(xSPRDOPT(L221,($E221-'Pricing Inputs'!$X256*$D221),$CV221,0,($CQ221+IF(Smile=TRUE(),VLOOKUP(MAX(-5,$H221-L221),Volsmile,2),0)),$CT221,$CU221,($A221-DateToday)+15,ABS(Option-2),1)*DF221*8)),0))</f>
        <v> </v>
      </c>
      <c r="BF221" s="300" t="str">
        <f aca="false">IF($A221="N/A"," ",IF(OR(Dayrun=1,Dayrun=7,Dayrun=8,Dayrun=10,Dayrun=11),MAX(0,(xSPRDOPT(M221,($E221-'Pricing Inputs'!$X256*$D221),$CV221,0,($CQ221+IF(Smile=TRUE(),VLOOKUP(MAX(-5,$H221-M221),Volsmile,2),0)),$CT221,$CU221,($A221-DateToday)+15,ABS(Option-2),1)*DF221*8)),0))</f>
        <v> </v>
      </c>
      <c r="BG221" s="300" t="str">
        <f aca="false">IF($A221="N/A"," ",IF(OR(Dayrun&lt;=2,Dayrun&gt;=10),IF(OffPeakEx=TRUE(),MAX(0,(xSPRDOPT(N221,($E221-'Pricing Inputs'!$X256*$D221),$CV221,0,($CQ221+IF(Smile=TRUE(),VLOOKUP(MAX(-5,$H221-N221),Volsmile,2),0)),$CT221,$CU221,($A221-DateToday)+15,ABS(Option-2),1)*DF221*8)),0),0))</f>
        <v> </v>
      </c>
      <c r="BH221" s="300" t="str">
        <f aca="false">IF($A221="N/A"," ",IF(OR(Dayrun=1,Dayrun=5,Dayrun=8,Dayrun=11),MAX(0,(xSPRDOPT(O221,($E221-'Pricing Inputs'!$X256*$D221),$CV221,0,($CQ221+IF(Smile=TRUE(),VLOOKUP(MAX(-5,$H221-O221),Volsmile,2),0)),$CT221,$CU221,($A221-DateToday)+15,ABS(Option-2),1)*DG221*8)),0))</f>
        <v> </v>
      </c>
      <c r="BI221" s="300" t="str">
        <f aca="false">IF($A221="N/A"," ",IF(OR(Dayrun=1,Dayrun=8,Dayrun=11),MAX(0,(xSPRDOPT(P221,($E221-'Pricing Inputs'!$X256*$D221),$CV221,0,($CQ221+IF(Smile=TRUE(),VLOOKUP(MAX(-5,$H221-P221),Volsmile,2),0)),$CT221,$CU221,($A221-DateToday)+15,ABS(Option-2),1)*DG221*8)),0))</f>
        <v> </v>
      </c>
      <c r="BJ221" s="301" t="str">
        <f aca="false">IF($A221="N/A"," ",IF(OR(Dayrun&lt;=2,Dayrun&gt;=11),IF(OffPeakEx=TRUE(),MAX(0,(xSPRDOPT(Q221,($E221-'Pricing Inputs'!$X256*$D221),$CV221,0,($CQ221+IF(Smile=TRUE(),VLOOKUP(MAX(-5,$H221-Q221),Volsmile,2),0)),$CT221,$CU221,($A221-DateToday)+15,ABS(Option-2),1)*DG221*8)),0),0))</f>
        <v> </v>
      </c>
      <c r="BK221" s="302" t="str">
        <f aca="false">IF($A221="N/A"," ",R221*$AS221)</f>
        <v> </v>
      </c>
      <c r="BL221" s="303" t="str">
        <f aca="false">IF($A221="N/A"," ",S221*$AT221)</f>
        <v> </v>
      </c>
      <c r="BM221" s="303" t="str">
        <f aca="false">IF($A221="N/A"," ",T221*$AU221)</f>
        <v> </v>
      </c>
      <c r="BN221" s="303" t="str">
        <f aca="false">IF($A221="N/A"," ",U221*$AV221)</f>
        <v> </v>
      </c>
      <c r="BO221" s="303" t="str">
        <f aca="false">IF($A221="N/A"," ",V221*$AW221)</f>
        <v> </v>
      </c>
      <c r="BP221" s="303" t="str">
        <f aca="false">IF($A221="N/A"," ",W221*$AX221)</f>
        <v> </v>
      </c>
      <c r="BQ221" s="303" t="str">
        <f aca="false">IF($A221="N/A"," ",X221*$AY221)</f>
        <v> </v>
      </c>
      <c r="BR221" s="303" t="str">
        <f aca="false">IF($A221="N/A"," ",Y221*$AZ221)</f>
        <v> </v>
      </c>
      <c r="BS221" s="304" t="str">
        <f aca="false">IF($A221="N/A"," ",Z221*$BA221)</f>
        <v> </v>
      </c>
      <c r="BT221" s="305" t="str">
        <f aca="false">IF($A221="N/A"," ",AA221*$AS221)</f>
        <v> </v>
      </c>
      <c r="BU221" s="306" t="str">
        <f aca="false">IF($A221="N/A"," ",AB221*$AT221)</f>
        <v> </v>
      </c>
      <c r="BV221" s="306" t="str">
        <f aca="false">IF($A221="N/A"," ",AC221*$AU221)</f>
        <v> </v>
      </c>
      <c r="BW221" s="306" t="str">
        <f aca="false">IF($A221="N/A"," ",AD221*$AV221)</f>
        <v> </v>
      </c>
      <c r="BX221" s="306" t="str">
        <f aca="false">IF($A221="N/A"," ",AE221*$AW221)</f>
        <v> </v>
      </c>
      <c r="BY221" s="306" t="str">
        <f aca="false">IF($A221="N/A"," ",AF221*$AX221)</f>
        <v> </v>
      </c>
      <c r="BZ221" s="306" t="str">
        <f aca="false">IF($A221="N/A"," ",AG221*$AY221)</f>
        <v> </v>
      </c>
      <c r="CA221" s="306" t="str">
        <f aca="false">IF($A221="N/A"," ",AH221*$AZ221)</f>
        <v> </v>
      </c>
      <c r="CB221" s="307" t="str">
        <f aca="false">IF($A221="N/A"," ",AI221*$BA221)</f>
        <v> </v>
      </c>
      <c r="CC221" s="308" t="str">
        <f aca="false">IF($A221="N/A"," ",AJ221*$AS221)</f>
        <v> </v>
      </c>
      <c r="CD221" s="309" t="str">
        <f aca="false">IF($A221="N/A"," ",AK221*$AT221)</f>
        <v> </v>
      </c>
      <c r="CE221" s="309" t="str">
        <f aca="false">IF($A221="N/A"," ",AL221*$AU221)</f>
        <v> </v>
      </c>
      <c r="CF221" s="309" t="str">
        <f aca="false">IF($A221="N/A"," ",AM221*$AV221)</f>
        <v> </v>
      </c>
      <c r="CG221" s="309" t="str">
        <f aca="false">IF($A221="N/A"," ",AN221*$AW221)</f>
        <v> </v>
      </c>
      <c r="CH221" s="309" t="str">
        <f aca="false">IF($A221="N/A"," ",AO221*$AX221)</f>
        <v> </v>
      </c>
      <c r="CI221" s="309" t="str">
        <f aca="false">IF($A221="N/A"," ",AP221*$AY221)</f>
        <v> </v>
      </c>
      <c r="CJ221" s="309" t="str">
        <f aca="false">IF($A221="N/A"," ",AQ221*$AZ221)</f>
        <v> </v>
      </c>
      <c r="CK221" s="310" t="str">
        <f aca="false">IF($A221="N/A"," ",AR221*$BA221)</f>
        <v> </v>
      </c>
      <c r="CL221" s="311" t="str">
        <f aca="false">IF(A221="N/A"," ",(VLOOKUP(A221,PowerVolTable,(IF(VolBMO=2,7,IF(VolBMO=1,6,8))),FALSE())))</f>
        <v> </v>
      </c>
      <c r="CM221" s="312" t="str">
        <f aca="false">IF(A221="N/A"," ",(VLOOKUP(A221,IntraPowerVol,(IF(VolBMO=2,3,IF(VolBMO=1,2,4))),FALSE())*VLOOKUP(MONTH($A221),Volscale,2)))</f>
        <v> </v>
      </c>
      <c r="CN221" s="312" t="str">
        <f aca="false">IF($A221="N/A"," ",IF(VolType=1,CM221,CL221))</f>
        <v> </v>
      </c>
      <c r="CO221" s="312" t="str">
        <f aca="false">IF($A221="N/A"," ",(VLOOKUP($A221,OffPeakVol,(IF(VolBMO=2,7,IF(VolBMO=1,6,8))),FALSE())))</f>
        <v> </v>
      </c>
      <c r="CP221" s="312" t="str">
        <f aca="false">IF($A221="N/A"," ",(VLOOKUP($A221,OffPeakVol,(IF(VolBMO=2,3,IF(VolBMO=1,2,4))),FALSE())*VLOOKUP(MONTH($A221),Volscale,2)))</f>
        <v> </v>
      </c>
      <c r="CQ221" s="312" t="str">
        <f aca="false">IF($A221="N/A"," ",IF(VolType=1,CP221,CO221))</f>
        <v> </v>
      </c>
      <c r="CR221" s="312" t="str">
        <f aca="false">IF($A221="N/A"," ",(VLOOKUP($A221,GasVolTable,(IF(VolBMO=2,6,IF(VolBMO=1,7,5))),FALSE())))</f>
        <v> </v>
      </c>
      <c r="CS221" s="312" t="str">
        <f aca="false">IF($A221="N/A"," ",(VLOOKUP($A221,OmicronVol,(IF(VolBMO=2,3,IF(VolBMO=1,4,2))),FALSE())))</f>
        <v> </v>
      </c>
      <c r="CT221" s="312" t="str">
        <f aca="false">IF($A221="N/A"," ",(IF(DateToday&gt;$A221,$CS221,IF(VolType=1,((($CR221^2)*((($A221-1)-DateToday)/((EOMONTH($A221,0)+1)-DateToday-15)))+((($CS221)^2)*((15)/((EOMONTH($A221,0)+1)-DateToday-15))))^0.5,CR221))))</f>
        <v> </v>
      </c>
      <c r="CU221" s="312" t="str">
        <f aca="false">IF($A221="N/A"," ",IF('Pricing Inputs'!$AR$23=TRUE(),Inputs!$S$22,VLOOKUP($A221,CorrelationTable,2,FALSE())))</f>
        <v> </v>
      </c>
      <c r="CV221" s="313" t="str">
        <f aca="false">IF($A221="N/A"," ",F221+G221+(D221*('Pricing Inputs'!X256)))</f>
        <v> </v>
      </c>
      <c r="CW221" s="314" t="str">
        <f aca="false">IF($A221="N/A"," ",IF(PV=1,0,'Pricing Inputs'!Y256))</f>
        <v> </v>
      </c>
      <c r="CX221" s="315" t="str">
        <f aca="false">IF($A221="N/A"," ",(1+CW221/2)^(-2*((EOMONTH(A221,0)+20)-DateToday)/365.25))</f>
        <v> </v>
      </c>
      <c r="CY221" s="316" t="str">
        <f aca="false">IF($A221="N/A"," ",(IF(MONTH(A221)&gt;=4,IF(MONTH(A221)&lt;=10,Inputs!$S$26,Inputs!$S$27),Inputs!$S$27))*$CX221)</f>
        <v> </v>
      </c>
      <c r="CZ221" s="317" t="str">
        <f aca="false">IF($A221="N/A"," ",BK221+BL221+BN221+BO221+BQ221+BR221)</f>
        <v> </v>
      </c>
      <c r="DA221" s="318" t="str">
        <f aca="false">IF($A221="N/A"," ",BM221+BP221+BS221)</f>
        <v> </v>
      </c>
      <c r="DB221" s="319" t="str">
        <f aca="false">IF($A221="N/A"," ",BT221+BU221+BW221+BX221+BZ221+CA221)</f>
        <v> </v>
      </c>
      <c r="DC221" s="319" t="str">
        <f aca="false">IF($A221="N/A"," ",BV221+BY221+CB221)</f>
        <v> </v>
      </c>
      <c r="DD221" s="320" t="str">
        <f aca="false">IF($A221="N/A"," ",SUM(CC221:CK221))</f>
        <v> </v>
      </c>
      <c r="DE221" s="321" t="str">
        <f aca="false">IF($A221="N/A"," ",VLOOKUP($A221,NumberofDaysTable,2)*Availability)</f>
        <v> </v>
      </c>
      <c r="DF221" s="94" t="str">
        <f aca="false">IF($A221="N/A"," ",VLOOKUP($A221,NumberofDaysTable,3)*Availability)</f>
        <v> </v>
      </c>
      <c r="DG221" s="322" t="str">
        <f aca="false">IF($A221="N/A"," ",VLOOKUP($A221,NumberofDaysTable,4)*Availability)</f>
        <v> </v>
      </c>
      <c r="DH221" s="323" t="str">
        <f aca="false">IF($A221="N/A"," ",IF(Option=1,$D221*Inputs!$S$15*SUM(AS221:BA221),0))</f>
        <v> </v>
      </c>
      <c r="DI221" s="324" t="str">
        <f aca="false">IF($A221="N/A"," ",IF(Option=1,$D221*Inputs!$S$16*SUM(AS221:BA221),0))</f>
        <v> </v>
      </c>
      <c r="DJ221" s="325" t="str">
        <f aca="false">IF($A221="N/A"," ",SUM(AS221:AT221))</f>
        <v> </v>
      </c>
      <c r="DK221" s="325" t="str">
        <f aca="false">IF($A221="N/A"," ",SUM(AU221:BA221))</f>
        <v> </v>
      </c>
      <c r="DL221" s="325" t="str">
        <f aca="false">IF($A221="N/A"," ",SUM(BB221:BC221))</f>
        <v> </v>
      </c>
      <c r="DM221" s="325" t="str">
        <f aca="false">IF($A221="N/A"," ",SUM(BD221:BJ221))</f>
        <v> </v>
      </c>
    </row>
    <row r="222" customFormat="false" ht="12.75" hidden="false" customHeight="false" outlineLevel="0" collapsed="false">
      <c r="A222" s="282" t="str">
        <f aca="false">IF(A221="N/A","N/A",IF(EDATE(A221,1)&gt;Inputs!$S$5,"N/A",EDATE(A221,1)))</f>
        <v>N/A</v>
      </c>
      <c r="B222" s="283" t="str">
        <f aca="false">IF(A222="N/A"," ",YEAR(A222))</f>
        <v> </v>
      </c>
      <c r="C222" s="284" t="str">
        <f aca="false">IF(A222="N/A"," ",VLOOKUP(A222,ScaledPrice,14))</f>
        <v> </v>
      </c>
      <c r="D222" s="285" t="str">
        <f aca="false">IF(A222="N/A"," ",(VLOOKUP(MONTH($A222),Hrtable,2))/1000)</f>
        <v> </v>
      </c>
      <c r="E222" s="286" t="str">
        <f aca="false">IF($A222="N/A"," ",(C222)*D222)</f>
        <v> </v>
      </c>
      <c r="F222" s="287" t="str">
        <f aca="false">IF(A222="N/A"," ",VOM*(1+VOMesc)^(YEAR(A222)-YEAR(Today)))</f>
        <v> </v>
      </c>
      <c r="G222" s="287" t="str">
        <f aca="false">IF(A222="N/A"," ",Perstart/VLOOKUP(Dayrun,'Pricing Inputs'!$AQ$4:$AS$14,3)/(CY222/CX222))</f>
        <v> </v>
      </c>
      <c r="H222" s="288" t="str">
        <f aca="false">IF(A222="N/A"," ",SUM(E222:G222))</f>
        <v> </v>
      </c>
      <c r="I222" s="289" t="str">
        <f aca="false">VLOOKUP($A222,ScaledPrice,6)</f>
        <v> </v>
      </c>
      <c r="J222" s="290" t="str">
        <f aca="false">VLOOKUP($A222,ScaledPrice,10)</f>
        <v> </v>
      </c>
      <c r="K222" s="290" t="str">
        <f aca="false">VLOOKUP($A222,ScaledPrice,13)</f>
        <v> </v>
      </c>
      <c r="L222" s="290" t="str">
        <f aca="false">VLOOKUP($A222,ScaledPrice,7)</f>
        <v> </v>
      </c>
      <c r="M222" s="290" t="str">
        <f aca="false">VLOOKUP($A222,ScaledPrice,11)</f>
        <v> </v>
      </c>
      <c r="N222" s="290" t="str">
        <f aca="false">VLOOKUP($A222,ScaledPrice,13)</f>
        <v> </v>
      </c>
      <c r="O222" s="290" t="str">
        <f aca="false">VLOOKUP($A222,ScaledPrice,8)</f>
        <v> </v>
      </c>
      <c r="P222" s="290" t="str">
        <f aca="false">VLOOKUP($A222,ScaledPrice,12)</f>
        <v> </v>
      </c>
      <c r="Q222" s="291" t="str">
        <f aca="false">VLOOKUP($A222,ScaledPrice,13)</f>
        <v> </v>
      </c>
      <c r="R222" s="292" t="str">
        <f aca="false">IF($A222="N/A"," ",IF(Dayrun&gt;=3,IF(Option=1,MAX($I222-$H222,0),IF(Option=2,MAX($H222-$I222,0),0)),0))</f>
        <v> </v>
      </c>
      <c r="S222" s="286" t="str">
        <f aca="false">IF($A222="N/A"," ",IF(Dayrun&gt;=6,IF(Option=1,MAX($J222-H222,0),IF(Option=2,MAX(H222-$J222,0),0)),0))</f>
        <v> </v>
      </c>
      <c r="T222" s="286" t="str">
        <f aca="false">IF($A222="N/A"," ",IF(OR(Dayrun&lt;=2,Dayrun&gt;=9),IF(Option=1,MAX($K222-$H222,0),IF(Option=2,MAX($H222-$K222,0),0)),0))</f>
        <v> </v>
      </c>
      <c r="U222" s="286" t="str">
        <f aca="false">IF($A222="N/A"," ",IF(OR(Dayrun=1,Dayrun=4,Dayrun=5,Dayrun=7,Dayrun=8,Dayrun=10,Dayrun=11),IF(Option=1,MAX($L222-H222,0),IF(Option=2,MAX(H222-$L222,0),0)),0))</f>
        <v> </v>
      </c>
      <c r="V222" s="286" t="str">
        <f aca="false">IF($A222="N/A"," ",IF(OR(Dayrun=1,Dayrun=7,Dayrun=8,Dayrun=10,Dayrun=11),IF(Option=1,MAX($M222-H222,0),IF(Option=2,MAX(H222-$M222,0),0)),0))</f>
        <v> </v>
      </c>
      <c r="W222" s="286" t="str">
        <f aca="false">IF($A222="N/A"," ",IF(OR(Dayrun&lt;=2,Dayrun&gt;=10),IF(Option=1,MAX($N222-$H222,0),IF(Option=2,MAX($H222-$N222,0),0)),0))</f>
        <v> </v>
      </c>
      <c r="X222" s="286" t="str">
        <f aca="false">IF($A222="N/A"," ",IF(OR(Dayrun=1,Dayrun=5,Dayrun=8,Dayrun=11),IF(Option=1,MAX($O222-H222,0),IF(Option=2,MAX(H222-$O222,0),0)),0))</f>
        <v> </v>
      </c>
      <c r="Y222" s="286" t="str">
        <f aca="false">IF($A222="N/A"," ",IF(OR(Dayrun=1,Dayrun=8,Dayrun=11),IF(Option=1,MAX($P222-H222,0),IF(Option=2,MAX(H222-$P222,0),0)),0))</f>
        <v> </v>
      </c>
      <c r="Z222" s="293" t="str">
        <f aca="false">IF($A222="N/A"," ",IF(OR(Dayrun&lt;=2,Dayrun&gt;=11),IF(Option=1,MAX($Q222-$H222,0),IF(Option=2,MAX($H222-$Q222,0),0)),0))</f>
        <v> </v>
      </c>
      <c r="AA222" s="289" t="str">
        <f aca="false">IF($A222="N/A"," ",IF(Dayrun&gt;=3,(MAX(0,(xSPRDOPT(I222,($E222-'Pricing Inputs'!$X257*$D222),$CV222,0,($CN222+IF(Smile=TRUE(),VLOOKUP(MAX(-5,$H222-I222),Volsmile,2),0)),$CT222,$CU222,($A222-DateToday)+15,ABS(Option-2),0)-R222))),0))</f>
        <v> </v>
      </c>
      <c r="AB222" s="290" t="str">
        <f aca="false">IF($A222="N/A"," ",IF(Dayrun&gt;=6,MAX(0,(xSPRDOPT(J222,($E222-'Pricing Inputs'!$X257*$D222),$CV222,0,($CN222+IF(Smile=TRUE(),VLOOKUP(MAX(-5,$H222-J222),Volsmile,2),0)),$CT222,$CU222,($A222-DateToday)+15,ABS(Option-2),0)-S222)),0))</f>
        <v> </v>
      </c>
      <c r="AC222" s="290" t="str">
        <f aca="false">IF($A222="N/A"," ",IF(OR(Dayrun&lt;=2,Dayrun&gt;=9),IF(OffPeakEx=TRUE(),MAX(0,(xSPRDOPT(K222,($E222-'Pricing Inputs'!$X257*$D222),$CV222,0,($CQ222+IF(Smile=TRUE(),VLOOKUP(MAX(-5,$H222-K222),Volsmile,2),0)),$CT222,$CU222,($A222-DateToday)+15,ABS(Option-2),0)-T222)),0),0))</f>
        <v> </v>
      </c>
      <c r="AD222" s="290" t="str">
        <f aca="false">IF($A222="N/A"," ",IF(OR(Dayrun=1,Dayrun=4,Dayrun=5,Dayrun=7,Dayrun=8,Dayrun=10,Dayrun=11),MAX(0,(xSPRDOPT(L222,($E222-'Pricing Inputs'!$X257*$D222),$CV222,0,($CQ222+IF(Smile=TRUE(),VLOOKUP(MAX(-5,$H222-L222),Volsmile,2),0)),$CT222,$CU222,($A222-DateToday)+15,ABS(Option-2),0)-U222)),0))</f>
        <v> </v>
      </c>
      <c r="AE222" s="290" t="str">
        <f aca="false">IF($A222="N/A"," ",IF(OR(Dayrun=1,Dayrun=7,Dayrun=8,Dayrun=10,Dayrun=11),MAX(0,(xSPRDOPT(M222,($E222-'Pricing Inputs'!$X257*$D222),$CV222,0,($CQ222+IF(Smile=TRUE(),VLOOKUP(MAX(-5,$H222-M222),Volsmile,2),0)),$CT222,$CU222,($A222-DateToday)+15,ABS(Option-2),0)-V222)),0))</f>
        <v> </v>
      </c>
      <c r="AF222" s="290" t="str">
        <f aca="false">IF($A222="N/A"," ",IF(OR(Dayrun&lt;=2,Dayrun&gt;=10),IF(OffPeakEx=TRUE(),MAX(0,(xSPRDOPT(N222,($E222-'Pricing Inputs'!$X257*$D222),$CV222,0,($CQ222+IF(Smile=TRUE(),VLOOKUP(MAX(-5,$H222-N222),Volsmile,2),0)),$CT222,$CU222,($A222-DateToday)+15,ABS(Option-2),0)-W222)),0),0))</f>
        <v> </v>
      </c>
      <c r="AG222" s="290" t="str">
        <f aca="false">IF($A222="N/A"," ",IF(OR(Dayrun=1,Dayrun=5,Dayrun=8,Dayrun=11),MAX(0,(xSPRDOPT(O222,($E222-'Pricing Inputs'!$X257*$D222),$CV222,0,($CQ222+IF(Smile=TRUE(),VLOOKUP(MAX(-5,$H222-O222),Volsmile,2),0)),$CT222,$CU222,($A222-DateToday)+15,ABS(Option-2),0)-X222)),0))</f>
        <v> </v>
      </c>
      <c r="AH222" s="290" t="str">
        <f aca="false">IF($A222="N/A"," ",IF(OR(Dayrun=1,Dayrun=8,Dayrun=11),MAX(0,(xSPRDOPT(P222,($E222-'Pricing Inputs'!$X257*$D222),$CV222,0,($CQ222+IF(Smile=TRUE(),VLOOKUP(MAX(-5,$H222-P222),Volsmile,2),0)),$CT222,$CU222,($A222-DateToday)+15,ABS(Option-2),0)-Y222)),0))</f>
        <v> </v>
      </c>
      <c r="AI222" s="290" t="str">
        <f aca="false">IF($A222="N/A"," ",IF(OR(Dayrun&lt;=2,Dayrun&gt;=11),IF(OffPeakEx=TRUE(),MAX(0,(xSPRDOPT(Q222,($E222-'Pricing Inputs'!$X257*$D222),$CV222,0,($CQ222+IF(Smile=TRUE(),VLOOKUP(MAX(-5,$H222-Q222),Volsmile,2),0)),$CT222,$CU222,($A222-DateToday)+15,ABS(Option-2),0)-Z222)),0),0))</f>
        <v> </v>
      </c>
      <c r="AJ222" s="294" t="str">
        <f aca="false">IF($A222="N/A"," ",IF(Dayrun&gt;=3,IF(Option=1,$I222-$H222,IF(Option=2,$H222-$I222)),0))</f>
        <v> </v>
      </c>
      <c r="AK222" s="295" t="str">
        <f aca="false">IF($A222="N/A"," ",IF(Dayrun&gt;=6,IF(Option=1,$J222-H222,IF(Option=2,H222-$J222)),0))</f>
        <v> </v>
      </c>
      <c r="AL222" s="295" t="str">
        <f aca="false">IF($A222="N/A"," ",IF(OR(Dayrun&lt;=2,Dayrun&gt;=9),IF(Option=1,$K222-$H222,IF(Option=2,$H222-$K222)),0))</f>
        <v> </v>
      </c>
      <c r="AM222" s="295" t="str">
        <f aca="false">IF($A222="N/A"," ",IF(OR(Dayrun=1,Dayrun=4,Dayrun=5,Dayrun=7,Dayrun=8,Dayrun=10,Dayrun=11),IF(Option=1,$L222-H222,IF(Option=2,H222-$L222)),0))</f>
        <v> </v>
      </c>
      <c r="AN222" s="295" t="str">
        <f aca="false">IF($A222="N/A"," ",IF(OR(Dayrun=1,Dayrun=7,Dayrun=8,Dayrun=10,Dayrun=11),IF(Option=1,$M222-H222,IF(Option=2,H222-$M222)),0))</f>
        <v> </v>
      </c>
      <c r="AO222" s="295" t="str">
        <f aca="false">IF($A222="N/A"," ",IF(OR(Dayrun&lt;=2,Dayrun&gt;=9),IF(Option=1,$N222-$H222,IF(Option=2,$H222-$N222)),0))</f>
        <v> </v>
      </c>
      <c r="AP222" s="295" t="str">
        <f aca="false">IF($A222="N/A"," ",IF(OR(Dayrun=1,Dayrun=5,Dayrun=8,Dayrun=11),IF(Option=1,$O222-H222,IF(Option=2,H222-$O222)),0))</f>
        <v> </v>
      </c>
      <c r="AQ222" s="295" t="str">
        <f aca="false">IF($A222="N/A"," ",IF(OR(Dayrun=1,Dayrun=8,Dayrun=11),IF(Option=1,$P222-H222,IF(Option=2,H222-$P222)),0))</f>
        <v> </v>
      </c>
      <c r="AR222" s="296" t="str">
        <f aca="false">IF($A222="N/A"," ",IF(OR(Dayrun&lt;=2,Dayrun&gt;=9),IF(Option=1,$Q222-H222,IF(Option=2,H222-$Q222)),0))</f>
        <v> </v>
      </c>
      <c r="AS222" s="297" t="str">
        <f aca="false">IF($A222="N/A"," ",IF(VLOOKUP(MONTH($A222),ManualTable,2)=1,IF(Dayrun&gt;=3,$DE222*8*$CY222,0),0))</f>
        <v> </v>
      </c>
      <c r="AT222" s="297" t="str">
        <f aca="false">IF($A222="N/A"," ",IF(VLOOKUP(MONTH($A222),ManualTable,3)=1,IF(Dayrun&gt;=6,$DE222*8*$CY222,0),0))</f>
        <v> </v>
      </c>
      <c r="AU222" s="297" t="str">
        <f aca="false">IF($A222="N/A"," ",IF(VLOOKUP(MONTH($A222),ManualTable,4)=1,IF(OR(Dayrun&lt;=2,Dayrun&gt;=9),$DE222*8*$CY222,0),0))</f>
        <v> </v>
      </c>
      <c r="AV222" s="297" t="str">
        <f aca="false">IF($A222="N/A"," ",IF(VLOOKUP(MONTH($A222),ManualTable,5)=1,IF(OR(Dayrun=1,Dayrun=4,Dayrun=5,Dayrun=7,Dayrun=8,Dayrun=10,Dayrun=11),$DF222*8*$CY222,0),0))</f>
        <v> </v>
      </c>
      <c r="AW222" s="297" t="str">
        <f aca="false">IF($A222="N/A"," ",IF(VLOOKUP(MONTH($A222),ManualTable,6)=1,IF(OR(Dayrun=1,Dayrun=7,Dayrun=8,Dayrun=10,Dayrun=11),$DF222*8*$CY222,0),0))</f>
        <v> </v>
      </c>
      <c r="AX222" s="297" t="str">
        <f aca="false">IF($A222="N/A"," ",IF(VLOOKUP(MONTH($A222),ManualTable,7)=1,IF(OR(Dayrun&lt;=2,Dayrun&gt;=9),$DF222*8*$CY222,0),0))</f>
        <v> </v>
      </c>
      <c r="AY222" s="297" t="str">
        <f aca="false">IF($A222="N/A"," ",IF(VLOOKUP(MONTH($A222),ManualTable,8)=1,IF(OR(Dayrun=1,Dayrun=5,Dayrun=8,Dayrun=11),$DG222*8*$CY222,0),0))</f>
        <v> </v>
      </c>
      <c r="AZ222" s="297" t="str">
        <f aca="false">IF($A222="N/A"," ",IF(VLOOKUP(MONTH($A222),ManualTable,9)=1,IF(OR(Dayrun=1,Dayrun=8,Dayrun=11),$DG222*8*$CY222,0),0))</f>
        <v> </v>
      </c>
      <c r="BA222" s="298" t="str">
        <f aca="false">IF($A222="N/A"," ",IF(VLOOKUP(MONTH($A222),ManualTable,10)=1,IF(OR(Dayrun&lt;=2,Dayrun&gt;=9),$DG222*8*$CY222,0),0))</f>
        <v> </v>
      </c>
      <c r="BB222" s="299" t="str">
        <f aca="false">IF($A222="N/A"," ",IF(Dayrun&gt;=3,(MAX(0,(xSPRDOPT(I222,($E222-'Pricing Inputs'!$X257*$D222),$CV222,0,($CN222+IF(Smile=TRUE(),VLOOKUP(MAX(-5,$H222-I222),Volsmile,2),0)),$CT222,$CU222,($A222-DateToday)+15,ABS(Option-2),1)*DE222*8))),0))</f>
        <v> </v>
      </c>
      <c r="BC222" s="300" t="str">
        <f aca="false">IF($A222="N/A"," ",IF(Dayrun&gt;=6,MAX(0,(xSPRDOPT(J222,($E222-'Pricing Inputs'!$X257*$D222),$CV222,0,($CN222+IF(Smile=TRUE(),VLOOKUP(MAX(-5,$H222-J222),Volsmile,2),0)),$CT222,$CU222,($A222-DateToday)+15,ABS(Option-2),1)*DE222*8)),0))</f>
        <v> </v>
      </c>
      <c r="BD222" s="300" t="str">
        <f aca="false">IF($A222="N/A"," ",IF(OR(Dayrun&lt;=2,Dayrun&gt;=9),IF(OffPeakEx=TRUE(),MAX(0,(xSPRDOPT(K222,($E222-'Pricing Inputs'!$X257*$D222),$CV222,0,($CQ222+IF(Smile=TRUE(),VLOOKUP(MAX(-5,$H222-K222),Volsmile,2),0)),$CT222,$CU222,($A222-DateToday)+15,ABS(Option-2),1)*DE222*8)),0),0))</f>
        <v> </v>
      </c>
      <c r="BE222" s="300" t="str">
        <f aca="false">IF($A222="N/A"," ",IF(OR(Dayrun=1,Dayrun=4,Dayrun=5,Dayrun=7,Dayrun=8,Dayrun=10,Dayrun=11),MAX(0,(xSPRDOPT(L222,($E222-'Pricing Inputs'!$X257*$D222),$CV222,0,($CQ222+IF(Smile=TRUE(),VLOOKUP(MAX(-5,$H222-L222),Volsmile,2),0)),$CT222,$CU222,($A222-DateToday)+15,ABS(Option-2),1)*DF222*8)),0))</f>
        <v> </v>
      </c>
      <c r="BF222" s="300" t="str">
        <f aca="false">IF($A222="N/A"," ",IF(OR(Dayrun=1,Dayrun=7,Dayrun=8,Dayrun=10,Dayrun=11),MAX(0,(xSPRDOPT(M222,($E222-'Pricing Inputs'!$X257*$D222),$CV222,0,($CQ222+IF(Smile=TRUE(),VLOOKUP(MAX(-5,$H222-M222),Volsmile,2),0)),$CT222,$CU222,($A222-DateToday)+15,ABS(Option-2),1)*DF222*8)),0))</f>
        <v> </v>
      </c>
      <c r="BG222" s="300" t="str">
        <f aca="false">IF($A222="N/A"," ",IF(OR(Dayrun&lt;=2,Dayrun&gt;=10),IF(OffPeakEx=TRUE(),MAX(0,(xSPRDOPT(N222,($E222-'Pricing Inputs'!$X257*$D222),$CV222,0,($CQ222+IF(Smile=TRUE(),VLOOKUP(MAX(-5,$H222-N222),Volsmile,2),0)),$CT222,$CU222,($A222-DateToday)+15,ABS(Option-2),1)*DF222*8)),0),0))</f>
        <v> </v>
      </c>
      <c r="BH222" s="300" t="str">
        <f aca="false">IF($A222="N/A"," ",IF(OR(Dayrun=1,Dayrun=5,Dayrun=8,Dayrun=11),MAX(0,(xSPRDOPT(O222,($E222-'Pricing Inputs'!$X257*$D222),$CV222,0,($CQ222+IF(Smile=TRUE(),VLOOKUP(MAX(-5,$H222-O222),Volsmile,2),0)),$CT222,$CU222,($A222-DateToday)+15,ABS(Option-2),1)*DG222*8)),0))</f>
        <v> </v>
      </c>
      <c r="BI222" s="300" t="str">
        <f aca="false">IF($A222="N/A"," ",IF(OR(Dayrun=1,Dayrun=8,Dayrun=11),MAX(0,(xSPRDOPT(P222,($E222-'Pricing Inputs'!$X257*$D222),$CV222,0,($CQ222+IF(Smile=TRUE(),VLOOKUP(MAX(-5,$H222-P222),Volsmile,2),0)),$CT222,$CU222,($A222-DateToday)+15,ABS(Option-2),1)*DG222*8)),0))</f>
        <v> </v>
      </c>
      <c r="BJ222" s="301" t="str">
        <f aca="false">IF($A222="N/A"," ",IF(OR(Dayrun&lt;=2,Dayrun&gt;=11),IF(OffPeakEx=TRUE(),MAX(0,(xSPRDOPT(Q222,($E222-'Pricing Inputs'!$X257*$D222),$CV222,0,($CQ222+IF(Smile=TRUE(),VLOOKUP(MAX(-5,$H222-Q222),Volsmile,2),0)),$CT222,$CU222,($A222-DateToday)+15,ABS(Option-2),1)*DG222*8)),0),0))</f>
        <v> </v>
      </c>
      <c r="BK222" s="302" t="str">
        <f aca="false">IF($A222="N/A"," ",R222*$AS222)</f>
        <v> </v>
      </c>
      <c r="BL222" s="303" t="str">
        <f aca="false">IF($A222="N/A"," ",S222*$AT222)</f>
        <v> </v>
      </c>
      <c r="BM222" s="303" t="str">
        <f aca="false">IF($A222="N/A"," ",T222*$AU222)</f>
        <v> </v>
      </c>
      <c r="BN222" s="303" t="str">
        <f aca="false">IF($A222="N/A"," ",U222*$AV222)</f>
        <v> </v>
      </c>
      <c r="BO222" s="303" t="str">
        <f aca="false">IF($A222="N/A"," ",V222*$AW222)</f>
        <v> </v>
      </c>
      <c r="BP222" s="303" t="str">
        <f aca="false">IF($A222="N/A"," ",W222*$AX222)</f>
        <v> </v>
      </c>
      <c r="BQ222" s="303" t="str">
        <f aca="false">IF($A222="N/A"," ",X222*$AY222)</f>
        <v> </v>
      </c>
      <c r="BR222" s="303" t="str">
        <f aca="false">IF($A222="N/A"," ",Y222*$AZ222)</f>
        <v> </v>
      </c>
      <c r="BS222" s="304" t="str">
        <f aca="false">IF($A222="N/A"," ",Z222*$BA222)</f>
        <v> </v>
      </c>
      <c r="BT222" s="305" t="str">
        <f aca="false">IF($A222="N/A"," ",AA222*$AS222)</f>
        <v> </v>
      </c>
      <c r="BU222" s="306" t="str">
        <f aca="false">IF($A222="N/A"," ",AB222*$AT222)</f>
        <v> </v>
      </c>
      <c r="BV222" s="306" t="str">
        <f aca="false">IF($A222="N/A"," ",AC222*$AU222)</f>
        <v> </v>
      </c>
      <c r="BW222" s="306" t="str">
        <f aca="false">IF($A222="N/A"," ",AD222*$AV222)</f>
        <v> </v>
      </c>
      <c r="BX222" s="306" t="str">
        <f aca="false">IF($A222="N/A"," ",AE222*$AW222)</f>
        <v> </v>
      </c>
      <c r="BY222" s="306" t="str">
        <f aca="false">IF($A222="N/A"," ",AF222*$AX222)</f>
        <v> </v>
      </c>
      <c r="BZ222" s="306" t="str">
        <f aca="false">IF($A222="N/A"," ",AG222*$AY222)</f>
        <v> </v>
      </c>
      <c r="CA222" s="306" t="str">
        <f aca="false">IF($A222="N/A"," ",AH222*$AZ222)</f>
        <v> </v>
      </c>
      <c r="CB222" s="307" t="str">
        <f aca="false">IF($A222="N/A"," ",AI222*$BA222)</f>
        <v> </v>
      </c>
      <c r="CC222" s="308" t="str">
        <f aca="false">IF($A222="N/A"," ",AJ222*$AS222)</f>
        <v> </v>
      </c>
      <c r="CD222" s="309" t="str">
        <f aca="false">IF($A222="N/A"," ",AK222*$AT222)</f>
        <v> </v>
      </c>
      <c r="CE222" s="309" t="str">
        <f aca="false">IF($A222="N/A"," ",AL222*$AU222)</f>
        <v> </v>
      </c>
      <c r="CF222" s="309" t="str">
        <f aca="false">IF($A222="N/A"," ",AM222*$AV222)</f>
        <v> </v>
      </c>
      <c r="CG222" s="309" t="str">
        <f aca="false">IF($A222="N/A"," ",AN222*$AW222)</f>
        <v> </v>
      </c>
      <c r="CH222" s="309" t="str">
        <f aca="false">IF($A222="N/A"," ",AO222*$AX222)</f>
        <v> </v>
      </c>
      <c r="CI222" s="309" t="str">
        <f aca="false">IF($A222="N/A"," ",AP222*$AY222)</f>
        <v> </v>
      </c>
      <c r="CJ222" s="309" t="str">
        <f aca="false">IF($A222="N/A"," ",AQ222*$AZ222)</f>
        <v> </v>
      </c>
      <c r="CK222" s="310" t="str">
        <f aca="false">IF($A222="N/A"," ",AR222*$BA222)</f>
        <v> </v>
      </c>
      <c r="CL222" s="311" t="str">
        <f aca="false">IF(A222="N/A"," ",(VLOOKUP(A222,PowerVolTable,(IF(VolBMO=2,7,IF(VolBMO=1,6,8))),FALSE())))</f>
        <v> </v>
      </c>
      <c r="CM222" s="312" t="str">
        <f aca="false">IF(A222="N/A"," ",(VLOOKUP(A222,IntraPowerVol,(IF(VolBMO=2,3,IF(VolBMO=1,2,4))),FALSE())*VLOOKUP(MONTH($A222),Volscale,2)))</f>
        <v> </v>
      </c>
      <c r="CN222" s="312" t="str">
        <f aca="false">IF($A222="N/A"," ",IF(VolType=1,CM222,CL222))</f>
        <v> </v>
      </c>
      <c r="CO222" s="312" t="str">
        <f aca="false">IF($A222="N/A"," ",(VLOOKUP($A222,OffPeakVol,(IF(VolBMO=2,7,IF(VolBMO=1,6,8))),FALSE())))</f>
        <v> </v>
      </c>
      <c r="CP222" s="312" t="str">
        <f aca="false">IF($A222="N/A"," ",(VLOOKUP($A222,OffPeakVol,(IF(VolBMO=2,3,IF(VolBMO=1,2,4))),FALSE())*VLOOKUP(MONTH($A222),Volscale,2)))</f>
        <v> </v>
      </c>
      <c r="CQ222" s="312" t="str">
        <f aca="false">IF($A222="N/A"," ",IF(VolType=1,CP222,CO222))</f>
        <v> </v>
      </c>
      <c r="CR222" s="312" t="str">
        <f aca="false">IF($A222="N/A"," ",(VLOOKUP($A222,GasVolTable,(IF(VolBMO=2,6,IF(VolBMO=1,7,5))),FALSE())))</f>
        <v> </v>
      </c>
      <c r="CS222" s="312" t="str">
        <f aca="false">IF($A222="N/A"," ",(VLOOKUP($A222,OmicronVol,(IF(VolBMO=2,3,IF(VolBMO=1,4,2))),FALSE())))</f>
        <v> </v>
      </c>
      <c r="CT222" s="312" t="str">
        <f aca="false">IF($A222="N/A"," ",(IF(DateToday&gt;$A222,$CS222,IF(VolType=1,((($CR222^2)*((($A222-1)-DateToday)/((EOMONTH($A222,0)+1)-DateToday-15)))+((($CS222)^2)*((15)/((EOMONTH($A222,0)+1)-DateToday-15))))^0.5,CR222))))</f>
        <v> </v>
      </c>
      <c r="CU222" s="312" t="str">
        <f aca="false">IF($A222="N/A"," ",IF('Pricing Inputs'!$AR$23=TRUE(),Inputs!$S$22,VLOOKUP($A222,CorrelationTable,2,FALSE())))</f>
        <v> </v>
      </c>
      <c r="CV222" s="313" t="str">
        <f aca="false">IF($A222="N/A"," ",F222+G222+(D222*('Pricing Inputs'!X257)))</f>
        <v> </v>
      </c>
      <c r="CW222" s="314" t="str">
        <f aca="false">IF($A222="N/A"," ",IF(PV=1,0,'Pricing Inputs'!Y257))</f>
        <v> </v>
      </c>
      <c r="CX222" s="315" t="str">
        <f aca="false">IF($A222="N/A"," ",(1+CW222/2)^(-2*((EOMONTH(A222,0)+20)-DateToday)/365.25))</f>
        <v> </v>
      </c>
      <c r="CY222" s="316" t="str">
        <f aca="false">IF($A222="N/A"," ",(IF(MONTH(A222)&gt;=4,IF(MONTH(A222)&lt;=10,Inputs!$S$26,Inputs!$S$27),Inputs!$S$27))*$CX222)</f>
        <v> </v>
      </c>
      <c r="CZ222" s="317" t="str">
        <f aca="false">IF($A222="N/A"," ",BK222+BL222+BN222+BO222+BQ222+BR222)</f>
        <v> </v>
      </c>
      <c r="DA222" s="318" t="str">
        <f aca="false">IF($A222="N/A"," ",BM222+BP222+BS222)</f>
        <v> </v>
      </c>
      <c r="DB222" s="319" t="str">
        <f aca="false">IF($A222="N/A"," ",BT222+BU222+BW222+BX222+BZ222+CA222)</f>
        <v> </v>
      </c>
      <c r="DC222" s="319" t="str">
        <f aca="false">IF($A222="N/A"," ",BV222+BY222+CB222)</f>
        <v> </v>
      </c>
      <c r="DD222" s="320" t="str">
        <f aca="false">IF($A222="N/A"," ",SUM(CC222:CK222))</f>
        <v> </v>
      </c>
      <c r="DE222" s="321" t="str">
        <f aca="false">IF($A222="N/A"," ",VLOOKUP($A222,NumberofDaysTable,2)*Availability)</f>
        <v> </v>
      </c>
      <c r="DF222" s="94" t="str">
        <f aca="false">IF($A222="N/A"," ",VLOOKUP($A222,NumberofDaysTable,3)*Availability)</f>
        <v> </v>
      </c>
      <c r="DG222" s="322" t="str">
        <f aca="false">IF($A222="N/A"," ",VLOOKUP($A222,NumberofDaysTable,4)*Availability)</f>
        <v> </v>
      </c>
      <c r="DH222" s="323" t="str">
        <f aca="false">IF($A222="N/A"," ",IF(Option=1,$D222*Inputs!$S$15*SUM(AS222:BA222),0))</f>
        <v> </v>
      </c>
      <c r="DI222" s="324" t="str">
        <f aca="false">IF($A222="N/A"," ",IF(Option=1,$D222*Inputs!$S$16*SUM(AS222:BA222),0))</f>
        <v> </v>
      </c>
      <c r="DJ222" s="325" t="str">
        <f aca="false">IF($A222="N/A"," ",SUM(AS222:AT222))</f>
        <v> </v>
      </c>
      <c r="DK222" s="325" t="str">
        <f aca="false">IF($A222="N/A"," ",SUM(AU222:BA222))</f>
        <v> </v>
      </c>
      <c r="DL222" s="325" t="str">
        <f aca="false">IF($A222="N/A"," ",SUM(BB222:BC222))</f>
        <v> </v>
      </c>
      <c r="DM222" s="325" t="str">
        <f aca="false">IF($A222="N/A"," ",SUM(BD222:BJ222))</f>
        <v> </v>
      </c>
    </row>
    <row r="223" customFormat="false" ht="12.75" hidden="false" customHeight="false" outlineLevel="0" collapsed="false">
      <c r="A223" s="282" t="str">
        <f aca="false">IF(A222="N/A","N/A",IF(EDATE(A222,1)&gt;Inputs!$S$5,"N/A",EDATE(A222,1)))</f>
        <v>N/A</v>
      </c>
      <c r="B223" s="283" t="str">
        <f aca="false">IF(A223="N/A"," ",YEAR(A223))</f>
        <v> </v>
      </c>
      <c r="C223" s="284" t="str">
        <f aca="false">IF(A223="N/A"," ",VLOOKUP(A223,ScaledPrice,14))</f>
        <v> </v>
      </c>
      <c r="D223" s="285" t="str">
        <f aca="false">IF(A223="N/A"," ",(VLOOKUP(MONTH($A223),Hrtable,2))/1000)</f>
        <v> </v>
      </c>
      <c r="E223" s="286" t="str">
        <f aca="false">IF($A223="N/A"," ",(C223)*D223)</f>
        <v> </v>
      </c>
      <c r="F223" s="287" t="str">
        <f aca="false">IF(A223="N/A"," ",VOM*(1+VOMesc)^(YEAR(A223)-YEAR(Today)))</f>
        <v> </v>
      </c>
      <c r="G223" s="287" t="str">
        <f aca="false">IF(A223="N/A"," ",Perstart/VLOOKUP(Dayrun,'Pricing Inputs'!$AQ$4:$AS$14,3)/(CY223/CX223))</f>
        <v> </v>
      </c>
      <c r="H223" s="288" t="str">
        <f aca="false">IF(A223="N/A"," ",SUM(E223:G223))</f>
        <v> </v>
      </c>
      <c r="I223" s="289" t="str">
        <f aca="false">VLOOKUP($A223,ScaledPrice,6)</f>
        <v> </v>
      </c>
      <c r="J223" s="290" t="str">
        <f aca="false">VLOOKUP($A223,ScaledPrice,10)</f>
        <v> </v>
      </c>
      <c r="K223" s="290" t="str">
        <f aca="false">VLOOKUP($A223,ScaledPrice,13)</f>
        <v> </v>
      </c>
      <c r="L223" s="290" t="str">
        <f aca="false">VLOOKUP($A223,ScaledPrice,7)</f>
        <v> </v>
      </c>
      <c r="M223" s="290" t="str">
        <f aca="false">VLOOKUP($A223,ScaledPrice,11)</f>
        <v> </v>
      </c>
      <c r="N223" s="290" t="str">
        <f aca="false">VLOOKUP($A223,ScaledPrice,13)</f>
        <v> </v>
      </c>
      <c r="O223" s="290" t="str">
        <f aca="false">VLOOKUP($A223,ScaledPrice,8)</f>
        <v> </v>
      </c>
      <c r="P223" s="290" t="str">
        <f aca="false">VLOOKUP($A223,ScaledPrice,12)</f>
        <v> </v>
      </c>
      <c r="Q223" s="291" t="str">
        <f aca="false">VLOOKUP($A223,ScaledPrice,13)</f>
        <v> </v>
      </c>
      <c r="R223" s="292" t="str">
        <f aca="false">IF($A223="N/A"," ",IF(Dayrun&gt;=3,IF(Option=1,MAX($I223-$H223,0),IF(Option=2,MAX($H223-$I223,0),0)),0))</f>
        <v> </v>
      </c>
      <c r="S223" s="286" t="str">
        <f aca="false">IF($A223="N/A"," ",IF(Dayrun&gt;=6,IF(Option=1,MAX($J223-H223,0),IF(Option=2,MAX(H223-$J223,0),0)),0))</f>
        <v> </v>
      </c>
      <c r="T223" s="286" t="str">
        <f aca="false">IF($A223="N/A"," ",IF(OR(Dayrun&lt;=2,Dayrun&gt;=9),IF(Option=1,MAX($K223-$H223,0),IF(Option=2,MAX($H223-$K223,0),0)),0))</f>
        <v> </v>
      </c>
      <c r="U223" s="286" t="str">
        <f aca="false">IF($A223="N/A"," ",IF(OR(Dayrun=1,Dayrun=4,Dayrun=5,Dayrun=7,Dayrun=8,Dayrun=10,Dayrun=11),IF(Option=1,MAX($L223-H223,0),IF(Option=2,MAX(H223-$L223,0),0)),0))</f>
        <v> </v>
      </c>
      <c r="V223" s="286" t="str">
        <f aca="false">IF($A223="N/A"," ",IF(OR(Dayrun=1,Dayrun=7,Dayrun=8,Dayrun=10,Dayrun=11),IF(Option=1,MAX($M223-H223,0),IF(Option=2,MAX(H223-$M223,0),0)),0))</f>
        <v> </v>
      </c>
      <c r="W223" s="286" t="str">
        <f aca="false">IF($A223="N/A"," ",IF(OR(Dayrun&lt;=2,Dayrun&gt;=10),IF(Option=1,MAX($N223-$H223,0),IF(Option=2,MAX($H223-$N223,0),0)),0))</f>
        <v> </v>
      </c>
      <c r="X223" s="286" t="str">
        <f aca="false">IF($A223="N/A"," ",IF(OR(Dayrun=1,Dayrun=5,Dayrun=8,Dayrun=11),IF(Option=1,MAX($O223-H223,0),IF(Option=2,MAX(H223-$O223,0),0)),0))</f>
        <v> </v>
      </c>
      <c r="Y223" s="286" t="str">
        <f aca="false">IF($A223="N/A"," ",IF(OR(Dayrun=1,Dayrun=8,Dayrun=11),IF(Option=1,MAX($P223-H223,0),IF(Option=2,MAX(H223-$P223,0),0)),0))</f>
        <v> </v>
      </c>
      <c r="Z223" s="293" t="str">
        <f aca="false">IF($A223="N/A"," ",IF(OR(Dayrun&lt;=2,Dayrun&gt;=11),IF(Option=1,MAX($Q223-$H223,0),IF(Option=2,MAX($H223-$Q223,0),0)),0))</f>
        <v> </v>
      </c>
      <c r="AA223" s="289" t="str">
        <f aca="false">IF($A223="N/A"," ",IF(Dayrun&gt;=3,(MAX(0,(xSPRDOPT(I223,($E223-'Pricing Inputs'!$X258*$D223),$CV223,0,($CN223+IF(Smile=TRUE(),VLOOKUP(MAX(-5,$H223-I223),Volsmile,2),0)),$CT223,$CU223,($A223-DateToday)+15,ABS(Option-2),0)-R223))),0))</f>
        <v> </v>
      </c>
      <c r="AB223" s="290" t="str">
        <f aca="false">IF($A223="N/A"," ",IF(Dayrun&gt;=6,MAX(0,(xSPRDOPT(J223,($E223-'Pricing Inputs'!$X258*$D223),$CV223,0,($CN223+IF(Smile=TRUE(),VLOOKUP(MAX(-5,$H223-J223),Volsmile,2),0)),$CT223,$CU223,($A223-DateToday)+15,ABS(Option-2),0)-S223)),0))</f>
        <v> </v>
      </c>
      <c r="AC223" s="290" t="str">
        <f aca="false">IF($A223="N/A"," ",IF(OR(Dayrun&lt;=2,Dayrun&gt;=9),IF(OffPeakEx=TRUE(),MAX(0,(xSPRDOPT(K223,($E223-'Pricing Inputs'!$X258*$D223),$CV223,0,($CQ223+IF(Smile=TRUE(),VLOOKUP(MAX(-5,$H223-K223),Volsmile,2),0)),$CT223,$CU223,($A223-DateToday)+15,ABS(Option-2),0)-T223)),0),0))</f>
        <v> </v>
      </c>
      <c r="AD223" s="290" t="str">
        <f aca="false">IF($A223="N/A"," ",IF(OR(Dayrun=1,Dayrun=4,Dayrun=5,Dayrun=7,Dayrun=8,Dayrun=10,Dayrun=11),MAX(0,(xSPRDOPT(L223,($E223-'Pricing Inputs'!$X258*$D223),$CV223,0,($CQ223+IF(Smile=TRUE(),VLOOKUP(MAX(-5,$H223-L223),Volsmile,2),0)),$CT223,$CU223,($A223-DateToday)+15,ABS(Option-2),0)-U223)),0))</f>
        <v> </v>
      </c>
      <c r="AE223" s="290" t="str">
        <f aca="false">IF($A223="N/A"," ",IF(OR(Dayrun=1,Dayrun=7,Dayrun=8,Dayrun=10,Dayrun=11),MAX(0,(xSPRDOPT(M223,($E223-'Pricing Inputs'!$X258*$D223),$CV223,0,($CQ223+IF(Smile=TRUE(),VLOOKUP(MAX(-5,$H223-M223),Volsmile,2),0)),$CT223,$CU223,($A223-DateToday)+15,ABS(Option-2),0)-V223)),0))</f>
        <v> </v>
      </c>
      <c r="AF223" s="290" t="str">
        <f aca="false">IF($A223="N/A"," ",IF(OR(Dayrun&lt;=2,Dayrun&gt;=10),IF(OffPeakEx=TRUE(),MAX(0,(xSPRDOPT(N223,($E223-'Pricing Inputs'!$X258*$D223),$CV223,0,($CQ223+IF(Smile=TRUE(),VLOOKUP(MAX(-5,$H223-N223),Volsmile,2),0)),$CT223,$CU223,($A223-DateToday)+15,ABS(Option-2),0)-W223)),0),0))</f>
        <v> </v>
      </c>
      <c r="AG223" s="290" t="str">
        <f aca="false">IF($A223="N/A"," ",IF(OR(Dayrun=1,Dayrun=5,Dayrun=8,Dayrun=11),MAX(0,(xSPRDOPT(O223,($E223-'Pricing Inputs'!$X258*$D223),$CV223,0,($CQ223+IF(Smile=TRUE(),VLOOKUP(MAX(-5,$H223-O223),Volsmile,2),0)),$CT223,$CU223,($A223-DateToday)+15,ABS(Option-2),0)-X223)),0))</f>
        <v> </v>
      </c>
      <c r="AH223" s="290" t="str">
        <f aca="false">IF($A223="N/A"," ",IF(OR(Dayrun=1,Dayrun=8,Dayrun=11),MAX(0,(xSPRDOPT(P223,($E223-'Pricing Inputs'!$X258*$D223),$CV223,0,($CQ223+IF(Smile=TRUE(),VLOOKUP(MAX(-5,$H223-P223),Volsmile,2),0)),$CT223,$CU223,($A223-DateToday)+15,ABS(Option-2),0)-Y223)),0))</f>
        <v> </v>
      </c>
      <c r="AI223" s="290" t="str">
        <f aca="false">IF($A223="N/A"," ",IF(OR(Dayrun&lt;=2,Dayrun&gt;=11),IF(OffPeakEx=TRUE(),MAX(0,(xSPRDOPT(Q223,($E223-'Pricing Inputs'!$X258*$D223),$CV223,0,($CQ223+IF(Smile=TRUE(),VLOOKUP(MAX(-5,$H223-Q223),Volsmile,2),0)),$CT223,$CU223,($A223-DateToday)+15,ABS(Option-2),0)-Z223)),0),0))</f>
        <v> </v>
      </c>
      <c r="AJ223" s="294" t="str">
        <f aca="false">IF($A223="N/A"," ",IF(Dayrun&gt;=3,IF(Option=1,$I223-$H223,IF(Option=2,$H223-$I223)),0))</f>
        <v> </v>
      </c>
      <c r="AK223" s="295" t="str">
        <f aca="false">IF($A223="N/A"," ",IF(Dayrun&gt;=6,IF(Option=1,$J223-H223,IF(Option=2,H223-$J223)),0))</f>
        <v> </v>
      </c>
      <c r="AL223" s="295" t="str">
        <f aca="false">IF($A223="N/A"," ",IF(OR(Dayrun&lt;=2,Dayrun&gt;=9),IF(Option=1,$K223-$H223,IF(Option=2,$H223-$K223)),0))</f>
        <v> </v>
      </c>
      <c r="AM223" s="295" t="str">
        <f aca="false">IF($A223="N/A"," ",IF(OR(Dayrun=1,Dayrun=4,Dayrun=5,Dayrun=7,Dayrun=8,Dayrun=10,Dayrun=11),IF(Option=1,$L223-H223,IF(Option=2,H223-$L223)),0))</f>
        <v> </v>
      </c>
      <c r="AN223" s="295" t="str">
        <f aca="false">IF($A223="N/A"," ",IF(OR(Dayrun=1,Dayrun=7,Dayrun=8,Dayrun=10,Dayrun=11),IF(Option=1,$M223-H223,IF(Option=2,H223-$M223)),0))</f>
        <v> </v>
      </c>
      <c r="AO223" s="295" t="str">
        <f aca="false">IF($A223="N/A"," ",IF(OR(Dayrun&lt;=2,Dayrun&gt;=9),IF(Option=1,$N223-$H223,IF(Option=2,$H223-$N223)),0))</f>
        <v> </v>
      </c>
      <c r="AP223" s="295" t="str">
        <f aca="false">IF($A223="N/A"," ",IF(OR(Dayrun=1,Dayrun=5,Dayrun=8,Dayrun=11),IF(Option=1,$O223-H223,IF(Option=2,H223-$O223)),0))</f>
        <v> </v>
      </c>
      <c r="AQ223" s="295" t="str">
        <f aca="false">IF($A223="N/A"," ",IF(OR(Dayrun=1,Dayrun=8,Dayrun=11),IF(Option=1,$P223-H223,IF(Option=2,H223-$P223)),0))</f>
        <v> </v>
      </c>
      <c r="AR223" s="296" t="str">
        <f aca="false">IF($A223="N/A"," ",IF(OR(Dayrun&lt;=2,Dayrun&gt;=9),IF(Option=1,$Q223-H223,IF(Option=2,H223-$Q223)),0))</f>
        <v> </v>
      </c>
      <c r="AS223" s="297" t="str">
        <f aca="false">IF($A223="N/A"," ",IF(VLOOKUP(MONTH($A223),ManualTable,2)=1,IF(Dayrun&gt;=3,$DE223*8*$CY223,0),0))</f>
        <v> </v>
      </c>
      <c r="AT223" s="297" t="str">
        <f aca="false">IF($A223="N/A"," ",IF(VLOOKUP(MONTH($A223),ManualTable,3)=1,IF(Dayrun&gt;=6,$DE223*8*$CY223,0),0))</f>
        <v> </v>
      </c>
      <c r="AU223" s="297" t="str">
        <f aca="false">IF($A223="N/A"," ",IF(VLOOKUP(MONTH($A223),ManualTable,4)=1,IF(OR(Dayrun&lt;=2,Dayrun&gt;=9),$DE223*8*$CY223,0),0))</f>
        <v> </v>
      </c>
      <c r="AV223" s="297" t="str">
        <f aca="false">IF($A223="N/A"," ",IF(VLOOKUP(MONTH($A223),ManualTable,5)=1,IF(OR(Dayrun=1,Dayrun=4,Dayrun=5,Dayrun=7,Dayrun=8,Dayrun=10,Dayrun=11),$DF223*8*$CY223,0),0))</f>
        <v> </v>
      </c>
      <c r="AW223" s="297" t="str">
        <f aca="false">IF($A223="N/A"," ",IF(VLOOKUP(MONTH($A223),ManualTable,6)=1,IF(OR(Dayrun=1,Dayrun=7,Dayrun=8,Dayrun=10,Dayrun=11),$DF223*8*$CY223,0),0))</f>
        <v> </v>
      </c>
      <c r="AX223" s="297" t="str">
        <f aca="false">IF($A223="N/A"," ",IF(VLOOKUP(MONTH($A223),ManualTable,7)=1,IF(OR(Dayrun&lt;=2,Dayrun&gt;=9),$DF223*8*$CY223,0),0))</f>
        <v> </v>
      </c>
      <c r="AY223" s="297" t="str">
        <f aca="false">IF($A223="N/A"," ",IF(VLOOKUP(MONTH($A223),ManualTable,8)=1,IF(OR(Dayrun=1,Dayrun=5,Dayrun=8,Dayrun=11),$DG223*8*$CY223,0),0))</f>
        <v> </v>
      </c>
      <c r="AZ223" s="297" t="str">
        <f aca="false">IF($A223="N/A"," ",IF(VLOOKUP(MONTH($A223),ManualTable,9)=1,IF(OR(Dayrun=1,Dayrun=8,Dayrun=11),$DG223*8*$CY223,0),0))</f>
        <v> </v>
      </c>
      <c r="BA223" s="298" t="str">
        <f aca="false">IF($A223="N/A"," ",IF(VLOOKUP(MONTH($A223),ManualTable,10)=1,IF(OR(Dayrun&lt;=2,Dayrun&gt;=9),$DG223*8*$CY223,0),0))</f>
        <v> </v>
      </c>
      <c r="BB223" s="299" t="str">
        <f aca="false">IF($A223="N/A"," ",IF(Dayrun&gt;=3,(MAX(0,(xSPRDOPT(I223,($E223-'Pricing Inputs'!$X258*$D223),$CV223,0,($CN223+IF(Smile=TRUE(),VLOOKUP(MAX(-5,$H223-I223),Volsmile,2),0)),$CT223,$CU223,($A223-DateToday)+15,ABS(Option-2),1)*DE223*8))),0))</f>
        <v> </v>
      </c>
      <c r="BC223" s="300" t="str">
        <f aca="false">IF($A223="N/A"," ",IF(Dayrun&gt;=6,MAX(0,(xSPRDOPT(J223,($E223-'Pricing Inputs'!$X258*$D223),$CV223,0,($CN223+IF(Smile=TRUE(),VLOOKUP(MAX(-5,$H223-J223),Volsmile,2),0)),$CT223,$CU223,($A223-DateToday)+15,ABS(Option-2),1)*DE223*8)),0))</f>
        <v> </v>
      </c>
      <c r="BD223" s="300" t="str">
        <f aca="false">IF($A223="N/A"," ",IF(OR(Dayrun&lt;=2,Dayrun&gt;=9),IF(OffPeakEx=TRUE(),MAX(0,(xSPRDOPT(K223,($E223-'Pricing Inputs'!$X258*$D223),$CV223,0,($CQ223+IF(Smile=TRUE(),VLOOKUP(MAX(-5,$H223-K223),Volsmile,2),0)),$CT223,$CU223,($A223-DateToday)+15,ABS(Option-2),1)*DE223*8)),0),0))</f>
        <v> </v>
      </c>
      <c r="BE223" s="300" t="str">
        <f aca="false">IF($A223="N/A"," ",IF(OR(Dayrun=1,Dayrun=4,Dayrun=5,Dayrun=7,Dayrun=8,Dayrun=10,Dayrun=11),MAX(0,(xSPRDOPT(L223,($E223-'Pricing Inputs'!$X258*$D223),$CV223,0,($CQ223+IF(Smile=TRUE(),VLOOKUP(MAX(-5,$H223-L223),Volsmile,2),0)),$CT223,$CU223,($A223-DateToday)+15,ABS(Option-2),1)*DF223*8)),0))</f>
        <v> </v>
      </c>
      <c r="BF223" s="300" t="str">
        <f aca="false">IF($A223="N/A"," ",IF(OR(Dayrun=1,Dayrun=7,Dayrun=8,Dayrun=10,Dayrun=11),MAX(0,(xSPRDOPT(M223,($E223-'Pricing Inputs'!$X258*$D223),$CV223,0,($CQ223+IF(Smile=TRUE(),VLOOKUP(MAX(-5,$H223-M223),Volsmile,2),0)),$CT223,$CU223,($A223-DateToday)+15,ABS(Option-2),1)*DF223*8)),0))</f>
        <v> </v>
      </c>
      <c r="BG223" s="300" t="str">
        <f aca="false">IF($A223="N/A"," ",IF(OR(Dayrun&lt;=2,Dayrun&gt;=10),IF(OffPeakEx=TRUE(),MAX(0,(xSPRDOPT(N223,($E223-'Pricing Inputs'!$X258*$D223),$CV223,0,($CQ223+IF(Smile=TRUE(),VLOOKUP(MAX(-5,$H223-N223),Volsmile,2),0)),$CT223,$CU223,($A223-DateToday)+15,ABS(Option-2),1)*DF223*8)),0),0))</f>
        <v> </v>
      </c>
      <c r="BH223" s="300" t="str">
        <f aca="false">IF($A223="N/A"," ",IF(OR(Dayrun=1,Dayrun=5,Dayrun=8,Dayrun=11),MAX(0,(xSPRDOPT(O223,($E223-'Pricing Inputs'!$X258*$D223),$CV223,0,($CQ223+IF(Smile=TRUE(),VLOOKUP(MAX(-5,$H223-O223),Volsmile,2),0)),$CT223,$CU223,($A223-DateToday)+15,ABS(Option-2),1)*DG223*8)),0))</f>
        <v> </v>
      </c>
      <c r="BI223" s="300" t="str">
        <f aca="false">IF($A223="N/A"," ",IF(OR(Dayrun=1,Dayrun=8,Dayrun=11),MAX(0,(xSPRDOPT(P223,($E223-'Pricing Inputs'!$X258*$D223),$CV223,0,($CQ223+IF(Smile=TRUE(),VLOOKUP(MAX(-5,$H223-P223),Volsmile,2),0)),$CT223,$CU223,($A223-DateToday)+15,ABS(Option-2),1)*DG223*8)),0))</f>
        <v> </v>
      </c>
      <c r="BJ223" s="301" t="str">
        <f aca="false">IF($A223="N/A"," ",IF(OR(Dayrun&lt;=2,Dayrun&gt;=11),IF(OffPeakEx=TRUE(),MAX(0,(xSPRDOPT(Q223,($E223-'Pricing Inputs'!$X258*$D223),$CV223,0,($CQ223+IF(Smile=TRUE(),VLOOKUP(MAX(-5,$H223-Q223),Volsmile,2),0)),$CT223,$CU223,($A223-DateToday)+15,ABS(Option-2),1)*DG223*8)),0),0))</f>
        <v> </v>
      </c>
      <c r="BK223" s="302" t="str">
        <f aca="false">IF($A223="N/A"," ",R223*$AS223)</f>
        <v> </v>
      </c>
      <c r="BL223" s="303" t="str">
        <f aca="false">IF($A223="N/A"," ",S223*$AT223)</f>
        <v> </v>
      </c>
      <c r="BM223" s="303" t="str">
        <f aca="false">IF($A223="N/A"," ",T223*$AU223)</f>
        <v> </v>
      </c>
      <c r="BN223" s="303" t="str">
        <f aca="false">IF($A223="N/A"," ",U223*$AV223)</f>
        <v> </v>
      </c>
      <c r="BO223" s="303" t="str">
        <f aca="false">IF($A223="N/A"," ",V223*$AW223)</f>
        <v> </v>
      </c>
      <c r="BP223" s="303" t="str">
        <f aca="false">IF($A223="N/A"," ",W223*$AX223)</f>
        <v> </v>
      </c>
      <c r="BQ223" s="303" t="str">
        <f aca="false">IF($A223="N/A"," ",X223*$AY223)</f>
        <v> </v>
      </c>
      <c r="BR223" s="303" t="str">
        <f aca="false">IF($A223="N/A"," ",Y223*$AZ223)</f>
        <v> </v>
      </c>
      <c r="BS223" s="304" t="str">
        <f aca="false">IF($A223="N/A"," ",Z223*$BA223)</f>
        <v> </v>
      </c>
      <c r="BT223" s="305" t="str">
        <f aca="false">IF($A223="N/A"," ",AA223*$AS223)</f>
        <v> </v>
      </c>
      <c r="BU223" s="306" t="str">
        <f aca="false">IF($A223="N/A"," ",AB223*$AT223)</f>
        <v> </v>
      </c>
      <c r="BV223" s="306" t="str">
        <f aca="false">IF($A223="N/A"," ",AC223*$AU223)</f>
        <v> </v>
      </c>
      <c r="BW223" s="306" t="str">
        <f aca="false">IF($A223="N/A"," ",AD223*$AV223)</f>
        <v> </v>
      </c>
      <c r="BX223" s="306" t="str">
        <f aca="false">IF($A223="N/A"," ",AE223*$AW223)</f>
        <v> </v>
      </c>
      <c r="BY223" s="306" t="str">
        <f aca="false">IF($A223="N/A"," ",AF223*$AX223)</f>
        <v> </v>
      </c>
      <c r="BZ223" s="306" t="str">
        <f aca="false">IF($A223="N/A"," ",AG223*$AY223)</f>
        <v> </v>
      </c>
      <c r="CA223" s="306" t="str">
        <f aca="false">IF($A223="N/A"," ",AH223*$AZ223)</f>
        <v> </v>
      </c>
      <c r="CB223" s="307" t="str">
        <f aca="false">IF($A223="N/A"," ",AI223*$BA223)</f>
        <v> </v>
      </c>
      <c r="CC223" s="308" t="str">
        <f aca="false">IF($A223="N/A"," ",AJ223*$AS223)</f>
        <v> </v>
      </c>
      <c r="CD223" s="309" t="str">
        <f aca="false">IF($A223="N/A"," ",AK223*$AT223)</f>
        <v> </v>
      </c>
      <c r="CE223" s="309" t="str">
        <f aca="false">IF($A223="N/A"," ",AL223*$AU223)</f>
        <v> </v>
      </c>
      <c r="CF223" s="309" t="str">
        <f aca="false">IF($A223="N/A"," ",AM223*$AV223)</f>
        <v> </v>
      </c>
      <c r="CG223" s="309" t="str">
        <f aca="false">IF($A223="N/A"," ",AN223*$AW223)</f>
        <v> </v>
      </c>
      <c r="CH223" s="309" t="str">
        <f aca="false">IF($A223="N/A"," ",AO223*$AX223)</f>
        <v> </v>
      </c>
      <c r="CI223" s="309" t="str">
        <f aca="false">IF($A223="N/A"," ",AP223*$AY223)</f>
        <v> </v>
      </c>
      <c r="CJ223" s="309" t="str">
        <f aca="false">IF($A223="N/A"," ",AQ223*$AZ223)</f>
        <v> </v>
      </c>
      <c r="CK223" s="310" t="str">
        <f aca="false">IF($A223="N/A"," ",AR223*$BA223)</f>
        <v> </v>
      </c>
      <c r="CL223" s="311" t="str">
        <f aca="false">IF(A223="N/A"," ",(VLOOKUP(A223,PowerVolTable,(IF(VolBMO=2,7,IF(VolBMO=1,6,8))),FALSE())))</f>
        <v> </v>
      </c>
      <c r="CM223" s="312" t="str">
        <f aca="false">IF(A223="N/A"," ",(VLOOKUP(A223,IntraPowerVol,(IF(VolBMO=2,3,IF(VolBMO=1,2,4))),FALSE())*VLOOKUP(MONTH($A223),Volscale,2)))</f>
        <v> </v>
      </c>
      <c r="CN223" s="312" t="str">
        <f aca="false">IF($A223="N/A"," ",IF(VolType=1,CM223,CL223))</f>
        <v> </v>
      </c>
      <c r="CO223" s="312" t="str">
        <f aca="false">IF($A223="N/A"," ",(VLOOKUP($A223,OffPeakVol,(IF(VolBMO=2,7,IF(VolBMO=1,6,8))),FALSE())))</f>
        <v> </v>
      </c>
      <c r="CP223" s="312" t="str">
        <f aca="false">IF($A223="N/A"," ",(VLOOKUP($A223,OffPeakVol,(IF(VolBMO=2,3,IF(VolBMO=1,2,4))),FALSE())*VLOOKUP(MONTH($A223),Volscale,2)))</f>
        <v> </v>
      </c>
      <c r="CQ223" s="312" t="str">
        <f aca="false">IF($A223="N/A"," ",IF(VolType=1,CP223,CO223))</f>
        <v> </v>
      </c>
      <c r="CR223" s="312" t="str">
        <f aca="false">IF($A223="N/A"," ",(VLOOKUP($A223,GasVolTable,(IF(VolBMO=2,6,IF(VolBMO=1,7,5))),FALSE())))</f>
        <v> </v>
      </c>
      <c r="CS223" s="312" t="str">
        <f aca="false">IF($A223="N/A"," ",(VLOOKUP($A223,OmicronVol,(IF(VolBMO=2,3,IF(VolBMO=1,4,2))),FALSE())))</f>
        <v> </v>
      </c>
      <c r="CT223" s="312" t="str">
        <f aca="false">IF($A223="N/A"," ",(IF(DateToday&gt;$A223,$CS223,IF(VolType=1,((($CR223^2)*((($A223-1)-DateToday)/((EOMONTH($A223,0)+1)-DateToday-15)))+((($CS223)^2)*((15)/((EOMONTH($A223,0)+1)-DateToday-15))))^0.5,CR223))))</f>
        <v> </v>
      </c>
      <c r="CU223" s="312" t="str">
        <f aca="false">IF($A223="N/A"," ",IF('Pricing Inputs'!$AR$23=TRUE(),Inputs!$S$22,VLOOKUP($A223,CorrelationTable,2,FALSE())))</f>
        <v> </v>
      </c>
      <c r="CV223" s="313" t="str">
        <f aca="false">IF($A223="N/A"," ",F223+G223+(D223*('Pricing Inputs'!X258)))</f>
        <v> </v>
      </c>
      <c r="CW223" s="314" t="str">
        <f aca="false">IF($A223="N/A"," ",IF(PV=1,0,'Pricing Inputs'!Y258))</f>
        <v> </v>
      </c>
      <c r="CX223" s="315" t="str">
        <f aca="false">IF($A223="N/A"," ",(1+CW223/2)^(-2*((EOMONTH(A223,0)+20)-DateToday)/365.25))</f>
        <v> </v>
      </c>
      <c r="CY223" s="316" t="str">
        <f aca="false">IF($A223="N/A"," ",(IF(MONTH(A223)&gt;=4,IF(MONTH(A223)&lt;=10,Inputs!$S$26,Inputs!$S$27),Inputs!$S$27))*$CX223)</f>
        <v> </v>
      </c>
      <c r="CZ223" s="317" t="str">
        <f aca="false">IF($A223="N/A"," ",BK223+BL223+BN223+BO223+BQ223+BR223)</f>
        <v> </v>
      </c>
      <c r="DA223" s="318" t="str">
        <f aca="false">IF($A223="N/A"," ",BM223+BP223+BS223)</f>
        <v> </v>
      </c>
      <c r="DB223" s="319" t="str">
        <f aca="false">IF($A223="N/A"," ",BT223+BU223+BW223+BX223+BZ223+CA223)</f>
        <v> </v>
      </c>
      <c r="DC223" s="319" t="str">
        <f aca="false">IF($A223="N/A"," ",BV223+BY223+CB223)</f>
        <v> </v>
      </c>
      <c r="DD223" s="320" t="str">
        <f aca="false">IF($A223="N/A"," ",SUM(CC223:CK223))</f>
        <v> </v>
      </c>
      <c r="DE223" s="321" t="str">
        <f aca="false">IF($A223="N/A"," ",VLOOKUP($A223,NumberofDaysTable,2)*Availability)</f>
        <v> </v>
      </c>
      <c r="DF223" s="94" t="str">
        <f aca="false">IF($A223="N/A"," ",VLOOKUP($A223,NumberofDaysTable,3)*Availability)</f>
        <v> </v>
      </c>
      <c r="DG223" s="322" t="str">
        <f aca="false">IF($A223="N/A"," ",VLOOKUP($A223,NumberofDaysTable,4)*Availability)</f>
        <v> </v>
      </c>
      <c r="DH223" s="323" t="str">
        <f aca="false">IF($A223="N/A"," ",IF(Option=1,$D223*Inputs!$S$15*SUM(AS223:BA223),0))</f>
        <v> </v>
      </c>
      <c r="DI223" s="324" t="str">
        <f aca="false">IF($A223="N/A"," ",IF(Option=1,$D223*Inputs!$S$16*SUM(AS223:BA223),0))</f>
        <v> </v>
      </c>
      <c r="DJ223" s="325" t="str">
        <f aca="false">IF($A223="N/A"," ",SUM(AS223:AT223))</f>
        <v> </v>
      </c>
      <c r="DK223" s="325" t="str">
        <f aca="false">IF($A223="N/A"," ",SUM(AU223:BA223))</f>
        <v> </v>
      </c>
      <c r="DL223" s="325" t="str">
        <f aca="false">IF($A223="N/A"," ",SUM(BB223:BC223))</f>
        <v> </v>
      </c>
      <c r="DM223" s="325" t="str">
        <f aca="false">IF($A223="N/A"," ",SUM(BD223:BJ223))</f>
        <v> </v>
      </c>
    </row>
    <row r="224" customFormat="false" ht="12.75" hidden="false" customHeight="false" outlineLevel="0" collapsed="false">
      <c r="A224" s="282" t="str">
        <f aca="false">IF(A223="N/A","N/A",IF(EDATE(A223,1)&gt;Inputs!$S$5,"N/A",EDATE(A223,1)))</f>
        <v>N/A</v>
      </c>
      <c r="B224" s="283" t="str">
        <f aca="false">IF(A224="N/A"," ",YEAR(A224))</f>
        <v> </v>
      </c>
      <c r="C224" s="284" t="str">
        <f aca="false">IF(A224="N/A"," ",VLOOKUP(A224,ScaledPrice,14))</f>
        <v> </v>
      </c>
      <c r="D224" s="285" t="str">
        <f aca="false">IF(A224="N/A"," ",(VLOOKUP(MONTH($A224),Hrtable,2))/1000)</f>
        <v> </v>
      </c>
      <c r="E224" s="286" t="str">
        <f aca="false">IF($A224="N/A"," ",(C224)*D224)</f>
        <v> </v>
      </c>
      <c r="F224" s="287" t="str">
        <f aca="false">IF(A224="N/A"," ",VOM*(1+VOMesc)^(YEAR(A224)-YEAR(Today)))</f>
        <v> </v>
      </c>
      <c r="G224" s="287" t="str">
        <f aca="false">IF(A224="N/A"," ",Perstart/VLOOKUP(Dayrun,'Pricing Inputs'!$AQ$4:$AS$14,3)/(CY224/CX224))</f>
        <v> </v>
      </c>
      <c r="H224" s="288" t="str">
        <f aca="false">IF(A224="N/A"," ",SUM(E224:G224))</f>
        <v> </v>
      </c>
      <c r="I224" s="289" t="str">
        <f aca="false">VLOOKUP($A224,ScaledPrice,6)</f>
        <v> </v>
      </c>
      <c r="J224" s="290" t="str">
        <f aca="false">VLOOKUP($A224,ScaledPrice,10)</f>
        <v> </v>
      </c>
      <c r="K224" s="290" t="str">
        <f aca="false">VLOOKUP($A224,ScaledPrice,13)</f>
        <v> </v>
      </c>
      <c r="L224" s="290" t="str">
        <f aca="false">VLOOKUP($A224,ScaledPrice,7)</f>
        <v> </v>
      </c>
      <c r="M224" s="290" t="str">
        <f aca="false">VLOOKUP($A224,ScaledPrice,11)</f>
        <v> </v>
      </c>
      <c r="N224" s="290" t="str">
        <f aca="false">VLOOKUP($A224,ScaledPrice,13)</f>
        <v> </v>
      </c>
      <c r="O224" s="290" t="str">
        <f aca="false">VLOOKUP($A224,ScaledPrice,8)</f>
        <v> </v>
      </c>
      <c r="P224" s="290" t="str">
        <f aca="false">VLOOKUP($A224,ScaledPrice,12)</f>
        <v> </v>
      </c>
      <c r="Q224" s="291" t="str">
        <f aca="false">VLOOKUP($A224,ScaledPrice,13)</f>
        <v> </v>
      </c>
      <c r="R224" s="292" t="str">
        <f aca="false">IF($A224="N/A"," ",IF(Dayrun&gt;=3,IF(Option=1,MAX($I224-$H224,0),IF(Option=2,MAX($H224-$I224,0),0)),0))</f>
        <v> </v>
      </c>
      <c r="S224" s="286" t="str">
        <f aca="false">IF($A224="N/A"," ",IF(Dayrun&gt;=6,IF(Option=1,MAX($J224-H224,0),IF(Option=2,MAX(H224-$J224,0),0)),0))</f>
        <v> </v>
      </c>
      <c r="T224" s="286" t="str">
        <f aca="false">IF($A224="N/A"," ",IF(OR(Dayrun&lt;=2,Dayrun&gt;=9),IF(Option=1,MAX($K224-$H224,0),IF(Option=2,MAX($H224-$K224,0),0)),0))</f>
        <v> </v>
      </c>
      <c r="U224" s="286" t="str">
        <f aca="false">IF($A224="N/A"," ",IF(OR(Dayrun=1,Dayrun=4,Dayrun=5,Dayrun=7,Dayrun=8,Dayrun=10,Dayrun=11),IF(Option=1,MAX($L224-H224,0),IF(Option=2,MAX(H224-$L224,0),0)),0))</f>
        <v> </v>
      </c>
      <c r="V224" s="286" t="str">
        <f aca="false">IF($A224="N/A"," ",IF(OR(Dayrun=1,Dayrun=7,Dayrun=8,Dayrun=10,Dayrun=11),IF(Option=1,MAX($M224-H224,0),IF(Option=2,MAX(H224-$M224,0),0)),0))</f>
        <v> </v>
      </c>
      <c r="W224" s="286" t="str">
        <f aca="false">IF($A224="N/A"," ",IF(OR(Dayrun&lt;=2,Dayrun&gt;=10),IF(Option=1,MAX($N224-$H224,0),IF(Option=2,MAX($H224-$N224,0),0)),0))</f>
        <v> </v>
      </c>
      <c r="X224" s="286" t="str">
        <f aca="false">IF($A224="N/A"," ",IF(OR(Dayrun=1,Dayrun=5,Dayrun=8,Dayrun=11),IF(Option=1,MAX($O224-H224,0),IF(Option=2,MAX(H224-$O224,0),0)),0))</f>
        <v> </v>
      </c>
      <c r="Y224" s="286" t="str">
        <f aca="false">IF($A224="N/A"," ",IF(OR(Dayrun=1,Dayrun=8,Dayrun=11),IF(Option=1,MAX($P224-H224,0),IF(Option=2,MAX(H224-$P224,0),0)),0))</f>
        <v> </v>
      </c>
      <c r="Z224" s="293" t="str">
        <f aca="false">IF($A224="N/A"," ",IF(OR(Dayrun&lt;=2,Dayrun&gt;=11),IF(Option=1,MAX($Q224-$H224,0),IF(Option=2,MAX($H224-$Q224,0),0)),0))</f>
        <v> </v>
      </c>
      <c r="AA224" s="289" t="str">
        <f aca="false">IF($A224="N/A"," ",IF(Dayrun&gt;=3,(MAX(0,(xSPRDOPT(I224,($E224-'Pricing Inputs'!$X259*$D224),$CV224,0,($CN224+IF(Smile=TRUE(),VLOOKUP(MAX(-5,$H224-I224),Volsmile,2),0)),$CT224,$CU224,($A224-DateToday)+15,ABS(Option-2),0)-R224))),0))</f>
        <v> </v>
      </c>
      <c r="AB224" s="290" t="str">
        <f aca="false">IF($A224="N/A"," ",IF(Dayrun&gt;=6,MAX(0,(xSPRDOPT(J224,($E224-'Pricing Inputs'!$X259*$D224),$CV224,0,($CN224+IF(Smile=TRUE(),VLOOKUP(MAX(-5,$H224-J224),Volsmile,2),0)),$CT224,$CU224,($A224-DateToday)+15,ABS(Option-2),0)-S224)),0))</f>
        <v> </v>
      </c>
      <c r="AC224" s="290" t="str">
        <f aca="false">IF($A224="N/A"," ",IF(OR(Dayrun&lt;=2,Dayrun&gt;=9),IF(OffPeakEx=TRUE(),MAX(0,(xSPRDOPT(K224,($E224-'Pricing Inputs'!$X259*$D224),$CV224,0,($CQ224+IF(Smile=TRUE(),VLOOKUP(MAX(-5,$H224-K224),Volsmile,2),0)),$CT224,$CU224,($A224-DateToday)+15,ABS(Option-2),0)-T224)),0),0))</f>
        <v> </v>
      </c>
      <c r="AD224" s="290" t="str">
        <f aca="false">IF($A224="N/A"," ",IF(OR(Dayrun=1,Dayrun=4,Dayrun=5,Dayrun=7,Dayrun=8,Dayrun=10,Dayrun=11),MAX(0,(xSPRDOPT(L224,($E224-'Pricing Inputs'!$X259*$D224),$CV224,0,($CQ224+IF(Smile=TRUE(),VLOOKUP(MAX(-5,$H224-L224),Volsmile,2),0)),$CT224,$CU224,($A224-DateToday)+15,ABS(Option-2),0)-U224)),0))</f>
        <v> </v>
      </c>
      <c r="AE224" s="290" t="str">
        <f aca="false">IF($A224="N/A"," ",IF(OR(Dayrun=1,Dayrun=7,Dayrun=8,Dayrun=10,Dayrun=11),MAX(0,(xSPRDOPT(M224,($E224-'Pricing Inputs'!$X259*$D224),$CV224,0,($CQ224+IF(Smile=TRUE(),VLOOKUP(MAX(-5,$H224-M224),Volsmile,2),0)),$CT224,$CU224,($A224-DateToday)+15,ABS(Option-2),0)-V224)),0))</f>
        <v> </v>
      </c>
      <c r="AF224" s="290" t="str">
        <f aca="false">IF($A224="N/A"," ",IF(OR(Dayrun&lt;=2,Dayrun&gt;=10),IF(OffPeakEx=TRUE(),MAX(0,(xSPRDOPT(N224,($E224-'Pricing Inputs'!$X259*$D224),$CV224,0,($CQ224+IF(Smile=TRUE(),VLOOKUP(MAX(-5,$H224-N224),Volsmile,2),0)),$CT224,$CU224,($A224-DateToday)+15,ABS(Option-2),0)-W224)),0),0))</f>
        <v> </v>
      </c>
      <c r="AG224" s="290" t="str">
        <f aca="false">IF($A224="N/A"," ",IF(OR(Dayrun=1,Dayrun=5,Dayrun=8,Dayrun=11),MAX(0,(xSPRDOPT(O224,($E224-'Pricing Inputs'!$X259*$D224),$CV224,0,($CQ224+IF(Smile=TRUE(),VLOOKUP(MAX(-5,$H224-O224),Volsmile,2),0)),$CT224,$CU224,($A224-DateToday)+15,ABS(Option-2),0)-X224)),0))</f>
        <v> </v>
      </c>
      <c r="AH224" s="290" t="str">
        <f aca="false">IF($A224="N/A"," ",IF(OR(Dayrun=1,Dayrun=8,Dayrun=11),MAX(0,(xSPRDOPT(P224,($E224-'Pricing Inputs'!$X259*$D224),$CV224,0,($CQ224+IF(Smile=TRUE(),VLOOKUP(MAX(-5,$H224-P224),Volsmile,2),0)),$CT224,$CU224,($A224-DateToday)+15,ABS(Option-2),0)-Y224)),0))</f>
        <v> </v>
      </c>
      <c r="AI224" s="290" t="str">
        <f aca="false">IF($A224="N/A"," ",IF(OR(Dayrun&lt;=2,Dayrun&gt;=11),IF(OffPeakEx=TRUE(),MAX(0,(xSPRDOPT(Q224,($E224-'Pricing Inputs'!$X259*$D224),$CV224,0,($CQ224+IF(Smile=TRUE(),VLOOKUP(MAX(-5,$H224-Q224),Volsmile,2),0)),$CT224,$CU224,($A224-DateToday)+15,ABS(Option-2),0)-Z224)),0),0))</f>
        <v> </v>
      </c>
      <c r="AJ224" s="294" t="str">
        <f aca="false">IF($A224="N/A"," ",IF(Dayrun&gt;=3,IF(Option=1,$I224-$H224,IF(Option=2,$H224-$I224)),0))</f>
        <v> </v>
      </c>
      <c r="AK224" s="295" t="str">
        <f aca="false">IF($A224="N/A"," ",IF(Dayrun&gt;=6,IF(Option=1,$J224-H224,IF(Option=2,H224-$J224)),0))</f>
        <v> </v>
      </c>
      <c r="AL224" s="295" t="str">
        <f aca="false">IF($A224="N/A"," ",IF(OR(Dayrun&lt;=2,Dayrun&gt;=9),IF(Option=1,$K224-$H224,IF(Option=2,$H224-$K224)),0))</f>
        <v> </v>
      </c>
      <c r="AM224" s="295" t="str">
        <f aca="false">IF($A224="N/A"," ",IF(OR(Dayrun=1,Dayrun=4,Dayrun=5,Dayrun=7,Dayrun=8,Dayrun=10,Dayrun=11),IF(Option=1,$L224-H224,IF(Option=2,H224-$L224)),0))</f>
        <v> </v>
      </c>
      <c r="AN224" s="295" t="str">
        <f aca="false">IF($A224="N/A"," ",IF(OR(Dayrun=1,Dayrun=7,Dayrun=8,Dayrun=10,Dayrun=11),IF(Option=1,$M224-H224,IF(Option=2,H224-$M224)),0))</f>
        <v> </v>
      </c>
      <c r="AO224" s="295" t="str">
        <f aca="false">IF($A224="N/A"," ",IF(OR(Dayrun&lt;=2,Dayrun&gt;=9),IF(Option=1,$N224-$H224,IF(Option=2,$H224-$N224)),0))</f>
        <v> </v>
      </c>
      <c r="AP224" s="295" t="str">
        <f aca="false">IF($A224="N/A"," ",IF(OR(Dayrun=1,Dayrun=5,Dayrun=8,Dayrun=11),IF(Option=1,$O224-H224,IF(Option=2,H224-$O224)),0))</f>
        <v> </v>
      </c>
      <c r="AQ224" s="295" t="str">
        <f aca="false">IF($A224="N/A"," ",IF(OR(Dayrun=1,Dayrun=8,Dayrun=11),IF(Option=1,$P224-H224,IF(Option=2,H224-$P224)),0))</f>
        <v> </v>
      </c>
      <c r="AR224" s="296" t="str">
        <f aca="false">IF($A224="N/A"," ",IF(OR(Dayrun&lt;=2,Dayrun&gt;=9),IF(Option=1,$Q224-H224,IF(Option=2,H224-$Q224)),0))</f>
        <v> </v>
      </c>
      <c r="AS224" s="297" t="str">
        <f aca="false">IF($A224="N/A"," ",IF(VLOOKUP(MONTH($A224),ManualTable,2)=1,IF(Dayrun&gt;=3,$DE224*8*$CY224,0),0))</f>
        <v> </v>
      </c>
      <c r="AT224" s="297" t="str">
        <f aca="false">IF($A224="N/A"," ",IF(VLOOKUP(MONTH($A224),ManualTable,3)=1,IF(Dayrun&gt;=6,$DE224*8*$CY224,0),0))</f>
        <v> </v>
      </c>
      <c r="AU224" s="297" t="str">
        <f aca="false">IF($A224="N/A"," ",IF(VLOOKUP(MONTH($A224),ManualTable,4)=1,IF(OR(Dayrun&lt;=2,Dayrun&gt;=9),$DE224*8*$CY224,0),0))</f>
        <v> </v>
      </c>
      <c r="AV224" s="297" t="str">
        <f aca="false">IF($A224="N/A"," ",IF(VLOOKUP(MONTH($A224),ManualTable,5)=1,IF(OR(Dayrun=1,Dayrun=4,Dayrun=5,Dayrun=7,Dayrun=8,Dayrun=10,Dayrun=11),$DF224*8*$CY224,0),0))</f>
        <v> </v>
      </c>
      <c r="AW224" s="297" t="str">
        <f aca="false">IF($A224="N/A"," ",IF(VLOOKUP(MONTH($A224),ManualTable,6)=1,IF(OR(Dayrun=1,Dayrun=7,Dayrun=8,Dayrun=10,Dayrun=11),$DF224*8*$CY224,0),0))</f>
        <v> </v>
      </c>
      <c r="AX224" s="297" t="str">
        <f aca="false">IF($A224="N/A"," ",IF(VLOOKUP(MONTH($A224),ManualTable,7)=1,IF(OR(Dayrun&lt;=2,Dayrun&gt;=9),$DF224*8*$CY224,0),0))</f>
        <v> </v>
      </c>
      <c r="AY224" s="297" t="str">
        <f aca="false">IF($A224="N/A"," ",IF(VLOOKUP(MONTH($A224),ManualTable,8)=1,IF(OR(Dayrun=1,Dayrun=5,Dayrun=8,Dayrun=11),$DG224*8*$CY224,0),0))</f>
        <v> </v>
      </c>
      <c r="AZ224" s="297" t="str">
        <f aca="false">IF($A224="N/A"," ",IF(VLOOKUP(MONTH($A224),ManualTable,9)=1,IF(OR(Dayrun=1,Dayrun=8,Dayrun=11),$DG224*8*$CY224,0),0))</f>
        <v> </v>
      </c>
      <c r="BA224" s="298" t="str">
        <f aca="false">IF($A224="N/A"," ",IF(VLOOKUP(MONTH($A224),ManualTable,10)=1,IF(OR(Dayrun&lt;=2,Dayrun&gt;=9),$DG224*8*$CY224,0),0))</f>
        <v> </v>
      </c>
      <c r="BB224" s="299" t="str">
        <f aca="false">IF($A224="N/A"," ",IF(Dayrun&gt;=3,(MAX(0,(xSPRDOPT(I224,($E224-'Pricing Inputs'!$X259*$D224),$CV224,0,($CN224+IF(Smile=TRUE(),VLOOKUP(MAX(-5,$H224-I224),Volsmile,2),0)),$CT224,$CU224,($A224-DateToday)+15,ABS(Option-2),1)*DE224*8))),0))</f>
        <v> </v>
      </c>
      <c r="BC224" s="300" t="str">
        <f aca="false">IF($A224="N/A"," ",IF(Dayrun&gt;=6,MAX(0,(xSPRDOPT(J224,($E224-'Pricing Inputs'!$X259*$D224),$CV224,0,($CN224+IF(Smile=TRUE(),VLOOKUP(MAX(-5,$H224-J224),Volsmile,2),0)),$CT224,$CU224,($A224-DateToday)+15,ABS(Option-2),1)*DE224*8)),0))</f>
        <v> </v>
      </c>
      <c r="BD224" s="300" t="str">
        <f aca="false">IF($A224="N/A"," ",IF(OR(Dayrun&lt;=2,Dayrun&gt;=9),IF(OffPeakEx=TRUE(),MAX(0,(xSPRDOPT(K224,($E224-'Pricing Inputs'!$X259*$D224),$CV224,0,($CQ224+IF(Smile=TRUE(),VLOOKUP(MAX(-5,$H224-K224),Volsmile,2),0)),$CT224,$CU224,($A224-DateToday)+15,ABS(Option-2),1)*DE224*8)),0),0))</f>
        <v> </v>
      </c>
      <c r="BE224" s="300" t="str">
        <f aca="false">IF($A224="N/A"," ",IF(OR(Dayrun=1,Dayrun=4,Dayrun=5,Dayrun=7,Dayrun=8,Dayrun=10,Dayrun=11),MAX(0,(xSPRDOPT(L224,($E224-'Pricing Inputs'!$X259*$D224),$CV224,0,($CQ224+IF(Smile=TRUE(),VLOOKUP(MAX(-5,$H224-L224),Volsmile,2),0)),$CT224,$CU224,($A224-DateToday)+15,ABS(Option-2),1)*DF224*8)),0))</f>
        <v> </v>
      </c>
      <c r="BF224" s="300" t="str">
        <f aca="false">IF($A224="N/A"," ",IF(OR(Dayrun=1,Dayrun=7,Dayrun=8,Dayrun=10,Dayrun=11),MAX(0,(xSPRDOPT(M224,($E224-'Pricing Inputs'!$X259*$D224),$CV224,0,($CQ224+IF(Smile=TRUE(),VLOOKUP(MAX(-5,$H224-M224),Volsmile,2),0)),$CT224,$CU224,($A224-DateToday)+15,ABS(Option-2),1)*DF224*8)),0))</f>
        <v> </v>
      </c>
      <c r="BG224" s="300" t="str">
        <f aca="false">IF($A224="N/A"," ",IF(OR(Dayrun&lt;=2,Dayrun&gt;=10),IF(OffPeakEx=TRUE(),MAX(0,(xSPRDOPT(N224,($E224-'Pricing Inputs'!$X259*$D224),$CV224,0,($CQ224+IF(Smile=TRUE(),VLOOKUP(MAX(-5,$H224-N224),Volsmile,2),0)),$CT224,$CU224,($A224-DateToday)+15,ABS(Option-2),1)*DF224*8)),0),0))</f>
        <v> </v>
      </c>
      <c r="BH224" s="300" t="str">
        <f aca="false">IF($A224="N/A"," ",IF(OR(Dayrun=1,Dayrun=5,Dayrun=8,Dayrun=11),MAX(0,(xSPRDOPT(O224,($E224-'Pricing Inputs'!$X259*$D224),$CV224,0,($CQ224+IF(Smile=TRUE(),VLOOKUP(MAX(-5,$H224-O224),Volsmile,2),0)),$CT224,$CU224,($A224-DateToday)+15,ABS(Option-2),1)*DG224*8)),0))</f>
        <v> </v>
      </c>
      <c r="BI224" s="300" t="str">
        <f aca="false">IF($A224="N/A"," ",IF(OR(Dayrun=1,Dayrun=8,Dayrun=11),MAX(0,(xSPRDOPT(P224,($E224-'Pricing Inputs'!$X259*$D224),$CV224,0,($CQ224+IF(Smile=TRUE(),VLOOKUP(MAX(-5,$H224-P224),Volsmile,2),0)),$CT224,$CU224,($A224-DateToday)+15,ABS(Option-2),1)*DG224*8)),0))</f>
        <v> </v>
      </c>
      <c r="BJ224" s="301" t="str">
        <f aca="false">IF($A224="N/A"," ",IF(OR(Dayrun&lt;=2,Dayrun&gt;=11),IF(OffPeakEx=TRUE(),MAX(0,(xSPRDOPT(Q224,($E224-'Pricing Inputs'!$X259*$D224),$CV224,0,($CQ224+IF(Smile=TRUE(),VLOOKUP(MAX(-5,$H224-Q224),Volsmile,2),0)),$CT224,$CU224,($A224-DateToday)+15,ABS(Option-2),1)*DG224*8)),0),0))</f>
        <v> </v>
      </c>
      <c r="BK224" s="302" t="str">
        <f aca="false">IF($A224="N/A"," ",R224*$AS224)</f>
        <v> </v>
      </c>
      <c r="BL224" s="303" t="str">
        <f aca="false">IF($A224="N/A"," ",S224*$AT224)</f>
        <v> </v>
      </c>
      <c r="BM224" s="303" t="str">
        <f aca="false">IF($A224="N/A"," ",T224*$AU224)</f>
        <v> </v>
      </c>
      <c r="BN224" s="303" t="str">
        <f aca="false">IF($A224="N/A"," ",U224*$AV224)</f>
        <v> </v>
      </c>
      <c r="BO224" s="303" t="str">
        <f aca="false">IF($A224="N/A"," ",V224*$AW224)</f>
        <v> </v>
      </c>
      <c r="BP224" s="303" t="str">
        <f aca="false">IF($A224="N/A"," ",W224*$AX224)</f>
        <v> </v>
      </c>
      <c r="BQ224" s="303" t="str">
        <f aca="false">IF($A224="N/A"," ",X224*$AY224)</f>
        <v> </v>
      </c>
      <c r="BR224" s="303" t="str">
        <f aca="false">IF($A224="N/A"," ",Y224*$AZ224)</f>
        <v> </v>
      </c>
      <c r="BS224" s="304" t="str">
        <f aca="false">IF($A224="N/A"," ",Z224*$BA224)</f>
        <v> </v>
      </c>
      <c r="BT224" s="305" t="str">
        <f aca="false">IF($A224="N/A"," ",AA224*$AS224)</f>
        <v> </v>
      </c>
      <c r="BU224" s="306" t="str">
        <f aca="false">IF($A224="N/A"," ",AB224*$AT224)</f>
        <v> </v>
      </c>
      <c r="BV224" s="306" t="str">
        <f aca="false">IF($A224="N/A"," ",AC224*$AU224)</f>
        <v> </v>
      </c>
      <c r="BW224" s="306" t="str">
        <f aca="false">IF($A224="N/A"," ",AD224*$AV224)</f>
        <v> </v>
      </c>
      <c r="BX224" s="306" t="str">
        <f aca="false">IF($A224="N/A"," ",AE224*$AW224)</f>
        <v> </v>
      </c>
      <c r="BY224" s="306" t="str">
        <f aca="false">IF($A224="N/A"," ",AF224*$AX224)</f>
        <v> </v>
      </c>
      <c r="BZ224" s="306" t="str">
        <f aca="false">IF($A224="N/A"," ",AG224*$AY224)</f>
        <v> </v>
      </c>
      <c r="CA224" s="306" t="str">
        <f aca="false">IF($A224="N/A"," ",AH224*$AZ224)</f>
        <v> </v>
      </c>
      <c r="CB224" s="307" t="str">
        <f aca="false">IF($A224="N/A"," ",AI224*$BA224)</f>
        <v> </v>
      </c>
      <c r="CC224" s="308" t="str">
        <f aca="false">IF($A224="N/A"," ",AJ224*$AS224)</f>
        <v> </v>
      </c>
      <c r="CD224" s="309" t="str">
        <f aca="false">IF($A224="N/A"," ",AK224*$AT224)</f>
        <v> </v>
      </c>
      <c r="CE224" s="309" t="str">
        <f aca="false">IF($A224="N/A"," ",AL224*$AU224)</f>
        <v> </v>
      </c>
      <c r="CF224" s="309" t="str">
        <f aca="false">IF($A224="N/A"," ",AM224*$AV224)</f>
        <v> </v>
      </c>
      <c r="CG224" s="309" t="str">
        <f aca="false">IF($A224="N/A"," ",AN224*$AW224)</f>
        <v> </v>
      </c>
      <c r="CH224" s="309" t="str">
        <f aca="false">IF($A224="N/A"," ",AO224*$AX224)</f>
        <v> </v>
      </c>
      <c r="CI224" s="309" t="str">
        <f aca="false">IF($A224="N/A"," ",AP224*$AY224)</f>
        <v> </v>
      </c>
      <c r="CJ224" s="309" t="str">
        <f aca="false">IF($A224="N/A"," ",AQ224*$AZ224)</f>
        <v> </v>
      </c>
      <c r="CK224" s="310" t="str">
        <f aca="false">IF($A224="N/A"," ",AR224*$BA224)</f>
        <v> </v>
      </c>
      <c r="CL224" s="311" t="str">
        <f aca="false">IF(A224="N/A"," ",(VLOOKUP(A224,PowerVolTable,(IF(VolBMO=2,7,IF(VolBMO=1,6,8))),FALSE())))</f>
        <v> </v>
      </c>
      <c r="CM224" s="312" t="str">
        <f aca="false">IF(A224="N/A"," ",(VLOOKUP(A224,IntraPowerVol,(IF(VolBMO=2,3,IF(VolBMO=1,2,4))),FALSE())*VLOOKUP(MONTH($A224),Volscale,2)))</f>
        <v> </v>
      </c>
      <c r="CN224" s="312" t="str">
        <f aca="false">IF($A224="N/A"," ",IF(VolType=1,CM224,CL224))</f>
        <v> </v>
      </c>
      <c r="CO224" s="312" t="str">
        <f aca="false">IF($A224="N/A"," ",(VLOOKUP($A224,OffPeakVol,(IF(VolBMO=2,7,IF(VolBMO=1,6,8))),FALSE())))</f>
        <v> </v>
      </c>
      <c r="CP224" s="312" t="str">
        <f aca="false">IF($A224="N/A"," ",(VLOOKUP($A224,OffPeakVol,(IF(VolBMO=2,3,IF(VolBMO=1,2,4))),FALSE())*VLOOKUP(MONTH($A224),Volscale,2)))</f>
        <v> </v>
      </c>
      <c r="CQ224" s="312" t="str">
        <f aca="false">IF($A224="N/A"," ",IF(VolType=1,CP224,CO224))</f>
        <v> </v>
      </c>
      <c r="CR224" s="312" t="str">
        <f aca="false">IF($A224="N/A"," ",(VLOOKUP($A224,GasVolTable,(IF(VolBMO=2,6,IF(VolBMO=1,7,5))),FALSE())))</f>
        <v> </v>
      </c>
      <c r="CS224" s="312" t="str">
        <f aca="false">IF($A224="N/A"," ",(VLOOKUP($A224,OmicronVol,(IF(VolBMO=2,3,IF(VolBMO=1,4,2))),FALSE())))</f>
        <v> </v>
      </c>
      <c r="CT224" s="312" t="str">
        <f aca="false">IF($A224="N/A"," ",(IF(DateToday&gt;$A224,$CS224,IF(VolType=1,((($CR224^2)*((($A224-1)-DateToday)/((EOMONTH($A224,0)+1)-DateToday-15)))+((($CS224)^2)*((15)/((EOMONTH($A224,0)+1)-DateToday-15))))^0.5,CR224))))</f>
        <v> </v>
      </c>
      <c r="CU224" s="312" t="str">
        <f aca="false">IF($A224="N/A"," ",IF('Pricing Inputs'!$AR$23=TRUE(),Inputs!$S$22,VLOOKUP($A224,CorrelationTable,2,FALSE())))</f>
        <v> </v>
      </c>
      <c r="CV224" s="313" t="str">
        <f aca="false">IF($A224="N/A"," ",F224+G224+(D224*('Pricing Inputs'!X259)))</f>
        <v> </v>
      </c>
      <c r="CW224" s="314" t="str">
        <f aca="false">IF($A224="N/A"," ",IF(PV=1,0,'Pricing Inputs'!Y259))</f>
        <v> </v>
      </c>
      <c r="CX224" s="315" t="str">
        <f aca="false">IF($A224="N/A"," ",(1+CW224/2)^(-2*((EOMONTH(A224,0)+20)-DateToday)/365.25))</f>
        <v> </v>
      </c>
      <c r="CY224" s="316" t="str">
        <f aca="false">IF($A224="N/A"," ",(IF(MONTH(A224)&gt;=4,IF(MONTH(A224)&lt;=10,Inputs!$S$26,Inputs!$S$27),Inputs!$S$27))*$CX224)</f>
        <v> </v>
      </c>
      <c r="CZ224" s="317" t="str">
        <f aca="false">IF($A224="N/A"," ",BK224+BL224+BN224+BO224+BQ224+BR224)</f>
        <v> </v>
      </c>
      <c r="DA224" s="318" t="str">
        <f aca="false">IF($A224="N/A"," ",BM224+BP224+BS224)</f>
        <v> </v>
      </c>
      <c r="DB224" s="319" t="str">
        <f aca="false">IF($A224="N/A"," ",BT224+BU224+BW224+BX224+BZ224+CA224)</f>
        <v> </v>
      </c>
      <c r="DC224" s="319" t="str">
        <f aca="false">IF($A224="N/A"," ",BV224+BY224+CB224)</f>
        <v> </v>
      </c>
      <c r="DD224" s="320" t="str">
        <f aca="false">IF($A224="N/A"," ",SUM(CC224:CK224))</f>
        <v> </v>
      </c>
      <c r="DE224" s="321" t="str">
        <f aca="false">IF($A224="N/A"," ",VLOOKUP($A224,NumberofDaysTable,2)*Availability)</f>
        <v> </v>
      </c>
      <c r="DF224" s="94" t="str">
        <f aca="false">IF($A224="N/A"," ",VLOOKUP($A224,NumberofDaysTable,3)*Availability)</f>
        <v> </v>
      </c>
      <c r="DG224" s="322" t="str">
        <f aca="false">IF($A224="N/A"," ",VLOOKUP($A224,NumberofDaysTable,4)*Availability)</f>
        <v> </v>
      </c>
      <c r="DH224" s="323" t="str">
        <f aca="false">IF($A224="N/A"," ",IF(Option=1,$D224*Inputs!$S$15*SUM(AS224:BA224),0))</f>
        <v> </v>
      </c>
      <c r="DI224" s="324" t="str">
        <f aca="false">IF($A224="N/A"," ",IF(Option=1,$D224*Inputs!$S$16*SUM(AS224:BA224),0))</f>
        <v> </v>
      </c>
      <c r="DJ224" s="325" t="str">
        <f aca="false">IF($A224="N/A"," ",SUM(AS224:AT224))</f>
        <v> </v>
      </c>
      <c r="DK224" s="325" t="str">
        <f aca="false">IF($A224="N/A"," ",SUM(AU224:BA224))</f>
        <v> </v>
      </c>
      <c r="DL224" s="325" t="str">
        <f aca="false">IF($A224="N/A"," ",SUM(BB224:BC224))</f>
        <v> </v>
      </c>
      <c r="DM224" s="325" t="str">
        <f aca="false">IF($A224="N/A"," ",SUM(BD224:BJ224))</f>
        <v> </v>
      </c>
    </row>
    <row r="225" customFormat="false" ht="12.75" hidden="false" customHeight="false" outlineLevel="0" collapsed="false">
      <c r="A225" s="282" t="str">
        <f aca="false">IF(A224="N/A","N/A",IF(EDATE(A224,1)&gt;Inputs!$S$5,"N/A",EDATE(A224,1)))</f>
        <v>N/A</v>
      </c>
      <c r="B225" s="283" t="str">
        <f aca="false">IF(A225="N/A"," ",YEAR(A225))</f>
        <v> </v>
      </c>
      <c r="C225" s="284" t="str">
        <f aca="false">IF(A225="N/A"," ",VLOOKUP(A225,ScaledPrice,14))</f>
        <v> </v>
      </c>
      <c r="D225" s="285" t="str">
        <f aca="false">IF(A225="N/A"," ",(VLOOKUP(MONTH($A225),Hrtable,2))/1000)</f>
        <v> </v>
      </c>
      <c r="E225" s="286" t="str">
        <f aca="false">IF($A225="N/A"," ",(C225)*D225)</f>
        <v> </v>
      </c>
      <c r="F225" s="287" t="str">
        <f aca="false">IF(A225="N/A"," ",VOM*(1+VOMesc)^(YEAR(A225)-YEAR(Today)))</f>
        <v> </v>
      </c>
      <c r="G225" s="287" t="str">
        <f aca="false">IF(A225="N/A"," ",Perstart/VLOOKUP(Dayrun,'Pricing Inputs'!$AQ$4:$AS$14,3)/(CY225/CX225))</f>
        <v> </v>
      </c>
      <c r="H225" s="288" t="str">
        <f aca="false">IF(A225="N/A"," ",SUM(E225:G225))</f>
        <v> </v>
      </c>
      <c r="I225" s="289" t="str">
        <f aca="false">VLOOKUP($A225,ScaledPrice,6)</f>
        <v> </v>
      </c>
      <c r="J225" s="290" t="str">
        <f aca="false">VLOOKUP($A225,ScaledPrice,10)</f>
        <v> </v>
      </c>
      <c r="K225" s="290" t="str">
        <f aca="false">VLOOKUP($A225,ScaledPrice,13)</f>
        <v> </v>
      </c>
      <c r="L225" s="290" t="str">
        <f aca="false">VLOOKUP($A225,ScaledPrice,7)</f>
        <v> </v>
      </c>
      <c r="M225" s="290" t="str">
        <f aca="false">VLOOKUP($A225,ScaledPrice,11)</f>
        <v> </v>
      </c>
      <c r="N225" s="290" t="str">
        <f aca="false">VLOOKUP($A225,ScaledPrice,13)</f>
        <v> </v>
      </c>
      <c r="O225" s="290" t="str">
        <f aca="false">VLOOKUP($A225,ScaledPrice,8)</f>
        <v> </v>
      </c>
      <c r="P225" s="290" t="str">
        <f aca="false">VLOOKUP($A225,ScaledPrice,12)</f>
        <v> </v>
      </c>
      <c r="Q225" s="291" t="str">
        <f aca="false">VLOOKUP($A225,ScaledPrice,13)</f>
        <v> </v>
      </c>
      <c r="R225" s="292" t="str">
        <f aca="false">IF($A225="N/A"," ",IF(Dayrun&gt;=3,IF(Option=1,MAX($I225-$H225,0),IF(Option=2,MAX($H225-$I225,0),0)),0))</f>
        <v> </v>
      </c>
      <c r="S225" s="286" t="str">
        <f aca="false">IF($A225="N/A"," ",IF(Dayrun&gt;=6,IF(Option=1,MAX($J225-H225,0),IF(Option=2,MAX(H225-$J225,0),0)),0))</f>
        <v> </v>
      </c>
      <c r="T225" s="286" t="str">
        <f aca="false">IF($A225="N/A"," ",IF(OR(Dayrun&lt;=2,Dayrun&gt;=9),IF(Option=1,MAX($K225-$H225,0),IF(Option=2,MAX($H225-$K225,0),0)),0))</f>
        <v> </v>
      </c>
      <c r="U225" s="286" t="str">
        <f aca="false">IF($A225="N/A"," ",IF(OR(Dayrun=1,Dayrun=4,Dayrun=5,Dayrun=7,Dayrun=8,Dayrun=10,Dayrun=11),IF(Option=1,MAX($L225-H225,0),IF(Option=2,MAX(H225-$L225,0),0)),0))</f>
        <v> </v>
      </c>
      <c r="V225" s="286" t="str">
        <f aca="false">IF($A225="N/A"," ",IF(OR(Dayrun=1,Dayrun=7,Dayrun=8,Dayrun=10,Dayrun=11),IF(Option=1,MAX($M225-H225,0),IF(Option=2,MAX(H225-$M225,0),0)),0))</f>
        <v> </v>
      </c>
      <c r="W225" s="286" t="str">
        <f aca="false">IF($A225="N/A"," ",IF(OR(Dayrun&lt;=2,Dayrun&gt;=10),IF(Option=1,MAX($N225-$H225,0),IF(Option=2,MAX($H225-$N225,0),0)),0))</f>
        <v> </v>
      </c>
      <c r="X225" s="286" t="str">
        <f aca="false">IF($A225="N/A"," ",IF(OR(Dayrun=1,Dayrun=5,Dayrun=8,Dayrun=11),IF(Option=1,MAX($O225-H225,0),IF(Option=2,MAX(H225-$O225,0),0)),0))</f>
        <v> </v>
      </c>
      <c r="Y225" s="286" t="str">
        <f aca="false">IF($A225="N/A"," ",IF(OR(Dayrun=1,Dayrun=8,Dayrun=11),IF(Option=1,MAX($P225-H225,0),IF(Option=2,MAX(H225-$P225,0),0)),0))</f>
        <v> </v>
      </c>
      <c r="Z225" s="293" t="str">
        <f aca="false">IF($A225="N/A"," ",IF(OR(Dayrun&lt;=2,Dayrun&gt;=11),IF(Option=1,MAX($Q225-$H225,0),IF(Option=2,MAX($H225-$Q225,0),0)),0))</f>
        <v> </v>
      </c>
      <c r="AA225" s="289" t="str">
        <f aca="false">IF($A225="N/A"," ",IF(Dayrun&gt;=3,(MAX(0,(xSPRDOPT(I225,($E225-'Pricing Inputs'!$X260*$D225),$CV225,0,($CN225+IF(Smile=TRUE(),VLOOKUP(MAX(-5,$H225-I225),Volsmile,2),0)),$CT225,$CU225,($A225-DateToday)+15,ABS(Option-2),0)-R225))),0))</f>
        <v> </v>
      </c>
      <c r="AB225" s="290" t="str">
        <f aca="false">IF($A225="N/A"," ",IF(Dayrun&gt;=6,MAX(0,(xSPRDOPT(J225,($E225-'Pricing Inputs'!$X260*$D225),$CV225,0,($CN225+IF(Smile=TRUE(),VLOOKUP(MAX(-5,$H225-J225),Volsmile,2),0)),$CT225,$CU225,($A225-DateToday)+15,ABS(Option-2),0)-S225)),0))</f>
        <v> </v>
      </c>
      <c r="AC225" s="290" t="str">
        <f aca="false">IF($A225="N/A"," ",IF(OR(Dayrun&lt;=2,Dayrun&gt;=9),IF(OffPeakEx=TRUE(),MAX(0,(xSPRDOPT(K225,($E225-'Pricing Inputs'!$X260*$D225),$CV225,0,($CQ225+IF(Smile=TRUE(),VLOOKUP(MAX(-5,$H225-K225),Volsmile,2),0)),$CT225,$CU225,($A225-DateToday)+15,ABS(Option-2),0)-T225)),0),0))</f>
        <v> </v>
      </c>
      <c r="AD225" s="290" t="str">
        <f aca="false">IF($A225="N/A"," ",IF(OR(Dayrun=1,Dayrun=4,Dayrun=5,Dayrun=7,Dayrun=8,Dayrun=10,Dayrun=11),MAX(0,(xSPRDOPT(L225,($E225-'Pricing Inputs'!$X260*$D225),$CV225,0,($CQ225+IF(Smile=TRUE(),VLOOKUP(MAX(-5,$H225-L225),Volsmile,2),0)),$CT225,$CU225,($A225-DateToday)+15,ABS(Option-2),0)-U225)),0))</f>
        <v> </v>
      </c>
      <c r="AE225" s="290" t="str">
        <f aca="false">IF($A225="N/A"," ",IF(OR(Dayrun=1,Dayrun=7,Dayrun=8,Dayrun=10,Dayrun=11),MAX(0,(xSPRDOPT(M225,($E225-'Pricing Inputs'!$X260*$D225),$CV225,0,($CQ225+IF(Smile=TRUE(),VLOOKUP(MAX(-5,$H225-M225),Volsmile,2),0)),$CT225,$CU225,($A225-DateToday)+15,ABS(Option-2),0)-V225)),0))</f>
        <v> </v>
      </c>
      <c r="AF225" s="290" t="str">
        <f aca="false">IF($A225="N/A"," ",IF(OR(Dayrun&lt;=2,Dayrun&gt;=10),IF(OffPeakEx=TRUE(),MAX(0,(xSPRDOPT(N225,($E225-'Pricing Inputs'!$X260*$D225),$CV225,0,($CQ225+IF(Smile=TRUE(),VLOOKUP(MAX(-5,$H225-N225),Volsmile,2),0)),$CT225,$CU225,($A225-DateToday)+15,ABS(Option-2),0)-W225)),0),0))</f>
        <v> </v>
      </c>
      <c r="AG225" s="290" t="str">
        <f aca="false">IF($A225="N/A"," ",IF(OR(Dayrun=1,Dayrun=5,Dayrun=8,Dayrun=11),MAX(0,(xSPRDOPT(O225,($E225-'Pricing Inputs'!$X260*$D225),$CV225,0,($CQ225+IF(Smile=TRUE(),VLOOKUP(MAX(-5,$H225-O225),Volsmile,2),0)),$CT225,$CU225,($A225-DateToday)+15,ABS(Option-2),0)-X225)),0))</f>
        <v> </v>
      </c>
      <c r="AH225" s="290" t="str">
        <f aca="false">IF($A225="N/A"," ",IF(OR(Dayrun=1,Dayrun=8,Dayrun=11),MAX(0,(xSPRDOPT(P225,($E225-'Pricing Inputs'!$X260*$D225),$CV225,0,($CQ225+IF(Smile=TRUE(),VLOOKUP(MAX(-5,$H225-P225),Volsmile,2),0)),$CT225,$CU225,($A225-DateToday)+15,ABS(Option-2),0)-Y225)),0))</f>
        <v> </v>
      </c>
      <c r="AI225" s="290" t="str">
        <f aca="false">IF($A225="N/A"," ",IF(OR(Dayrun&lt;=2,Dayrun&gt;=11),IF(OffPeakEx=TRUE(),MAX(0,(xSPRDOPT(Q225,($E225-'Pricing Inputs'!$X260*$D225),$CV225,0,($CQ225+IF(Smile=TRUE(),VLOOKUP(MAX(-5,$H225-Q225),Volsmile,2),0)),$CT225,$CU225,($A225-DateToday)+15,ABS(Option-2),0)-Z225)),0),0))</f>
        <v> </v>
      </c>
      <c r="AJ225" s="294" t="str">
        <f aca="false">IF($A225="N/A"," ",IF(Dayrun&gt;=3,IF(Option=1,$I225-$H225,IF(Option=2,$H225-$I225)),0))</f>
        <v> </v>
      </c>
      <c r="AK225" s="295" t="str">
        <f aca="false">IF($A225="N/A"," ",IF(Dayrun&gt;=6,IF(Option=1,$J225-H225,IF(Option=2,H225-$J225)),0))</f>
        <v> </v>
      </c>
      <c r="AL225" s="295" t="str">
        <f aca="false">IF($A225="N/A"," ",IF(OR(Dayrun&lt;=2,Dayrun&gt;=9),IF(Option=1,$K225-$H225,IF(Option=2,$H225-$K225)),0))</f>
        <v> </v>
      </c>
      <c r="AM225" s="295" t="str">
        <f aca="false">IF($A225="N/A"," ",IF(OR(Dayrun=1,Dayrun=4,Dayrun=5,Dayrun=7,Dayrun=8,Dayrun=10,Dayrun=11),IF(Option=1,$L225-H225,IF(Option=2,H225-$L225)),0))</f>
        <v> </v>
      </c>
      <c r="AN225" s="295" t="str">
        <f aca="false">IF($A225="N/A"," ",IF(OR(Dayrun=1,Dayrun=7,Dayrun=8,Dayrun=10,Dayrun=11),IF(Option=1,$M225-H225,IF(Option=2,H225-$M225)),0))</f>
        <v> </v>
      </c>
      <c r="AO225" s="295" t="str">
        <f aca="false">IF($A225="N/A"," ",IF(OR(Dayrun&lt;=2,Dayrun&gt;=9),IF(Option=1,$N225-$H225,IF(Option=2,$H225-$N225)),0))</f>
        <v> </v>
      </c>
      <c r="AP225" s="295" t="str">
        <f aca="false">IF($A225="N/A"," ",IF(OR(Dayrun=1,Dayrun=5,Dayrun=8,Dayrun=11),IF(Option=1,$O225-H225,IF(Option=2,H225-$O225)),0))</f>
        <v> </v>
      </c>
      <c r="AQ225" s="295" t="str">
        <f aca="false">IF($A225="N/A"," ",IF(OR(Dayrun=1,Dayrun=8,Dayrun=11),IF(Option=1,$P225-H225,IF(Option=2,H225-$P225)),0))</f>
        <v> </v>
      </c>
      <c r="AR225" s="296" t="str">
        <f aca="false">IF($A225="N/A"," ",IF(OR(Dayrun&lt;=2,Dayrun&gt;=9),IF(Option=1,$Q225-H225,IF(Option=2,H225-$Q225)),0))</f>
        <v> </v>
      </c>
      <c r="AS225" s="297" t="str">
        <f aca="false">IF($A225="N/A"," ",IF(VLOOKUP(MONTH($A225),ManualTable,2)=1,IF(Dayrun&gt;=3,$DE225*8*$CY225,0),0))</f>
        <v> </v>
      </c>
      <c r="AT225" s="297" t="str">
        <f aca="false">IF($A225="N/A"," ",IF(VLOOKUP(MONTH($A225),ManualTable,3)=1,IF(Dayrun&gt;=6,$DE225*8*$CY225,0),0))</f>
        <v> </v>
      </c>
      <c r="AU225" s="297" t="str">
        <f aca="false">IF($A225="N/A"," ",IF(VLOOKUP(MONTH($A225),ManualTable,4)=1,IF(OR(Dayrun&lt;=2,Dayrun&gt;=9),$DE225*8*$CY225,0),0))</f>
        <v> </v>
      </c>
      <c r="AV225" s="297" t="str">
        <f aca="false">IF($A225="N/A"," ",IF(VLOOKUP(MONTH($A225),ManualTable,5)=1,IF(OR(Dayrun=1,Dayrun=4,Dayrun=5,Dayrun=7,Dayrun=8,Dayrun=10,Dayrun=11),$DF225*8*$CY225,0),0))</f>
        <v> </v>
      </c>
      <c r="AW225" s="297" t="str">
        <f aca="false">IF($A225="N/A"," ",IF(VLOOKUP(MONTH($A225),ManualTable,6)=1,IF(OR(Dayrun=1,Dayrun=7,Dayrun=8,Dayrun=10,Dayrun=11),$DF225*8*$CY225,0),0))</f>
        <v> </v>
      </c>
      <c r="AX225" s="297" t="str">
        <f aca="false">IF($A225="N/A"," ",IF(VLOOKUP(MONTH($A225),ManualTable,7)=1,IF(OR(Dayrun&lt;=2,Dayrun&gt;=9),$DF225*8*$CY225,0),0))</f>
        <v> </v>
      </c>
      <c r="AY225" s="297" t="str">
        <f aca="false">IF($A225="N/A"," ",IF(VLOOKUP(MONTH($A225),ManualTable,8)=1,IF(OR(Dayrun=1,Dayrun=5,Dayrun=8,Dayrun=11),$DG225*8*$CY225,0),0))</f>
        <v> </v>
      </c>
      <c r="AZ225" s="297" t="str">
        <f aca="false">IF($A225="N/A"," ",IF(VLOOKUP(MONTH($A225),ManualTable,9)=1,IF(OR(Dayrun=1,Dayrun=8,Dayrun=11),$DG225*8*$CY225,0),0))</f>
        <v> </v>
      </c>
      <c r="BA225" s="298" t="str">
        <f aca="false">IF($A225="N/A"," ",IF(VLOOKUP(MONTH($A225),ManualTable,10)=1,IF(OR(Dayrun&lt;=2,Dayrun&gt;=9),$DG225*8*$CY225,0),0))</f>
        <v> </v>
      </c>
      <c r="BB225" s="299" t="str">
        <f aca="false">IF($A225="N/A"," ",IF(Dayrun&gt;=3,(MAX(0,(xSPRDOPT(I225,($E225-'Pricing Inputs'!$X260*$D225),$CV225,0,($CN225+IF(Smile=TRUE(),VLOOKUP(MAX(-5,$H225-I225),Volsmile,2),0)),$CT225,$CU225,($A225-DateToday)+15,ABS(Option-2),1)*DE225*8))),0))</f>
        <v> </v>
      </c>
      <c r="BC225" s="300" t="str">
        <f aca="false">IF($A225="N/A"," ",IF(Dayrun&gt;=6,MAX(0,(xSPRDOPT(J225,($E225-'Pricing Inputs'!$X260*$D225),$CV225,0,($CN225+IF(Smile=TRUE(),VLOOKUP(MAX(-5,$H225-J225),Volsmile,2),0)),$CT225,$CU225,($A225-DateToday)+15,ABS(Option-2),1)*DE225*8)),0))</f>
        <v> </v>
      </c>
      <c r="BD225" s="300" t="str">
        <f aca="false">IF($A225="N/A"," ",IF(OR(Dayrun&lt;=2,Dayrun&gt;=9),IF(OffPeakEx=TRUE(),MAX(0,(xSPRDOPT(K225,($E225-'Pricing Inputs'!$X260*$D225),$CV225,0,($CQ225+IF(Smile=TRUE(),VLOOKUP(MAX(-5,$H225-K225),Volsmile,2),0)),$CT225,$CU225,($A225-DateToday)+15,ABS(Option-2),1)*DE225*8)),0),0))</f>
        <v> </v>
      </c>
      <c r="BE225" s="300" t="str">
        <f aca="false">IF($A225="N/A"," ",IF(OR(Dayrun=1,Dayrun=4,Dayrun=5,Dayrun=7,Dayrun=8,Dayrun=10,Dayrun=11),MAX(0,(xSPRDOPT(L225,($E225-'Pricing Inputs'!$X260*$D225),$CV225,0,($CQ225+IF(Smile=TRUE(),VLOOKUP(MAX(-5,$H225-L225),Volsmile,2),0)),$CT225,$CU225,($A225-DateToday)+15,ABS(Option-2),1)*DF225*8)),0))</f>
        <v> </v>
      </c>
      <c r="BF225" s="300" t="str">
        <f aca="false">IF($A225="N/A"," ",IF(OR(Dayrun=1,Dayrun=7,Dayrun=8,Dayrun=10,Dayrun=11),MAX(0,(xSPRDOPT(M225,($E225-'Pricing Inputs'!$X260*$D225),$CV225,0,($CQ225+IF(Smile=TRUE(),VLOOKUP(MAX(-5,$H225-M225),Volsmile,2),0)),$CT225,$CU225,($A225-DateToday)+15,ABS(Option-2),1)*DF225*8)),0))</f>
        <v> </v>
      </c>
      <c r="BG225" s="300" t="str">
        <f aca="false">IF($A225="N/A"," ",IF(OR(Dayrun&lt;=2,Dayrun&gt;=10),IF(OffPeakEx=TRUE(),MAX(0,(xSPRDOPT(N225,($E225-'Pricing Inputs'!$X260*$D225),$CV225,0,($CQ225+IF(Smile=TRUE(),VLOOKUP(MAX(-5,$H225-N225),Volsmile,2),0)),$CT225,$CU225,($A225-DateToday)+15,ABS(Option-2),1)*DF225*8)),0),0))</f>
        <v> </v>
      </c>
      <c r="BH225" s="300" t="str">
        <f aca="false">IF($A225="N/A"," ",IF(OR(Dayrun=1,Dayrun=5,Dayrun=8,Dayrun=11),MAX(0,(xSPRDOPT(O225,($E225-'Pricing Inputs'!$X260*$D225),$CV225,0,($CQ225+IF(Smile=TRUE(),VLOOKUP(MAX(-5,$H225-O225),Volsmile,2),0)),$CT225,$CU225,($A225-DateToday)+15,ABS(Option-2),1)*DG225*8)),0))</f>
        <v> </v>
      </c>
      <c r="BI225" s="300" t="str">
        <f aca="false">IF($A225="N/A"," ",IF(OR(Dayrun=1,Dayrun=8,Dayrun=11),MAX(0,(xSPRDOPT(P225,($E225-'Pricing Inputs'!$X260*$D225),$CV225,0,($CQ225+IF(Smile=TRUE(),VLOOKUP(MAX(-5,$H225-P225),Volsmile,2),0)),$CT225,$CU225,($A225-DateToday)+15,ABS(Option-2),1)*DG225*8)),0))</f>
        <v> </v>
      </c>
      <c r="BJ225" s="301" t="str">
        <f aca="false">IF($A225="N/A"," ",IF(OR(Dayrun&lt;=2,Dayrun&gt;=11),IF(OffPeakEx=TRUE(),MAX(0,(xSPRDOPT(Q225,($E225-'Pricing Inputs'!$X260*$D225),$CV225,0,($CQ225+IF(Smile=TRUE(),VLOOKUP(MAX(-5,$H225-Q225),Volsmile,2),0)),$CT225,$CU225,($A225-DateToday)+15,ABS(Option-2),1)*DG225*8)),0),0))</f>
        <v> </v>
      </c>
      <c r="BK225" s="302" t="str">
        <f aca="false">IF($A225="N/A"," ",R225*$AS225)</f>
        <v> </v>
      </c>
      <c r="BL225" s="303" t="str">
        <f aca="false">IF($A225="N/A"," ",S225*$AT225)</f>
        <v> </v>
      </c>
      <c r="BM225" s="303" t="str">
        <f aca="false">IF($A225="N/A"," ",T225*$AU225)</f>
        <v> </v>
      </c>
      <c r="BN225" s="303" t="str">
        <f aca="false">IF($A225="N/A"," ",U225*$AV225)</f>
        <v> </v>
      </c>
      <c r="BO225" s="303" t="str">
        <f aca="false">IF($A225="N/A"," ",V225*$AW225)</f>
        <v> </v>
      </c>
      <c r="BP225" s="303" t="str">
        <f aca="false">IF($A225="N/A"," ",W225*$AX225)</f>
        <v> </v>
      </c>
      <c r="BQ225" s="303" t="str">
        <f aca="false">IF($A225="N/A"," ",X225*$AY225)</f>
        <v> </v>
      </c>
      <c r="BR225" s="303" t="str">
        <f aca="false">IF($A225="N/A"," ",Y225*$AZ225)</f>
        <v> </v>
      </c>
      <c r="BS225" s="304" t="str">
        <f aca="false">IF($A225="N/A"," ",Z225*$BA225)</f>
        <v> </v>
      </c>
      <c r="BT225" s="305" t="str">
        <f aca="false">IF($A225="N/A"," ",AA225*$AS225)</f>
        <v> </v>
      </c>
      <c r="BU225" s="306" t="str">
        <f aca="false">IF($A225="N/A"," ",AB225*$AT225)</f>
        <v> </v>
      </c>
      <c r="BV225" s="306" t="str">
        <f aca="false">IF($A225="N/A"," ",AC225*$AU225)</f>
        <v> </v>
      </c>
      <c r="BW225" s="306" t="str">
        <f aca="false">IF($A225="N/A"," ",AD225*$AV225)</f>
        <v> </v>
      </c>
      <c r="BX225" s="306" t="str">
        <f aca="false">IF($A225="N/A"," ",AE225*$AW225)</f>
        <v> </v>
      </c>
      <c r="BY225" s="306" t="str">
        <f aca="false">IF($A225="N/A"," ",AF225*$AX225)</f>
        <v> </v>
      </c>
      <c r="BZ225" s="306" t="str">
        <f aca="false">IF($A225="N/A"," ",AG225*$AY225)</f>
        <v> </v>
      </c>
      <c r="CA225" s="306" t="str">
        <f aca="false">IF($A225="N/A"," ",AH225*$AZ225)</f>
        <v> </v>
      </c>
      <c r="CB225" s="307" t="str">
        <f aca="false">IF($A225="N/A"," ",AI225*$BA225)</f>
        <v> </v>
      </c>
      <c r="CC225" s="308" t="str">
        <f aca="false">IF($A225="N/A"," ",AJ225*$AS225)</f>
        <v> </v>
      </c>
      <c r="CD225" s="309" t="str">
        <f aca="false">IF($A225="N/A"," ",AK225*$AT225)</f>
        <v> </v>
      </c>
      <c r="CE225" s="309" t="str">
        <f aca="false">IF($A225="N/A"," ",AL225*$AU225)</f>
        <v> </v>
      </c>
      <c r="CF225" s="309" t="str">
        <f aca="false">IF($A225="N/A"," ",AM225*$AV225)</f>
        <v> </v>
      </c>
      <c r="CG225" s="309" t="str">
        <f aca="false">IF($A225="N/A"," ",AN225*$AW225)</f>
        <v> </v>
      </c>
      <c r="CH225" s="309" t="str">
        <f aca="false">IF($A225="N/A"," ",AO225*$AX225)</f>
        <v> </v>
      </c>
      <c r="CI225" s="309" t="str">
        <f aca="false">IF($A225="N/A"," ",AP225*$AY225)</f>
        <v> </v>
      </c>
      <c r="CJ225" s="309" t="str">
        <f aca="false">IF($A225="N/A"," ",AQ225*$AZ225)</f>
        <v> </v>
      </c>
      <c r="CK225" s="310" t="str">
        <f aca="false">IF($A225="N/A"," ",AR225*$BA225)</f>
        <v> </v>
      </c>
      <c r="CL225" s="311" t="str">
        <f aca="false">IF(A225="N/A"," ",(VLOOKUP(A225,PowerVolTable,(IF(VolBMO=2,7,IF(VolBMO=1,6,8))),FALSE())))</f>
        <v> </v>
      </c>
      <c r="CM225" s="312" t="str">
        <f aca="false">IF(A225="N/A"," ",(VLOOKUP(A225,IntraPowerVol,(IF(VolBMO=2,3,IF(VolBMO=1,2,4))),FALSE())*VLOOKUP(MONTH($A225),Volscale,2)))</f>
        <v> </v>
      </c>
      <c r="CN225" s="312" t="str">
        <f aca="false">IF($A225="N/A"," ",IF(VolType=1,CM225,CL225))</f>
        <v> </v>
      </c>
      <c r="CO225" s="312" t="str">
        <f aca="false">IF($A225="N/A"," ",(VLOOKUP($A225,OffPeakVol,(IF(VolBMO=2,7,IF(VolBMO=1,6,8))),FALSE())))</f>
        <v> </v>
      </c>
      <c r="CP225" s="312" t="str">
        <f aca="false">IF($A225="N/A"," ",(VLOOKUP($A225,OffPeakVol,(IF(VolBMO=2,3,IF(VolBMO=1,2,4))),FALSE())*VLOOKUP(MONTH($A225),Volscale,2)))</f>
        <v> </v>
      </c>
      <c r="CQ225" s="312" t="str">
        <f aca="false">IF($A225="N/A"," ",IF(VolType=1,CP225,CO225))</f>
        <v> </v>
      </c>
      <c r="CR225" s="312" t="str">
        <f aca="false">IF($A225="N/A"," ",(VLOOKUP($A225,GasVolTable,(IF(VolBMO=2,6,IF(VolBMO=1,7,5))),FALSE())))</f>
        <v> </v>
      </c>
      <c r="CS225" s="312" t="str">
        <f aca="false">IF($A225="N/A"," ",(VLOOKUP($A225,OmicronVol,(IF(VolBMO=2,3,IF(VolBMO=1,4,2))),FALSE())))</f>
        <v> </v>
      </c>
      <c r="CT225" s="312" t="str">
        <f aca="false">IF($A225="N/A"," ",(IF(DateToday&gt;$A225,$CS225,IF(VolType=1,((($CR225^2)*((($A225-1)-DateToday)/((EOMONTH($A225,0)+1)-DateToday-15)))+((($CS225)^2)*((15)/((EOMONTH($A225,0)+1)-DateToday-15))))^0.5,CR225))))</f>
        <v> </v>
      </c>
      <c r="CU225" s="312" t="str">
        <f aca="false">IF($A225="N/A"," ",IF('Pricing Inputs'!$AR$23=TRUE(),Inputs!$S$22,VLOOKUP($A225,CorrelationTable,2,FALSE())))</f>
        <v> </v>
      </c>
      <c r="CV225" s="313" t="str">
        <f aca="false">IF($A225="N/A"," ",F225+G225+(D225*('Pricing Inputs'!X260)))</f>
        <v> </v>
      </c>
      <c r="CW225" s="314" t="str">
        <f aca="false">IF($A225="N/A"," ",IF(PV=1,0,'Pricing Inputs'!Y260))</f>
        <v> </v>
      </c>
      <c r="CX225" s="315" t="str">
        <f aca="false">IF($A225="N/A"," ",(1+CW225/2)^(-2*((EOMONTH(A225,0)+20)-DateToday)/365.25))</f>
        <v> </v>
      </c>
      <c r="CY225" s="316" t="str">
        <f aca="false">IF($A225="N/A"," ",(IF(MONTH(A225)&gt;=4,IF(MONTH(A225)&lt;=10,Inputs!$S$26,Inputs!$S$27),Inputs!$S$27))*$CX225)</f>
        <v> </v>
      </c>
      <c r="CZ225" s="317" t="str">
        <f aca="false">IF($A225="N/A"," ",BK225+BL225+BN225+BO225+BQ225+BR225)</f>
        <v> </v>
      </c>
      <c r="DA225" s="318" t="str">
        <f aca="false">IF($A225="N/A"," ",BM225+BP225+BS225)</f>
        <v> </v>
      </c>
      <c r="DB225" s="319" t="str">
        <f aca="false">IF($A225="N/A"," ",BT225+BU225+BW225+BX225+BZ225+CA225)</f>
        <v> </v>
      </c>
      <c r="DC225" s="319" t="str">
        <f aca="false">IF($A225="N/A"," ",BV225+BY225+CB225)</f>
        <v> </v>
      </c>
      <c r="DD225" s="320" t="str">
        <f aca="false">IF($A225="N/A"," ",SUM(CC225:CK225))</f>
        <v> </v>
      </c>
      <c r="DE225" s="321" t="str">
        <f aca="false">IF($A225="N/A"," ",VLOOKUP($A225,NumberofDaysTable,2)*Availability)</f>
        <v> </v>
      </c>
      <c r="DF225" s="94" t="str">
        <f aca="false">IF($A225="N/A"," ",VLOOKUP($A225,NumberofDaysTable,3)*Availability)</f>
        <v> </v>
      </c>
      <c r="DG225" s="322" t="str">
        <f aca="false">IF($A225="N/A"," ",VLOOKUP($A225,NumberofDaysTable,4)*Availability)</f>
        <v> </v>
      </c>
      <c r="DH225" s="323" t="str">
        <f aca="false">IF($A225="N/A"," ",IF(Option=1,$D225*Inputs!$S$15*SUM(AS225:BA225),0))</f>
        <v> </v>
      </c>
      <c r="DI225" s="324" t="str">
        <f aca="false">IF($A225="N/A"," ",IF(Option=1,$D225*Inputs!$S$16*SUM(AS225:BA225),0))</f>
        <v> </v>
      </c>
      <c r="DJ225" s="325" t="str">
        <f aca="false">IF($A225="N/A"," ",SUM(AS225:AT225))</f>
        <v> </v>
      </c>
      <c r="DK225" s="325" t="str">
        <f aca="false">IF($A225="N/A"," ",SUM(AU225:BA225))</f>
        <v> </v>
      </c>
      <c r="DL225" s="325" t="str">
        <f aca="false">IF($A225="N/A"," ",SUM(BB225:BC225))</f>
        <v> </v>
      </c>
      <c r="DM225" s="325" t="str">
        <f aca="false">IF($A225="N/A"," ",SUM(BD225:BJ225))</f>
        <v> </v>
      </c>
    </row>
    <row r="226" customFormat="false" ht="12.75" hidden="false" customHeight="false" outlineLevel="0" collapsed="false">
      <c r="A226" s="282" t="str">
        <f aca="false">IF(A225="N/A","N/A",IF(EDATE(A225,1)&gt;Inputs!$S$5,"N/A",EDATE(A225,1)))</f>
        <v>N/A</v>
      </c>
      <c r="B226" s="283" t="str">
        <f aca="false">IF(A226="N/A"," ",YEAR(A226))</f>
        <v> </v>
      </c>
      <c r="C226" s="284" t="str">
        <f aca="false">IF(A226="N/A"," ",VLOOKUP(A226,ScaledPrice,14))</f>
        <v> </v>
      </c>
      <c r="D226" s="285" t="str">
        <f aca="false">IF(A226="N/A"," ",(VLOOKUP(MONTH($A226),Hrtable,2))/1000)</f>
        <v> </v>
      </c>
      <c r="E226" s="286" t="str">
        <f aca="false">IF($A226="N/A"," ",(C226)*D226)</f>
        <v> </v>
      </c>
      <c r="F226" s="287" t="str">
        <f aca="false">IF(A226="N/A"," ",VOM*(1+VOMesc)^(YEAR(A226)-YEAR(Today)))</f>
        <v> </v>
      </c>
      <c r="G226" s="287" t="str">
        <f aca="false">IF(A226="N/A"," ",Perstart/VLOOKUP(Dayrun,'Pricing Inputs'!$AQ$4:$AS$14,3)/(CY226/CX226))</f>
        <v> </v>
      </c>
      <c r="H226" s="288" t="str">
        <f aca="false">IF(A226="N/A"," ",SUM(E226:G226))</f>
        <v> </v>
      </c>
      <c r="I226" s="289" t="str">
        <f aca="false">VLOOKUP($A226,ScaledPrice,6)</f>
        <v> </v>
      </c>
      <c r="J226" s="290" t="str">
        <f aca="false">VLOOKUP($A226,ScaledPrice,10)</f>
        <v> </v>
      </c>
      <c r="K226" s="290" t="str">
        <f aca="false">VLOOKUP($A226,ScaledPrice,13)</f>
        <v> </v>
      </c>
      <c r="L226" s="290" t="str">
        <f aca="false">VLOOKUP($A226,ScaledPrice,7)</f>
        <v> </v>
      </c>
      <c r="M226" s="290" t="str">
        <f aca="false">VLOOKUP($A226,ScaledPrice,11)</f>
        <v> </v>
      </c>
      <c r="N226" s="290" t="str">
        <f aca="false">VLOOKUP($A226,ScaledPrice,13)</f>
        <v> </v>
      </c>
      <c r="O226" s="290" t="str">
        <f aca="false">VLOOKUP($A226,ScaledPrice,8)</f>
        <v> </v>
      </c>
      <c r="P226" s="290" t="str">
        <f aca="false">VLOOKUP($A226,ScaledPrice,12)</f>
        <v> </v>
      </c>
      <c r="Q226" s="291" t="str">
        <f aca="false">VLOOKUP($A226,ScaledPrice,13)</f>
        <v> </v>
      </c>
      <c r="R226" s="292" t="str">
        <f aca="false">IF($A226="N/A"," ",IF(Dayrun&gt;=3,IF(Option=1,MAX($I226-$H226,0),IF(Option=2,MAX($H226-$I226,0),0)),0))</f>
        <v> </v>
      </c>
      <c r="S226" s="286" t="str">
        <f aca="false">IF($A226="N/A"," ",IF(Dayrun&gt;=6,IF(Option=1,MAX($J226-H226,0),IF(Option=2,MAX(H226-$J226,0),0)),0))</f>
        <v> </v>
      </c>
      <c r="T226" s="286" t="str">
        <f aca="false">IF($A226="N/A"," ",IF(OR(Dayrun&lt;=2,Dayrun&gt;=9),IF(Option=1,MAX($K226-$H226,0),IF(Option=2,MAX($H226-$K226,0),0)),0))</f>
        <v> </v>
      </c>
      <c r="U226" s="286" t="str">
        <f aca="false">IF($A226="N/A"," ",IF(OR(Dayrun=1,Dayrun=4,Dayrun=5,Dayrun=7,Dayrun=8,Dayrun=10,Dayrun=11),IF(Option=1,MAX($L226-H226,0),IF(Option=2,MAX(H226-$L226,0),0)),0))</f>
        <v> </v>
      </c>
      <c r="V226" s="286" t="str">
        <f aca="false">IF($A226="N/A"," ",IF(OR(Dayrun=1,Dayrun=7,Dayrun=8,Dayrun=10,Dayrun=11),IF(Option=1,MAX($M226-H226,0),IF(Option=2,MAX(H226-$M226,0),0)),0))</f>
        <v> </v>
      </c>
      <c r="W226" s="286" t="str">
        <f aca="false">IF($A226="N/A"," ",IF(OR(Dayrun&lt;=2,Dayrun&gt;=10),IF(Option=1,MAX($N226-$H226,0),IF(Option=2,MAX($H226-$N226,0),0)),0))</f>
        <v> </v>
      </c>
      <c r="X226" s="286" t="str">
        <f aca="false">IF($A226="N/A"," ",IF(OR(Dayrun=1,Dayrun=5,Dayrun=8,Dayrun=11),IF(Option=1,MAX($O226-H226,0),IF(Option=2,MAX(H226-$O226,0),0)),0))</f>
        <v> </v>
      </c>
      <c r="Y226" s="286" t="str">
        <f aca="false">IF($A226="N/A"," ",IF(OR(Dayrun=1,Dayrun=8,Dayrun=11),IF(Option=1,MAX($P226-H226,0),IF(Option=2,MAX(H226-$P226,0),0)),0))</f>
        <v> </v>
      </c>
      <c r="Z226" s="293" t="str">
        <f aca="false">IF($A226="N/A"," ",IF(OR(Dayrun&lt;=2,Dayrun&gt;=11),IF(Option=1,MAX($Q226-$H226,0),IF(Option=2,MAX($H226-$Q226,0),0)),0))</f>
        <v> </v>
      </c>
      <c r="AA226" s="289" t="str">
        <f aca="false">IF($A226="N/A"," ",IF(Dayrun&gt;=3,(MAX(0,(xSPRDOPT(I226,($E226-'Pricing Inputs'!$X261*$D226),$CV226,0,($CN226+IF(Smile=TRUE(),VLOOKUP(MAX(-5,$H226-I226),Volsmile,2),0)),$CT226,$CU226,($A226-DateToday)+15,ABS(Option-2),0)-R226))),0))</f>
        <v> </v>
      </c>
      <c r="AB226" s="290" t="str">
        <f aca="false">IF($A226="N/A"," ",IF(Dayrun&gt;=6,MAX(0,(xSPRDOPT(J226,($E226-'Pricing Inputs'!$X261*$D226),$CV226,0,($CN226+IF(Smile=TRUE(),VLOOKUP(MAX(-5,$H226-J226),Volsmile,2),0)),$CT226,$CU226,($A226-DateToday)+15,ABS(Option-2),0)-S226)),0))</f>
        <v> </v>
      </c>
      <c r="AC226" s="290" t="str">
        <f aca="false">IF($A226="N/A"," ",IF(OR(Dayrun&lt;=2,Dayrun&gt;=9),IF(OffPeakEx=TRUE(),MAX(0,(xSPRDOPT(K226,($E226-'Pricing Inputs'!$X261*$D226),$CV226,0,($CQ226+IF(Smile=TRUE(),VLOOKUP(MAX(-5,$H226-K226),Volsmile,2),0)),$CT226,$CU226,($A226-DateToday)+15,ABS(Option-2),0)-T226)),0),0))</f>
        <v> </v>
      </c>
      <c r="AD226" s="290" t="str">
        <f aca="false">IF($A226="N/A"," ",IF(OR(Dayrun=1,Dayrun=4,Dayrun=5,Dayrun=7,Dayrun=8,Dayrun=10,Dayrun=11),MAX(0,(xSPRDOPT(L226,($E226-'Pricing Inputs'!$X261*$D226),$CV226,0,($CQ226+IF(Smile=TRUE(),VLOOKUP(MAX(-5,$H226-L226),Volsmile,2),0)),$CT226,$CU226,($A226-DateToday)+15,ABS(Option-2),0)-U226)),0))</f>
        <v> </v>
      </c>
      <c r="AE226" s="290" t="str">
        <f aca="false">IF($A226="N/A"," ",IF(OR(Dayrun=1,Dayrun=7,Dayrun=8,Dayrun=10,Dayrun=11),MAX(0,(xSPRDOPT(M226,($E226-'Pricing Inputs'!$X261*$D226),$CV226,0,($CQ226+IF(Smile=TRUE(),VLOOKUP(MAX(-5,$H226-M226),Volsmile,2),0)),$CT226,$CU226,($A226-DateToday)+15,ABS(Option-2),0)-V226)),0))</f>
        <v> </v>
      </c>
      <c r="AF226" s="290" t="str">
        <f aca="false">IF($A226="N/A"," ",IF(OR(Dayrun&lt;=2,Dayrun&gt;=10),IF(OffPeakEx=TRUE(),MAX(0,(xSPRDOPT(N226,($E226-'Pricing Inputs'!$X261*$D226),$CV226,0,($CQ226+IF(Smile=TRUE(),VLOOKUP(MAX(-5,$H226-N226),Volsmile,2),0)),$CT226,$CU226,($A226-DateToday)+15,ABS(Option-2),0)-W226)),0),0))</f>
        <v> </v>
      </c>
      <c r="AG226" s="290" t="str">
        <f aca="false">IF($A226="N/A"," ",IF(OR(Dayrun=1,Dayrun=5,Dayrun=8,Dayrun=11),MAX(0,(xSPRDOPT(O226,($E226-'Pricing Inputs'!$X261*$D226),$CV226,0,($CQ226+IF(Smile=TRUE(),VLOOKUP(MAX(-5,$H226-O226),Volsmile,2),0)),$CT226,$CU226,($A226-DateToday)+15,ABS(Option-2),0)-X226)),0))</f>
        <v> </v>
      </c>
      <c r="AH226" s="290" t="str">
        <f aca="false">IF($A226="N/A"," ",IF(OR(Dayrun=1,Dayrun=8,Dayrun=11),MAX(0,(xSPRDOPT(P226,($E226-'Pricing Inputs'!$X261*$D226),$CV226,0,($CQ226+IF(Smile=TRUE(),VLOOKUP(MAX(-5,$H226-P226),Volsmile,2),0)),$CT226,$CU226,($A226-DateToday)+15,ABS(Option-2),0)-Y226)),0))</f>
        <v> </v>
      </c>
      <c r="AI226" s="290" t="str">
        <f aca="false">IF($A226="N/A"," ",IF(OR(Dayrun&lt;=2,Dayrun&gt;=11),IF(OffPeakEx=TRUE(),MAX(0,(xSPRDOPT(Q226,($E226-'Pricing Inputs'!$X261*$D226),$CV226,0,($CQ226+IF(Smile=TRUE(),VLOOKUP(MAX(-5,$H226-Q226),Volsmile,2),0)),$CT226,$CU226,($A226-DateToday)+15,ABS(Option-2),0)-Z226)),0),0))</f>
        <v> </v>
      </c>
      <c r="AJ226" s="294" t="str">
        <f aca="false">IF($A226="N/A"," ",IF(Dayrun&gt;=3,IF(Option=1,$I226-$H226,IF(Option=2,$H226-$I226)),0))</f>
        <v> </v>
      </c>
      <c r="AK226" s="295" t="str">
        <f aca="false">IF($A226="N/A"," ",IF(Dayrun&gt;=6,IF(Option=1,$J226-H226,IF(Option=2,H226-$J226)),0))</f>
        <v> </v>
      </c>
      <c r="AL226" s="295" t="str">
        <f aca="false">IF($A226="N/A"," ",IF(OR(Dayrun&lt;=2,Dayrun&gt;=9),IF(Option=1,$K226-$H226,IF(Option=2,$H226-$K226)),0))</f>
        <v> </v>
      </c>
      <c r="AM226" s="295" t="str">
        <f aca="false">IF($A226="N/A"," ",IF(OR(Dayrun=1,Dayrun=4,Dayrun=5,Dayrun=7,Dayrun=8,Dayrun=10,Dayrun=11),IF(Option=1,$L226-H226,IF(Option=2,H226-$L226)),0))</f>
        <v> </v>
      </c>
      <c r="AN226" s="295" t="str">
        <f aca="false">IF($A226="N/A"," ",IF(OR(Dayrun=1,Dayrun=7,Dayrun=8,Dayrun=10,Dayrun=11),IF(Option=1,$M226-H226,IF(Option=2,H226-$M226)),0))</f>
        <v> </v>
      </c>
      <c r="AO226" s="295" t="str">
        <f aca="false">IF($A226="N/A"," ",IF(OR(Dayrun&lt;=2,Dayrun&gt;=9),IF(Option=1,$N226-$H226,IF(Option=2,$H226-$N226)),0))</f>
        <v> </v>
      </c>
      <c r="AP226" s="295" t="str">
        <f aca="false">IF($A226="N/A"," ",IF(OR(Dayrun=1,Dayrun=5,Dayrun=8,Dayrun=11),IF(Option=1,$O226-H226,IF(Option=2,H226-$O226)),0))</f>
        <v> </v>
      </c>
      <c r="AQ226" s="295" t="str">
        <f aca="false">IF($A226="N/A"," ",IF(OR(Dayrun=1,Dayrun=8,Dayrun=11),IF(Option=1,$P226-H226,IF(Option=2,H226-$P226)),0))</f>
        <v> </v>
      </c>
      <c r="AR226" s="296" t="str">
        <f aca="false">IF($A226="N/A"," ",IF(OR(Dayrun&lt;=2,Dayrun&gt;=9),IF(Option=1,$Q226-H226,IF(Option=2,H226-$Q226)),0))</f>
        <v> </v>
      </c>
      <c r="AS226" s="297" t="str">
        <f aca="false">IF($A226="N/A"," ",IF(VLOOKUP(MONTH($A226),ManualTable,2)=1,IF(Dayrun&gt;=3,$DE226*8*$CY226,0),0))</f>
        <v> </v>
      </c>
      <c r="AT226" s="297" t="str">
        <f aca="false">IF($A226="N/A"," ",IF(VLOOKUP(MONTH($A226),ManualTable,3)=1,IF(Dayrun&gt;=6,$DE226*8*$CY226,0),0))</f>
        <v> </v>
      </c>
      <c r="AU226" s="297" t="str">
        <f aca="false">IF($A226="N/A"," ",IF(VLOOKUP(MONTH($A226),ManualTable,4)=1,IF(OR(Dayrun&lt;=2,Dayrun&gt;=9),$DE226*8*$CY226,0),0))</f>
        <v> </v>
      </c>
      <c r="AV226" s="297" t="str">
        <f aca="false">IF($A226="N/A"," ",IF(VLOOKUP(MONTH($A226),ManualTable,5)=1,IF(OR(Dayrun=1,Dayrun=4,Dayrun=5,Dayrun=7,Dayrun=8,Dayrun=10,Dayrun=11),$DF226*8*$CY226,0),0))</f>
        <v> </v>
      </c>
      <c r="AW226" s="297" t="str">
        <f aca="false">IF($A226="N/A"," ",IF(VLOOKUP(MONTH($A226),ManualTable,6)=1,IF(OR(Dayrun=1,Dayrun=7,Dayrun=8,Dayrun=10,Dayrun=11),$DF226*8*$CY226,0),0))</f>
        <v> </v>
      </c>
      <c r="AX226" s="297" t="str">
        <f aca="false">IF($A226="N/A"," ",IF(VLOOKUP(MONTH($A226),ManualTable,7)=1,IF(OR(Dayrun&lt;=2,Dayrun&gt;=9),$DF226*8*$CY226,0),0))</f>
        <v> </v>
      </c>
      <c r="AY226" s="297" t="str">
        <f aca="false">IF($A226="N/A"," ",IF(VLOOKUP(MONTH($A226),ManualTable,8)=1,IF(OR(Dayrun=1,Dayrun=5,Dayrun=8,Dayrun=11),$DG226*8*$CY226,0),0))</f>
        <v> </v>
      </c>
      <c r="AZ226" s="297" t="str">
        <f aca="false">IF($A226="N/A"," ",IF(VLOOKUP(MONTH($A226),ManualTable,9)=1,IF(OR(Dayrun=1,Dayrun=8,Dayrun=11),$DG226*8*$CY226,0),0))</f>
        <v> </v>
      </c>
      <c r="BA226" s="298" t="str">
        <f aca="false">IF($A226="N/A"," ",IF(VLOOKUP(MONTH($A226),ManualTable,10)=1,IF(OR(Dayrun&lt;=2,Dayrun&gt;=9),$DG226*8*$CY226,0),0))</f>
        <v> </v>
      </c>
      <c r="BB226" s="299" t="str">
        <f aca="false">IF($A226="N/A"," ",IF(Dayrun&gt;=3,(MAX(0,(xSPRDOPT(I226,($E226-'Pricing Inputs'!$X261*$D226),$CV226,0,($CN226+IF(Smile=TRUE(),VLOOKUP(MAX(-5,$H226-I226),Volsmile,2),0)),$CT226,$CU226,($A226-DateToday)+15,ABS(Option-2),1)*DE226*8))),0))</f>
        <v> </v>
      </c>
      <c r="BC226" s="300" t="str">
        <f aca="false">IF($A226="N/A"," ",IF(Dayrun&gt;=6,MAX(0,(xSPRDOPT(J226,($E226-'Pricing Inputs'!$X261*$D226),$CV226,0,($CN226+IF(Smile=TRUE(),VLOOKUP(MAX(-5,$H226-J226),Volsmile,2),0)),$CT226,$CU226,($A226-DateToday)+15,ABS(Option-2),1)*DE226*8)),0))</f>
        <v> </v>
      </c>
      <c r="BD226" s="300" t="str">
        <f aca="false">IF($A226="N/A"," ",IF(OR(Dayrun&lt;=2,Dayrun&gt;=9),IF(OffPeakEx=TRUE(),MAX(0,(xSPRDOPT(K226,($E226-'Pricing Inputs'!$X261*$D226),$CV226,0,($CQ226+IF(Smile=TRUE(),VLOOKUP(MAX(-5,$H226-K226),Volsmile,2),0)),$CT226,$CU226,($A226-DateToday)+15,ABS(Option-2),1)*DE226*8)),0),0))</f>
        <v> </v>
      </c>
      <c r="BE226" s="300" t="str">
        <f aca="false">IF($A226="N/A"," ",IF(OR(Dayrun=1,Dayrun=4,Dayrun=5,Dayrun=7,Dayrun=8,Dayrun=10,Dayrun=11),MAX(0,(xSPRDOPT(L226,($E226-'Pricing Inputs'!$X261*$D226),$CV226,0,($CQ226+IF(Smile=TRUE(),VLOOKUP(MAX(-5,$H226-L226),Volsmile,2),0)),$CT226,$CU226,($A226-DateToday)+15,ABS(Option-2),1)*DF226*8)),0))</f>
        <v> </v>
      </c>
      <c r="BF226" s="300" t="str">
        <f aca="false">IF($A226="N/A"," ",IF(OR(Dayrun=1,Dayrun=7,Dayrun=8,Dayrun=10,Dayrun=11),MAX(0,(xSPRDOPT(M226,($E226-'Pricing Inputs'!$X261*$D226),$CV226,0,($CQ226+IF(Smile=TRUE(),VLOOKUP(MAX(-5,$H226-M226),Volsmile,2),0)),$CT226,$CU226,($A226-DateToday)+15,ABS(Option-2),1)*DF226*8)),0))</f>
        <v> </v>
      </c>
      <c r="BG226" s="300" t="str">
        <f aca="false">IF($A226="N/A"," ",IF(OR(Dayrun&lt;=2,Dayrun&gt;=10),IF(OffPeakEx=TRUE(),MAX(0,(xSPRDOPT(N226,($E226-'Pricing Inputs'!$X261*$D226),$CV226,0,($CQ226+IF(Smile=TRUE(),VLOOKUP(MAX(-5,$H226-N226),Volsmile,2),0)),$CT226,$CU226,($A226-DateToday)+15,ABS(Option-2),1)*DF226*8)),0),0))</f>
        <v> </v>
      </c>
      <c r="BH226" s="300" t="str">
        <f aca="false">IF($A226="N/A"," ",IF(OR(Dayrun=1,Dayrun=5,Dayrun=8,Dayrun=11),MAX(0,(xSPRDOPT(O226,($E226-'Pricing Inputs'!$X261*$D226),$CV226,0,($CQ226+IF(Smile=TRUE(),VLOOKUP(MAX(-5,$H226-O226),Volsmile,2),0)),$CT226,$CU226,($A226-DateToday)+15,ABS(Option-2),1)*DG226*8)),0))</f>
        <v> </v>
      </c>
      <c r="BI226" s="300" t="str">
        <f aca="false">IF($A226="N/A"," ",IF(OR(Dayrun=1,Dayrun=8,Dayrun=11),MAX(0,(xSPRDOPT(P226,($E226-'Pricing Inputs'!$X261*$D226),$CV226,0,($CQ226+IF(Smile=TRUE(),VLOOKUP(MAX(-5,$H226-P226),Volsmile,2),0)),$CT226,$CU226,($A226-DateToday)+15,ABS(Option-2),1)*DG226*8)),0))</f>
        <v> </v>
      </c>
      <c r="BJ226" s="301" t="str">
        <f aca="false">IF($A226="N/A"," ",IF(OR(Dayrun&lt;=2,Dayrun&gt;=11),IF(OffPeakEx=TRUE(),MAX(0,(xSPRDOPT(Q226,($E226-'Pricing Inputs'!$X261*$D226),$CV226,0,($CQ226+IF(Smile=TRUE(),VLOOKUP(MAX(-5,$H226-Q226),Volsmile,2),0)),$CT226,$CU226,($A226-DateToday)+15,ABS(Option-2),1)*DG226*8)),0),0))</f>
        <v> </v>
      </c>
      <c r="BK226" s="302" t="str">
        <f aca="false">IF($A226="N/A"," ",R226*$AS226)</f>
        <v> </v>
      </c>
      <c r="BL226" s="303" t="str">
        <f aca="false">IF($A226="N/A"," ",S226*$AT226)</f>
        <v> </v>
      </c>
      <c r="BM226" s="303" t="str">
        <f aca="false">IF($A226="N/A"," ",T226*$AU226)</f>
        <v> </v>
      </c>
      <c r="BN226" s="303" t="str">
        <f aca="false">IF($A226="N/A"," ",U226*$AV226)</f>
        <v> </v>
      </c>
      <c r="BO226" s="303" t="str">
        <f aca="false">IF($A226="N/A"," ",V226*$AW226)</f>
        <v> </v>
      </c>
      <c r="BP226" s="303" t="str">
        <f aca="false">IF($A226="N/A"," ",W226*$AX226)</f>
        <v> </v>
      </c>
      <c r="BQ226" s="303" t="str">
        <f aca="false">IF($A226="N/A"," ",X226*$AY226)</f>
        <v> </v>
      </c>
      <c r="BR226" s="303" t="str">
        <f aca="false">IF($A226="N/A"," ",Y226*$AZ226)</f>
        <v> </v>
      </c>
      <c r="BS226" s="304" t="str">
        <f aca="false">IF($A226="N/A"," ",Z226*$BA226)</f>
        <v> </v>
      </c>
      <c r="BT226" s="305" t="str">
        <f aca="false">IF($A226="N/A"," ",AA226*$AS226)</f>
        <v> </v>
      </c>
      <c r="BU226" s="306" t="str">
        <f aca="false">IF($A226="N/A"," ",AB226*$AT226)</f>
        <v> </v>
      </c>
      <c r="BV226" s="306" t="str">
        <f aca="false">IF($A226="N/A"," ",AC226*$AU226)</f>
        <v> </v>
      </c>
      <c r="BW226" s="306" t="str">
        <f aca="false">IF($A226="N/A"," ",AD226*$AV226)</f>
        <v> </v>
      </c>
      <c r="BX226" s="306" t="str">
        <f aca="false">IF($A226="N/A"," ",AE226*$AW226)</f>
        <v> </v>
      </c>
      <c r="BY226" s="306" t="str">
        <f aca="false">IF($A226="N/A"," ",AF226*$AX226)</f>
        <v> </v>
      </c>
      <c r="BZ226" s="306" t="str">
        <f aca="false">IF($A226="N/A"," ",AG226*$AY226)</f>
        <v> </v>
      </c>
      <c r="CA226" s="306" t="str">
        <f aca="false">IF($A226="N/A"," ",AH226*$AZ226)</f>
        <v> </v>
      </c>
      <c r="CB226" s="307" t="str">
        <f aca="false">IF($A226="N/A"," ",AI226*$BA226)</f>
        <v> </v>
      </c>
      <c r="CC226" s="308" t="str">
        <f aca="false">IF($A226="N/A"," ",AJ226*$AS226)</f>
        <v> </v>
      </c>
      <c r="CD226" s="309" t="str">
        <f aca="false">IF($A226="N/A"," ",AK226*$AT226)</f>
        <v> </v>
      </c>
      <c r="CE226" s="309" t="str">
        <f aca="false">IF($A226="N/A"," ",AL226*$AU226)</f>
        <v> </v>
      </c>
      <c r="CF226" s="309" t="str">
        <f aca="false">IF($A226="N/A"," ",AM226*$AV226)</f>
        <v> </v>
      </c>
      <c r="CG226" s="309" t="str">
        <f aca="false">IF($A226="N/A"," ",AN226*$AW226)</f>
        <v> </v>
      </c>
      <c r="CH226" s="309" t="str">
        <f aca="false">IF($A226="N/A"," ",AO226*$AX226)</f>
        <v> </v>
      </c>
      <c r="CI226" s="309" t="str">
        <f aca="false">IF($A226="N/A"," ",AP226*$AY226)</f>
        <v> </v>
      </c>
      <c r="CJ226" s="309" t="str">
        <f aca="false">IF($A226="N/A"," ",AQ226*$AZ226)</f>
        <v> </v>
      </c>
      <c r="CK226" s="310" t="str">
        <f aca="false">IF($A226="N/A"," ",AR226*$BA226)</f>
        <v> </v>
      </c>
      <c r="CL226" s="311" t="str">
        <f aca="false">IF(A226="N/A"," ",(VLOOKUP(A226,PowerVolTable,(IF(VolBMO=2,7,IF(VolBMO=1,6,8))),FALSE())))</f>
        <v> </v>
      </c>
      <c r="CM226" s="312" t="str">
        <f aca="false">IF(A226="N/A"," ",(VLOOKUP(A226,IntraPowerVol,(IF(VolBMO=2,3,IF(VolBMO=1,2,4))),FALSE())*VLOOKUP(MONTH($A226),Volscale,2)))</f>
        <v> </v>
      </c>
      <c r="CN226" s="312" t="str">
        <f aca="false">IF($A226="N/A"," ",IF(VolType=1,CM226,CL226))</f>
        <v> </v>
      </c>
      <c r="CO226" s="312" t="str">
        <f aca="false">IF($A226="N/A"," ",(VLOOKUP($A226,OffPeakVol,(IF(VolBMO=2,7,IF(VolBMO=1,6,8))),FALSE())))</f>
        <v> </v>
      </c>
      <c r="CP226" s="312" t="str">
        <f aca="false">IF($A226="N/A"," ",(VLOOKUP($A226,OffPeakVol,(IF(VolBMO=2,3,IF(VolBMO=1,2,4))),FALSE())*VLOOKUP(MONTH($A226),Volscale,2)))</f>
        <v> </v>
      </c>
      <c r="CQ226" s="312" t="str">
        <f aca="false">IF($A226="N/A"," ",IF(VolType=1,CP226,CO226))</f>
        <v> </v>
      </c>
      <c r="CR226" s="312" t="str">
        <f aca="false">IF($A226="N/A"," ",(VLOOKUP($A226,GasVolTable,(IF(VolBMO=2,6,IF(VolBMO=1,7,5))),FALSE())))</f>
        <v> </v>
      </c>
      <c r="CS226" s="312" t="str">
        <f aca="false">IF($A226="N/A"," ",(VLOOKUP($A226,OmicronVol,(IF(VolBMO=2,3,IF(VolBMO=1,4,2))),FALSE())))</f>
        <v> </v>
      </c>
      <c r="CT226" s="312" t="str">
        <f aca="false">IF($A226="N/A"," ",(IF(DateToday&gt;$A226,$CS226,IF(VolType=1,((($CR226^2)*((($A226-1)-DateToday)/((EOMONTH($A226,0)+1)-DateToday-15)))+((($CS226)^2)*((15)/((EOMONTH($A226,0)+1)-DateToday-15))))^0.5,CR226))))</f>
        <v> </v>
      </c>
      <c r="CU226" s="312" t="str">
        <f aca="false">IF($A226="N/A"," ",IF('Pricing Inputs'!$AR$23=TRUE(),Inputs!$S$22,VLOOKUP($A226,CorrelationTable,2,FALSE())))</f>
        <v> </v>
      </c>
      <c r="CV226" s="313" t="str">
        <f aca="false">IF($A226="N/A"," ",F226+G226+(D226*('Pricing Inputs'!X261)))</f>
        <v> </v>
      </c>
      <c r="CW226" s="314" t="str">
        <f aca="false">IF($A226="N/A"," ",IF(PV=1,0,'Pricing Inputs'!Y261))</f>
        <v> </v>
      </c>
      <c r="CX226" s="315" t="str">
        <f aca="false">IF($A226="N/A"," ",(1+CW226/2)^(-2*((EOMONTH(A226,0)+20)-DateToday)/365.25))</f>
        <v> </v>
      </c>
      <c r="CY226" s="316" t="str">
        <f aca="false">IF($A226="N/A"," ",(IF(MONTH(A226)&gt;=4,IF(MONTH(A226)&lt;=10,Inputs!$S$26,Inputs!$S$27),Inputs!$S$27))*$CX226)</f>
        <v> </v>
      </c>
      <c r="CZ226" s="317" t="str">
        <f aca="false">IF($A226="N/A"," ",BK226+BL226+BN226+BO226+BQ226+BR226)</f>
        <v> </v>
      </c>
      <c r="DA226" s="318" t="str">
        <f aca="false">IF($A226="N/A"," ",BM226+BP226+BS226)</f>
        <v> </v>
      </c>
      <c r="DB226" s="319" t="str">
        <f aca="false">IF($A226="N/A"," ",BT226+BU226+BW226+BX226+BZ226+CA226)</f>
        <v> </v>
      </c>
      <c r="DC226" s="319" t="str">
        <f aca="false">IF($A226="N/A"," ",BV226+BY226+CB226)</f>
        <v> </v>
      </c>
      <c r="DD226" s="320" t="str">
        <f aca="false">IF($A226="N/A"," ",SUM(CC226:CK226))</f>
        <v> </v>
      </c>
      <c r="DE226" s="321" t="str">
        <f aca="false">IF($A226="N/A"," ",VLOOKUP($A226,NumberofDaysTable,2)*Availability)</f>
        <v> </v>
      </c>
      <c r="DF226" s="94" t="str">
        <f aca="false">IF($A226="N/A"," ",VLOOKUP($A226,NumberofDaysTable,3)*Availability)</f>
        <v> </v>
      </c>
      <c r="DG226" s="322" t="str">
        <f aca="false">IF($A226="N/A"," ",VLOOKUP($A226,NumberofDaysTable,4)*Availability)</f>
        <v> </v>
      </c>
      <c r="DH226" s="323" t="str">
        <f aca="false">IF($A226="N/A"," ",IF(Option=1,$D226*Inputs!$S$15*SUM(AS226:BA226),0))</f>
        <v> </v>
      </c>
      <c r="DI226" s="324" t="str">
        <f aca="false">IF($A226="N/A"," ",IF(Option=1,$D226*Inputs!$S$16*SUM(AS226:BA226),0))</f>
        <v> </v>
      </c>
      <c r="DJ226" s="325" t="str">
        <f aca="false">IF($A226="N/A"," ",SUM(AS226:AT226))</f>
        <v> </v>
      </c>
      <c r="DK226" s="325" t="str">
        <f aca="false">IF($A226="N/A"," ",SUM(AU226:BA226))</f>
        <v> </v>
      </c>
      <c r="DL226" s="325" t="str">
        <f aca="false">IF($A226="N/A"," ",SUM(BB226:BC226))</f>
        <v> </v>
      </c>
      <c r="DM226" s="325" t="str">
        <f aca="false">IF($A226="N/A"," ",SUM(BD226:BJ226))</f>
        <v> </v>
      </c>
    </row>
    <row r="227" customFormat="false" ht="12.75" hidden="false" customHeight="false" outlineLevel="0" collapsed="false">
      <c r="A227" s="282" t="str">
        <f aca="false">IF(A226="N/A","N/A",IF(EDATE(A226,1)&gt;Inputs!$S$5,"N/A",EDATE(A226,1)))</f>
        <v>N/A</v>
      </c>
      <c r="B227" s="283" t="str">
        <f aca="false">IF(A227="N/A"," ",YEAR(A227))</f>
        <v> </v>
      </c>
      <c r="C227" s="284" t="str">
        <f aca="false">IF(A227="N/A"," ",VLOOKUP(A227,ScaledPrice,14))</f>
        <v> </v>
      </c>
      <c r="D227" s="285" t="str">
        <f aca="false">IF(A227="N/A"," ",(VLOOKUP(MONTH($A227),Hrtable,2))/1000)</f>
        <v> </v>
      </c>
      <c r="E227" s="286" t="str">
        <f aca="false">IF($A227="N/A"," ",(C227)*D227)</f>
        <v> </v>
      </c>
      <c r="F227" s="287" t="str">
        <f aca="false">IF(A227="N/A"," ",VOM*(1+VOMesc)^(YEAR(A227)-YEAR(Today)))</f>
        <v> </v>
      </c>
      <c r="G227" s="287" t="str">
        <f aca="false">IF(A227="N/A"," ",Perstart/VLOOKUP(Dayrun,'Pricing Inputs'!$AQ$4:$AS$14,3)/(CY227/CX227))</f>
        <v> </v>
      </c>
      <c r="H227" s="288" t="str">
        <f aca="false">IF(A227="N/A"," ",SUM(E227:G227))</f>
        <v> </v>
      </c>
      <c r="I227" s="289" t="str">
        <f aca="false">VLOOKUP($A227,ScaledPrice,6)</f>
        <v> </v>
      </c>
      <c r="J227" s="290" t="str">
        <f aca="false">VLOOKUP($A227,ScaledPrice,10)</f>
        <v> </v>
      </c>
      <c r="K227" s="290" t="str">
        <f aca="false">VLOOKUP($A227,ScaledPrice,13)</f>
        <v> </v>
      </c>
      <c r="L227" s="290" t="str">
        <f aca="false">VLOOKUP($A227,ScaledPrice,7)</f>
        <v> </v>
      </c>
      <c r="M227" s="290" t="str">
        <f aca="false">VLOOKUP($A227,ScaledPrice,11)</f>
        <v> </v>
      </c>
      <c r="N227" s="290" t="str">
        <f aca="false">VLOOKUP($A227,ScaledPrice,13)</f>
        <v> </v>
      </c>
      <c r="O227" s="290" t="str">
        <f aca="false">VLOOKUP($A227,ScaledPrice,8)</f>
        <v> </v>
      </c>
      <c r="P227" s="290" t="str">
        <f aca="false">VLOOKUP($A227,ScaledPrice,12)</f>
        <v> </v>
      </c>
      <c r="Q227" s="291" t="str">
        <f aca="false">VLOOKUP($A227,ScaledPrice,13)</f>
        <v> </v>
      </c>
      <c r="R227" s="292" t="str">
        <f aca="false">IF($A227="N/A"," ",IF(Dayrun&gt;=3,IF(Option=1,MAX($I227-$H227,0),IF(Option=2,MAX($H227-$I227,0),0)),0))</f>
        <v> </v>
      </c>
      <c r="S227" s="286" t="str">
        <f aca="false">IF($A227="N/A"," ",IF(Dayrun&gt;=6,IF(Option=1,MAX($J227-H227,0),IF(Option=2,MAX(H227-$J227,0),0)),0))</f>
        <v> </v>
      </c>
      <c r="T227" s="286" t="str">
        <f aca="false">IF($A227="N/A"," ",IF(OR(Dayrun&lt;=2,Dayrun&gt;=9),IF(Option=1,MAX($K227-$H227,0),IF(Option=2,MAX($H227-$K227,0),0)),0))</f>
        <v> </v>
      </c>
      <c r="U227" s="286" t="str">
        <f aca="false">IF($A227="N/A"," ",IF(OR(Dayrun=1,Dayrun=4,Dayrun=5,Dayrun=7,Dayrun=8,Dayrun=10,Dayrun=11),IF(Option=1,MAX($L227-H227,0),IF(Option=2,MAX(H227-$L227,0),0)),0))</f>
        <v> </v>
      </c>
      <c r="V227" s="286" t="str">
        <f aca="false">IF($A227="N/A"," ",IF(OR(Dayrun=1,Dayrun=7,Dayrun=8,Dayrun=10,Dayrun=11),IF(Option=1,MAX($M227-H227,0),IF(Option=2,MAX(H227-$M227,0),0)),0))</f>
        <v> </v>
      </c>
      <c r="W227" s="286" t="str">
        <f aca="false">IF($A227="N/A"," ",IF(OR(Dayrun&lt;=2,Dayrun&gt;=10),IF(Option=1,MAX($N227-$H227,0),IF(Option=2,MAX($H227-$N227,0),0)),0))</f>
        <v> </v>
      </c>
      <c r="X227" s="286" t="str">
        <f aca="false">IF($A227="N/A"," ",IF(OR(Dayrun=1,Dayrun=5,Dayrun=8,Dayrun=11),IF(Option=1,MAX($O227-H227,0),IF(Option=2,MAX(H227-$O227,0),0)),0))</f>
        <v> </v>
      </c>
      <c r="Y227" s="286" t="str">
        <f aca="false">IF($A227="N/A"," ",IF(OR(Dayrun=1,Dayrun=8,Dayrun=11),IF(Option=1,MAX($P227-H227,0),IF(Option=2,MAX(H227-$P227,0),0)),0))</f>
        <v> </v>
      </c>
      <c r="Z227" s="293" t="str">
        <f aca="false">IF($A227="N/A"," ",IF(OR(Dayrun&lt;=2,Dayrun&gt;=11),IF(Option=1,MAX($Q227-$H227,0),IF(Option=2,MAX($H227-$Q227,0),0)),0))</f>
        <v> </v>
      </c>
      <c r="AA227" s="289" t="str">
        <f aca="false">IF($A227="N/A"," ",IF(Dayrun&gt;=3,(MAX(0,(xSPRDOPT(I227,($E227-'Pricing Inputs'!$X262*$D227),$CV227,0,($CN227+IF(Smile=TRUE(),VLOOKUP(MAX(-5,$H227-I227),Volsmile,2),0)),$CT227,$CU227,($A227-DateToday)+15,ABS(Option-2),0)-R227))),0))</f>
        <v> </v>
      </c>
      <c r="AB227" s="290" t="str">
        <f aca="false">IF($A227="N/A"," ",IF(Dayrun&gt;=6,MAX(0,(xSPRDOPT(J227,($E227-'Pricing Inputs'!$X262*$D227),$CV227,0,($CN227+IF(Smile=TRUE(),VLOOKUP(MAX(-5,$H227-J227),Volsmile,2),0)),$CT227,$CU227,($A227-DateToday)+15,ABS(Option-2),0)-S227)),0))</f>
        <v> </v>
      </c>
      <c r="AC227" s="290" t="str">
        <f aca="false">IF($A227="N/A"," ",IF(OR(Dayrun&lt;=2,Dayrun&gt;=9),IF(OffPeakEx=TRUE(),MAX(0,(xSPRDOPT(K227,($E227-'Pricing Inputs'!$X262*$D227),$CV227,0,($CQ227+IF(Smile=TRUE(),VLOOKUP(MAX(-5,$H227-K227),Volsmile,2),0)),$CT227,$CU227,($A227-DateToday)+15,ABS(Option-2),0)-T227)),0),0))</f>
        <v> </v>
      </c>
      <c r="AD227" s="290" t="str">
        <f aca="false">IF($A227="N/A"," ",IF(OR(Dayrun=1,Dayrun=4,Dayrun=5,Dayrun=7,Dayrun=8,Dayrun=10,Dayrun=11),MAX(0,(xSPRDOPT(L227,($E227-'Pricing Inputs'!$X262*$D227),$CV227,0,($CQ227+IF(Smile=TRUE(),VLOOKUP(MAX(-5,$H227-L227),Volsmile,2),0)),$CT227,$CU227,($A227-DateToday)+15,ABS(Option-2),0)-U227)),0))</f>
        <v> </v>
      </c>
      <c r="AE227" s="290" t="str">
        <f aca="false">IF($A227="N/A"," ",IF(OR(Dayrun=1,Dayrun=7,Dayrun=8,Dayrun=10,Dayrun=11),MAX(0,(xSPRDOPT(M227,($E227-'Pricing Inputs'!$X262*$D227),$CV227,0,($CQ227+IF(Smile=TRUE(),VLOOKUP(MAX(-5,$H227-M227),Volsmile,2),0)),$CT227,$CU227,($A227-DateToday)+15,ABS(Option-2),0)-V227)),0))</f>
        <v> </v>
      </c>
      <c r="AF227" s="290" t="str">
        <f aca="false">IF($A227="N/A"," ",IF(OR(Dayrun&lt;=2,Dayrun&gt;=10),IF(OffPeakEx=TRUE(),MAX(0,(xSPRDOPT(N227,($E227-'Pricing Inputs'!$X262*$D227),$CV227,0,($CQ227+IF(Smile=TRUE(),VLOOKUP(MAX(-5,$H227-N227),Volsmile,2),0)),$CT227,$CU227,($A227-DateToday)+15,ABS(Option-2),0)-W227)),0),0))</f>
        <v> </v>
      </c>
      <c r="AG227" s="290" t="str">
        <f aca="false">IF($A227="N/A"," ",IF(OR(Dayrun=1,Dayrun=5,Dayrun=8,Dayrun=11),MAX(0,(xSPRDOPT(O227,($E227-'Pricing Inputs'!$X262*$D227),$CV227,0,($CQ227+IF(Smile=TRUE(),VLOOKUP(MAX(-5,$H227-O227),Volsmile,2),0)),$CT227,$CU227,($A227-DateToday)+15,ABS(Option-2),0)-X227)),0))</f>
        <v> </v>
      </c>
      <c r="AH227" s="290" t="str">
        <f aca="false">IF($A227="N/A"," ",IF(OR(Dayrun=1,Dayrun=8,Dayrun=11),MAX(0,(xSPRDOPT(P227,($E227-'Pricing Inputs'!$X262*$D227),$CV227,0,($CQ227+IF(Smile=TRUE(),VLOOKUP(MAX(-5,$H227-P227),Volsmile,2),0)),$CT227,$CU227,($A227-DateToday)+15,ABS(Option-2),0)-Y227)),0))</f>
        <v> </v>
      </c>
      <c r="AI227" s="290" t="str">
        <f aca="false">IF($A227="N/A"," ",IF(OR(Dayrun&lt;=2,Dayrun&gt;=11),IF(OffPeakEx=TRUE(),MAX(0,(xSPRDOPT(Q227,($E227-'Pricing Inputs'!$X262*$D227),$CV227,0,($CQ227+IF(Smile=TRUE(),VLOOKUP(MAX(-5,$H227-Q227),Volsmile,2),0)),$CT227,$CU227,($A227-DateToday)+15,ABS(Option-2),0)-Z227)),0),0))</f>
        <v> </v>
      </c>
      <c r="AJ227" s="294" t="str">
        <f aca="false">IF($A227="N/A"," ",IF(Dayrun&gt;=3,IF(Option=1,$I227-$H227,IF(Option=2,$H227-$I227)),0))</f>
        <v> </v>
      </c>
      <c r="AK227" s="295" t="str">
        <f aca="false">IF($A227="N/A"," ",IF(Dayrun&gt;=6,IF(Option=1,$J227-H227,IF(Option=2,H227-$J227)),0))</f>
        <v> </v>
      </c>
      <c r="AL227" s="295" t="str">
        <f aca="false">IF($A227="N/A"," ",IF(OR(Dayrun&lt;=2,Dayrun&gt;=9),IF(Option=1,$K227-$H227,IF(Option=2,$H227-$K227)),0))</f>
        <v> </v>
      </c>
      <c r="AM227" s="295" t="str">
        <f aca="false">IF($A227="N/A"," ",IF(OR(Dayrun=1,Dayrun=4,Dayrun=5,Dayrun=7,Dayrun=8,Dayrun=10,Dayrun=11),IF(Option=1,$L227-H227,IF(Option=2,H227-$L227)),0))</f>
        <v> </v>
      </c>
      <c r="AN227" s="295" t="str">
        <f aca="false">IF($A227="N/A"," ",IF(OR(Dayrun=1,Dayrun=7,Dayrun=8,Dayrun=10,Dayrun=11),IF(Option=1,$M227-H227,IF(Option=2,H227-$M227)),0))</f>
        <v> </v>
      </c>
      <c r="AO227" s="295" t="str">
        <f aca="false">IF($A227="N/A"," ",IF(OR(Dayrun&lt;=2,Dayrun&gt;=9),IF(Option=1,$N227-$H227,IF(Option=2,$H227-$N227)),0))</f>
        <v> </v>
      </c>
      <c r="AP227" s="295" t="str">
        <f aca="false">IF($A227="N/A"," ",IF(OR(Dayrun=1,Dayrun=5,Dayrun=8,Dayrun=11),IF(Option=1,$O227-H227,IF(Option=2,H227-$O227)),0))</f>
        <v> </v>
      </c>
      <c r="AQ227" s="295" t="str">
        <f aca="false">IF($A227="N/A"," ",IF(OR(Dayrun=1,Dayrun=8,Dayrun=11),IF(Option=1,$P227-H227,IF(Option=2,H227-$P227)),0))</f>
        <v> </v>
      </c>
      <c r="AR227" s="296" t="str">
        <f aca="false">IF($A227="N/A"," ",IF(OR(Dayrun&lt;=2,Dayrun&gt;=9),IF(Option=1,$Q227-H227,IF(Option=2,H227-$Q227)),0))</f>
        <v> </v>
      </c>
      <c r="AS227" s="297" t="str">
        <f aca="false">IF($A227="N/A"," ",IF(VLOOKUP(MONTH($A227),ManualTable,2)=1,IF(Dayrun&gt;=3,$DE227*8*$CY227,0),0))</f>
        <v> </v>
      </c>
      <c r="AT227" s="297" t="str">
        <f aca="false">IF($A227="N/A"," ",IF(VLOOKUP(MONTH($A227),ManualTable,3)=1,IF(Dayrun&gt;=6,$DE227*8*$CY227,0),0))</f>
        <v> </v>
      </c>
      <c r="AU227" s="297" t="str">
        <f aca="false">IF($A227="N/A"," ",IF(VLOOKUP(MONTH($A227),ManualTable,4)=1,IF(OR(Dayrun&lt;=2,Dayrun&gt;=9),$DE227*8*$CY227,0),0))</f>
        <v> </v>
      </c>
      <c r="AV227" s="297" t="str">
        <f aca="false">IF($A227="N/A"," ",IF(VLOOKUP(MONTH($A227),ManualTable,5)=1,IF(OR(Dayrun=1,Dayrun=4,Dayrun=5,Dayrun=7,Dayrun=8,Dayrun=10,Dayrun=11),$DF227*8*$CY227,0),0))</f>
        <v> </v>
      </c>
      <c r="AW227" s="297" t="str">
        <f aca="false">IF($A227="N/A"," ",IF(VLOOKUP(MONTH($A227),ManualTable,6)=1,IF(OR(Dayrun=1,Dayrun=7,Dayrun=8,Dayrun=10,Dayrun=11),$DF227*8*$CY227,0),0))</f>
        <v> </v>
      </c>
      <c r="AX227" s="297" t="str">
        <f aca="false">IF($A227="N/A"," ",IF(VLOOKUP(MONTH($A227),ManualTable,7)=1,IF(OR(Dayrun&lt;=2,Dayrun&gt;=9),$DF227*8*$CY227,0),0))</f>
        <v> </v>
      </c>
      <c r="AY227" s="297" t="str">
        <f aca="false">IF($A227="N/A"," ",IF(VLOOKUP(MONTH($A227),ManualTable,8)=1,IF(OR(Dayrun=1,Dayrun=5,Dayrun=8,Dayrun=11),$DG227*8*$CY227,0),0))</f>
        <v> </v>
      </c>
      <c r="AZ227" s="297" t="str">
        <f aca="false">IF($A227="N/A"," ",IF(VLOOKUP(MONTH($A227),ManualTable,9)=1,IF(OR(Dayrun=1,Dayrun=8,Dayrun=11),$DG227*8*$CY227,0),0))</f>
        <v> </v>
      </c>
      <c r="BA227" s="298" t="str">
        <f aca="false">IF($A227="N/A"," ",IF(VLOOKUP(MONTH($A227),ManualTable,10)=1,IF(OR(Dayrun&lt;=2,Dayrun&gt;=9),$DG227*8*$CY227,0),0))</f>
        <v> </v>
      </c>
      <c r="BB227" s="299" t="str">
        <f aca="false">IF($A227="N/A"," ",IF(Dayrun&gt;=3,(MAX(0,(xSPRDOPT(I227,($E227-'Pricing Inputs'!$X262*$D227),$CV227,0,($CN227+IF(Smile=TRUE(),VLOOKUP(MAX(-5,$H227-I227),Volsmile,2),0)),$CT227,$CU227,($A227-DateToday)+15,ABS(Option-2),1)*DE227*8))),0))</f>
        <v> </v>
      </c>
      <c r="BC227" s="300" t="str">
        <f aca="false">IF($A227="N/A"," ",IF(Dayrun&gt;=6,MAX(0,(xSPRDOPT(J227,($E227-'Pricing Inputs'!$X262*$D227),$CV227,0,($CN227+IF(Smile=TRUE(),VLOOKUP(MAX(-5,$H227-J227),Volsmile,2),0)),$CT227,$CU227,($A227-DateToday)+15,ABS(Option-2),1)*DE227*8)),0))</f>
        <v> </v>
      </c>
      <c r="BD227" s="300" t="str">
        <f aca="false">IF($A227="N/A"," ",IF(OR(Dayrun&lt;=2,Dayrun&gt;=9),IF(OffPeakEx=TRUE(),MAX(0,(xSPRDOPT(K227,($E227-'Pricing Inputs'!$X262*$D227),$CV227,0,($CQ227+IF(Smile=TRUE(),VLOOKUP(MAX(-5,$H227-K227),Volsmile,2),0)),$CT227,$CU227,($A227-DateToday)+15,ABS(Option-2),1)*DE227*8)),0),0))</f>
        <v> </v>
      </c>
      <c r="BE227" s="300" t="str">
        <f aca="false">IF($A227="N/A"," ",IF(OR(Dayrun=1,Dayrun=4,Dayrun=5,Dayrun=7,Dayrun=8,Dayrun=10,Dayrun=11),MAX(0,(xSPRDOPT(L227,($E227-'Pricing Inputs'!$X262*$D227),$CV227,0,($CQ227+IF(Smile=TRUE(),VLOOKUP(MAX(-5,$H227-L227),Volsmile,2),0)),$CT227,$CU227,($A227-DateToday)+15,ABS(Option-2),1)*DF227*8)),0))</f>
        <v> </v>
      </c>
      <c r="BF227" s="300" t="str">
        <f aca="false">IF($A227="N/A"," ",IF(OR(Dayrun=1,Dayrun=7,Dayrun=8,Dayrun=10,Dayrun=11),MAX(0,(xSPRDOPT(M227,($E227-'Pricing Inputs'!$X262*$D227),$CV227,0,($CQ227+IF(Smile=TRUE(),VLOOKUP(MAX(-5,$H227-M227),Volsmile,2),0)),$CT227,$CU227,($A227-DateToday)+15,ABS(Option-2),1)*DF227*8)),0))</f>
        <v> </v>
      </c>
      <c r="BG227" s="300" t="str">
        <f aca="false">IF($A227="N/A"," ",IF(OR(Dayrun&lt;=2,Dayrun&gt;=10),IF(OffPeakEx=TRUE(),MAX(0,(xSPRDOPT(N227,($E227-'Pricing Inputs'!$X262*$D227),$CV227,0,($CQ227+IF(Smile=TRUE(),VLOOKUP(MAX(-5,$H227-N227),Volsmile,2),0)),$CT227,$CU227,($A227-DateToday)+15,ABS(Option-2),1)*DF227*8)),0),0))</f>
        <v> </v>
      </c>
      <c r="BH227" s="300" t="str">
        <f aca="false">IF($A227="N/A"," ",IF(OR(Dayrun=1,Dayrun=5,Dayrun=8,Dayrun=11),MAX(0,(xSPRDOPT(O227,($E227-'Pricing Inputs'!$X262*$D227),$CV227,0,($CQ227+IF(Smile=TRUE(),VLOOKUP(MAX(-5,$H227-O227),Volsmile,2),0)),$CT227,$CU227,($A227-DateToday)+15,ABS(Option-2),1)*DG227*8)),0))</f>
        <v> </v>
      </c>
      <c r="BI227" s="300" t="str">
        <f aca="false">IF($A227="N/A"," ",IF(OR(Dayrun=1,Dayrun=8,Dayrun=11),MAX(0,(xSPRDOPT(P227,($E227-'Pricing Inputs'!$X262*$D227),$CV227,0,($CQ227+IF(Smile=TRUE(),VLOOKUP(MAX(-5,$H227-P227),Volsmile,2),0)),$CT227,$CU227,($A227-DateToday)+15,ABS(Option-2),1)*DG227*8)),0))</f>
        <v> </v>
      </c>
      <c r="BJ227" s="301" t="str">
        <f aca="false">IF($A227="N/A"," ",IF(OR(Dayrun&lt;=2,Dayrun&gt;=11),IF(OffPeakEx=TRUE(),MAX(0,(xSPRDOPT(Q227,($E227-'Pricing Inputs'!$X262*$D227),$CV227,0,($CQ227+IF(Smile=TRUE(),VLOOKUP(MAX(-5,$H227-Q227),Volsmile,2),0)),$CT227,$CU227,($A227-DateToday)+15,ABS(Option-2),1)*DG227*8)),0),0))</f>
        <v> </v>
      </c>
      <c r="BK227" s="302" t="str">
        <f aca="false">IF($A227="N/A"," ",R227*$AS227)</f>
        <v> </v>
      </c>
      <c r="BL227" s="303" t="str">
        <f aca="false">IF($A227="N/A"," ",S227*$AT227)</f>
        <v> </v>
      </c>
      <c r="BM227" s="303" t="str">
        <f aca="false">IF($A227="N/A"," ",T227*$AU227)</f>
        <v> </v>
      </c>
      <c r="BN227" s="303" t="str">
        <f aca="false">IF($A227="N/A"," ",U227*$AV227)</f>
        <v> </v>
      </c>
      <c r="BO227" s="303" t="str">
        <f aca="false">IF($A227="N/A"," ",V227*$AW227)</f>
        <v> </v>
      </c>
      <c r="BP227" s="303" t="str">
        <f aca="false">IF($A227="N/A"," ",W227*$AX227)</f>
        <v> </v>
      </c>
      <c r="BQ227" s="303" t="str">
        <f aca="false">IF($A227="N/A"," ",X227*$AY227)</f>
        <v> </v>
      </c>
      <c r="BR227" s="303" t="str">
        <f aca="false">IF($A227="N/A"," ",Y227*$AZ227)</f>
        <v> </v>
      </c>
      <c r="BS227" s="304" t="str">
        <f aca="false">IF($A227="N/A"," ",Z227*$BA227)</f>
        <v> </v>
      </c>
      <c r="BT227" s="305" t="str">
        <f aca="false">IF($A227="N/A"," ",AA227*$AS227)</f>
        <v> </v>
      </c>
      <c r="BU227" s="306" t="str">
        <f aca="false">IF($A227="N/A"," ",AB227*$AT227)</f>
        <v> </v>
      </c>
      <c r="BV227" s="306" t="str">
        <f aca="false">IF($A227="N/A"," ",AC227*$AU227)</f>
        <v> </v>
      </c>
      <c r="BW227" s="306" t="str">
        <f aca="false">IF($A227="N/A"," ",AD227*$AV227)</f>
        <v> </v>
      </c>
      <c r="BX227" s="306" t="str">
        <f aca="false">IF($A227="N/A"," ",AE227*$AW227)</f>
        <v> </v>
      </c>
      <c r="BY227" s="306" t="str">
        <f aca="false">IF($A227="N/A"," ",AF227*$AX227)</f>
        <v> </v>
      </c>
      <c r="BZ227" s="306" t="str">
        <f aca="false">IF($A227="N/A"," ",AG227*$AY227)</f>
        <v> </v>
      </c>
      <c r="CA227" s="306" t="str">
        <f aca="false">IF($A227="N/A"," ",AH227*$AZ227)</f>
        <v> </v>
      </c>
      <c r="CB227" s="307" t="str">
        <f aca="false">IF($A227="N/A"," ",AI227*$BA227)</f>
        <v> </v>
      </c>
      <c r="CC227" s="308" t="str">
        <f aca="false">IF($A227="N/A"," ",AJ227*$AS227)</f>
        <v> </v>
      </c>
      <c r="CD227" s="309" t="str">
        <f aca="false">IF($A227="N/A"," ",AK227*$AT227)</f>
        <v> </v>
      </c>
      <c r="CE227" s="309" t="str">
        <f aca="false">IF($A227="N/A"," ",AL227*$AU227)</f>
        <v> </v>
      </c>
      <c r="CF227" s="309" t="str">
        <f aca="false">IF($A227="N/A"," ",AM227*$AV227)</f>
        <v> </v>
      </c>
      <c r="CG227" s="309" t="str">
        <f aca="false">IF($A227="N/A"," ",AN227*$AW227)</f>
        <v> </v>
      </c>
      <c r="CH227" s="309" t="str">
        <f aca="false">IF($A227="N/A"," ",AO227*$AX227)</f>
        <v> </v>
      </c>
      <c r="CI227" s="309" t="str">
        <f aca="false">IF($A227="N/A"," ",AP227*$AY227)</f>
        <v> </v>
      </c>
      <c r="CJ227" s="309" t="str">
        <f aca="false">IF($A227="N/A"," ",AQ227*$AZ227)</f>
        <v> </v>
      </c>
      <c r="CK227" s="310" t="str">
        <f aca="false">IF($A227="N/A"," ",AR227*$BA227)</f>
        <v> </v>
      </c>
      <c r="CL227" s="311" t="str">
        <f aca="false">IF(A227="N/A"," ",(VLOOKUP(A227,PowerVolTable,(IF(VolBMO=2,7,IF(VolBMO=1,6,8))),FALSE())))</f>
        <v> </v>
      </c>
      <c r="CM227" s="312" t="str">
        <f aca="false">IF(A227="N/A"," ",(VLOOKUP(A227,IntraPowerVol,(IF(VolBMO=2,3,IF(VolBMO=1,2,4))),FALSE())*VLOOKUP(MONTH($A227),Volscale,2)))</f>
        <v> </v>
      </c>
      <c r="CN227" s="312" t="str">
        <f aca="false">IF($A227="N/A"," ",IF(VolType=1,CM227,CL227))</f>
        <v> </v>
      </c>
      <c r="CO227" s="312" t="str">
        <f aca="false">IF($A227="N/A"," ",(VLOOKUP($A227,OffPeakVol,(IF(VolBMO=2,7,IF(VolBMO=1,6,8))),FALSE())))</f>
        <v> </v>
      </c>
      <c r="CP227" s="312" t="str">
        <f aca="false">IF($A227="N/A"," ",(VLOOKUP($A227,OffPeakVol,(IF(VolBMO=2,3,IF(VolBMO=1,2,4))),FALSE())*VLOOKUP(MONTH($A227),Volscale,2)))</f>
        <v> </v>
      </c>
      <c r="CQ227" s="312" t="str">
        <f aca="false">IF($A227="N/A"," ",IF(VolType=1,CP227,CO227))</f>
        <v> </v>
      </c>
      <c r="CR227" s="312" t="str">
        <f aca="false">IF($A227="N/A"," ",(VLOOKUP($A227,GasVolTable,(IF(VolBMO=2,6,IF(VolBMO=1,7,5))),FALSE())))</f>
        <v> </v>
      </c>
      <c r="CS227" s="312" t="str">
        <f aca="false">IF($A227="N/A"," ",(VLOOKUP($A227,OmicronVol,(IF(VolBMO=2,3,IF(VolBMO=1,4,2))),FALSE())))</f>
        <v> </v>
      </c>
      <c r="CT227" s="312" t="str">
        <f aca="false">IF($A227="N/A"," ",(IF(DateToday&gt;$A227,$CS227,IF(VolType=1,((($CR227^2)*((($A227-1)-DateToday)/((EOMONTH($A227,0)+1)-DateToday-15)))+((($CS227)^2)*((15)/((EOMONTH($A227,0)+1)-DateToday-15))))^0.5,CR227))))</f>
        <v> </v>
      </c>
      <c r="CU227" s="312" t="str">
        <f aca="false">IF($A227="N/A"," ",IF('Pricing Inputs'!$AR$23=TRUE(),Inputs!$S$22,VLOOKUP($A227,CorrelationTable,2,FALSE())))</f>
        <v> </v>
      </c>
      <c r="CV227" s="313" t="str">
        <f aca="false">IF($A227="N/A"," ",F227+G227+(D227*('Pricing Inputs'!X262)))</f>
        <v> </v>
      </c>
      <c r="CW227" s="314" t="str">
        <f aca="false">IF($A227="N/A"," ",IF(PV=1,0,'Pricing Inputs'!Y262))</f>
        <v> </v>
      </c>
      <c r="CX227" s="315" t="str">
        <f aca="false">IF($A227="N/A"," ",(1+CW227/2)^(-2*((EOMONTH(A227,0)+20)-DateToday)/365.25))</f>
        <v> </v>
      </c>
      <c r="CY227" s="316" t="str">
        <f aca="false">IF($A227="N/A"," ",(IF(MONTH(A227)&gt;=4,IF(MONTH(A227)&lt;=10,Inputs!$S$26,Inputs!$S$27),Inputs!$S$27))*$CX227)</f>
        <v> </v>
      </c>
      <c r="CZ227" s="317" t="str">
        <f aca="false">IF($A227="N/A"," ",BK227+BL227+BN227+BO227+BQ227+BR227)</f>
        <v> </v>
      </c>
      <c r="DA227" s="318" t="str">
        <f aca="false">IF($A227="N/A"," ",BM227+BP227+BS227)</f>
        <v> </v>
      </c>
      <c r="DB227" s="319" t="str">
        <f aca="false">IF($A227="N/A"," ",BT227+BU227+BW227+BX227+BZ227+CA227)</f>
        <v> </v>
      </c>
      <c r="DC227" s="319" t="str">
        <f aca="false">IF($A227="N/A"," ",BV227+BY227+CB227)</f>
        <v> </v>
      </c>
      <c r="DD227" s="320" t="str">
        <f aca="false">IF($A227="N/A"," ",SUM(CC227:CK227))</f>
        <v> </v>
      </c>
      <c r="DE227" s="321" t="str">
        <f aca="false">IF($A227="N/A"," ",VLOOKUP($A227,NumberofDaysTable,2)*Availability)</f>
        <v> </v>
      </c>
      <c r="DF227" s="94" t="str">
        <f aca="false">IF($A227="N/A"," ",VLOOKUP($A227,NumberofDaysTable,3)*Availability)</f>
        <v> </v>
      </c>
      <c r="DG227" s="322" t="str">
        <f aca="false">IF($A227="N/A"," ",VLOOKUP($A227,NumberofDaysTable,4)*Availability)</f>
        <v> </v>
      </c>
      <c r="DH227" s="323" t="str">
        <f aca="false">IF($A227="N/A"," ",IF(Option=1,$D227*Inputs!$S$15*SUM(AS227:BA227),0))</f>
        <v> </v>
      </c>
      <c r="DI227" s="324" t="str">
        <f aca="false">IF($A227="N/A"," ",IF(Option=1,$D227*Inputs!$S$16*SUM(AS227:BA227),0))</f>
        <v> </v>
      </c>
      <c r="DJ227" s="325" t="str">
        <f aca="false">IF($A227="N/A"," ",SUM(AS227:AT227))</f>
        <v> </v>
      </c>
      <c r="DK227" s="325" t="str">
        <f aca="false">IF($A227="N/A"," ",SUM(AU227:BA227))</f>
        <v> </v>
      </c>
      <c r="DL227" s="325" t="str">
        <f aca="false">IF($A227="N/A"," ",SUM(BB227:BC227))</f>
        <v> </v>
      </c>
      <c r="DM227" s="325" t="str">
        <f aca="false">IF($A227="N/A"," ",SUM(BD227:BJ227))</f>
        <v> </v>
      </c>
    </row>
    <row r="228" customFormat="false" ht="12.75" hidden="false" customHeight="false" outlineLevel="0" collapsed="false">
      <c r="A228" s="282" t="str">
        <f aca="false">IF(A227="N/A","N/A",IF(EDATE(A227,1)&gt;Inputs!$S$5,"N/A",EDATE(A227,1)))</f>
        <v>N/A</v>
      </c>
      <c r="B228" s="283" t="str">
        <f aca="false">IF(A228="N/A"," ",YEAR(A228))</f>
        <v> </v>
      </c>
      <c r="C228" s="284" t="str">
        <f aca="false">IF(A228="N/A"," ",VLOOKUP(A228,ScaledPrice,14))</f>
        <v> </v>
      </c>
      <c r="D228" s="285" t="str">
        <f aca="false">IF(A228="N/A"," ",(VLOOKUP(MONTH($A228),Hrtable,2))/1000)</f>
        <v> </v>
      </c>
      <c r="E228" s="286" t="str">
        <f aca="false">IF($A228="N/A"," ",(C228)*D228)</f>
        <v> </v>
      </c>
      <c r="F228" s="287" t="str">
        <f aca="false">IF(A228="N/A"," ",VOM*(1+VOMesc)^(YEAR(A228)-YEAR(Today)))</f>
        <v> </v>
      </c>
      <c r="G228" s="287" t="str">
        <f aca="false">IF(A228="N/A"," ",Perstart/VLOOKUP(Dayrun,'Pricing Inputs'!$AQ$4:$AS$14,3)/(CY228/CX228))</f>
        <v> </v>
      </c>
      <c r="H228" s="288" t="str">
        <f aca="false">IF(A228="N/A"," ",SUM(E228:G228))</f>
        <v> </v>
      </c>
      <c r="I228" s="289" t="str">
        <f aca="false">VLOOKUP($A228,ScaledPrice,6)</f>
        <v> </v>
      </c>
      <c r="J228" s="290" t="str">
        <f aca="false">VLOOKUP($A228,ScaledPrice,10)</f>
        <v> </v>
      </c>
      <c r="K228" s="290" t="str">
        <f aca="false">VLOOKUP($A228,ScaledPrice,13)</f>
        <v> </v>
      </c>
      <c r="L228" s="290" t="str">
        <f aca="false">VLOOKUP($A228,ScaledPrice,7)</f>
        <v> </v>
      </c>
      <c r="M228" s="290" t="str">
        <f aca="false">VLOOKUP($A228,ScaledPrice,11)</f>
        <v> </v>
      </c>
      <c r="N228" s="290" t="str">
        <f aca="false">VLOOKUP($A228,ScaledPrice,13)</f>
        <v> </v>
      </c>
      <c r="O228" s="290" t="str">
        <f aca="false">VLOOKUP($A228,ScaledPrice,8)</f>
        <v> </v>
      </c>
      <c r="P228" s="290" t="str">
        <f aca="false">VLOOKUP($A228,ScaledPrice,12)</f>
        <v> </v>
      </c>
      <c r="Q228" s="291" t="str">
        <f aca="false">VLOOKUP($A228,ScaledPrice,13)</f>
        <v> </v>
      </c>
      <c r="R228" s="292" t="str">
        <f aca="false">IF($A228="N/A"," ",IF(Dayrun&gt;=3,IF(Option=1,MAX($I228-$H228,0),IF(Option=2,MAX($H228-$I228,0),0)),0))</f>
        <v> </v>
      </c>
      <c r="S228" s="286" t="str">
        <f aca="false">IF($A228="N/A"," ",IF(Dayrun&gt;=6,IF(Option=1,MAX($J228-H228,0),IF(Option=2,MAX(H228-$J228,0),0)),0))</f>
        <v> </v>
      </c>
      <c r="T228" s="286" t="str">
        <f aca="false">IF($A228="N/A"," ",IF(OR(Dayrun&lt;=2,Dayrun&gt;=9),IF(Option=1,MAX($K228-$H228,0),IF(Option=2,MAX($H228-$K228,0),0)),0))</f>
        <v> </v>
      </c>
      <c r="U228" s="286" t="str">
        <f aca="false">IF($A228="N/A"," ",IF(OR(Dayrun=1,Dayrun=4,Dayrun=5,Dayrun=7,Dayrun=8,Dayrun=10,Dayrun=11),IF(Option=1,MAX($L228-H228,0),IF(Option=2,MAX(H228-$L228,0),0)),0))</f>
        <v> </v>
      </c>
      <c r="V228" s="286" t="str">
        <f aca="false">IF($A228="N/A"," ",IF(OR(Dayrun=1,Dayrun=7,Dayrun=8,Dayrun=10,Dayrun=11),IF(Option=1,MAX($M228-H228,0),IF(Option=2,MAX(H228-$M228,0),0)),0))</f>
        <v> </v>
      </c>
      <c r="W228" s="286" t="str">
        <f aca="false">IF($A228="N/A"," ",IF(OR(Dayrun&lt;=2,Dayrun&gt;=10),IF(Option=1,MAX($N228-$H228,0),IF(Option=2,MAX($H228-$N228,0),0)),0))</f>
        <v> </v>
      </c>
      <c r="X228" s="286" t="str">
        <f aca="false">IF($A228="N/A"," ",IF(OR(Dayrun=1,Dayrun=5,Dayrun=8,Dayrun=11),IF(Option=1,MAX($O228-H228,0),IF(Option=2,MAX(H228-$O228,0),0)),0))</f>
        <v> </v>
      </c>
      <c r="Y228" s="286" t="str">
        <f aca="false">IF($A228="N/A"," ",IF(OR(Dayrun=1,Dayrun=8,Dayrun=11),IF(Option=1,MAX($P228-H228,0),IF(Option=2,MAX(H228-$P228,0),0)),0))</f>
        <v> </v>
      </c>
      <c r="Z228" s="293" t="str">
        <f aca="false">IF($A228="N/A"," ",IF(OR(Dayrun&lt;=2,Dayrun&gt;=11),IF(Option=1,MAX($Q228-$H228,0),IF(Option=2,MAX($H228-$Q228,0),0)),0))</f>
        <v> </v>
      </c>
      <c r="AA228" s="289" t="str">
        <f aca="false">IF($A228="N/A"," ",IF(Dayrun&gt;=3,(MAX(0,(xSPRDOPT(I228,($E228-'Pricing Inputs'!$X263*$D228),$CV228,0,($CN228+IF(Smile=TRUE(),VLOOKUP(MAX(-5,$H228-I228),Volsmile,2),0)),$CT228,$CU228,($A228-DateToday)+15,ABS(Option-2),0)-R228))),0))</f>
        <v> </v>
      </c>
      <c r="AB228" s="290" t="str">
        <f aca="false">IF($A228="N/A"," ",IF(Dayrun&gt;=6,MAX(0,(xSPRDOPT(J228,($E228-'Pricing Inputs'!$X263*$D228),$CV228,0,($CN228+IF(Smile=TRUE(),VLOOKUP(MAX(-5,$H228-J228),Volsmile,2),0)),$CT228,$CU228,($A228-DateToday)+15,ABS(Option-2),0)-S228)),0))</f>
        <v> </v>
      </c>
      <c r="AC228" s="290" t="str">
        <f aca="false">IF($A228="N/A"," ",IF(OR(Dayrun&lt;=2,Dayrun&gt;=9),IF(OffPeakEx=TRUE(),MAX(0,(xSPRDOPT(K228,($E228-'Pricing Inputs'!$X263*$D228),$CV228,0,($CQ228+IF(Smile=TRUE(),VLOOKUP(MAX(-5,$H228-K228),Volsmile,2),0)),$CT228,$CU228,($A228-DateToday)+15,ABS(Option-2),0)-T228)),0),0))</f>
        <v> </v>
      </c>
      <c r="AD228" s="290" t="str">
        <f aca="false">IF($A228="N/A"," ",IF(OR(Dayrun=1,Dayrun=4,Dayrun=5,Dayrun=7,Dayrun=8,Dayrun=10,Dayrun=11),MAX(0,(xSPRDOPT(L228,($E228-'Pricing Inputs'!$X263*$D228),$CV228,0,($CQ228+IF(Smile=TRUE(),VLOOKUP(MAX(-5,$H228-L228),Volsmile,2),0)),$CT228,$CU228,($A228-DateToday)+15,ABS(Option-2),0)-U228)),0))</f>
        <v> </v>
      </c>
      <c r="AE228" s="290" t="str">
        <f aca="false">IF($A228="N/A"," ",IF(OR(Dayrun=1,Dayrun=7,Dayrun=8,Dayrun=10,Dayrun=11),MAX(0,(xSPRDOPT(M228,($E228-'Pricing Inputs'!$X263*$D228),$CV228,0,($CQ228+IF(Smile=TRUE(),VLOOKUP(MAX(-5,$H228-M228),Volsmile,2),0)),$CT228,$CU228,($A228-DateToday)+15,ABS(Option-2),0)-V228)),0))</f>
        <v> </v>
      </c>
      <c r="AF228" s="290" t="str">
        <f aca="false">IF($A228="N/A"," ",IF(OR(Dayrun&lt;=2,Dayrun&gt;=10),IF(OffPeakEx=TRUE(),MAX(0,(xSPRDOPT(N228,($E228-'Pricing Inputs'!$X263*$D228),$CV228,0,($CQ228+IF(Smile=TRUE(),VLOOKUP(MAX(-5,$H228-N228),Volsmile,2),0)),$CT228,$CU228,($A228-DateToday)+15,ABS(Option-2),0)-W228)),0),0))</f>
        <v> </v>
      </c>
      <c r="AG228" s="290" t="str">
        <f aca="false">IF($A228="N/A"," ",IF(OR(Dayrun=1,Dayrun=5,Dayrun=8,Dayrun=11),MAX(0,(xSPRDOPT(O228,($E228-'Pricing Inputs'!$X263*$D228),$CV228,0,($CQ228+IF(Smile=TRUE(),VLOOKUP(MAX(-5,$H228-O228),Volsmile,2),0)),$CT228,$CU228,($A228-DateToday)+15,ABS(Option-2),0)-X228)),0))</f>
        <v> </v>
      </c>
      <c r="AH228" s="290" t="str">
        <f aca="false">IF($A228="N/A"," ",IF(OR(Dayrun=1,Dayrun=8,Dayrun=11),MAX(0,(xSPRDOPT(P228,($E228-'Pricing Inputs'!$X263*$D228),$CV228,0,($CQ228+IF(Smile=TRUE(),VLOOKUP(MAX(-5,$H228-P228),Volsmile,2),0)),$CT228,$CU228,($A228-DateToday)+15,ABS(Option-2),0)-Y228)),0))</f>
        <v> </v>
      </c>
      <c r="AI228" s="290" t="str">
        <f aca="false">IF($A228="N/A"," ",IF(OR(Dayrun&lt;=2,Dayrun&gt;=11),IF(OffPeakEx=TRUE(),MAX(0,(xSPRDOPT(Q228,($E228-'Pricing Inputs'!$X263*$D228),$CV228,0,($CQ228+IF(Smile=TRUE(),VLOOKUP(MAX(-5,$H228-Q228),Volsmile,2),0)),$CT228,$CU228,($A228-DateToday)+15,ABS(Option-2),0)-Z228)),0),0))</f>
        <v> </v>
      </c>
      <c r="AJ228" s="294" t="str">
        <f aca="false">IF($A228="N/A"," ",IF(Dayrun&gt;=3,IF(Option=1,$I228-$H228,IF(Option=2,$H228-$I228)),0))</f>
        <v> </v>
      </c>
      <c r="AK228" s="295" t="str">
        <f aca="false">IF($A228="N/A"," ",IF(Dayrun&gt;=6,IF(Option=1,$J228-H228,IF(Option=2,H228-$J228)),0))</f>
        <v> </v>
      </c>
      <c r="AL228" s="295" t="str">
        <f aca="false">IF($A228="N/A"," ",IF(OR(Dayrun&lt;=2,Dayrun&gt;=9),IF(Option=1,$K228-$H228,IF(Option=2,$H228-$K228)),0))</f>
        <v> </v>
      </c>
      <c r="AM228" s="295" t="str">
        <f aca="false">IF($A228="N/A"," ",IF(OR(Dayrun=1,Dayrun=4,Dayrun=5,Dayrun=7,Dayrun=8,Dayrun=10,Dayrun=11),IF(Option=1,$L228-H228,IF(Option=2,H228-$L228)),0))</f>
        <v> </v>
      </c>
      <c r="AN228" s="295" t="str">
        <f aca="false">IF($A228="N/A"," ",IF(OR(Dayrun=1,Dayrun=7,Dayrun=8,Dayrun=10,Dayrun=11),IF(Option=1,$M228-H228,IF(Option=2,H228-$M228)),0))</f>
        <v> </v>
      </c>
      <c r="AO228" s="295" t="str">
        <f aca="false">IF($A228="N/A"," ",IF(OR(Dayrun&lt;=2,Dayrun&gt;=9),IF(Option=1,$N228-$H228,IF(Option=2,$H228-$N228)),0))</f>
        <v> </v>
      </c>
      <c r="AP228" s="295" t="str">
        <f aca="false">IF($A228="N/A"," ",IF(OR(Dayrun=1,Dayrun=5,Dayrun=8,Dayrun=11),IF(Option=1,$O228-H228,IF(Option=2,H228-$O228)),0))</f>
        <v> </v>
      </c>
      <c r="AQ228" s="295" t="str">
        <f aca="false">IF($A228="N/A"," ",IF(OR(Dayrun=1,Dayrun=8,Dayrun=11),IF(Option=1,$P228-H228,IF(Option=2,H228-$P228)),0))</f>
        <v> </v>
      </c>
      <c r="AR228" s="296" t="str">
        <f aca="false">IF($A228="N/A"," ",IF(OR(Dayrun&lt;=2,Dayrun&gt;=9),IF(Option=1,$Q228-H228,IF(Option=2,H228-$Q228)),0))</f>
        <v> </v>
      </c>
      <c r="AS228" s="297" t="str">
        <f aca="false">IF($A228="N/A"," ",IF(VLOOKUP(MONTH($A228),ManualTable,2)=1,IF(Dayrun&gt;=3,$DE228*8*$CY228,0),0))</f>
        <v> </v>
      </c>
      <c r="AT228" s="297" t="str">
        <f aca="false">IF($A228="N/A"," ",IF(VLOOKUP(MONTH($A228),ManualTable,3)=1,IF(Dayrun&gt;=6,$DE228*8*$CY228,0),0))</f>
        <v> </v>
      </c>
      <c r="AU228" s="297" t="str">
        <f aca="false">IF($A228="N/A"," ",IF(VLOOKUP(MONTH($A228),ManualTable,4)=1,IF(OR(Dayrun&lt;=2,Dayrun&gt;=9),$DE228*8*$CY228,0),0))</f>
        <v> </v>
      </c>
      <c r="AV228" s="297" t="str">
        <f aca="false">IF($A228="N/A"," ",IF(VLOOKUP(MONTH($A228),ManualTable,5)=1,IF(OR(Dayrun=1,Dayrun=4,Dayrun=5,Dayrun=7,Dayrun=8,Dayrun=10,Dayrun=11),$DF228*8*$CY228,0),0))</f>
        <v> </v>
      </c>
      <c r="AW228" s="297" t="str">
        <f aca="false">IF($A228="N/A"," ",IF(VLOOKUP(MONTH($A228),ManualTable,6)=1,IF(OR(Dayrun=1,Dayrun=7,Dayrun=8,Dayrun=10,Dayrun=11),$DF228*8*$CY228,0),0))</f>
        <v> </v>
      </c>
      <c r="AX228" s="297" t="str">
        <f aca="false">IF($A228="N/A"," ",IF(VLOOKUP(MONTH($A228),ManualTable,7)=1,IF(OR(Dayrun&lt;=2,Dayrun&gt;=9),$DF228*8*$CY228,0),0))</f>
        <v> </v>
      </c>
      <c r="AY228" s="297" t="str">
        <f aca="false">IF($A228="N/A"," ",IF(VLOOKUP(MONTH($A228),ManualTable,8)=1,IF(OR(Dayrun=1,Dayrun=5,Dayrun=8,Dayrun=11),$DG228*8*$CY228,0),0))</f>
        <v> </v>
      </c>
      <c r="AZ228" s="297" t="str">
        <f aca="false">IF($A228="N/A"," ",IF(VLOOKUP(MONTH($A228),ManualTable,9)=1,IF(OR(Dayrun=1,Dayrun=8,Dayrun=11),$DG228*8*$CY228,0),0))</f>
        <v> </v>
      </c>
      <c r="BA228" s="298" t="str">
        <f aca="false">IF($A228="N/A"," ",IF(VLOOKUP(MONTH($A228),ManualTable,10)=1,IF(OR(Dayrun&lt;=2,Dayrun&gt;=9),$DG228*8*$CY228,0),0))</f>
        <v> </v>
      </c>
      <c r="BB228" s="299" t="str">
        <f aca="false">IF($A228="N/A"," ",IF(Dayrun&gt;=3,(MAX(0,(xSPRDOPT(I228,($E228-'Pricing Inputs'!$X263*$D228),$CV228,0,($CN228+IF(Smile=TRUE(),VLOOKUP(MAX(-5,$H228-I228),Volsmile,2),0)),$CT228,$CU228,($A228-DateToday)+15,ABS(Option-2),1)*DE228*8))),0))</f>
        <v> </v>
      </c>
      <c r="BC228" s="300" t="str">
        <f aca="false">IF($A228="N/A"," ",IF(Dayrun&gt;=6,MAX(0,(xSPRDOPT(J228,($E228-'Pricing Inputs'!$X263*$D228),$CV228,0,($CN228+IF(Smile=TRUE(),VLOOKUP(MAX(-5,$H228-J228),Volsmile,2),0)),$CT228,$CU228,($A228-DateToday)+15,ABS(Option-2),1)*DE228*8)),0))</f>
        <v> </v>
      </c>
      <c r="BD228" s="300" t="str">
        <f aca="false">IF($A228="N/A"," ",IF(OR(Dayrun&lt;=2,Dayrun&gt;=9),IF(OffPeakEx=TRUE(),MAX(0,(xSPRDOPT(K228,($E228-'Pricing Inputs'!$X263*$D228),$CV228,0,($CQ228+IF(Smile=TRUE(),VLOOKUP(MAX(-5,$H228-K228),Volsmile,2),0)),$CT228,$CU228,($A228-DateToday)+15,ABS(Option-2),1)*DE228*8)),0),0))</f>
        <v> </v>
      </c>
      <c r="BE228" s="300" t="str">
        <f aca="false">IF($A228="N/A"," ",IF(OR(Dayrun=1,Dayrun=4,Dayrun=5,Dayrun=7,Dayrun=8,Dayrun=10,Dayrun=11),MAX(0,(xSPRDOPT(L228,($E228-'Pricing Inputs'!$X263*$D228),$CV228,0,($CQ228+IF(Smile=TRUE(),VLOOKUP(MAX(-5,$H228-L228),Volsmile,2),0)),$CT228,$CU228,($A228-DateToday)+15,ABS(Option-2),1)*DF228*8)),0))</f>
        <v> </v>
      </c>
      <c r="BF228" s="300" t="str">
        <f aca="false">IF($A228="N/A"," ",IF(OR(Dayrun=1,Dayrun=7,Dayrun=8,Dayrun=10,Dayrun=11),MAX(0,(xSPRDOPT(M228,($E228-'Pricing Inputs'!$X263*$D228),$CV228,0,($CQ228+IF(Smile=TRUE(),VLOOKUP(MAX(-5,$H228-M228),Volsmile,2),0)),$CT228,$CU228,($A228-DateToday)+15,ABS(Option-2),1)*DF228*8)),0))</f>
        <v> </v>
      </c>
      <c r="BG228" s="300" t="str">
        <f aca="false">IF($A228="N/A"," ",IF(OR(Dayrun&lt;=2,Dayrun&gt;=10),IF(OffPeakEx=TRUE(),MAX(0,(xSPRDOPT(N228,($E228-'Pricing Inputs'!$X263*$D228),$CV228,0,($CQ228+IF(Smile=TRUE(),VLOOKUP(MAX(-5,$H228-N228),Volsmile,2),0)),$CT228,$CU228,($A228-DateToday)+15,ABS(Option-2),1)*DF228*8)),0),0))</f>
        <v> </v>
      </c>
      <c r="BH228" s="300" t="str">
        <f aca="false">IF($A228="N/A"," ",IF(OR(Dayrun=1,Dayrun=5,Dayrun=8,Dayrun=11),MAX(0,(xSPRDOPT(O228,($E228-'Pricing Inputs'!$X263*$D228),$CV228,0,($CQ228+IF(Smile=TRUE(),VLOOKUP(MAX(-5,$H228-O228),Volsmile,2),0)),$CT228,$CU228,($A228-DateToday)+15,ABS(Option-2),1)*DG228*8)),0))</f>
        <v> </v>
      </c>
      <c r="BI228" s="300" t="str">
        <f aca="false">IF($A228="N/A"," ",IF(OR(Dayrun=1,Dayrun=8,Dayrun=11),MAX(0,(xSPRDOPT(P228,($E228-'Pricing Inputs'!$X263*$D228),$CV228,0,($CQ228+IF(Smile=TRUE(),VLOOKUP(MAX(-5,$H228-P228),Volsmile,2),0)),$CT228,$CU228,($A228-DateToday)+15,ABS(Option-2),1)*DG228*8)),0))</f>
        <v> </v>
      </c>
      <c r="BJ228" s="301" t="str">
        <f aca="false">IF($A228="N/A"," ",IF(OR(Dayrun&lt;=2,Dayrun&gt;=11),IF(OffPeakEx=TRUE(),MAX(0,(xSPRDOPT(Q228,($E228-'Pricing Inputs'!$X263*$D228),$CV228,0,($CQ228+IF(Smile=TRUE(),VLOOKUP(MAX(-5,$H228-Q228),Volsmile,2),0)),$CT228,$CU228,($A228-DateToday)+15,ABS(Option-2),1)*DG228*8)),0),0))</f>
        <v> </v>
      </c>
      <c r="BK228" s="302" t="str">
        <f aca="false">IF($A228="N/A"," ",R228*$AS228)</f>
        <v> </v>
      </c>
      <c r="BL228" s="303" t="str">
        <f aca="false">IF($A228="N/A"," ",S228*$AT228)</f>
        <v> </v>
      </c>
      <c r="BM228" s="303" t="str">
        <f aca="false">IF($A228="N/A"," ",T228*$AU228)</f>
        <v> </v>
      </c>
      <c r="BN228" s="303" t="str">
        <f aca="false">IF($A228="N/A"," ",U228*$AV228)</f>
        <v> </v>
      </c>
      <c r="BO228" s="303" t="str">
        <f aca="false">IF($A228="N/A"," ",V228*$AW228)</f>
        <v> </v>
      </c>
      <c r="BP228" s="303" t="str">
        <f aca="false">IF($A228="N/A"," ",W228*$AX228)</f>
        <v> </v>
      </c>
      <c r="BQ228" s="303" t="str">
        <f aca="false">IF($A228="N/A"," ",X228*$AY228)</f>
        <v> </v>
      </c>
      <c r="BR228" s="303" t="str">
        <f aca="false">IF($A228="N/A"," ",Y228*$AZ228)</f>
        <v> </v>
      </c>
      <c r="BS228" s="304" t="str">
        <f aca="false">IF($A228="N/A"," ",Z228*$BA228)</f>
        <v> </v>
      </c>
      <c r="BT228" s="305" t="str">
        <f aca="false">IF($A228="N/A"," ",AA228*$AS228)</f>
        <v> </v>
      </c>
      <c r="BU228" s="306" t="str">
        <f aca="false">IF($A228="N/A"," ",AB228*$AT228)</f>
        <v> </v>
      </c>
      <c r="BV228" s="306" t="str">
        <f aca="false">IF($A228="N/A"," ",AC228*$AU228)</f>
        <v> </v>
      </c>
      <c r="BW228" s="306" t="str">
        <f aca="false">IF($A228="N/A"," ",AD228*$AV228)</f>
        <v> </v>
      </c>
      <c r="BX228" s="306" t="str">
        <f aca="false">IF($A228="N/A"," ",AE228*$AW228)</f>
        <v> </v>
      </c>
      <c r="BY228" s="306" t="str">
        <f aca="false">IF($A228="N/A"," ",AF228*$AX228)</f>
        <v> </v>
      </c>
      <c r="BZ228" s="306" t="str">
        <f aca="false">IF($A228="N/A"," ",AG228*$AY228)</f>
        <v> </v>
      </c>
      <c r="CA228" s="306" t="str">
        <f aca="false">IF($A228="N/A"," ",AH228*$AZ228)</f>
        <v> </v>
      </c>
      <c r="CB228" s="307" t="str">
        <f aca="false">IF($A228="N/A"," ",AI228*$BA228)</f>
        <v> </v>
      </c>
      <c r="CC228" s="308" t="str">
        <f aca="false">IF($A228="N/A"," ",AJ228*$AS228)</f>
        <v> </v>
      </c>
      <c r="CD228" s="309" t="str">
        <f aca="false">IF($A228="N/A"," ",AK228*$AT228)</f>
        <v> </v>
      </c>
      <c r="CE228" s="309" t="str">
        <f aca="false">IF($A228="N/A"," ",AL228*$AU228)</f>
        <v> </v>
      </c>
      <c r="CF228" s="309" t="str">
        <f aca="false">IF($A228="N/A"," ",AM228*$AV228)</f>
        <v> </v>
      </c>
      <c r="CG228" s="309" t="str">
        <f aca="false">IF($A228="N/A"," ",AN228*$AW228)</f>
        <v> </v>
      </c>
      <c r="CH228" s="309" t="str">
        <f aca="false">IF($A228="N/A"," ",AO228*$AX228)</f>
        <v> </v>
      </c>
      <c r="CI228" s="309" t="str">
        <f aca="false">IF($A228="N/A"," ",AP228*$AY228)</f>
        <v> </v>
      </c>
      <c r="CJ228" s="309" t="str">
        <f aca="false">IF($A228="N/A"," ",AQ228*$AZ228)</f>
        <v> </v>
      </c>
      <c r="CK228" s="310" t="str">
        <f aca="false">IF($A228="N/A"," ",AR228*$BA228)</f>
        <v> </v>
      </c>
      <c r="CL228" s="311" t="str">
        <f aca="false">IF(A228="N/A"," ",(VLOOKUP(A228,PowerVolTable,(IF(VolBMO=2,7,IF(VolBMO=1,6,8))),FALSE())))</f>
        <v> </v>
      </c>
      <c r="CM228" s="312" t="str">
        <f aca="false">IF(A228="N/A"," ",(VLOOKUP(A228,IntraPowerVol,(IF(VolBMO=2,3,IF(VolBMO=1,2,4))),FALSE())*VLOOKUP(MONTH($A228),Volscale,2)))</f>
        <v> </v>
      </c>
      <c r="CN228" s="312" t="str">
        <f aca="false">IF($A228="N/A"," ",IF(VolType=1,CM228,CL228))</f>
        <v> </v>
      </c>
      <c r="CO228" s="312" t="str">
        <f aca="false">IF($A228="N/A"," ",(VLOOKUP($A228,OffPeakVol,(IF(VolBMO=2,7,IF(VolBMO=1,6,8))),FALSE())))</f>
        <v> </v>
      </c>
      <c r="CP228" s="312" t="str">
        <f aca="false">IF($A228="N/A"," ",(VLOOKUP($A228,OffPeakVol,(IF(VolBMO=2,3,IF(VolBMO=1,2,4))),FALSE())*VLOOKUP(MONTH($A228),Volscale,2)))</f>
        <v> </v>
      </c>
      <c r="CQ228" s="312" t="str">
        <f aca="false">IF($A228="N/A"," ",IF(VolType=1,CP228,CO228))</f>
        <v> </v>
      </c>
      <c r="CR228" s="312" t="str">
        <f aca="false">IF($A228="N/A"," ",(VLOOKUP($A228,GasVolTable,(IF(VolBMO=2,6,IF(VolBMO=1,7,5))),FALSE())))</f>
        <v> </v>
      </c>
      <c r="CS228" s="312" t="str">
        <f aca="false">IF($A228="N/A"," ",(VLOOKUP($A228,OmicronVol,(IF(VolBMO=2,3,IF(VolBMO=1,4,2))),FALSE())))</f>
        <v> </v>
      </c>
      <c r="CT228" s="312" t="str">
        <f aca="false">IF($A228="N/A"," ",(IF(DateToday&gt;$A228,$CS228,IF(VolType=1,((($CR228^2)*((($A228-1)-DateToday)/((EOMONTH($A228,0)+1)-DateToday-15)))+((($CS228)^2)*((15)/((EOMONTH($A228,0)+1)-DateToday-15))))^0.5,CR228))))</f>
        <v> </v>
      </c>
      <c r="CU228" s="312" t="str">
        <f aca="false">IF($A228="N/A"," ",IF('Pricing Inputs'!$AR$23=TRUE(),Inputs!$S$22,VLOOKUP($A228,CorrelationTable,2,FALSE())))</f>
        <v> </v>
      </c>
      <c r="CV228" s="313" t="str">
        <f aca="false">IF($A228="N/A"," ",F228+G228+(D228*('Pricing Inputs'!X263)))</f>
        <v> </v>
      </c>
      <c r="CW228" s="314" t="str">
        <f aca="false">IF($A228="N/A"," ",IF(PV=1,0,'Pricing Inputs'!Y263))</f>
        <v> </v>
      </c>
      <c r="CX228" s="315" t="str">
        <f aca="false">IF($A228="N/A"," ",(1+CW228/2)^(-2*((EOMONTH(A228,0)+20)-DateToday)/365.25))</f>
        <v> </v>
      </c>
      <c r="CY228" s="316" t="str">
        <f aca="false">IF($A228="N/A"," ",(IF(MONTH(A228)&gt;=4,IF(MONTH(A228)&lt;=10,Inputs!$S$26,Inputs!$S$27),Inputs!$S$27))*$CX228)</f>
        <v> </v>
      </c>
      <c r="CZ228" s="317" t="str">
        <f aca="false">IF($A228="N/A"," ",BK228+BL228+BN228+BO228+BQ228+BR228)</f>
        <v> </v>
      </c>
      <c r="DA228" s="318" t="str">
        <f aca="false">IF($A228="N/A"," ",BM228+BP228+BS228)</f>
        <v> </v>
      </c>
      <c r="DB228" s="319" t="str">
        <f aca="false">IF($A228="N/A"," ",BT228+BU228+BW228+BX228+BZ228+CA228)</f>
        <v> </v>
      </c>
      <c r="DC228" s="319" t="str">
        <f aca="false">IF($A228="N/A"," ",BV228+BY228+CB228)</f>
        <v> </v>
      </c>
      <c r="DD228" s="320" t="str">
        <f aca="false">IF($A228="N/A"," ",SUM(CC228:CK228))</f>
        <v> </v>
      </c>
      <c r="DE228" s="321" t="str">
        <f aca="false">IF($A228="N/A"," ",VLOOKUP($A228,NumberofDaysTable,2)*Availability)</f>
        <v> </v>
      </c>
      <c r="DF228" s="94" t="str">
        <f aca="false">IF($A228="N/A"," ",VLOOKUP($A228,NumberofDaysTable,3)*Availability)</f>
        <v> </v>
      </c>
      <c r="DG228" s="322" t="str">
        <f aca="false">IF($A228="N/A"," ",VLOOKUP($A228,NumberofDaysTable,4)*Availability)</f>
        <v> </v>
      </c>
      <c r="DH228" s="323" t="str">
        <f aca="false">IF($A228="N/A"," ",IF(Option=1,$D228*Inputs!$S$15*SUM(AS228:BA228),0))</f>
        <v> </v>
      </c>
      <c r="DI228" s="324" t="str">
        <f aca="false">IF($A228="N/A"," ",IF(Option=1,$D228*Inputs!$S$16*SUM(AS228:BA228),0))</f>
        <v> </v>
      </c>
      <c r="DJ228" s="325" t="str">
        <f aca="false">IF($A228="N/A"," ",SUM(AS228:AT228))</f>
        <v> </v>
      </c>
      <c r="DK228" s="325" t="str">
        <f aca="false">IF($A228="N/A"," ",SUM(AU228:BA228))</f>
        <v> </v>
      </c>
      <c r="DL228" s="325" t="str">
        <f aca="false">IF($A228="N/A"," ",SUM(BB228:BC228))</f>
        <v> </v>
      </c>
      <c r="DM228" s="325" t="str">
        <f aca="false">IF($A228="N/A"," ",SUM(BD228:BJ228))</f>
        <v> </v>
      </c>
    </row>
    <row r="229" customFormat="false" ht="12.75" hidden="false" customHeight="false" outlineLevel="0" collapsed="false">
      <c r="A229" s="282" t="str">
        <f aca="false">IF(A228="N/A","N/A",IF(EDATE(A228,1)&gt;Inputs!$S$5,"N/A",EDATE(A228,1)))</f>
        <v>N/A</v>
      </c>
      <c r="B229" s="283" t="str">
        <f aca="false">IF(A229="N/A"," ",YEAR(A229))</f>
        <v> </v>
      </c>
      <c r="C229" s="284" t="str">
        <f aca="false">IF(A229="N/A"," ",VLOOKUP(A229,ScaledPrice,14))</f>
        <v> </v>
      </c>
      <c r="D229" s="285" t="str">
        <f aca="false">IF(A229="N/A"," ",(VLOOKUP(MONTH($A229),Hrtable,2))/1000)</f>
        <v> </v>
      </c>
      <c r="E229" s="286" t="str">
        <f aca="false">IF($A229="N/A"," ",(C229)*D229)</f>
        <v> </v>
      </c>
      <c r="F229" s="287" t="str">
        <f aca="false">IF(A229="N/A"," ",VOM*(1+VOMesc)^(YEAR(A229)-YEAR(Today)))</f>
        <v> </v>
      </c>
      <c r="G229" s="287" t="str">
        <f aca="false">IF(A229="N/A"," ",Perstart/VLOOKUP(Dayrun,'Pricing Inputs'!$AQ$4:$AS$14,3)/(CY229/CX229))</f>
        <v> </v>
      </c>
      <c r="H229" s="288" t="str">
        <f aca="false">IF(A229="N/A"," ",SUM(E229:G229))</f>
        <v> </v>
      </c>
      <c r="I229" s="289" t="str">
        <f aca="false">VLOOKUP($A229,ScaledPrice,6)</f>
        <v> </v>
      </c>
      <c r="J229" s="290" t="str">
        <f aca="false">VLOOKUP($A229,ScaledPrice,10)</f>
        <v> </v>
      </c>
      <c r="K229" s="290" t="str">
        <f aca="false">VLOOKUP($A229,ScaledPrice,13)</f>
        <v> </v>
      </c>
      <c r="L229" s="290" t="str">
        <f aca="false">VLOOKUP($A229,ScaledPrice,7)</f>
        <v> </v>
      </c>
      <c r="M229" s="290" t="str">
        <f aca="false">VLOOKUP($A229,ScaledPrice,11)</f>
        <v> </v>
      </c>
      <c r="N229" s="290" t="str">
        <f aca="false">VLOOKUP($A229,ScaledPrice,13)</f>
        <v> </v>
      </c>
      <c r="O229" s="290" t="str">
        <f aca="false">VLOOKUP($A229,ScaledPrice,8)</f>
        <v> </v>
      </c>
      <c r="P229" s="290" t="str">
        <f aca="false">VLOOKUP($A229,ScaledPrice,12)</f>
        <v> </v>
      </c>
      <c r="Q229" s="291" t="str">
        <f aca="false">VLOOKUP($A229,ScaledPrice,13)</f>
        <v> </v>
      </c>
      <c r="R229" s="292" t="str">
        <f aca="false">IF($A229="N/A"," ",IF(Dayrun&gt;=3,IF(Option=1,MAX($I229-$H229,0),IF(Option=2,MAX($H229-$I229,0),0)),0))</f>
        <v> </v>
      </c>
      <c r="S229" s="286" t="str">
        <f aca="false">IF($A229="N/A"," ",IF(Dayrun&gt;=6,IF(Option=1,MAX($J229-H229,0),IF(Option=2,MAX(H229-$J229,0),0)),0))</f>
        <v> </v>
      </c>
      <c r="T229" s="286" t="str">
        <f aca="false">IF($A229="N/A"," ",IF(OR(Dayrun&lt;=2,Dayrun&gt;=9),IF(Option=1,MAX($K229-$H229,0),IF(Option=2,MAX($H229-$K229,0),0)),0))</f>
        <v> </v>
      </c>
      <c r="U229" s="286" t="str">
        <f aca="false">IF($A229="N/A"," ",IF(OR(Dayrun=1,Dayrun=4,Dayrun=5,Dayrun=7,Dayrun=8,Dayrun=10,Dayrun=11),IF(Option=1,MAX($L229-H229,0),IF(Option=2,MAX(H229-$L229,0),0)),0))</f>
        <v> </v>
      </c>
      <c r="V229" s="286" t="str">
        <f aca="false">IF($A229="N/A"," ",IF(OR(Dayrun=1,Dayrun=7,Dayrun=8,Dayrun=10,Dayrun=11),IF(Option=1,MAX($M229-H229,0),IF(Option=2,MAX(H229-$M229,0),0)),0))</f>
        <v> </v>
      </c>
      <c r="W229" s="286" t="str">
        <f aca="false">IF($A229="N/A"," ",IF(OR(Dayrun&lt;=2,Dayrun&gt;=10),IF(Option=1,MAX($N229-$H229,0),IF(Option=2,MAX($H229-$N229,0),0)),0))</f>
        <v> </v>
      </c>
      <c r="X229" s="286" t="str">
        <f aca="false">IF($A229="N/A"," ",IF(OR(Dayrun=1,Dayrun=5,Dayrun=8,Dayrun=11),IF(Option=1,MAX($O229-H229,0),IF(Option=2,MAX(H229-$O229,0),0)),0))</f>
        <v> </v>
      </c>
      <c r="Y229" s="286" t="str">
        <f aca="false">IF($A229="N/A"," ",IF(OR(Dayrun=1,Dayrun=8,Dayrun=11),IF(Option=1,MAX($P229-H229,0),IF(Option=2,MAX(H229-$P229,0),0)),0))</f>
        <v> </v>
      </c>
      <c r="Z229" s="293" t="str">
        <f aca="false">IF($A229="N/A"," ",IF(OR(Dayrun&lt;=2,Dayrun&gt;=11),IF(Option=1,MAX($Q229-$H229,0),IF(Option=2,MAX($H229-$Q229,0),0)),0))</f>
        <v> </v>
      </c>
      <c r="AA229" s="289" t="str">
        <f aca="false">IF($A229="N/A"," ",IF(Dayrun&gt;=3,(MAX(0,(xSPRDOPT(I229,($E229-'Pricing Inputs'!$X264*$D229),$CV229,0,($CN229+IF(Smile=TRUE(),VLOOKUP(MAX(-5,$H229-I229),Volsmile,2),0)),$CT229,$CU229,($A229-DateToday)+15,ABS(Option-2),0)-R229))),0))</f>
        <v> </v>
      </c>
      <c r="AB229" s="290" t="str">
        <f aca="false">IF($A229="N/A"," ",IF(Dayrun&gt;=6,MAX(0,(xSPRDOPT(J229,($E229-'Pricing Inputs'!$X264*$D229),$CV229,0,($CN229+IF(Smile=TRUE(),VLOOKUP(MAX(-5,$H229-J229),Volsmile,2),0)),$CT229,$CU229,($A229-DateToday)+15,ABS(Option-2),0)-S229)),0))</f>
        <v> </v>
      </c>
      <c r="AC229" s="290" t="str">
        <f aca="false">IF($A229="N/A"," ",IF(OR(Dayrun&lt;=2,Dayrun&gt;=9),IF(OffPeakEx=TRUE(),MAX(0,(xSPRDOPT(K229,($E229-'Pricing Inputs'!$X264*$D229),$CV229,0,($CQ229+IF(Smile=TRUE(),VLOOKUP(MAX(-5,$H229-K229),Volsmile,2),0)),$CT229,$CU229,($A229-DateToday)+15,ABS(Option-2),0)-T229)),0),0))</f>
        <v> </v>
      </c>
      <c r="AD229" s="290" t="str">
        <f aca="false">IF($A229="N/A"," ",IF(OR(Dayrun=1,Dayrun=4,Dayrun=5,Dayrun=7,Dayrun=8,Dayrun=10,Dayrun=11),MAX(0,(xSPRDOPT(L229,($E229-'Pricing Inputs'!$X264*$D229),$CV229,0,($CQ229+IF(Smile=TRUE(),VLOOKUP(MAX(-5,$H229-L229),Volsmile,2),0)),$CT229,$CU229,($A229-DateToday)+15,ABS(Option-2),0)-U229)),0))</f>
        <v> </v>
      </c>
      <c r="AE229" s="290" t="str">
        <f aca="false">IF($A229="N/A"," ",IF(OR(Dayrun=1,Dayrun=7,Dayrun=8,Dayrun=10,Dayrun=11),MAX(0,(xSPRDOPT(M229,($E229-'Pricing Inputs'!$X264*$D229),$CV229,0,($CQ229+IF(Smile=TRUE(),VLOOKUP(MAX(-5,$H229-M229),Volsmile,2),0)),$CT229,$CU229,($A229-DateToday)+15,ABS(Option-2),0)-V229)),0))</f>
        <v> </v>
      </c>
      <c r="AF229" s="290" t="str">
        <f aca="false">IF($A229="N/A"," ",IF(OR(Dayrun&lt;=2,Dayrun&gt;=10),IF(OffPeakEx=TRUE(),MAX(0,(xSPRDOPT(N229,($E229-'Pricing Inputs'!$X264*$D229),$CV229,0,($CQ229+IF(Smile=TRUE(),VLOOKUP(MAX(-5,$H229-N229),Volsmile,2),0)),$CT229,$CU229,($A229-DateToday)+15,ABS(Option-2),0)-W229)),0),0))</f>
        <v> </v>
      </c>
      <c r="AG229" s="290" t="str">
        <f aca="false">IF($A229="N/A"," ",IF(OR(Dayrun=1,Dayrun=5,Dayrun=8,Dayrun=11),MAX(0,(xSPRDOPT(O229,($E229-'Pricing Inputs'!$X264*$D229),$CV229,0,($CQ229+IF(Smile=TRUE(),VLOOKUP(MAX(-5,$H229-O229),Volsmile,2),0)),$CT229,$CU229,($A229-DateToday)+15,ABS(Option-2),0)-X229)),0))</f>
        <v> </v>
      </c>
      <c r="AH229" s="290" t="str">
        <f aca="false">IF($A229="N/A"," ",IF(OR(Dayrun=1,Dayrun=8,Dayrun=11),MAX(0,(xSPRDOPT(P229,($E229-'Pricing Inputs'!$X264*$D229),$CV229,0,($CQ229+IF(Smile=TRUE(),VLOOKUP(MAX(-5,$H229-P229),Volsmile,2),0)),$CT229,$CU229,($A229-DateToday)+15,ABS(Option-2),0)-Y229)),0))</f>
        <v> </v>
      </c>
      <c r="AI229" s="290" t="str">
        <f aca="false">IF($A229="N/A"," ",IF(OR(Dayrun&lt;=2,Dayrun&gt;=11),IF(OffPeakEx=TRUE(),MAX(0,(xSPRDOPT(Q229,($E229-'Pricing Inputs'!$X264*$D229),$CV229,0,($CQ229+IF(Smile=TRUE(),VLOOKUP(MAX(-5,$H229-Q229),Volsmile,2),0)),$CT229,$CU229,($A229-DateToday)+15,ABS(Option-2),0)-Z229)),0),0))</f>
        <v> </v>
      </c>
      <c r="AJ229" s="294" t="str">
        <f aca="false">IF($A229="N/A"," ",IF(Dayrun&gt;=3,IF(Option=1,$I229-$H229,IF(Option=2,$H229-$I229)),0))</f>
        <v> </v>
      </c>
      <c r="AK229" s="295" t="str">
        <f aca="false">IF($A229="N/A"," ",IF(Dayrun&gt;=6,IF(Option=1,$J229-H229,IF(Option=2,H229-$J229)),0))</f>
        <v> </v>
      </c>
      <c r="AL229" s="295" t="str">
        <f aca="false">IF($A229="N/A"," ",IF(OR(Dayrun&lt;=2,Dayrun&gt;=9),IF(Option=1,$K229-$H229,IF(Option=2,$H229-$K229)),0))</f>
        <v> </v>
      </c>
      <c r="AM229" s="295" t="str">
        <f aca="false">IF($A229="N/A"," ",IF(OR(Dayrun=1,Dayrun=4,Dayrun=5,Dayrun=7,Dayrun=8,Dayrun=10,Dayrun=11),IF(Option=1,$L229-H229,IF(Option=2,H229-$L229)),0))</f>
        <v> </v>
      </c>
      <c r="AN229" s="295" t="str">
        <f aca="false">IF($A229="N/A"," ",IF(OR(Dayrun=1,Dayrun=7,Dayrun=8,Dayrun=10,Dayrun=11),IF(Option=1,$M229-H229,IF(Option=2,H229-$M229)),0))</f>
        <v> </v>
      </c>
      <c r="AO229" s="295" t="str">
        <f aca="false">IF($A229="N/A"," ",IF(OR(Dayrun&lt;=2,Dayrun&gt;=9),IF(Option=1,$N229-$H229,IF(Option=2,$H229-$N229)),0))</f>
        <v> </v>
      </c>
      <c r="AP229" s="295" t="str">
        <f aca="false">IF($A229="N/A"," ",IF(OR(Dayrun=1,Dayrun=5,Dayrun=8,Dayrun=11),IF(Option=1,$O229-H229,IF(Option=2,H229-$O229)),0))</f>
        <v> </v>
      </c>
      <c r="AQ229" s="295" t="str">
        <f aca="false">IF($A229="N/A"," ",IF(OR(Dayrun=1,Dayrun=8,Dayrun=11),IF(Option=1,$P229-H229,IF(Option=2,H229-$P229)),0))</f>
        <v> </v>
      </c>
      <c r="AR229" s="296" t="str">
        <f aca="false">IF($A229="N/A"," ",IF(OR(Dayrun&lt;=2,Dayrun&gt;=9),IF(Option=1,$Q229-H229,IF(Option=2,H229-$Q229)),0))</f>
        <v> </v>
      </c>
      <c r="AS229" s="297" t="str">
        <f aca="false">IF($A229="N/A"," ",IF(VLOOKUP(MONTH($A229),ManualTable,2)=1,IF(Dayrun&gt;=3,$DE229*8*$CY229,0),0))</f>
        <v> </v>
      </c>
      <c r="AT229" s="297" t="str">
        <f aca="false">IF($A229="N/A"," ",IF(VLOOKUP(MONTH($A229),ManualTable,3)=1,IF(Dayrun&gt;=6,$DE229*8*$CY229,0),0))</f>
        <v> </v>
      </c>
      <c r="AU229" s="297" t="str">
        <f aca="false">IF($A229="N/A"," ",IF(VLOOKUP(MONTH($A229),ManualTable,4)=1,IF(OR(Dayrun&lt;=2,Dayrun&gt;=9),$DE229*8*$CY229,0),0))</f>
        <v> </v>
      </c>
      <c r="AV229" s="297" t="str">
        <f aca="false">IF($A229="N/A"," ",IF(VLOOKUP(MONTH($A229),ManualTable,5)=1,IF(OR(Dayrun=1,Dayrun=4,Dayrun=5,Dayrun=7,Dayrun=8,Dayrun=10,Dayrun=11),$DF229*8*$CY229,0),0))</f>
        <v> </v>
      </c>
      <c r="AW229" s="297" t="str">
        <f aca="false">IF($A229="N/A"," ",IF(VLOOKUP(MONTH($A229),ManualTable,6)=1,IF(OR(Dayrun=1,Dayrun=7,Dayrun=8,Dayrun=10,Dayrun=11),$DF229*8*$CY229,0),0))</f>
        <v> </v>
      </c>
      <c r="AX229" s="297" t="str">
        <f aca="false">IF($A229="N/A"," ",IF(VLOOKUP(MONTH($A229),ManualTable,7)=1,IF(OR(Dayrun&lt;=2,Dayrun&gt;=9),$DF229*8*$CY229,0),0))</f>
        <v> </v>
      </c>
      <c r="AY229" s="297" t="str">
        <f aca="false">IF($A229="N/A"," ",IF(VLOOKUP(MONTH($A229),ManualTable,8)=1,IF(OR(Dayrun=1,Dayrun=5,Dayrun=8,Dayrun=11),$DG229*8*$CY229,0),0))</f>
        <v> </v>
      </c>
      <c r="AZ229" s="297" t="str">
        <f aca="false">IF($A229="N/A"," ",IF(VLOOKUP(MONTH($A229),ManualTable,9)=1,IF(OR(Dayrun=1,Dayrun=8,Dayrun=11),$DG229*8*$CY229,0),0))</f>
        <v> </v>
      </c>
      <c r="BA229" s="298" t="str">
        <f aca="false">IF($A229="N/A"," ",IF(VLOOKUP(MONTH($A229),ManualTable,10)=1,IF(OR(Dayrun&lt;=2,Dayrun&gt;=9),$DG229*8*$CY229,0),0))</f>
        <v> </v>
      </c>
      <c r="BB229" s="299" t="str">
        <f aca="false">IF($A229="N/A"," ",IF(Dayrun&gt;=3,(MAX(0,(xSPRDOPT(I229,($E229-'Pricing Inputs'!$X264*$D229),$CV229,0,($CN229+IF(Smile=TRUE(),VLOOKUP(MAX(-5,$H229-I229),Volsmile,2),0)),$CT229,$CU229,($A229-DateToday)+15,ABS(Option-2),1)*DE229*8))),0))</f>
        <v> </v>
      </c>
      <c r="BC229" s="300" t="str">
        <f aca="false">IF($A229="N/A"," ",IF(Dayrun&gt;=6,MAX(0,(xSPRDOPT(J229,($E229-'Pricing Inputs'!$X264*$D229),$CV229,0,($CN229+IF(Smile=TRUE(),VLOOKUP(MAX(-5,$H229-J229),Volsmile,2),0)),$CT229,$CU229,($A229-DateToday)+15,ABS(Option-2),1)*DE229*8)),0))</f>
        <v> </v>
      </c>
      <c r="BD229" s="300" t="str">
        <f aca="false">IF($A229="N/A"," ",IF(OR(Dayrun&lt;=2,Dayrun&gt;=9),IF(OffPeakEx=TRUE(),MAX(0,(xSPRDOPT(K229,($E229-'Pricing Inputs'!$X264*$D229),$CV229,0,($CQ229+IF(Smile=TRUE(),VLOOKUP(MAX(-5,$H229-K229),Volsmile,2),0)),$CT229,$CU229,($A229-DateToday)+15,ABS(Option-2),1)*DE229*8)),0),0))</f>
        <v> </v>
      </c>
      <c r="BE229" s="300" t="str">
        <f aca="false">IF($A229="N/A"," ",IF(OR(Dayrun=1,Dayrun=4,Dayrun=5,Dayrun=7,Dayrun=8,Dayrun=10,Dayrun=11),MAX(0,(xSPRDOPT(L229,($E229-'Pricing Inputs'!$X264*$D229),$CV229,0,($CQ229+IF(Smile=TRUE(),VLOOKUP(MAX(-5,$H229-L229),Volsmile,2),0)),$CT229,$CU229,($A229-DateToday)+15,ABS(Option-2),1)*DF229*8)),0))</f>
        <v> </v>
      </c>
      <c r="BF229" s="300" t="str">
        <f aca="false">IF($A229="N/A"," ",IF(OR(Dayrun=1,Dayrun=7,Dayrun=8,Dayrun=10,Dayrun=11),MAX(0,(xSPRDOPT(M229,($E229-'Pricing Inputs'!$X264*$D229),$CV229,0,($CQ229+IF(Smile=TRUE(),VLOOKUP(MAX(-5,$H229-M229),Volsmile,2),0)),$CT229,$CU229,($A229-DateToday)+15,ABS(Option-2),1)*DF229*8)),0))</f>
        <v> </v>
      </c>
      <c r="BG229" s="300" t="str">
        <f aca="false">IF($A229="N/A"," ",IF(OR(Dayrun&lt;=2,Dayrun&gt;=10),IF(OffPeakEx=TRUE(),MAX(0,(xSPRDOPT(N229,($E229-'Pricing Inputs'!$X264*$D229),$CV229,0,($CQ229+IF(Smile=TRUE(),VLOOKUP(MAX(-5,$H229-N229),Volsmile,2),0)),$CT229,$CU229,($A229-DateToday)+15,ABS(Option-2),1)*DF229*8)),0),0))</f>
        <v> </v>
      </c>
      <c r="BH229" s="300" t="str">
        <f aca="false">IF($A229="N/A"," ",IF(OR(Dayrun=1,Dayrun=5,Dayrun=8,Dayrun=11),MAX(0,(xSPRDOPT(O229,($E229-'Pricing Inputs'!$X264*$D229),$CV229,0,($CQ229+IF(Smile=TRUE(),VLOOKUP(MAX(-5,$H229-O229),Volsmile,2),0)),$CT229,$CU229,($A229-DateToday)+15,ABS(Option-2),1)*DG229*8)),0))</f>
        <v> </v>
      </c>
      <c r="BI229" s="300" t="str">
        <f aca="false">IF($A229="N/A"," ",IF(OR(Dayrun=1,Dayrun=8,Dayrun=11),MAX(0,(xSPRDOPT(P229,($E229-'Pricing Inputs'!$X264*$D229),$CV229,0,($CQ229+IF(Smile=TRUE(),VLOOKUP(MAX(-5,$H229-P229),Volsmile,2),0)),$CT229,$CU229,($A229-DateToday)+15,ABS(Option-2),1)*DG229*8)),0))</f>
        <v> </v>
      </c>
      <c r="BJ229" s="301" t="str">
        <f aca="false">IF($A229="N/A"," ",IF(OR(Dayrun&lt;=2,Dayrun&gt;=11),IF(OffPeakEx=TRUE(),MAX(0,(xSPRDOPT(Q229,($E229-'Pricing Inputs'!$X264*$D229),$CV229,0,($CQ229+IF(Smile=TRUE(),VLOOKUP(MAX(-5,$H229-Q229),Volsmile,2),0)),$CT229,$CU229,($A229-DateToday)+15,ABS(Option-2),1)*DG229*8)),0),0))</f>
        <v> </v>
      </c>
      <c r="BK229" s="302" t="str">
        <f aca="false">IF($A229="N/A"," ",R229*$AS229)</f>
        <v> </v>
      </c>
      <c r="BL229" s="303" t="str">
        <f aca="false">IF($A229="N/A"," ",S229*$AT229)</f>
        <v> </v>
      </c>
      <c r="BM229" s="303" t="str">
        <f aca="false">IF($A229="N/A"," ",T229*$AU229)</f>
        <v> </v>
      </c>
      <c r="BN229" s="303" t="str">
        <f aca="false">IF($A229="N/A"," ",U229*$AV229)</f>
        <v> </v>
      </c>
      <c r="BO229" s="303" t="str">
        <f aca="false">IF($A229="N/A"," ",V229*$AW229)</f>
        <v> </v>
      </c>
      <c r="BP229" s="303" t="str">
        <f aca="false">IF($A229="N/A"," ",W229*$AX229)</f>
        <v> </v>
      </c>
      <c r="BQ229" s="303" t="str">
        <f aca="false">IF($A229="N/A"," ",X229*$AY229)</f>
        <v> </v>
      </c>
      <c r="BR229" s="303" t="str">
        <f aca="false">IF($A229="N/A"," ",Y229*$AZ229)</f>
        <v> </v>
      </c>
      <c r="BS229" s="304" t="str">
        <f aca="false">IF($A229="N/A"," ",Z229*$BA229)</f>
        <v> </v>
      </c>
      <c r="BT229" s="305" t="str">
        <f aca="false">IF($A229="N/A"," ",AA229*$AS229)</f>
        <v> </v>
      </c>
      <c r="BU229" s="306" t="str">
        <f aca="false">IF($A229="N/A"," ",AB229*$AT229)</f>
        <v> </v>
      </c>
      <c r="BV229" s="306" t="str">
        <f aca="false">IF($A229="N/A"," ",AC229*$AU229)</f>
        <v> </v>
      </c>
      <c r="BW229" s="306" t="str">
        <f aca="false">IF($A229="N/A"," ",AD229*$AV229)</f>
        <v> </v>
      </c>
      <c r="BX229" s="306" t="str">
        <f aca="false">IF($A229="N/A"," ",AE229*$AW229)</f>
        <v> </v>
      </c>
      <c r="BY229" s="306" t="str">
        <f aca="false">IF($A229="N/A"," ",AF229*$AX229)</f>
        <v> </v>
      </c>
      <c r="BZ229" s="306" t="str">
        <f aca="false">IF($A229="N/A"," ",AG229*$AY229)</f>
        <v> </v>
      </c>
      <c r="CA229" s="306" t="str">
        <f aca="false">IF($A229="N/A"," ",AH229*$AZ229)</f>
        <v> </v>
      </c>
      <c r="CB229" s="307" t="str">
        <f aca="false">IF($A229="N/A"," ",AI229*$BA229)</f>
        <v> </v>
      </c>
      <c r="CC229" s="308" t="str">
        <f aca="false">IF($A229="N/A"," ",AJ229*$AS229)</f>
        <v> </v>
      </c>
      <c r="CD229" s="309" t="str">
        <f aca="false">IF($A229="N/A"," ",AK229*$AT229)</f>
        <v> </v>
      </c>
      <c r="CE229" s="309" t="str">
        <f aca="false">IF($A229="N/A"," ",AL229*$AU229)</f>
        <v> </v>
      </c>
      <c r="CF229" s="309" t="str">
        <f aca="false">IF($A229="N/A"," ",AM229*$AV229)</f>
        <v> </v>
      </c>
      <c r="CG229" s="309" t="str">
        <f aca="false">IF($A229="N/A"," ",AN229*$AW229)</f>
        <v> </v>
      </c>
      <c r="CH229" s="309" t="str">
        <f aca="false">IF($A229="N/A"," ",AO229*$AX229)</f>
        <v> </v>
      </c>
      <c r="CI229" s="309" t="str">
        <f aca="false">IF($A229="N/A"," ",AP229*$AY229)</f>
        <v> </v>
      </c>
      <c r="CJ229" s="309" t="str">
        <f aca="false">IF($A229="N/A"," ",AQ229*$AZ229)</f>
        <v> </v>
      </c>
      <c r="CK229" s="310" t="str">
        <f aca="false">IF($A229="N/A"," ",AR229*$BA229)</f>
        <v> </v>
      </c>
      <c r="CL229" s="311" t="str">
        <f aca="false">IF(A229="N/A"," ",(VLOOKUP(A229,PowerVolTable,(IF(VolBMO=2,7,IF(VolBMO=1,6,8))),FALSE())))</f>
        <v> </v>
      </c>
      <c r="CM229" s="312" t="str">
        <f aca="false">IF(A229="N/A"," ",(VLOOKUP(A229,IntraPowerVol,(IF(VolBMO=2,3,IF(VolBMO=1,2,4))),FALSE())*VLOOKUP(MONTH($A229),Volscale,2)))</f>
        <v> </v>
      </c>
      <c r="CN229" s="312" t="str">
        <f aca="false">IF($A229="N/A"," ",IF(VolType=1,CM229,CL229))</f>
        <v> </v>
      </c>
      <c r="CO229" s="312" t="str">
        <f aca="false">IF($A229="N/A"," ",(VLOOKUP($A229,OffPeakVol,(IF(VolBMO=2,7,IF(VolBMO=1,6,8))),FALSE())))</f>
        <v> </v>
      </c>
      <c r="CP229" s="312" t="str">
        <f aca="false">IF($A229="N/A"," ",(VLOOKUP($A229,OffPeakVol,(IF(VolBMO=2,3,IF(VolBMO=1,2,4))),FALSE())*VLOOKUP(MONTH($A229),Volscale,2)))</f>
        <v> </v>
      </c>
      <c r="CQ229" s="312" t="str">
        <f aca="false">IF($A229="N/A"," ",IF(VolType=1,CP229,CO229))</f>
        <v> </v>
      </c>
      <c r="CR229" s="312" t="str">
        <f aca="false">IF($A229="N/A"," ",(VLOOKUP($A229,GasVolTable,(IF(VolBMO=2,6,IF(VolBMO=1,7,5))),FALSE())))</f>
        <v> </v>
      </c>
      <c r="CS229" s="312" t="str">
        <f aca="false">IF($A229="N/A"," ",(VLOOKUP($A229,OmicronVol,(IF(VolBMO=2,3,IF(VolBMO=1,4,2))),FALSE())))</f>
        <v> </v>
      </c>
      <c r="CT229" s="312" t="str">
        <f aca="false">IF($A229="N/A"," ",(IF(DateToday&gt;$A229,$CS229,IF(VolType=1,((($CR229^2)*((($A229-1)-DateToday)/((EOMONTH($A229,0)+1)-DateToday-15)))+((($CS229)^2)*((15)/((EOMONTH($A229,0)+1)-DateToday-15))))^0.5,CR229))))</f>
        <v> </v>
      </c>
      <c r="CU229" s="312" t="str">
        <f aca="false">IF($A229="N/A"," ",IF('Pricing Inputs'!$AR$23=TRUE(),Inputs!$S$22,VLOOKUP($A229,CorrelationTable,2,FALSE())))</f>
        <v> </v>
      </c>
      <c r="CV229" s="313" t="str">
        <f aca="false">IF($A229="N/A"," ",F229+G229+(D229*('Pricing Inputs'!X264)))</f>
        <v> </v>
      </c>
      <c r="CW229" s="314" t="str">
        <f aca="false">IF($A229="N/A"," ",IF(PV=1,0,'Pricing Inputs'!Y264))</f>
        <v> </v>
      </c>
      <c r="CX229" s="315" t="str">
        <f aca="false">IF($A229="N/A"," ",(1+CW229/2)^(-2*((EOMONTH(A229,0)+20)-DateToday)/365.25))</f>
        <v> </v>
      </c>
      <c r="CY229" s="316" t="str">
        <f aca="false">IF($A229="N/A"," ",(IF(MONTH(A229)&gt;=4,IF(MONTH(A229)&lt;=10,Inputs!$S$26,Inputs!$S$27),Inputs!$S$27))*$CX229)</f>
        <v> </v>
      </c>
      <c r="CZ229" s="317" t="str">
        <f aca="false">IF($A229="N/A"," ",BK229+BL229+BN229+BO229+BQ229+BR229)</f>
        <v> </v>
      </c>
      <c r="DA229" s="318" t="str">
        <f aca="false">IF($A229="N/A"," ",BM229+BP229+BS229)</f>
        <v> </v>
      </c>
      <c r="DB229" s="319" t="str">
        <f aca="false">IF($A229="N/A"," ",BT229+BU229+BW229+BX229+BZ229+CA229)</f>
        <v> </v>
      </c>
      <c r="DC229" s="319" t="str">
        <f aca="false">IF($A229="N/A"," ",BV229+BY229+CB229)</f>
        <v> </v>
      </c>
      <c r="DD229" s="320" t="str">
        <f aca="false">IF($A229="N/A"," ",SUM(CC229:CK229))</f>
        <v> </v>
      </c>
      <c r="DE229" s="321" t="str">
        <f aca="false">IF($A229="N/A"," ",VLOOKUP($A229,NumberofDaysTable,2)*Availability)</f>
        <v> </v>
      </c>
      <c r="DF229" s="94" t="str">
        <f aca="false">IF($A229="N/A"," ",VLOOKUP($A229,NumberofDaysTable,3)*Availability)</f>
        <v> </v>
      </c>
      <c r="DG229" s="322" t="str">
        <f aca="false">IF($A229="N/A"," ",VLOOKUP($A229,NumberofDaysTable,4)*Availability)</f>
        <v> </v>
      </c>
      <c r="DH229" s="323" t="str">
        <f aca="false">IF($A229="N/A"," ",IF(Option=1,$D229*Inputs!$S$15*SUM(AS229:BA229),0))</f>
        <v> </v>
      </c>
      <c r="DI229" s="324" t="str">
        <f aca="false">IF($A229="N/A"," ",IF(Option=1,$D229*Inputs!$S$16*SUM(AS229:BA229),0))</f>
        <v> </v>
      </c>
      <c r="DJ229" s="325" t="str">
        <f aca="false">IF($A229="N/A"," ",SUM(AS229:AT229))</f>
        <v> </v>
      </c>
      <c r="DK229" s="325" t="str">
        <f aca="false">IF($A229="N/A"," ",SUM(AU229:BA229))</f>
        <v> </v>
      </c>
      <c r="DL229" s="325" t="str">
        <f aca="false">IF($A229="N/A"," ",SUM(BB229:BC229))</f>
        <v> </v>
      </c>
      <c r="DM229" s="325" t="str">
        <f aca="false">IF($A229="N/A"," ",SUM(BD229:BJ229))</f>
        <v> </v>
      </c>
    </row>
    <row r="230" customFormat="false" ht="12.75" hidden="false" customHeight="false" outlineLevel="0" collapsed="false">
      <c r="A230" s="282" t="str">
        <f aca="false">IF(A229="N/A","N/A",IF(EDATE(A229,1)&gt;Inputs!$S$5,"N/A",EDATE(A229,1)))</f>
        <v>N/A</v>
      </c>
      <c r="B230" s="283" t="str">
        <f aca="false">IF(A230="N/A"," ",YEAR(A230))</f>
        <v> </v>
      </c>
      <c r="C230" s="284" t="str">
        <f aca="false">IF(A230="N/A"," ",VLOOKUP(A230,ScaledPrice,14))</f>
        <v> </v>
      </c>
      <c r="D230" s="285" t="str">
        <f aca="false">IF(A230="N/A"," ",(VLOOKUP(MONTH($A230),Hrtable,2))/1000)</f>
        <v> </v>
      </c>
      <c r="E230" s="286" t="str">
        <f aca="false">IF($A230="N/A"," ",(C230)*D230)</f>
        <v> </v>
      </c>
      <c r="F230" s="287" t="str">
        <f aca="false">IF(A230="N/A"," ",VOM*(1+VOMesc)^(YEAR(A230)-YEAR(Today)))</f>
        <v> </v>
      </c>
      <c r="G230" s="287" t="str">
        <f aca="false">IF(A230="N/A"," ",Perstart/VLOOKUP(Dayrun,'Pricing Inputs'!$AQ$4:$AS$14,3)/(CY230/CX230))</f>
        <v> </v>
      </c>
      <c r="H230" s="288" t="str">
        <f aca="false">IF(A230="N/A"," ",SUM(E230:G230))</f>
        <v> </v>
      </c>
      <c r="I230" s="289" t="str">
        <f aca="false">VLOOKUP($A230,ScaledPrice,6)</f>
        <v> </v>
      </c>
      <c r="J230" s="290" t="str">
        <f aca="false">VLOOKUP($A230,ScaledPrice,10)</f>
        <v> </v>
      </c>
      <c r="K230" s="290" t="str">
        <f aca="false">VLOOKUP($A230,ScaledPrice,13)</f>
        <v> </v>
      </c>
      <c r="L230" s="290" t="str">
        <f aca="false">VLOOKUP($A230,ScaledPrice,7)</f>
        <v> </v>
      </c>
      <c r="M230" s="290" t="str">
        <f aca="false">VLOOKUP($A230,ScaledPrice,11)</f>
        <v> </v>
      </c>
      <c r="N230" s="290" t="str">
        <f aca="false">VLOOKUP($A230,ScaledPrice,13)</f>
        <v> </v>
      </c>
      <c r="O230" s="290" t="str">
        <f aca="false">VLOOKUP($A230,ScaledPrice,8)</f>
        <v> </v>
      </c>
      <c r="P230" s="290" t="str">
        <f aca="false">VLOOKUP($A230,ScaledPrice,12)</f>
        <v> </v>
      </c>
      <c r="Q230" s="291" t="str">
        <f aca="false">VLOOKUP($A230,ScaledPrice,13)</f>
        <v> </v>
      </c>
      <c r="R230" s="292" t="str">
        <f aca="false">IF($A230="N/A"," ",IF(Dayrun&gt;=3,IF(Option=1,MAX($I230-$H230,0),IF(Option=2,MAX($H230-$I230,0),0)),0))</f>
        <v> </v>
      </c>
      <c r="S230" s="286" t="str">
        <f aca="false">IF($A230="N/A"," ",IF(Dayrun&gt;=6,IF(Option=1,MAX($J230-H230,0),IF(Option=2,MAX(H230-$J230,0),0)),0))</f>
        <v> </v>
      </c>
      <c r="T230" s="286" t="str">
        <f aca="false">IF($A230="N/A"," ",IF(OR(Dayrun&lt;=2,Dayrun&gt;=9),IF(Option=1,MAX($K230-$H230,0),IF(Option=2,MAX($H230-$K230,0),0)),0))</f>
        <v> </v>
      </c>
      <c r="U230" s="286" t="str">
        <f aca="false">IF($A230="N/A"," ",IF(OR(Dayrun=1,Dayrun=4,Dayrun=5,Dayrun=7,Dayrun=8,Dayrun=10,Dayrun=11),IF(Option=1,MAX($L230-H230,0),IF(Option=2,MAX(H230-$L230,0),0)),0))</f>
        <v> </v>
      </c>
      <c r="V230" s="286" t="str">
        <f aca="false">IF($A230="N/A"," ",IF(OR(Dayrun=1,Dayrun=7,Dayrun=8,Dayrun=10,Dayrun=11),IF(Option=1,MAX($M230-H230,0),IF(Option=2,MAX(H230-$M230,0),0)),0))</f>
        <v> </v>
      </c>
      <c r="W230" s="286" t="str">
        <f aca="false">IF($A230="N/A"," ",IF(OR(Dayrun&lt;=2,Dayrun&gt;=10),IF(Option=1,MAX($N230-$H230,0),IF(Option=2,MAX($H230-$N230,0),0)),0))</f>
        <v> </v>
      </c>
      <c r="X230" s="286" t="str">
        <f aca="false">IF($A230="N/A"," ",IF(OR(Dayrun=1,Dayrun=5,Dayrun=8,Dayrun=11),IF(Option=1,MAX($O230-H230,0),IF(Option=2,MAX(H230-$O230,0),0)),0))</f>
        <v> </v>
      </c>
      <c r="Y230" s="286" t="str">
        <f aca="false">IF($A230="N/A"," ",IF(OR(Dayrun=1,Dayrun=8,Dayrun=11),IF(Option=1,MAX($P230-H230,0),IF(Option=2,MAX(H230-$P230,0),0)),0))</f>
        <v> </v>
      </c>
      <c r="Z230" s="293" t="str">
        <f aca="false">IF($A230="N/A"," ",IF(OR(Dayrun&lt;=2,Dayrun&gt;=11),IF(Option=1,MAX($Q230-$H230,0),IF(Option=2,MAX($H230-$Q230,0),0)),0))</f>
        <v> </v>
      </c>
      <c r="AA230" s="289" t="str">
        <f aca="false">IF($A230="N/A"," ",IF(Dayrun&gt;=3,(MAX(0,(xSPRDOPT(I230,($E230-'Pricing Inputs'!$X265*$D230),$CV230,0,($CN230+IF(Smile=TRUE(),VLOOKUP(MAX(-5,$H230-I230),Volsmile,2),0)),$CT230,$CU230,($A230-DateToday)+15,ABS(Option-2),0)-R230))),0))</f>
        <v> </v>
      </c>
      <c r="AB230" s="290" t="str">
        <f aca="false">IF($A230="N/A"," ",IF(Dayrun&gt;=6,MAX(0,(xSPRDOPT(J230,($E230-'Pricing Inputs'!$X265*$D230),$CV230,0,($CN230+IF(Smile=TRUE(),VLOOKUP(MAX(-5,$H230-J230),Volsmile,2),0)),$CT230,$CU230,($A230-DateToday)+15,ABS(Option-2),0)-S230)),0))</f>
        <v> </v>
      </c>
      <c r="AC230" s="290" t="str">
        <f aca="false">IF($A230="N/A"," ",IF(OR(Dayrun&lt;=2,Dayrun&gt;=9),IF(OffPeakEx=TRUE(),MAX(0,(xSPRDOPT(K230,($E230-'Pricing Inputs'!$X265*$D230),$CV230,0,($CQ230+IF(Smile=TRUE(),VLOOKUP(MAX(-5,$H230-K230),Volsmile,2),0)),$CT230,$CU230,($A230-DateToday)+15,ABS(Option-2),0)-T230)),0),0))</f>
        <v> </v>
      </c>
      <c r="AD230" s="290" t="str">
        <f aca="false">IF($A230="N/A"," ",IF(OR(Dayrun=1,Dayrun=4,Dayrun=5,Dayrun=7,Dayrun=8,Dayrun=10,Dayrun=11),MAX(0,(xSPRDOPT(L230,($E230-'Pricing Inputs'!$X265*$D230),$CV230,0,($CQ230+IF(Smile=TRUE(),VLOOKUP(MAX(-5,$H230-L230),Volsmile,2),0)),$CT230,$CU230,($A230-DateToday)+15,ABS(Option-2),0)-U230)),0))</f>
        <v> </v>
      </c>
      <c r="AE230" s="290" t="str">
        <f aca="false">IF($A230="N/A"," ",IF(OR(Dayrun=1,Dayrun=7,Dayrun=8,Dayrun=10,Dayrun=11),MAX(0,(xSPRDOPT(M230,($E230-'Pricing Inputs'!$X265*$D230),$CV230,0,($CQ230+IF(Smile=TRUE(),VLOOKUP(MAX(-5,$H230-M230),Volsmile,2),0)),$CT230,$CU230,($A230-DateToday)+15,ABS(Option-2),0)-V230)),0))</f>
        <v> </v>
      </c>
      <c r="AF230" s="290" t="str">
        <f aca="false">IF($A230="N/A"," ",IF(OR(Dayrun&lt;=2,Dayrun&gt;=10),IF(OffPeakEx=TRUE(),MAX(0,(xSPRDOPT(N230,($E230-'Pricing Inputs'!$X265*$D230),$CV230,0,($CQ230+IF(Smile=TRUE(),VLOOKUP(MAX(-5,$H230-N230),Volsmile,2),0)),$CT230,$CU230,($A230-DateToday)+15,ABS(Option-2),0)-W230)),0),0))</f>
        <v> </v>
      </c>
      <c r="AG230" s="290" t="str">
        <f aca="false">IF($A230="N/A"," ",IF(OR(Dayrun=1,Dayrun=5,Dayrun=8,Dayrun=11),MAX(0,(xSPRDOPT(O230,($E230-'Pricing Inputs'!$X265*$D230),$CV230,0,($CQ230+IF(Smile=TRUE(),VLOOKUP(MAX(-5,$H230-O230),Volsmile,2),0)),$CT230,$CU230,($A230-DateToday)+15,ABS(Option-2),0)-X230)),0))</f>
        <v> </v>
      </c>
      <c r="AH230" s="290" t="str">
        <f aca="false">IF($A230="N/A"," ",IF(OR(Dayrun=1,Dayrun=8,Dayrun=11),MAX(0,(xSPRDOPT(P230,($E230-'Pricing Inputs'!$X265*$D230),$CV230,0,($CQ230+IF(Smile=TRUE(),VLOOKUP(MAX(-5,$H230-P230),Volsmile,2),0)),$CT230,$CU230,($A230-DateToday)+15,ABS(Option-2),0)-Y230)),0))</f>
        <v> </v>
      </c>
      <c r="AI230" s="290" t="str">
        <f aca="false">IF($A230="N/A"," ",IF(OR(Dayrun&lt;=2,Dayrun&gt;=11),IF(OffPeakEx=TRUE(),MAX(0,(xSPRDOPT(Q230,($E230-'Pricing Inputs'!$X265*$D230),$CV230,0,($CQ230+IF(Smile=TRUE(),VLOOKUP(MAX(-5,$H230-Q230),Volsmile,2),0)),$CT230,$CU230,($A230-DateToday)+15,ABS(Option-2),0)-Z230)),0),0))</f>
        <v> </v>
      </c>
      <c r="AJ230" s="294" t="str">
        <f aca="false">IF($A230="N/A"," ",IF(Dayrun&gt;=3,IF(Option=1,$I230-$H230,IF(Option=2,$H230-$I230)),0))</f>
        <v> </v>
      </c>
      <c r="AK230" s="295" t="str">
        <f aca="false">IF($A230="N/A"," ",IF(Dayrun&gt;=6,IF(Option=1,$J230-H230,IF(Option=2,H230-$J230)),0))</f>
        <v> </v>
      </c>
      <c r="AL230" s="295" t="str">
        <f aca="false">IF($A230="N/A"," ",IF(OR(Dayrun&lt;=2,Dayrun&gt;=9),IF(Option=1,$K230-$H230,IF(Option=2,$H230-$K230)),0))</f>
        <v> </v>
      </c>
      <c r="AM230" s="295" t="str">
        <f aca="false">IF($A230="N/A"," ",IF(OR(Dayrun=1,Dayrun=4,Dayrun=5,Dayrun=7,Dayrun=8,Dayrun=10,Dayrun=11),IF(Option=1,$L230-H230,IF(Option=2,H230-$L230)),0))</f>
        <v> </v>
      </c>
      <c r="AN230" s="295" t="str">
        <f aca="false">IF($A230="N/A"," ",IF(OR(Dayrun=1,Dayrun=7,Dayrun=8,Dayrun=10,Dayrun=11),IF(Option=1,$M230-H230,IF(Option=2,H230-$M230)),0))</f>
        <v> </v>
      </c>
      <c r="AO230" s="295" t="str">
        <f aca="false">IF($A230="N/A"," ",IF(OR(Dayrun&lt;=2,Dayrun&gt;=9),IF(Option=1,$N230-$H230,IF(Option=2,$H230-$N230)),0))</f>
        <v> </v>
      </c>
      <c r="AP230" s="295" t="str">
        <f aca="false">IF($A230="N/A"," ",IF(OR(Dayrun=1,Dayrun=5,Dayrun=8,Dayrun=11),IF(Option=1,$O230-H230,IF(Option=2,H230-$O230)),0))</f>
        <v> </v>
      </c>
      <c r="AQ230" s="295" t="str">
        <f aca="false">IF($A230="N/A"," ",IF(OR(Dayrun=1,Dayrun=8,Dayrun=11),IF(Option=1,$P230-H230,IF(Option=2,H230-$P230)),0))</f>
        <v> </v>
      </c>
      <c r="AR230" s="296" t="str">
        <f aca="false">IF($A230="N/A"," ",IF(OR(Dayrun&lt;=2,Dayrun&gt;=9),IF(Option=1,$Q230-H230,IF(Option=2,H230-$Q230)),0))</f>
        <v> </v>
      </c>
      <c r="AS230" s="297" t="str">
        <f aca="false">IF($A230="N/A"," ",IF(VLOOKUP(MONTH($A230),ManualTable,2)=1,IF(Dayrun&gt;=3,$DE230*8*$CY230,0),0))</f>
        <v> </v>
      </c>
      <c r="AT230" s="297" t="str">
        <f aca="false">IF($A230="N/A"," ",IF(VLOOKUP(MONTH($A230),ManualTable,3)=1,IF(Dayrun&gt;=6,$DE230*8*$CY230,0),0))</f>
        <v> </v>
      </c>
      <c r="AU230" s="297" t="str">
        <f aca="false">IF($A230="N/A"," ",IF(VLOOKUP(MONTH($A230),ManualTable,4)=1,IF(OR(Dayrun&lt;=2,Dayrun&gt;=9),$DE230*8*$CY230,0),0))</f>
        <v> </v>
      </c>
      <c r="AV230" s="297" t="str">
        <f aca="false">IF($A230="N/A"," ",IF(VLOOKUP(MONTH($A230),ManualTable,5)=1,IF(OR(Dayrun=1,Dayrun=4,Dayrun=5,Dayrun=7,Dayrun=8,Dayrun=10,Dayrun=11),$DF230*8*$CY230,0),0))</f>
        <v> </v>
      </c>
      <c r="AW230" s="297" t="str">
        <f aca="false">IF($A230="N/A"," ",IF(VLOOKUP(MONTH($A230),ManualTable,6)=1,IF(OR(Dayrun=1,Dayrun=7,Dayrun=8,Dayrun=10,Dayrun=11),$DF230*8*$CY230,0),0))</f>
        <v> </v>
      </c>
      <c r="AX230" s="297" t="str">
        <f aca="false">IF($A230="N/A"," ",IF(VLOOKUP(MONTH($A230),ManualTable,7)=1,IF(OR(Dayrun&lt;=2,Dayrun&gt;=9),$DF230*8*$CY230,0),0))</f>
        <v> </v>
      </c>
      <c r="AY230" s="297" t="str">
        <f aca="false">IF($A230="N/A"," ",IF(VLOOKUP(MONTH($A230),ManualTable,8)=1,IF(OR(Dayrun=1,Dayrun=5,Dayrun=8,Dayrun=11),$DG230*8*$CY230,0),0))</f>
        <v> </v>
      </c>
      <c r="AZ230" s="297" t="str">
        <f aca="false">IF($A230="N/A"," ",IF(VLOOKUP(MONTH($A230),ManualTable,9)=1,IF(OR(Dayrun=1,Dayrun=8,Dayrun=11),$DG230*8*$CY230,0),0))</f>
        <v> </v>
      </c>
      <c r="BA230" s="298" t="str">
        <f aca="false">IF($A230="N/A"," ",IF(VLOOKUP(MONTH($A230),ManualTable,10)=1,IF(OR(Dayrun&lt;=2,Dayrun&gt;=9),$DG230*8*$CY230,0),0))</f>
        <v> </v>
      </c>
      <c r="BB230" s="299" t="str">
        <f aca="false">IF($A230="N/A"," ",IF(Dayrun&gt;=3,(MAX(0,(xSPRDOPT(I230,($E230-'Pricing Inputs'!$X265*$D230),$CV230,0,($CN230+IF(Smile=TRUE(),VLOOKUP(MAX(-5,$H230-I230),Volsmile,2),0)),$CT230,$CU230,($A230-DateToday)+15,ABS(Option-2),1)*DE230*8))),0))</f>
        <v> </v>
      </c>
      <c r="BC230" s="300" t="str">
        <f aca="false">IF($A230="N/A"," ",IF(Dayrun&gt;=6,MAX(0,(xSPRDOPT(J230,($E230-'Pricing Inputs'!$X265*$D230),$CV230,0,($CN230+IF(Smile=TRUE(),VLOOKUP(MAX(-5,$H230-J230),Volsmile,2),0)),$CT230,$CU230,($A230-DateToday)+15,ABS(Option-2),1)*DE230*8)),0))</f>
        <v> </v>
      </c>
      <c r="BD230" s="300" t="str">
        <f aca="false">IF($A230="N/A"," ",IF(OR(Dayrun&lt;=2,Dayrun&gt;=9),IF(OffPeakEx=TRUE(),MAX(0,(xSPRDOPT(K230,($E230-'Pricing Inputs'!$X265*$D230),$CV230,0,($CQ230+IF(Smile=TRUE(),VLOOKUP(MAX(-5,$H230-K230),Volsmile,2),0)),$CT230,$CU230,($A230-DateToday)+15,ABS(Option-2),1)*DE230*8)),0),0))</f>
        <v> </v>
      </c>
      <c r="BE230" s="300" t="str">
        <f aca="false">IF($A230="N/A"," ",IF(OR(Dayrun=1,Dayrun=4,Dayrun=5,Dayrun=7,Dayrun=8,Dayrun=10,Dayrun=11),MAX(0,(xSPRDOPT(L230,($E230-'Pricing Inputs'!$X265*$D230),$CV230,0,($CQ230+IF(Smile=TRUE(),VLOOKUP(MAX(-5,$H230-L230),Volsmile,2),0)),$CT230,$CU230,($A230-DateToday)+15,ABS(Option-2),1)*DF230*8)),0))</f>
        <v> </v>
      </c>
      <c r="BF230" s="300" t="str">
        <f aca="false">IF($A230="N/A"," ",IF(OR(Dayrun=1,Dayrun=7,Dayrun=8,Dayrun=10,Dayrun=11),MAX(0,(xSPRDOPT(M230,($E230-'Pricing Inputs'!$X265*$D230),$CV230,0,($CQ230+IF(Smile=TRUE(),VLOOKUP(MAX(-5,$H230-M230),Volsmile,2),0)),$CT230,$CU230,($A230-DateToday)+15,ABS(Option-2),1)*DF230*8)),0))</f>
        <v> </v>
      </c>
      <c r="BG230" s="300" t="str">
        <f aca="false">IF($A230="N/A"," ",IF(OR(Dayrun&lt;=2,Dayrun&gt;=10),IF(OffPeakEx=TRUE(),MAX(0,(xSPRDOPT(N230,($E230-'Pricing Inputs'!$X265*$D230),$CV230,0,($CQ230+IF(Smile=TRUE(),VLOOKUP(MAX(-5,$H230-N230),Volsmile,2),0)),$CT230,$CU230,($A230-DateToday)+15,ABS(Option-2),1)*DF230*8)),0),0))</f>
        <v> </v>
      </c>
      <c r="BH230" s="300" t="str">
        <f aca="false">IF($A230="N/A"," ",IF(OR(Dayrun=1,Dayrun=5,Dayrun=8,Dayrun=11),MAX(0,(xSPRDOPT(O230,($E230-'Pricing Inputs'!$X265*$D230),$CV230,0,($CQ230+IF(Smile=TRUE(),VLOOKUP(MAX(-5,$H230-O230),Volsmile,2),0)),$CT230,$CU230,($A230-DateToday)+15,ABS(Option-2),1)*DG230*8)),0))</f>
        <v> </v>
      </c>
      <c r="BI230" s="300" t="str">
        <f aca="false">IF($A230="N/A"," ",IF(OR(Dayrun=1,Dayrun=8,Dayrun=11),MAX(0,(xSPRDOPT(P230,($E230-'Pricing Inputs'!$X265*$D230),$CV230,0,($CQ230+IF(Smile=TRUE(),VLOOKUP(MAX(-5,$H230-P230),Volsmile,2),0)),$CT230,$CU230,($A230-DateToday)+15,ABS(Option-2),1)*DG230*8)),0))</f>
        <v> </v>
      </c>
      <c r="BJ230" s="301" t="str">
        <f aca="false">IF($A230="N/A"," ",IF(OR(Dayrun&lt;=2,Dayrun&gt;=11),IF(OffPeakEx=TRUE(),MAX(0,(xSPRDOPT(Q230,($E230-'Pricing Inputs'!$X265*$D230),$CV230,0,($CQ230+IF(Smile=TRUE(),VLOOKUP(MAX(-5,$H230-Q230),Volsmile,2),0)),$CT230,$CU230,($A230-DateToday)+15,ABS(Option-2),1)*DG230*8)),0),0))</f>
        <v> </v>
      </c>
      <c r="BK230" s="302" t="str">
        <f aca="false">IF($A230="N/A"," ",R230*$AS230)</f>
        <v> </v>
      </c>
      <c r="BL230" s="303" t="str">
        <f aca="false">IF($A230="N/A"," ",S230*$AT230)</f>
        <v> </v>
      </c>
      <c r="BM230" s="303" t="str">
        <f aca="false">IF($A230="N/A"," ",T230*$AU230)</f>
        <v> </v>
      </c>
      <c r="BN230" s="303" t="str">
        <f aca="false">IF($A230="N/A"," ",U230*$AV230)</f>
        <v> </v>
      </c>
      <c r="BO230" s="303" t="str">
        <f aca="false">IF($A230="N/A"," ",V230*$AW230)</f>
        <v> </v>
      </c>
      <c r="BP230" s="303" t="str">
        <f aca="false">IF($A230="N/A"," ",W230*$AX230)</f>
        <v> </v>
      </c>
      <c r="BQ230" s="303" t="str">
        <f aca="false">IF($A230="N/A"," ",X230*$AY230)</f>
        <v> </v>
      </c>
      <c r="BR230" s="303" t="str">
        <f aca="false">IF($A230="N/A"," ",Y230*$AZ230)</f>
        <v> </v>
      </c>
      <c r="BS230" s="304" t="str">
        <f aca="false">IF($A230="N/A"," ",Z230*$BA230)</f>
        <v> </v>
      </c>
      <c r="BT230" s="305" t="str">
        <f aca="false">IF($A230="N/A"," ",AA230*$AS230)</f>
        <v> </v>
      </c>
      <c r="BU230" s="306" t="str">
        <f aca="false">IF($A230="N/A"," ",AB230*$AT230)</f>
        <v> </v>
      </c>
      <c r="BV230" s="306" t="str">
        <f aca="false">IF($A230="N/A"," ",AC230*$AU230)</f>
        <v> </v>
      </c>
      <c r="BW230" s="306" t="str">
        <f aca="false">IF($A230="N/A"," ",AD230*$AV230)</f>
        <v> </v>
      </c>
      <c r="BX230" s="306" t="str">
        <f aca="false">IF($A230="N/A"," ",AE230*$AW230)</f>
        <v> </v>
      </c>
      <c r="BY230" s="306" t="str">
        <f aca="false">IF($A230="N/A"," ",AF230*$AX230)</f>
        <v> </v>
      </c>
      <c r="BZ230" s="306" t="str">
        <f aca="false">IF($A230="N/A"," ",AG230*$AY230)</f>
        <v> </v>
      </c>
      <c r="CA230" s="306" t="str">
        <f aca="false">IF($A230="N/A"," ",AH230*$AZ230)</f>
        <v> </v>
      </c>
      <c r="CB230" s="307" t="str">
        <f aca="false">IF($A230="N/A"," ",AI230*$BA230)</f>
        <v> </v>
      </c>
      <c r="CC230" s="308" t="str">
        <f aca="false">IF($A230="N/A"," ",AJ230*$AS230)</f>
        <v> </v>
      </c>
      <c r="CD230" s="309" t="str">
        <f aca="false">IF($A230="N/A"," ",AK230*$AT230)</f>
        <v> </v>
      </c>
      <c r="CE230" s="309" t="str">
        <f aca="false">IF($A230="N/A"," ",AL230*$AU230)</f>
        <v> </v>
      </c>
      <c r="CF230" s="309" t="str">
        <f aca="false">IF($A230="N/A"," ",AM230*$AV230)</f>
        <v> </v>
      </c>
      <c r="CG230" s="309" t="str">
        <f aca="false">IF($A230="N/A"," ",AN230*$AW230)</f>
        <v> </v>
      </c>
      <c r="CH230" s="309" t="str">
        <f aca="false">IF($A230="N/A"," ",AO230*$AX230)</f>
        <v> </v>
      </c>
      <c r="CI230" s="309" t="str">
        <f aca="false">IF($A230="N/A"," ",AP230*$AY230)</f>
        <v> </v>
      </c>
      <c r="CJ230" s="309" t="str">
        <f aca="false">IF($A230="N/A"," ",AQ230*$AZ230)</f>
        <v> </v>
      </c>
      <c r="CK230" s="310" t="str">
        <f aca="false">IF($A230="N/A"," ",AR230*$BA230)</f>
        <v> </v>
      </c>
      <c r="CL230" s="311" t="str">
        <f aca="false">IF(A230="N/A"," ",(VLOOKUP(A230,PowerVolTable,(IF(VolBMO=2,7,IF(VolBMO=1,6,8))),FALSE())))</f>
        <v> </v>
      </c>
      <c r="CM230" s="312" t="str">
        <f aca="false">IF(A230="N/A"," ",(VLOOKUP(A230,IntraPowerVol,(IF(VolBMO=2,3,IF(VolBMO=1,2,4))),FALSE())*VLOOKUP(MONTH($A230),Volscale,2)))</f>
        <v> </v>
      </c>
      <c r="CN230" s="312" t="str">
        <f aca="false">IF($A230="N/A"," ",IF(VolType=1,CM230,CL230))</f>
        <v> </v>
      </c>
      <c r="CO230" s="312" t="str">
        <f aca="false">IF($A230="N/A"," ",(VLOOKUP($A230,OffPeakVol,(IF(VolBMO=2,7,IF(VolBMO=1,6,8))),FALSE())))</f>
        <v> </v>
      </c>
      <c r="CP230" s="312" t="str">
        <f aca="false">IF($A230="N/A"," ",(VLOOKUP($A230,OffPeakVol,(IF(VolBMO=2,3,IF(VolBMO=1,2,4))),FALSE())*VLOOKUP(MONTH($A230),Volscale,2)))</f>
        <v> </v>
      </c>
      <c r="CQ230" s="312" t="str">
        <f aca="false">IF($A230="N/A"," ",IF(VolType=1,CP230,CO230))</f>
        <v> </v>
      </c>
      <c r="CR230" s="312" t="str">
        <f aca="false">IF($A230="N/A"," ",(VLOOKUP($A230,GasVolTable,(IF(VolBMO=2,6,IF(VolBMO=1,7,5))),FALSE())))</f>
        <v> </v>
      </c>
      <c r="CS230" s="312" t="str">
        <f aca="false">IF($A230="N/A"," ",(VLOOKUP($A230,OmicronVol,(IF(VolBMO=2,3,IF(VolBMO=1,4,2))),FALSE())))</f>
        <v> </v>
      </c>
      <c r="CT230" s="312" t="str">
        <f aca="false">IF($A230="N/A"," ",(IF(DateToday&gt;$A230,$CS230,IF(VolType=1,((($CR230^2)*((($A230-1)-DateToday)/((EOMONTH($A230,0)+1)-DateToday-15)))+((($CS230)^2)*((15)/((EOMONTH($A230,0)+1)-DateToday-15))))^0.5,CR230))))</f>
        <v> </v>
      </c>
      <c r="CU230" s="312" t="str">
        <f aca="false">IF($A230="N/A"," ",IF('Pricing Inputs'!$AR$23=TRUE(),Inputs!$S$22,VLOOKUP($A230,CorrelationTable,2,FALSE())))</f>
        <v> </v>
      </c>
      <c r="CV230" s="313" t="str">
        <f aca="false">IF($A230="N/A"," ",F230+G230+(D230*('Pricing Inputs'!X265)))</f>
        <v> </v>
      </c>
      <c r="CW230" s="314" t="str">
        <f aca="false">IF($A230="N/A"," ",IF(PV=1,0,'Pricing Inputs'!Y265))</f>
        <v> </v>
      </c>
      <c r="CX230" s="315" t="str">
        <f aca="false">IF($A230="N/A"," ",(1+CW230/2)^(-2*((EOMONTH(A230,0)+20)-DateToday)/365.25))</f>
        <v> </v>
      </c>
      <c r="CY230" s="316" t="str">
        <f aca="false">IF($A230="N/A"," ",(IF(MONTH(A230)&gt;=4,IF(MONTH(A230)&lt;=10,Inputs!$S$26,Inputs!$S$27),Inputs!$S$27))*$CX230)</f>
        <v> </v>
      </c>
      <c r="CZ230" s="317" t="str">
        <f aca="false">IF($A230="N/A"," ",BK230+BL230+BN230+BO230+BQ230+BR230)</f>
        <v> </v>
      </c>
      <c r="DA230" s="318" t="str">
        <f aca="false">IF($A230="N/A"," ",BM230+BP230+BS230)</f>
        <v> </v>
      </c>
      <c r="DB230" s="319" t="str">
        <f aca="false">IF($A230="N/A"," ",BT230+BU230+BW230+BX230+BZ230+CA230)</f>
        <v> </v>
      </c>
      <c r="DC230" s="319" t="str">
        <f aca="false">IF($A230="N/A"," ",BV230+BY230+CB230)</f>
        <v> </v>
      </c>
      <c r="DD230" s="320" t="str">
        <f aca="false">IF($A230="N/A"," ",SUM(CC230:CK230))</f>
        <v> </v>
      </c>
      <c r="DE230" s="321" t="str">
        <f aca="false">IF($A230="N/A"," ",VLOOKUP($A230,NumberofDaysTable,2)*Availability)</f>
        <v> </v>
      </c>
      <c r="DF230" s="94" t="str">
        <f aca="false">IF($A230="N/A"," ",VLOOKUP($A230,NumberofDaysTable,3)*Availability)</f>
        <v> </v>
      </c>
      <c r="DG230" s="322" t="str">
        <f aca="false">IF($A230="N/A"," ",VLOOKUP($A230,NumberofDaysTable,4)*Availability)</f>
        <v> </v>
      </c>
      <c r="DH230" s="323" t="str">
        <f aca="false">IF($A230="N/A"," ",IF(Option=1,$D230*Inputs!$S$15*SUM(AS230:BA230),0))</f>
        <v> </v>
      </c>
      <c r="DI230" s="324" t="str">
        <f aca="false">IF($A230="N/A"," ",IF(Option=1,$D230*Inputs!$S$16*SUM(AS230:BA230),0))</f>
        <v> </v>
      </c>
      <c r="DJ230" s="325" t="str">
        <f aca="false">IF($A230="N/A"," ",SUM(AS230:AT230))</f>
        <v> </v>
      </c>
      <c r="DK230" s="325" t="str">
        <f aca="false">IF($A230="N/A"," ",SUM(AU230:BA230))</f>
        <v> </v>
      </c>
      <c r="DL230" s="325" t="str">
        <f aca="false">IF($A230="N/A"," ",SUM(BB230:BC230))</f>
        <v> </v>
      </c>
      <c r="DM230" s="325" t="str">
        <f aca="false">IF($A230="N/A"," ",SUM(BD230:BJ230))</f>
        <v> </v>
      </c>
    </row>
    <row r="231" customFormat="false" ht="12.75" hidden="false" customHeight="false" outlineLevel="0" collapsed="false">
      <c r="A231" s="282" t="str">
        <f aca="false">IF(A230="N/A","N/A",IF(EDATE(A230,1)&gt;Inputs!$S$5,"N/A",EDATE(A230,1)))</f>
        <v>N/A</v>
      </c>
      <c r="B231" s="283" t="str">
        <f aca="false">IF(A231="N/A"," ",YEAR(A231))</f>
        <v> </v>
      </c>
      <c r="C231" s="284" t="str">
        <f aca="false">IF(A231="N/A"," ",VLOOKUP(A231,ScaledPrice,14))</f>
        <v> </v>
      </c>
      <c r="D231" s="285" t="str">
        <f aca="false">IF(A231="N/A"," ",(VLOOKUP(MONTH($A231),Hrtable,2))/1000)</f>
        <v> </v>
      </c>
      <c r="E231" s="286" t="str">
        <f aca="false">IF($A231="N/A"," ",(C231)*D231)</f>
        <v> </v>
      </c>
      <c r="F231" s="287" t="str">
        <f aca="false">IF(A231="N/A"," ",VOM*(1+VOMesc)^(YEAR(A231)-YEAR(Today)))</f>
        <v> </v>
      </c>
      <c r="G231" s="287" t="str">
        <f aca="false">IF(A231="N/A"," ",Perstart/VLOOKUP(Dayrun,'Pricing Inputs'!$AQ$4:$AS$14,3)/(CY231/CX231))</f>
        <v> </v>
      </c>
      <c r="H231" s="288" t="str">
        <f aca="false">IF(A231="N/A"," ",SUM(E231:G231))</f>
        <v> </v>
      </c>
      <c r="I231" s="289" t="str">
        <f aca="false">VLOOKUP($A231,ScaledPrice,6)</f>
        <v> </v>
      </c>
      <c r="J231" s="290" t="str">
        <f aca="false">VLOOKUP($A231,ScaledPrice,10)</f>
        <v> </v>
      </c>
      <c r="K231" s="290" t="str">
        <f aca="false">VLOOKUP($A231,ScaledPrice,13)</f>
        <v> </v>
      </c>
      <c r="L231" s="290" t="str">
        <f aca="false">VLOOKUP($A231,ScaledPrice,7)</f>
        <v> </v>
      </c>
      <c r="M231" s="290" t="str">
        <f aca="false">VLOOKUP($A231,ScaledPrice,11)</f>
        <v> </v>
      </c>
      <c r="N231" s="290" t="str">
        <f aca="false">VLOOKUP($A231,ScaledPrice,13)</f>
        <v> </v>
      </c>
      <c r="O231" s="290" t="str">
        <f aca="false">VLOOKUP($A231,ScaledPrice,8)</f>
        <v> </v>
      </c>
      <c r="P231" s="290" t="str">
        <f aca="false">VLOOKUP($A231,ScaledPrice,12)</f>
        <v> </v>
      </c>
      <c r="Q231" s="291" t="str">
        <f aca="false">VLOOKUP($A231,ScaledPrice,13)</f>
        <v> </v>
      </c>
      <c r="R231" s="292" t="str">
        <f aca="false">IF($A231="N/A"," ",IF(Dayrun&gt;=3,IF(Option=1,MAX($I231-$H231,0),IF(Option=2,MAX($H231-$I231,0),0)),0))</f>
        <v> </v>
      </c>
      <c r="S231" s="286" t="str">
        <f aca="false">IF($A231="N/A"," ",IF(Dayrun&gt;=6,IF(Option=1,MAX($J231-H231,0),IF(Option=2,MAX(H231-$J231,0),0)),0))</f>
        <v> </v>
      </c>
      <c r="T231" s="286" t="str">
        <f aca="false">IF($A231="N/A"," ",IF(OR(Dayrun&lt;=2,Dayrun&gt;=9),IF(Option=1,MAX($K231-$H231,0),IF(Option=2,MAX($H231-$K231,0),0)),0))</f>
        <v> </v>
      </c>
      <c r="U231" s="286" t="str">
        <f aca="false">IF($A231="N/A"," ",IF(OR(Dayrun=1,Dayrun=4,Dayrun=5,Dayrun=7,Dayrun=8,Dayrun=10,Dayrun=11),IF(Option=1,MAX($L231-H231,0),IF(Option=2,MAX(H231-$L231,0),0)),0))</f>
        <v> </v>
      </c>
      <c r="V231" s="286" t="str">
        <f aca="false">IF($A231="N/A"," ",IF(OR(Dayrun=1,Dayrun=7,Dayrun=8,Dayrun=10,Dayrun=11),IF(Option=1,MAX($M231-H231,0),IF(Option=2,MAX(H231-$M231,0),0)),0))</f>
        <v> </v>
      </c>
      <c r="W231" s="286" t="str">
        <f aca="false">IF($A231="N/A"," ",IF(OR(Dayrun&lt;=2,Dayrun&gt;=10),IF(Option=1,MAX($N231-$H231,0),IF(Option=2,MAX($H231-$N231,0),0)),0))</f>
        <v> </v>
      </c>
      <c r="X231" s="286" t="str">
        <f aca="false">IF($A231="N/A"," ",IF(OR(Dayrun=1,Dayrun=5,Dayrun=8,Dayrun=11),IF(Option=1,MAX($O231-H231,0),IF(Option=2,MAX(H231-$O231,0),0)),0))</f>
        <v> </v>
      </c>
      <c r="Y231" s="286" t="str">
        <f aca="false">IF($A231="N/A"," ",IF(OR(Dayrun=1,Dayrun=8,Dayrun=11),IF(Option=1,MAX($P231-H231,0),IF(Option=2,MAX(H231-$P231,0),0)),0))</f>
        <v> </v>
      </c>
      <c r="Z231" s="293" t="str">
        <f aca="false">IF($A231="N/A"," ",IF(OR(Dayrun&lt;=2,Dayrun&gt;=11),IF(Option=1,MAX($Q231-$H231,0),IF(Option=2,MAX($H231-$Q231,0),0)),0))</f>
        <v> </v>
      </c>
      <c r="AA231" s="289" t="str">
        <f aca="false">IF($A231="N/A"," ",IF(Dayrun&gt;=3,(MAX(0,(xSPRDOPT(I231,($E231-'Pricing Inputs'!$X266*$D231),$CV231,0,($CN231+IF(Smile=TRUE(),VLOOKUP(MAX(-5,$H231-I231),Volsmile,2),0)),$CT231,$CU231,($A231-DateToday)+15,ABS(Option-2),0)-R231))),0))</f>
        <v> </v>
      </c>
      <c r="AB231" s="290" t="str">
        <f aca="false">IF($A231="N/A"," ",IF(Dayrun&gt;=6,MAX(0,(xSPRDOPT(J231,($E231-'Pricing Inputs'!$X266*$D231),$CV231,0,($CN231+IF(Smile=TRUE(),VLOOKUP(MAX(-5,$H231-J231),Volsmile,2),0)),$CT231,$CU231,($A231-DateToday)+15,ABS(Option-2),0)-S231)),0))</f>
        <v> </v>
      </c>
      <c r="AC231" s="290" t="str">
        <f aca="false">IF($A231="N/A"," ",IF(OR(Dayrun&lt;=2,Dayrun&gt;=9),IF(OffPeakEx=TRUE(),MAX(0,(xSPRDOPT(K231,($E231-'Pricing Inputs'!$X266*$D231),$CV231,0,($CQ231+IF(Smile=TRUE(),VLOOKUP(MAX(-5,$H231-K231),Volsmile,2),0)),$CT231,$CU231,($A231-DateToday)+15,ABS(Option-2),0)-T231)),0),0))</f>
        <v> </v>
      </c>
      <c r="AD231" s="290" t="str">
        <f aca="false">IF($A231="N/A"," ",IF(OR(Dayrun=1,Dayrun=4,Dayrun=5,Dayrun=7,Dayrun=8,Dayrun=10,Dayrun=11),MAX(0,(xSPRDOPT(L231,($E231-'Pricing Inputs'!$X266*$D231),$CV231,0,($CQ231+IF(Smile=TRUE(),VLOOKUP(MAX(-5,$H231-L231),Volsmile,2),0)),$CT231,$CU231,($A231-DateToday)+15,ABS(Option-2),0)-U231)),0))</f>
        <v> </v>
      </c>
      <c r="AE231" s="290" t="str">
        <f aca="false">IF($A231="N/A"," ",IF(OR(Dayrun=1,Dayrun=7,Dayrun=8,Dayrun=10,Dayrun=11),MAX(0,(xSPRDOPT(M231,($E231-'Pricing Inputs'!$X266*$D231),$CV231,0,($CQ231+IF(Smile=TRUE(),VLOOKUP(MAX(-5,$H231-M231),Volsmile,2),0)),$CT231,$CU231,($A231-DateToday)+15,ABS(Option-2),0)-V231)),0))</f>
        <v> </v>
      </c>
      <c r="AF231" s="290" t="str">
        <f aca="false">IF($A231="N/A"," ",IF(OR(Dayrun&lt;=2,Dayrun&gt;=10),IF(OffPeakEx=TRUE(),MAX(0,(xSPRDOPT(N231,($E231-'Pricing Inputs'!$X266*$D231),$CV231,0,($CQ231+IF(Smile=TRUE(),VLOOKUP(MAX(-5,$H231-N231),Volsmile,2),0)),$CT231,$CU231,($A231-DateToday)+15,ABS(Option-2),0)-W231)),0),0))</f>
        <v> </v>
      </c>
      <c r="AG231" s="290" t="str">
        <f aca="false">IF($A231="N/A"," ",IF(OR(Dayrun=1,Dayrun=5,Dayrun=8,Dayrun=11),MAX(0,(xSPRDOPT(O231,($E231-'Pricing Inputs'!$X266*$D231),$CV231,0,($CQ231+IF(Smile=TRUE(),VLOOKUP(MAX(-5,$H231-O231),Volsmile,2),0)),$CT231,$CU231,($A231-DateToday)+15,ABS(Option-2),0)-X231)),0))</f>
        <v> </v>
      </c>
      <c r="AH231" s="290" t="str">
        <f aca="false">IF($A231="N/A"," ",IF(OR(Dayrun=1,Dayrun=8,Dayrun=11),MAX(0,(xSPRDOPT(P231,($E231-'Pricing Inputs'!$X266*$D231),$CV231,0,($CQ231+IF(Smile=TRUE(),VLOOKUP(MAX(-5,$H231-P231),Volsmile,2),0)),$CT231,$CU231,($A231-DateToday)+15,ABS(Option-2),0)-Y231)),0))</f>
        <v> </v>
      </c>
      <c r="AI231" s="290" t="str">
        <f aca="false">IF($A231="N/A"," ",IF(OR(Dayrun&lt;=2,Dayrun&gt;=11),IF(OffPeakEx=TRUE(),MAX(0,(xSPRDOPT(Q231,($E231-'Pricing Inputs'!$X266*$D231),$CV231,0,($CQ231+IF(Smile=TRUE(),VLOOKUP(MAX(-5,$H231-Q231),Volsmile,2),0)),$CT231,$CU231,($A231-DateToday)+15,ABS(Option-2),0)-Z231)),0),0))</f>
        <v> </v>
      </c>
      <c r="AJ231" s="294" t="str">
        <f aca="false">IF($A231="N/A"," ",IF(Dayrun&gt;=3,IF(Option=1,$I231-$H231,IF(Option=2,$H231-$I231)),0))</f>
        <v> </v>
      </c>
      <c r="AK231" s="295" t="str">
        <f aca="false">IF($A231="N/A"," ",IF(Dayrun&gt;=6,IF(Option=1,$J231-H231,IF(Option=2,H231-$J231)),0))</f>
        <v> </v>
      </c>
      <c r="AL231" s="295" t="str">
        <f aca="false">IF($A231="N/A"," ",IF(OR(Dayrun&lt;=2,Dayrun&gt;=9),IF(Option=1,$K231-$H231,IF(Option=2,$H231-$K231)),0))</f>
        <v> </v>
      </c>
      <c r="AM231" s="295" t="str">
        <f aca="false">IF($A231="N/A"," ",IF(OR(Dayrun=1,Dayrun=4,Dayrun=5,Dayrun=7,Dayrun=8,Dayrun=10,Dayrun=11),IF(Option=1,$L231-H231,IF(Option=2,H231-$L231)),0))</f>
        <v> </v>
      </c>
      <c r="AN231" s="295" t="str">
        <f aca="false">IF($A231="N/A"," ",IF(OR(Dayrun=1,Dayrun=7,Dayrun=8,Dayrun=10,Dayrun=11),IF(Option=1,$M231-H231,IF(Option=2,H231-$M231)),0))</f>
        <v> </v>
      </c>
      <c r="AO231" s="295" t="str">
        <f aca="false">IF($A231="N/A"," ",IF(OR(Dayrun&lt;=2,Dayrun&gt;=9),IF(Option=1,$N231-$H231,IF(Option=2,$H231-$N231)),0))</f>
        <v> </v>
      </c>
      <c r="AP231" s="295" t="str">
        <f aca="false">IF($A231="N/A"," ",IF(OR(Dayrun=1,Dayrun=5,Dayrun=8,Dayrun=11),IF(Option=1,$O231-H231,IF(Option=2,H231-$O231)),0))</f>
        <v> </v>
      </c>
      <c r="AQ231" s="295" t="str">
        <f aca="false">IF($A231="N/A"," ",IF(OR(Dayrun=1,Dayrun=8,Dayrun=11),IF(Option=1,$P231-H231,IF(Option=2,H231-$P231)),0))</f>
        <v> </v>
      </c>
      <c r="AR231" s="296" t="str">
        <f aca="false">IF($A231="N/A"," ",IF(OR(Dayrun&lt;=2,Dayrun&gt;=9),IF(Option=1,$Q231-H231,IF(Option=2,H231-$Q231)),0))</f>
        <v> </v>
      </c>
      <c r="AS231" s="297" t="str">
        <f aca="false">IF($A231="N/A"," ",IF(VLOOKUP(MONTH($A231),ManualTable,2)=1,IF(Dayrun&gt;=3,$DE231*8*$CY231,0),0))</f>
        <v> </v>
      </c>
      <c r="AT231" s="297" t="str">
        <f aca="false">IF($A231="N/A"," ",IF(VLOOKUP(MONTH($A231),ManualTable,3)=1,IF(Dayrun&gt;=6,$DE231*8*$CY231,0),0))</f>
        <v> </v>
      </c>
      <c r="AU231" s="297" t="str">
        <f aca="false">IF($A231="N/A"," ",IF(VLOOKUP(MONTH($A231),ManualTable,4)=1,IF(OR(Dayrun&lt;=2,Dayrun&gt;=9),$DE231*8*$CY231,0),0))</f>
        <v> </v>
      </c>
      <c r="AV231" s="297" t="str">
        <f aca="false">IF($A231="N/A"," ",IF(VLOOKUP(MONTH($A231),ManualTable,5)=1,IF(OR(Dayrun=1,Dayrun=4,Dayrun=5,Dayrun=7,Dayrun=8,Dayrun=10,Dayrun=11),$DF231*8*$CY231,0),0))</f>
        <v> </v>
      </c>
      <c r="AW231" s="297" t="str">
        <f aca="false">IF($A231="N/A"," ",IF(VLOOKUP(MONTH($A231),ManualTable,6)=1,IF(OR(Dayrun=1,Dayrun=7,Dayrun=8,Dayrun=10,Dayrun=11),$DF231*8*$CY231,0),0))</f>
        <v> </v>
      </c>
      <c r="AX231" s="297" t="str">
        <f aca="false">IF($A231="N/A"," ",IF(VLOOKUP(MONTH($A231),ManualTable,7)=1,IF(OR(Dayrun&lt;=2,Dayrun&gt;=9),$DF231*8*$CY231,0),0))</f>
        <v> </v>
      </c>
      <c r="AY231" s="297" t="str">
        <f aca="false">IF($A231="N/A"," ",IF(VLOOKUP(MONTH($A231),ManualTable,8)=1,IF(OR(Dayrun=1,Dayrun=5,Dayrun=8,Dayrun=11),$DG231*8*$CY231,0),0))</f>
        <v> </v>
      </c>
      <c r="AZ231" s="297" t="str">
        <f aca="false">IF($A231="N/A"," ",IF(VLOOKUP(MONTH($A231),ManualTable,9)=1,IF(OR(Dayrun=1,Dayrun=8,Dayrun=11),$DG231*8*$CY231,0),0))</f>
        <v> </v>
      </c>
      <c r="BA231" s="298" t="str">
        <f aca="false">IF($A231="N/A"," ",IF(VLOOKUP(MONTH($A231),ManualTable,10)=1,IF(OR(Dayrun&lt;=2,Dayrun&gt;=9),$DG231*8*$CY231,0),0))</f>
        <v> </v>
      </c>
      <c r="BB231" s="299" t="str">
        <f aca="false">IF($A231="N/A"," ",IF(Dayrun&gt;=3,(MAX(0,(xSPRDOPT(I231,($E231-'Pricing Inputs'!$X266*$D231),$CV231,0,($CN231+IF(Smile=TRUE(),VLOOKUP(MAX(-5,$H231-I231),Volsmile,2),0)),$CT231,$CU231,($A231-DateToday)+15,ABS(Option-2),1)*DE231*8))),0))</f>
        <v> </v>
      </c>
      <c r="BC231" s="300" t="str">
        <f aca="false">IF($A231="N/A"," ",IF(Dayrun&gt;=6,MAX(0,(xSPRDOPT(J231,($E231-'Pricing Inputs'!$X266*$D231),$CV231,0,($CN231+IF(Smile=TRUE(),VLOOKUP(MAX(-5,$H231-J231),Volsmile,2),0)),$CT231,$CU231,($A231-DateToday)+15,ABS(Option-2),1)*DE231*8)),0))</f>
        <v> </v>
      </c>
      <c r="BD231" s="300" t="str">
        <f aca="false">IF($A231="N/A"," ",IF(OR(Dayrun&lt;=2,Dayrun&gt;=9),IF(OffPeakEx=TRUE(),MAX(0,(xSPRDOPT(K231,($E231-'Pricing Inputs'!$X266*$D231),$CV231,0,($CQ231+IF(Smile=TRUE(),VLOOKUP(MAX(-5,$H231-K231),Volsmile,2),0)),$CT231,$CU231,($A231-DateToday)+15,ABS(Option-2),1)*DE231*8)),0),0))</f>
        <v> </v>
      </c>
      <c r="BE231" s="300" t="str">
        <f aca="false">IF($A231="N/A"," ",IF(OR(Dayrun=1,Dayrun=4,Dayrun=5,Dayrun=7,Dayrun=8,Dayrun=10,Dayrun=11),MAX(0,(xSPRDOPT(L231,($E231-'Pricing Inputs'!$X266*$D231),$CV231,0,($CQ231+IF(Smile=TRUE(),VLOOKUP(MAX(-5,$H231-L231),Volsmile,2),0)),$CT231,$CU231,($A231-DateToday)+15,ABS(Option-2),1)*DF231*8)),0))</f>
        <v> </v>
      </c>
      <c r="BF231" s="300" t="str">
        <f aca="false">IF($A231="N/A"," ",IF(OR(Dayrun=1,Dayrun=7,Dayrun=8,Dayrun=10,Dayrun=11),MAX(0,(xSPRDOPT(M231,($E231-'Pricing Inputs'!$X266*$D231),$CV231,0,($CQ231+IF(Smile=TRUE(),VLOOKUP(MAX(-5,$H231-M231),Volsmile,2),0)),$CT231,$CU231,($A231-DateToday)+15,ABS(Option-2),1)*DF231*8)),0))</f>
        <v> </v>
      </c>
      <c r="BG231" s="300" t="str">
        <f aca="false">IF($A231="N/A"," ",IF(OR(Dayrun&lt;=2,Dayrun&gt;=10),IF(OffPeakEx=TRUE(),MAX(0,(xSPRDOPT(N231,($E231-'Pricing Inputs'!$X266*$D231),$CV231,0,($CQ231+IF(Smile=TRUE(),VLOOKUP(MAX(-5,$H231-N231),Volsmile,2),0)),$CT231,$CU231,($A231-DateToday)+15,ABS(Option-2),1)*DF231*8)),0),0))</f>
        <v> </v>
      </c>
      <c r="BH231" s="300" t="str">
        <f aca="false">IF($A231="N/A"," ",IF(OR(Dayrun=1,Dayrun=5,Dayrun=8,Dayrun=11),MAX(0,(xSPRDOPT(O231,($E231-'Pricing Inputs'!$X266*$D231),$CV231,0,($CQ231+IF(Smile=TRUE(),VLOOKUP(MAX(-5,$H231-O231),Volsmile,2),0)),$CT231,$CU231,($A231-DateToday)+15,ABS(Option-2),1)*DG231*8)),0))</f>
        <v> </v>
      </c>
      <c r="BI231" s="300" t="str">
        <f aca="false">IF($A231="N/A"," ",IF(OR(Dayrun=1,Dayrun=8,Dayrun=11),MAX(0,(xSPRDOPT(P231,($E231-'Pricing Inputs'!$X266*$D231),$CV231,0,($CQ231+IF(Smile=TRUE(),VLOOKUP(MAX(-5,$H231-P231),Volsmile,2),0)),$CT231,$CU231,($A231-DateToday)+15,ABS(Option-2),1)*DG231*8)),0))</f>
        <v> </v>
      </c>
      <c r="BJ231" s="301" t="str">
        <f aca="false">IF($A231="N/A"," ",IF(OR(Dayrun&lt;=2,Dayrun&gt;=11),IF(OffPeakEx=TRUE(),MAX(0,(xSPRDOPT(Q231,($E231-'Pricing Inputs'!$X266*$D231),$CV231,0,($CQ231+IF(Smile=TRUE(),VLOOKUP(MAX(-5,$H231-Q231),Volsmile,2),0)),$CT231,$CU231,($A231-DateToday)+15,ABS(Option-2),1)*DG231*8)),0),0))</f>
        <v> </v>
      </c>
      <c r="BK231" s="302" t="str">
        <f aca="false">IF($A231="N/A"," ",R231*$AS231)</f>
        <v> </v>
      </c>
      <c r="BL231" s="303" t="str">
        <f aca="false">IF($A231="N/A"," ",S231*$AT231)</f>
        <v> </v>
      </c>
      <c r="BM231" s="303" t="str">
        <f aca="false">IF($A231="N/A"," ",T231*$AU231)</f>
        <v> </v>
      </c>
      <c r="BN231" s="303" t="str">
        <f aca="false">IF($A231="N/A"," ",U231*$AV231)</f>
        <v> </v>
      </c>
      <c r="BO231" s="303" t="str">
        <f aca="false">IF($A231="N/A"," ",V231*$AW231)</f>
        <v> </v>
      </c>
      <c r="BP231" s="303" t="str">
        <f aca="false">IF($A231="N/A"," ",W231*$AX231)</f>
        <v> </v>
      </c>
      <c r="BQ231" s="303" t="str">
        <f aca="false">IF($A231="N/A"," ",X231*$AY231)</f>
        <v> </v>
      </c>
      <c r="BR231" s="303" t="str">
        <f aca="false">IF($A231="N/A"," ",Y231*$AZ231)</f>
        <v> </v>
      </c>
      <c r="BS231" s="304" t="str">
        <f aca="false">IF($A231="N/A"," ",Z231*$BA231)</f>
        <v> </v>
      </c>
      <c r="BT231" s="305" t="str">
        <f aca="false">IF($A231="N/A"," ",AA231*$AS231)</f>
        <v> </v>
      </c>
      <c r="BU231" s="306" t="str">
        <f aca="false">IF($A231="N/A"," ",AB231*$AT231)</f>
        <v> </v>
      </c>
      <c r="BV231" s="306" t="str">
        <f aca="false">IF($A231="N/A"," ",AC231*$AU231)</f>
        <v> </v>
      </c>
      <c r="BW231" s="306" t="str">
        <f aca="false">IF($A231="N/A"," ",AD231*$AV231)</f>
        <v> </v>
      </c>
      <c r="BX231" s="306" t="str">
        <f aca="false">IF($A231="N/A"," ",AE231*$AW231)</f>
        <v> </v>
      </c>
      <c r="BY231" s="306" t="str">
        <f aca="false">IF($A231="N/A"," ",AF231*$AX231)</f>
        <v> </v>
      </c>
      <c r="BZ231" s="306" t="str">
        <f aca="false">IF($A231="N/A"," ",AG231*$AY231)</f>
        <v> </v>
      </c>
      <c r="CA231" s="306" t="str">
        <f aca="false">IF($A231="N/A"," ",AH231*$AZ231)</f>
        <v> </v>
      </c>
      <c r="CB231" s="307" t="str">
        <f aca="false">IF($A231="N/A"," ",AI231*$BA231)</f>
        <v> </v>
      </c>
      <c r="CC231" s="308" t="str">
        <f aca="false">IF($A231="N/A"," ",AJ231*$AS231)</f>
        <v> </v>
      </c>
      <c r="CD231" s="309" t="str">
        <f aca="false">IF($A231="N/A"," ",AK231*$AT231)</f>
        <v> </v>
      </c>
      <c r="CE231" s="309" t="str">
        <f aca="false">IF($A231="N/A"," ",AL231*$AU231)</f>
        <v> </v>
      </c>
      <c r="CF231" s="309" t="str">
        <f aca="false">IF($A231="N/A"," ",AM231*$AV231)</f>
        <v> </v>
      </c>
      <c r="CG231" s="309" t="str">
        <f aca="false">IF($A231="N/A"," ",AN231*$AW231)</f>
        <v> </v>
      </c>
      <c r="CH231" s="309" t="str">
        <f aca="false">IF($A231="N/A"," ",AO231*$AX231)</f>
        <v> </v>
      </c>
      <c r="CI231" s="309" t="str">
        <f aca="false">IF($A231="N/A"," ",AP231*$AY231)</f>
        <v> </v>
      </c>
      <c r="CJ231" s="309" t="str">
        <f aca="false">IF($A231="N/A"," ",AQ231*$AZ231)</f>
        <v> </v>
      </c>
      <c r="CK231" s="310" t="str">
        <f aca="false">IF($A231="N/A"," ",AR231*$BA231)</f>
        <v> </v>
      </c>
      <c r="CL231" s="311" t="str">
        <f aca="false">IF(A231="N/A"," ",(VLOOKUP(A231,PowerVolTable,(IF(VolBMO=2,7,IF(VolBMO=1,6,8))),FALSE())))</f>
        <v> </v>
      </c>
      <c r="CM231" s="312" t="str">
        <f aca="false">IF(A231="N/A"," ",(VLOOKUP(A231,IntraPowerVol,(IF(VolBMO=2,3,IF(VolBMO=1,2,4))),FALSE())*VLOOKUP(MONTH($A231),Volscale,2)))</f>
        <v> </v>
      </c>
      <c r="CN231" s="312" t="str">
        <f aca="false">IF($A231="N/A"," ",IF(VolType=1,CM231,CL231))</f>
        <v> </v>
      </c>
      <c r="CO231" s="312" t="str">
        <f aca="false">IF($A231="N/A"," ",(VLOOKUP($A231,OffPeakVol,(IF(VolBMO=2,7,IF(VolBMO=1,6,8))),FALSE())))</f>
        <v> </v>
      </c>
      <c r="CP231" s="312" t="str">
        <f aca="false">IF($A231="N/A"," ",(VLOOKUP($A231,OffPeakVol,(IF(VolBMO=2,3,IF(VolBMO=1,2,4))),FALSE())*VLOOKUP(MONTH($A231),Volscale,2)))</f>
        <v> </v>
      </c>
      <c r="CQ231" s="312" t="str">
        <f aca="false">IF($A231="N/A"," ",IF(VolType=1,CP231,CO231))</f>
        <v> </v>
      </c>
      <c r="CR231" s="312" t="str">
        <f aca="false">IF($A231="N/A"," ",(VLOOKUP($A231,GasVolTable,(IF(VolBMO=2,6,IF(VolBMO=1,7,5))),FALSE())))</f>
        <v> </v>
      </c>
      <c r="CS231" s="312" t="str">
        <f aca="false">IF($A231="N/A"," ",(VLOOKUP($A231,OmicronVol,(IF(VolBMO=2,3,IF(VolBMO=1,4,2))),FALSE())))</f>
        <v> </v>
      </c>
      <c r="CT231" s="312" t="str">
        <f aca="false">IF($A231="N/A"," ",(IF(DateToday&gt;$A231,$CS231,IF(VolType=1,((($CR231^2)*((($A231-1)-DateToday)/((EOMONTH($A231,0)+1)-DateToday-15)))+((($CS231)^2)*((15)/((EOMONTH($A231,0)+1)-DateToday-15))))^0.5,CR231))))</f>
        <v> </v>
      </c>
      <c r="CU231" s="312" t="str">
        <f aca="false">IF($A231="N/A"," ",IF('Pricing Inputs'!$AR$23=TRUE(),Inputs!$S$22,VLOOKUP($A231,CorrelationTable,2,FALSE())))</f>
        <v> </v>
      </c>
      <c r="CV231" s="313" t="str">
        <f aca="false">IF($A231="N/A"," ",F231+G231+(D231*('Pricing Inputs'!X266)))</f>
        <v> </v>
      </c>
      <c r="CW231" s="314" t="str">
        <f aca="false">IF($A231="N/A"," ",IF(PV=1,0,'Pricing Inputs'!Y266))</f>
        <v> </v>
      </c>
      <c r="CX231" s="315" t="str">
        <f aca="false">IF($A231="N/A"," ",(1+CW231/2)^(-2*((EOMONTH(A231,0)+20)-DateToday)/365.25))</f>
        <v> </v>
      </c>
      <c r="CY231" s="316" t="str">
        <f aca="false">IF($A231="N/A"," ",(IF(MONTH(A231)&gt;=4,IF(MONTH(A231)&lt;=10,Inputs!$S$26,Inputs!$S$27),Inputs!$S$27))*$CX231)</f>
        <v> </v>
      </c>
      <c r="CZ231" s="317" t="str">
        <f aca="false">IF($A231="N/A"," ",BK231+BL231+BN231+BO231+BQ231+BR231)</f>
        <v> </v>
      </c>
      <c r="DA231" s="318" t="str">
        <f aca="false">IF($A231="N/A"," ",BM231+BP231+BS231)</f>
        <v> </v>
      </c>
      <c r="DB231" s="319" t="str">
        <f aca="false">IF($A231="N/A"," ",BT231+BU231+BW231+BX231+BZ231+CA231)</f>
        <v> </v>
      </c>
      <c r="DC231" s="319" t="str">
        <f aca="false">IF($A231="N/A"," ",BV231+BY231+CB231)</f>
        <v> </v>
      </c>
      <c r="DD231" s="320" t="str">
        <f aca="false">IF($A231="N/A"," ",SUM(CC231:CK231))</f>
        <v> </v>
      </c>
      <c r="DE231" s="321" t="str">
        <f aca="false">IF($A231="N/A"," ",VLOOKUP($A231,NumberofDaysTable,2)*Availability)</f>
        <v> </v>
      </c>
      <c r="DF231" s="94" t="str">
        <f aca="false">IF($A231="N/A"," ",VLOOKUP($A231,NumberofDaysTable,3)*Availability)</f>
        <v> </v>
      </c>
      <c r="DG231" s="322" t="str">
        <f aca="false">IF($A231="N/A"," ",VLOOKUP($A231,NumberofDaysTable,4)*Availability)</f>
        <v> </v>
      </c>
      <c r="DH231" s="323" t="str">
        <f aca="false">IF($A231="N/A"," ",IF(Option=1,$D231*Inputs!$S$15*SUM(AS231:BA231),0))</f>
        <v> </v>
      </c>
      <c r="DI231" s="324" t="str">
        <f aca="false">IF($A231="N/A"," ",IF(Option=1,$D231*Inputs!$S$16*SUM(AS231:BA231),0))</f>
        <v> </v>
      </c>
      <c r="DJ231" s="325" t="str">
        <f aca="false">IF($A231="N/A"," ",SUM(AS231:AT231))</f>
        <v> </v>
      </c>
      <c r="DK231" s="325" t="str">
        <f aca="false">IF($A231="N/A"," ",SUM(AU231:BA231))</f>
        <v> </v>
      </c>
      <c r="DL231" s="325" t="str">
        <f aca="false">IF($A231="N/A"," ",SUM(BB231:BC231))</f>
        <v> </v>
      </c>
      <c r="DM231" s="325" t="str">
        <f aca="false">IF($A231="N/A"," ",SUM(BD231:BJ231))</f>
        <v> </v>
      </c>
    </row>
    <row r="232" customFormat="false" ht="12.75" hidden="false" customHeight="false" outlineLevel="0" collapsed="false">
      <c r="A232" s="282" t="str">
        <f aca="false">IF(A231="N/A","N/A",IF(EDATE(A231,1)&gt;Inputs!$S$5,"N/A",EDATE(A231,1)))</f>
        <v>N/A</v>
      </c>
      <c r="B232" s="283" t="str">
        <f aca="false">IF(A232="N/A"," ",YEAR(A232))</f>
        <v> </v>
      </c>
      <c r="C232" s="284" t="str">
        <f aca="false">IF(A232="N/A"," ",VLOOKUP(A232,ScaledPrice,14))</f>
        <v> </v>
      </c>
      <c r="D232" s="285" t="str">
        <f aca="false">IF(A232="N/A"," ",(VLOOKUP(MONTH($A232),Hrtable,2))/1000)</f>
        <v> </v>
      </c>
      <c r="E232" s="286" t="str">
        <f aca="false">IF($A232="N/A"," ",(C232)*D232)</f>
        <v> </v>
      </c>
      <c r="F232" s="287" t="str">
        <f aca="false">IF(A232="N/A"," ",VOM*(1+VOMesc)^(YEAR(A232)-YEAR(Today)))</f>
        <v> </v>
      </c>
      <c r="G232" s="287" t="str">
        <f aca="false">IF(A232="N/A"," ",Perstart/VLOOKUP(Dayrun,'Pricing Inputs'!$AQ$4:$AS$14,3)/(CY232/CX232))</f>
        <v> </v>
      </c>
      <c r="H232" s="288" t="str">
        <f aca="false">IF(A232="N/A"," ",SUM(E232:G232))</f>
        <v> </v>
      </c>
      <c r="I232" s="289" t="str">
        <f aca="false">VLOOKUP($A232,ScaledPrice,6)</f>
        <v> </v>
      </c>
      <c r="J232" s="290" t="str">
        <f aca="false">VLOOKUP($A232,ScaledPrice,10)</f>
        <v> </v>
      </c>
      <c r="K232" s="290" t="str">
        <f aca="false">VLOOKUP($A232,ScaledPrice,13)</f>
        <v> </v>
      </c>
      <c r="L232" s="290" t="str">
        <f aca="false">VLOOKUP($A232,ScaledPrice,7)</f>
        <v> </v>
      </c>
      <c r="M232" s="290" t="str">
        <f aca="false">VLOOKUP($A232,ScaledPrice,11)</f>
        <v> </v>
      </c>
      <c r="N232" s="290" t="str">
        <f aca="false">VLOOKUP($A232,ScaledPrice,13)</f>
        <v> </v>
      </c>
      <c r="O232" s="290" t="str">
        <f aca="false">VLOOKUP($A232,ScaledPrice,8)</f>
        <v> </v>
      </c>
      <c r="P232" s="290" t="str">
        <f aca="false">VLOOKUP($A232,ScaledPrice,12)</f>
        <v> </v>
      </c>
      <c r="Q232" s="291" t="str">
        <f aca="false">VLOOKUP($A232,ScaledPrice,13)</f>
        <v> </v>
      </c>
      <c r="R232" s="292" t="str">
        <f aca="false">IF($A232="N/A"," ",IF(Dayrun&gt;=3,IF(Option=1,MAX($I232-$H232,0),IF(Option=2,MAX($H232-$I232,0),0)),0))</f>
        <v> </v>
      </c>
      <c r="S232" s="286" t="str">
        <f aca="false">IF($A232="N/A"," ",IF(Dayrun&gt;=6,IF(Option=1,MAX($J232-H232,0),IF(Option=2,MAX(H232-$J232,0),0)),0))</f>
        <v> </v>
      </c>
      <c r="T232" s="286" t="str">
        <f aca="false">IF($A232="N/A"," ",IF(OR(Dayrun&lt;=2,Dayrun&gt;=9),IF(Option=1,MAX($K232-$H232,0),IF(Option=2,MAX($H232-$K232,0),0)),0))</f>
        <v> </v>
      </c>
      <c r="U232" s="286" t="str">
        <f aca="false">IF($A232="N/A"," ",IF(OR(Dayrun=1,Dayrun=4,Dayrun=5,Dayrun=7,Dayrun=8,Dayrun=10,Dayrun=11),IF(Option=1,MAX($L232-H232,0),IF(Option=2,MAX(H232-$L232,0),0)),0))</f>
        <v> </v>
      </c>
      <c r="V232" s="286" t="str">
        <f aca="false">IF($A232="N/A"," ",IF(OR(Dayrun=1,Dayrun=7,Dayrun=8,Dayrun=10,Dayrun=11),IF(Option=1,MAX($M232-H232,0),IF(Option=2,MAX(H232-$M232,0),0)),0))</f>
        <v> </v>
      </c>
      <c r="W232" s="286" t="str">
        <f aca="false">IF($A232="N/A"," ",IF(OR(Dayrun&lt;=2,Dayrun&gt;=10),IF(Option=1,MAX($N232-$H232,0),IF(Option=2,MAX($H232-$N232,0),0)),0))</f>
        <v> </v>
      </c>
      <c r="X232" s="286" t="str">
        <f aca="false">IF($A232="N/A"," ",IF(OR(Dayrun=1,Dayrun=5,Dayrun=8,Dayrun=11),IF(Option=1,MAX($O232-H232,0),IF(Option=2,MAX(H232-$O232,0),0)),0))</f>
        <v> </v>
      </c>
      <c r="Y232" s="286" t="str">
        <f aca="false">IF($A232="N/A"," ",IF(OR(Dayrun=1,Dayrun=8,Dayrun=11),IF(Option=1,MAX($P232-H232,0),IF(Option=2,MAX(H232-$P232,0),0)),0))</f>
        <v> </v>
      </c>
      <c r="Z232" s="293" t="str">
        <f aca="false">IF($A232="N/A"," ",IF(OR(Dayrun&lt;=2,Dayrun&gt;=11),IF(Option=1,MAX($Q232-$H232,0),IF(Option=2,MAX($H232-$Q232,0),0)),0))</f>
        <v> </v>
      </c>
      <c r="AA232" s="289" t="str">
        <f aca="false">IF($A232="N/A"," ",IF(Dayrun&gt;=3,(MAX(0,(xSPRDOPT(I232,($E232-'Pricing Inputs'!$X267*$D232),$CV232,0,($CN232+IF(Smile=TRUE(),VLOOKUP(MAX(-5,$H232-I232),Volsmile,2),0)),$CT232,$CU232,($A232-DateToday)+15,ABS(Option-2),0)-R232))),0))</f>
        <v> </v>
      </c>
      <c r="AB232" s="290" t="str">
        <f aca="false">IF($A232="N/A"," ",IF(Dayrun&gt;=6,MAX(0,(xSPRDOPT(J232,($E232-'Pricing Inputs'!$X267*$D232),$CV232,0,($CN232+IF(Smile=TRUE(),VLOOKUP(MAX(-5,$H232-J232),Volsmile,2),0)),$CT232,$CU232,($A232-DateToday)+15,ABS(Option-2),0)-S232)),0))</f>
        <v> </v>
      </c>
      <c r="AC232" s="290" t="str">
        <f aca="false">IF($A232="N/A"," ",IF(OR(Dayrun&lt;=2,Dayrun&gt;=9),IF(OffPeakEx=TRUE(),MAX(0,(xSPRDOPT(K232,($E232-'Pricing Inputs'!$X267*$D232),$CV232,0,($CQ232+IF(Smile=TRUE(),VLOOKUP(MAX(-5,$H232-K232),Volsmile,2),0)),$CT232,$CU232,($A232-DateToday)+15,ABS(Option-2),0)-T232)),0),0))</f>
        <v> </v>
      </c>
      <c r="AD232" s="290" t="str">
        <f aca="false">IF($A232="N/A"," ",IF(OR(Dayrun=1,Dayrun=4,Dayrun=5,Dayrun=7,Dayrun=8,Dayrun=10,Dayrun=11),MAX(0,(xSPRDOPT(L232,($E232-'Pricing Inputs'!$X267*$D232),$CV232,0,($CQ232+IF(Smile=TRUE(),VLOOKUP(MAX(-5,$H232-L232),Volsmile,2),0)),$CT232,$CU232,($A232-DateToday)+15,ABS(Option-2),0)-U232)),0))</f>
        <v> </v>
      </c>
      <c r="AE232" s="290" t="str">
        <f aca="false">IF($A232="N/A"," ",IF(OR(Dayrun=1,Dayrun=7,Dayrun=8,Dayrun=10,Dayrun=11),MAX(0,(xSPRDOPT(M232,($E232-'Pricing Inputs'!$X267*$D232),$CV232,0,($CQ232+IF(Smile=TRUE(),VLOOKUP(MAX(-5,$H232-M232),Volsmile,2),0)),$CT232,$CU232,($A232-DateToday)+15,ABS(Option-2),0)-V232)),0))</f>
        <v> </v>
      </c>
      <c r="AF232" s="290" t="str">
        <f aca="false">IF($A232="N/A"," ",IF(OR(Dayrun&lt;=2,Dayrun&gt;=10),IF(OffPeakEx=TRUE(),MAX(0,(xSPRDOPT(N232,($E232-'Pricing Inputs'!$X267*$D232),$CV232,0,($CQ232+IF(Smile=TRUE(),VLOOKUP(MAX(-5,$H232-N232),Volsmile,2),0)),$CT232,$CU232,($A232-DateToday)+15,ABS(Option-2),0)-W232)),0),0))</f>
        <v> </v>
      </c>
      <c r="AG232" s="290" t="str">
        <f aca="false">IF($A232="N/A"," ",IF(OR(Dayrun=1,Dayrun=5,Dayrun=8,Dayrun=11),MAX(0,(xSPRDOPT(O232,($E232-'Pricing Inputs'!$X267*$D232),$CV232,0,($CQ232+IF(Smile=TRUE(),VLOOKUP(MAX(-5,$H232-O232),Volsmile,2),0)),$CT232,$CU232,($A232-DateToday)+15,ABS(Option-2),0)-X232)),0))</f>
        <v> </v>
      </c>
      <c r="AH232" s="290" t="str">
        <f aca="false">IF($A232="N/A"," ",IF(OR(Dayrun=1,Dayrun=8,Dayrun=11),MAX(0,(xSPRDOPT(P232,($E232-'Pricing Inputs'!$X267*$D232),$CV232,0,($CQ232+IF(Smile=TRUE(),VLOOKUP(MAX(-5,$H232-P232),Volsmile,2),0)),$CT232,$CU232,($A232-DateToday)+15,ABS(Option-2),0)-Y232)),0))</f>
        <v> </v>
      </c>
      <c r="AI232" s="290" t="str">
        <f aca="false">IF($A232="N/A"," ",IF(OR(Dayrun&lt;=2,Dayrun&gt;=11),IF(OffPeakEx=TRUE(),MAX(0,(xSPRDOPT(Q232,($E232-'Pricing Inputs'!$X267*$D232),$CV232,0,($CQ232+IF(Smile=TRUE(),VLOOKUP(MAX(-5,$H232-Q232),Volsmile,2),0)),$CT232,$CU232,($A232-DateToday)+15,ABS(Option-2),0)-Z232)),0),0))</f>
        <v> </v>
      </c>
      <c r="AJ232" s="294" t="str">
        <f aca="false">IF($A232="N/A"," ",IF(Dayrun&gt;=3,IF(Option=1,$I232-$H232,IF(Option=2,$H232-$I232)),0))</f>
        <v> </v>
      </c>
      <c r="AK232" s="295" t="str">
        <f aca="false">IF($A232="N/A"," ",IF(Dayrun&gt;=6,IF(Option=1,$J232-H232,IF(Option=2,H232-$J232)),0))</f>
        <v> </v>
      </c>
      <c r="AL232" s="295" t="str">
        <f aca="false">IF($A232="N/A"," ",IF(OR(Dayrun&lt;=2,Dayrun&gt;=9),IF(Option=1,$K232-$H232,IF(Option=2,$H232-$K232)),0))</f>
        <v> </v>
      </c>
      <c r="AM232" s="295" t="str">
        <f aca="false">IF($A232="N/A"," ",IF(OR(Dayrun=1,Dayrun=4,Dayrun=5,Dayrun=7,Dayrun=8,Dayrun=10,Dayrun=11),IF(Option=1,$L232-H232,IF(Option=2,H232-$L232)),0))</f>
        <v> </v>
      </c>
      <c r="AN232" s="295" t="str">
        <f aca="false">IF($A232="N/A"," ",IF(OR(Dayrun=1,Dayrun=7,Dayrun=8,Dayrun=10,Dayrun=11),IF(Option=1,$M232-H232,IF(Option=2,H232-$M232)),0))</f>
        <v> </v>
      </c>
      <c r="AO232" s="295" t="str">
        <f aca="false">IF($A232="N/A"," ",IF(OR(Dayrun&lt;=2,Dayrun&gt;=9),IF(Option=1,$N232-$H232,IF(Option=2,$H232-$N232)),0))</f>
        <v> </v>
      </c>
      <c r="AP232" s="295" t="str">
        <f aca="false">IF($A232="N/A"," ",IF(OR(Dayrun=1,Dayrun=5,Dayrun=8,Dayrun=11),IF(Option=1,$O232-H232,IF(Option=2,H232-$O232)),0))</f>
        <v> </v>
      </c>
      <c r="AQ232" s="295" t="str">
        <f aca="false">IF($A232="N/A"," ",IF(OR(Dayrun=1,Dayrun=8,Dayrun=11),IF(Option=1,$P232-H232,IF(Option=2,H232-$P232)),0))</f>
        <v> </v>
      </c>
      <c r="AR232" s="296" t="str">
        <f aca="false">IF($A232="N/A"," ",IF(OR(Dayrun&lt;=2,Dayrun&gt;=9),IF(Option=1,$Q232-H232,IF(Option=2,H232-$Q232)),0))</f>
        <v> </v>
      </c>
      <c r="AS232" s="297" t="str">
        <f aca="false">IF($A232="N/A"," ",IF(VLOOKUP(MONTH($A232),ManualTable,2)=1,IF(Dayrun&gt;=3,$DE232*8*$CY232,0),0))</f>
        <v> </v>
      </c>
      <c r="AT232" s="297" t="str">
        <f aca="false">IF($A232="N/A"," ",IF(VLOOKUP(MONTH($A232),ManualTable,3)=1,IF(Dayrun&gt;=6,$DE232*8*$CY232,0),0))</f>
        <v> </v>
      </c>
      <c r="AU232" s="297" t="str">
        <f aca="false">IF($A232="N/A"," ",IF(VLOOKUP(MONTH($A232),ManualTable,4)=1,IF(OR(Dayrun&lt;=2,Dayrun&gt;=9),$DE232*8*$CY232,0),0))</f>
        <v> </v>
      </c>
      <c r="AV232" s="297" t="str">
        <f aca="false">IF($A232="N/A"," ",IF(VLOOKUP(MONTH($A232),ManualTable,5)=1,IF(OR(Dayrun=1,Dayrun=4,Dayrun=5,Dayrun=7,Dayrun=8,Dayrun=10,Dayrun=11),$DF232*8*$CY232,0),0))</f>
        <v> </v>
      </c>
      <c r="AW232" s="297" t="str">
        <f aca="false">IF($A232="N/A"," ",IF(VLOOKUP(MONTH($A232),ManualTable,6)=1,IF(OR(Dayrun=1,Dayrun=7,Dayrun=8,Dayrun=10,Dayrun=11),$DF232*8*$CY232,0),0))</f>
        <v> </v>
      </c>
      <c r="AX232" s="297" t="str">
        <f aca="false">IF($A232="N/A"," ",IF(VLOOKUP(MONTH($A232),ManualTable,7)=1,IF(OR(Dayrun&lt;=2,Dayrun&gt;=9),$DF232*8*$CY232,0),0))</f>
        <v> </v>
      </c>
      <c r="AY232" s="297" t="str">
        <f aca="false">IF($A232="N/A"," ",IF(VLOOKUP(MONTH($A232),ManualTable,8)=1,IF(OR(Dayrun=1,Dayrun=5,Dayrun=8,Dayrun=11),$DG232*8*$CY232,0),0))</f>
        <v> </v>
      </c>
      <c r="AZ232" s="297" t="str">
        <f aca="false">IF($A232="N/A"," ",IF(VLOOKUP(MONTH($A232),ManualTable,9)=1,IF(OR(Dayrun=1,Dayrun=8,Dayrun=11),$DG232*8*$CY232,0),0))</f>
        <v> </v>
      </c>
      <c r="BA232" s="298" t="str">
        <f aca="false">IF($A232="N/A"," ",IF(VLOOKUP(MONTH($A232),ManualTable,10)=1,IF(OR(Dayrun&lt;=2,Dayrun&gt;=9),$DG232*8*$CY232,0),0))</f>
        <v> </v>
      </c>
      <c r="BB232" s="299" t="str">
        <f aca="false">IF($A232="N/A"," ",IF(Dayrun&gt;=3,(MAX(0,(xSPRDOPT(I232,($E232-'Pricing Inputs'!$X267*$D232),$CV232,0,($CN232+IF(Smile=TRUE(),VLOOKUP(MAX(-5,$H232-I232),Volsmile,2),0)),$CT232,$CU232,($A232-DateToday)+15,ABS(Option-2),1)*DE232*8))),0))</f>
        <v> </v>
      </c>
      <c r="BC232" s="300" t="str">
        <f aca="false">IF($A232="N/A"," ",IF(Dayrun&gt;=6,MAX(0,(xSPRDOPT(J232,($E232-'Pricing Inputs'!$X267*$D232),$CV232,0,($CN232+IF(Smile=TRUE(),VLOOKUP(MAX(-5,$H232-J232),Volsmile,2),0)),$CT232,$CU232,($A232-DateToday)+15,ABS(Option-2),1)*DE232*8)),0))</f>
        <v> </v>
      </c>
      <c r="BD232" s="300" t="str">
        <f aca="false">IF($A232="N/A"," ",IF(OR(Dayrun&lt;=2,Dayrun&gt;=9),IF(OffPeakEx=TRUE(),MAX(0,(xSPRDOPT(K232,($E232-'Pricing Inputs'!$X267*$D232),$CV232,0,($CQ232+IF(Smile=TRUE(),VLOOKUP(MAX(-5,$H232-K232),Volsmile,2),0)),$CT232,$CU232,($A232-DateToday)+15,ABS(Option-2),1)*DE232*8)),0),0))</f>
        <v> </v>
      </c>
      <c r="BE232" s="300" t="str">
        <f aca="false">IF($A232="N/A"," ",IF(OR(Dayrun=1,Dayrun=4,Dayrun=5,Dayrun=7,Dayrun=8,Dayrun=10,Dayrun=11),MAX(0,(xSPRDOPT(L232,($E232-'Pricing Inputs'!$X267*$D232),$CV232,0,($CQ232+IF(Smile=TRUE(),VLOOKUP(MAX(-5,$H232-L232),Volsmile,2),0)),$CT232,$CU232,($A232-DateToday)+15,ABS(Option-2),1)*DF232*8)),0))</f>
        <v> </v>
      </c>
      <c r="BF232" s="300" t="str">
        <f aca="false">IF($A232="N/A"," ",IF(OR(Dayrun=1,Dayrun=7,Dayrun=8,Dayrun=10,Dayrun=11),MAX(0,(xSPRDOPT(M232,($E232-'Pricing Inputs'!$X267*$D232),$CV232,0,($CQ232+IF(Smile=TRUE(),VLOOKUP(MAX(-5,$H232-M232),Volsmile,2),0)),$CT232,$CU232,($A232-DateToday)+15,ABS(Option-2),1)*DF232*8)),0))</f>
        <v> </v>
      </c>
      <c r="BG232" s="300" t="str">
        <f aca="false">IF($A232="N/A"," ",IF(OR(Dayrun&lt;=2,Dayrun&gt;=10),IF(OffPeakEx=TRUE(),MAX(0,(xSPRDOPT(N232,($E232-'Pricing Inputs'!$X267*$D232),$CV232,0,($CQ232+IF(Smile=TRUE(),VLOOKUP(MAX(-5,$H232-N232),Volsmile,2),0)),$CT232,$CU232,($A232-DateToday)+15,ABS(Option-2),1)*DF232*8)),0),0))</f>
        <v> </v>
      </c>
      <c r="BH232" s="300" t="str">
        <f aca="false">IF($A232="N/A"," ",IF(OR(Dayrun=1,Dayrun=5,Dayrun=8,Dayrun=11),MAX(0,(xSPRDOPT(O232,($E232-'Pricing Inputs'!$X267*$D232),$CV232,0,($CQ232+IF(Smile=TRUE(),VLOOKUP(MAX(-5,$H232-O232),Volsmile,2),0)),$CT232,$CU232,($A232-DateToday)+15,ABS(Option-2),1)*DG232*8)),0))</f>
        <v> </v>
      </c>
      <c r="BI232" s="300" t="str">
        <f aca="false">IF($A232="N/A"," ",IF(OR(Dayrun=1,Dayrun=8,Dayrun=11),MAX(0,(xSPRDOPT(P232,($E232-'Pricing Inputs'!$X267*$D232),$CV232,0,($CQ232+IF(Smile=TRUE(),VLOOKUP(MAX(-5,$H232-P232),Volsmile,2),0)),$CT232,$CU232,($A232-DateToday)+15,ABS(Option-2),1)*DG232*8)),0))</f>
        <v> </v>
      </c>
      <c r="BJ232" s="301" t="str">
        <f aca="false">IF($A232="N/A"," ",IF(OR(Dayrun&lt;=2,Dayrun&gt;=11),IF(OffPeakEx=TRUE(),MAX(0,(xSPRDOPT(Q232,($E232-'Pricing Inputs'!$X267*$D232),$CV232,0,($CQ232+IF(Smile=TRUE(),VLOOKUP(MAX(-5,$H232-Q232),Volsmile,2),0)),$CT232,$CU232,($A232-DateToday)+15,ABS(Option-2),1)*DG232*8)),0),0))</f>
        <v> </v>
      </c>
      <c r="BK232" s="302" t="str">
        <f aca="false">IF($A232="N/A"," ",R232*$AS232)</f>
        <v> </v>
      </c>
      <c r="BL232" s="303" t="str">
        <f aca="false">IF($A232="N/A"," ",S232*$AT232)</f>
        <v> </v>
      </c>
      <c r="BM232" s="303" t="str">
        <f aca="false">IF($A232="N/A"," ",T232*$AU232)</f>
        <v> </v>
      </c>
      <c r="BN232" s="303" t="str">
        <f aca="false">IF($A232="N/A"," ",U232*$AV232)</f>
        <v> </v>
      </c>
      <c r="BO232" s="303" t="str">
        <f aca="false">IF($A232="N/A"," ",V232*$AW232)</f>
        <v> </v>
      </c>
      <c r="BP232" s="303" t="str">
        <f aca="false">IF($A232="N/A"," ",W232*$AX232)</f>
        <v> </v>
      </c>
      <c r="BQ232" s="303" t="str">
        <f aca="false">IF($A232="N/A"," ",X232*$AY232)</f>
        <v> </v>
      </c>
      <c r="BR232" s="303" t="str">
        <f aca="false">IF($A232="N/A"," ",Y232*$AZ232)</f>
        <v> </v>
      </c>
      <c r="BS232" s="304" t="str">
        <f aca="false">IF($A232="N/A"," ",Z232*$BA232)</f>
        <v> </v>
      </c>
      <c r="BT232" s="305" t="str">
        <f aca="false">IF($A232="N/A"," ",AA232*$AS232)</f>
        <v> </v>
      </c>
      <c r="BU232" s="306" t="str">
        <f aca="false">IF($A232="N/A"," ",AB232*$AT232)</f>
        <v> </v>
      </c>
      <c r="BV232" s="306" t="str">
        <f aca="false">IF($A232="N/A"," ",AC232*$AU232)</f>
        <v> </v>
      </c>
      <c r="BW232" s="306" t="str">
        <f aca="false">IF($A232="N/A"," ",AD232*$AV232)</f>
        <v> </v>
      </c>
      <c r="BX232" s="306" t="str">
        <f aca="false">IF($A232="N/A"," ",AE232*$AW232)</f>
        <v> </v>
      </c>
      <c r="BY232" s="306" t="str">
        <f aca="false">IF($A232="N/A"," ",AF232*$AX232)</f>
        <v> </v>
      </c>
      <c r="BZ232" s="306" t="str">
        <f aca="false">IF($A232="N/A"," ",AG232*$AY232)</f>
        <v> </v>
      </c>
      <c r="CA232" s="306" t="str">
        <f aca="false">IF($A232="N/A"," ",AH232*$AZ232)</f>
        <v> </v>
      </c>
      <c r="CB232" s="307" t="str">
        <f aca="false">IF($A232="N/A"," ",AI232*$BA232)</f>
        <v> </v>
      </c>
      <c r="CC232" s="308" t="str">
        <f aca="false">IF($A232="N/A"," ",AJ232*$AS232)</f>
        <v> </v>
      </c>
      <c r="CD232" s="309" t="str">
        <f aca="false">IF($A232="N/A"," ",AK232*$AT232)</f>
        <v> </v>
      </c>
      <c r="CE232" s="309" t="str">
        <f aca="false">IF($A232="N/A"," ",AL232*$AU232)</f>
        <v> </v>
      </c>
      <c r="CF232" s="309" t="str">
        <f aca="false">IF($A232="N/A"," ",AM232*$AV232)</f>
        <v> </v>
      </c>
      <c r="CG232" s="309" t="str">
        <f aca="false">IF($A232="N/A"," ",AN232*$AW232)</f>
        <v> </v>
      </c>
      <c r="CH232" s="309" t="str">
        <f aca="false">IF($A232="N/A"," ",AO232*$AX232)</f>
        <v> </v>
      </c>
      <c r="CI232" s="309" t="str">
        <f aca="false">IF($A232="N/A"," ",AP232*$AY232)</f>
        <v> </v>
      </c>
      <c r="CJ232" s="309" t="str">
        <f aca="false">IF($A232="N/A"," ",AQ232*$AZ232)</f>
        <v> </v>
      </c>
      <c r="CK232" s="310" t="str">
        <f aca="false">IF($A232="N/A"," ",AR232*$BA232)</f>
        <v> </v>
      </c>
      <c r="CL232" s="311" t="str">
        <f aca="false">IF(A232="N/A"," ",(VLOOKUP(A232,PowerVolTable,(IF(VolBMO=2,7,IF(VolBMO=1,6,8))),FALSE())))</f>
        <v> </v>
      </c>
      <c r="CM232" s="312" t="str">
        <f aca="false">IF(A232="N/A"," ",(VLOOKUP(A232,IntraPowerVol,(IF(VolBMO=2,3,IF(VolBMO=1,2,4))),FALSE())*VLOOKUP(MONTH($A232),Volscale,2)))</f>
        <v> </v>
      </c>
      <c r="CN232" s="312" t="str">
        <f aca="false">IF($A232="N/A"," ",IF(VolType=1,CM232,CL232))</f>
        <v> </v>
      </c>
      <c r="CO232" s="312" t="str">
        <f aca="false">IF($A232="N/A"," ",(VLOOKUP($A232,OffPeakVol,(IF(VolBMO=2,7,IF(VolBMO=1,6,8))),FALSE())))</f>
        <v> </v>
      </c>
      <c r="CP232" s="312" t="str">
        <f aca="false">IF($A232="N/A"," ",(VLOOKUP($A232,OffPeakVol,(IF(VolBMO=2,3,IF(VolBMO=1,2,4))),FALSE())*VLOOKUP(MONTH($A232),Volscale,2)))</f>
        <v> </v>
      </c>
      <c r="CQ232" s="312" t="str">
        <f aca="false">IF($A232="N/A"," ",IF(VolType=1,CP232,CO232))</f>
        <v> </v>
      </c>
      <c r="CR232" s="312" t="str">
        <f aca="false">IF($A232="N/A"," ",(VLOOKUP($A232,GasVolTable,(IF(VolBMO=2,6,IF(VolBMO=1,7,5))),FALSE())))</f>
        <v> </v>
      </c>
      <c r="CS232" s="312" t="str">
        <f aca="false">IF($A232="N/A"," ",(VLOOKUP($A232,OmicronVol,(IF(VolBMO=2,3,IF(VolBMO=1,4,2))),FALSE())))</f>
        <v> </v>
      </c>
      <c r="CT232" s="312" t="str">
        <f aca="false">IF($A232="N/A"," ",(IF(DateToday&gt;$A232,$CS232,IF(VolType=1,((($CR232^2)*((($A232-1)-DateToday)/((EOMONTH($A232,0)+1)-DateToday-15)))+((($CS232)^2)*((15)/((EOMONTH($A232,0)+1)-DateToday-15))))^0.5,CR232))))</f>
        <v> </v>
      </c>
      <c r="CU232" s="312" t="str">
        <f aca="false">IF($A232="N/A"," ",IF('Pricing Inputs'!$AR$23=TRUE(),Inputs!$S$22,VLOOKUP($A232,CorrelationTable,2,FALSE())))</f>
        <v> </v>
      </c>
      <c r="CV232" s="313" t="str">
        <f aca="false">IF($A232="N/A"," ",F232+G232+(D232*('Pricing Inputs'!X267)))</f>
        <v> </v>
      </c>
      <c r="CW232" s="314" t="str">
        <f aca="false">IF($A232="N/A"," ",IF(PV=1,0,'Pricing Inputs'!Y267))</f>
        <v> </v>
      </c>
      <c r="CX232" s="315" t="str">
        <f aca="false">IF($A232="N/A"," ",(1+CW232/2)^(-2*((EOMONTH(A232,0)+20)-DateToday)/365.25))</f>
        <v> </v>
      </c>
      <c r="CY232" s="316" t="str">
        <f aca="false">IF($A232="N/A"," ",(IF(MONTH(A232)&gt;=4,IF(MONTH(A232)&lt;=10,Inputs!$S$26,Inputs!$S$27),Inputs!$S$27))*$CX232)</f>
        <v> </v>
      </c>
      <c r="CZ232" s="317" t="str">
        <f aca="false">IF($A232="N/A"," ",BK232+BL232+BN232+BO232+BQ232+BR232)</f>
        <v> </v>
      </c>
      <c r="DA232" s="318" t="str">
        <f aca="false">IF($A232="N/A"," ",BM232+BP232+BS232)</f>
        <v> </v>
      </c>
      <c r="DB232" s="319" t="str">
        <f aca="false">IF($A232="N/A"," ",BT232+BU232+BW232+BX232+BZ232+CA232)</f>
        <v> </v>
      </c>
      <c r="DC232" s="319" t="str">
        <f aca="false">IF($A232="N/A"," ",BV232+BY232+CB232)</f>
        <v> </v>
      </c>
      <c r="DD232" s="320" t="str">
        <f aca="false">IF($A232="N/A"," ",SUM(CC232:CK232))</f>
        <v> </v>
      </c>
      <c r="DE232" s="321" t="str">
        <f aca="false">IF($A232="N/A"," ",VLOOKUP($A232,NumberofDaysTable,2)*Availability)</f>
        <v> </v>
      </c>
      <c r="DF232" s="94" t="str">
        <f aca="false">IF($A232="N/A"," ",VLOOKUP($A232,NumberofDaysTable,3)*Availability)</f>
        <v> </v>
      </c>
      <c r="DG232" s="322" t="str">
        <f aca="false">IF($A232="N/A"," ",VLOOKUP($A232,NumberofDaysTable,4)*Availability)</f>
        <v> </v>
      </c>
      <c r="DH232" s="323" t="str">
        <f aca="false">IF($A232="N/A"," ",IF(Option=1,$D232*Inputs!$S$15*SUM(AS232:BA232),0))</f>
        <v> </v>
      </c>
      <c r="DI232" s="324" t="str">
        <f aca="false">IF($A232="N/A"," ",IF(Option=1,$D232*Inputs!$S$16*SUM(AS232:BA232),0))</f>
        <v> </v>
      </c>
      <c r="DJ232" s="325" t="str">
        <f aca="false">IF($A232="N/A"," ",SUM(AS232:AT232))</f>
        <v> </v>
      </c>
      <c r="DK232" s="325" t="str">
        <f aca="false">IF($A232="N/A"," ",SUM(AU232:BA232))</f>
        <v> </v>
      </c>
      <c r="DL232" s="325" t="str">
        <f aca="false">IF($A232="N/A"," ",SUM(BB232:BC232))</f>
        <v> </v>
      </c>
      <c r="DM232" s="325" t="str">
        <f aca="false">IF($A232="N/A"," ",SUM(BD232:BJ232))</f>
        <v> </v>
      </c>
    </row>
    <row r="233" customFormat="false" ht="12.75" hidden="false" customHeight="false" outlineLevel="0" collapsed="false">
      <c r="A233" s="282" t="str">
        <f aca="false">IF(A232="N/A","N/A",IF(EDATE(A232,1)&gt;Inputs!$S$5,"N/A",EDATE(A232,1)))</f>
        <v>N/A</v>
      </c>
      <c r="B233" s="283" t="str">
        <f aca="false">IF(A233="N/A"," ",YEAR(A233))</f>
        <v> </v>
      </c>
      <c r="C233" s="284" t="str">
        <f aca="false">IF(A233="N/A"," ",VLOOKUP(A233,ScaledPrice,14))</f>
        <v> </v>
      </c>
      <c r="D233" s="285" t="str">
        <f aca="false">IF(A233="N/A"," ",(VLOOKUP(MONTH($A233),Hrtable,2))/1000)</f>
        <v> </v>
      </c>
      <c r="E233" s="286" t="str">
        <f aca="false">IF($A233="N/A"," ",(C233)*D233)</f>
        <v> </v>
      </c>
      <c r="F233" s="287" t="str">
        <f aca="false">IF(A233="N/A"," ",VOM*(1+VOMesc)^(YEAR(A233)-YEAR(Today)))</f>
        <v> </v>
      </c>
      <c r="G233" s="287" t="str">
        <f aca="false">IF(A233="N/A"," ",Perstart/VLOOKUP(Dayrun,'Pricing Inputs'!$AQ$4:$AS$14,3)/(CY233/CX233))</f>
        <v> </v>
      </c>
      <c r="H233" s="288" t="str">
        <f aca="false">IF(A233="N/A"," ",SUM(E233:G233))</f>
        <v> </v>
      </c>
      <c r="I233" s="289" t="str">
        <f aca="false">VLOOKUP($A233,ScaledPrice,6)</f>
        <v> </v>
      </c>
      <c r="J233" s="290" t="str">
        <f aca="false">VLOOKUP($A233,ScaledPrice,10)</f>
        <v> </v>
      </c>
      <c r="K233" s="290" t="str">
        <f aca="false">VLOOKUP($A233,ScaledPrice,13)</f>
        <v> </v>
      </c>
      <c r="L233" s="290" t="str">
        <f aca="false">VLOOKUP($A233,ScaledPrice,7)</f>
        <v> </v>
      </c>
      <c r="M233" s="290" t="str">
        <f aca="false">VLOOKUP($A233,ScaledPrice,11)</f>
        <v> </v>
      </c>
      <c r="N233" s="290" t="str">
        <f aca="false">VLOOKUP($A233,ScaledPrice,13)</f>
        <v> </v>
      </c>
      <c r="O233" s="290" t="str">
        <f aca="false">VLOOKUP($A233,ScaledPrice,8)</f>
        <v> </v>
      </c>
      <c r="P233" s="290" t="str">
        <f aca="false">VLOOKUP($A233,ScaledPrice,12)</f>
        <v> </v>
      </c>
      <c r="Q233" s="291" t="str">
        <f aca="false">VLOOKUP($A233,ScaledPrice,13)</f>
        <v> </v>
      </c>
      <c r="R233" s="292" t="str">
        <f aca="false">IF($A233="N/A"," ",IF(Dayrun&gt;=3,IF(Option=1,MAX($I233-$H233,0),IF(Option=2,MAX($H233-$I233,0),0)),0))</f>
        <v> </v>
      </c>
      <c r="S233" s="286" t="str">
        <f aca="false">IF($A233="N/A"," ",IF(Dayrun&gt;=6,IF(Option=1,MAX($J233-H233,0),IF(Option=2,MAX(H233-$J233,0),0)),0))</f>
        <v> </v>
      </c>
      <c r="T233" s="286" t="str">
        <f aca="false">IF($A233="N/A"," ",IF(OR(Dayrun&lt;=2,Dayrun&gt;=9),IF(Option=1,MAX($K233-$H233,0),IF(Option=2,MAX($H233-$K233,0),0)),0))</f>
        <v> </v>
      </c>
      <c r="U233" s="286" t="str">
        <f aca="false">IF($A233="N/A"," ",IF(OR(Dayrun=1,Dayrun=4,Dayrun=5,Dayrun=7,Dayrun=8,Dayrun=10,Dayrun=11),IF(Option=1,MAX($L233-H233,0),IF(Option=2,MAX(H233-$L233,0),0)),0))</f>
        <v> </v>
      </c>
      <c r="V233" s="286" t="str">
        <f aca="false">IF($A233="N/A"," ",IF(OR(Dayrun=1,Dayrun=7,Dayrun=8,Dayrun=10,Dayrun=11),IF(Option=1,MAX($M233-H233,0),IF(Option=2,MAX(H233-$M233,0),0)),0))</f>
        <v> </v>
      </c>
      <c r="W233" s="286" t="str">
        <f aca="false">IF($A233="N/A"," ",IF(OR(Dayrun&lt;=2,Dayrun&gt;=10),IF(Option=1,MAX($N233-$H233,0),IF(Option=2,MAX($H233-$N233,0),0)),0))</f>
        <v> </v>
      </c>
      <c r="X233" s="286" t="str">
        <f aca="false">IF($A233="N/A"," ",IF(OR(Dayrun=1,Dayrun=5,Dayrun=8,Dayrun=11),IF(Option=1,MAX($O233-H233,0),IF(Option=2,MAX(H233-$O233,0),0)),0))</f>
        <v> </v>
      </c>
      <c r="Y233" s="286" t="str">
        <f aca="false">IF($A233="N/A"," ",IF(OR(Dayrun=1,Dayrun=8,Dayrun=11),IF(Option=1,MAX($P233-H233,0),IF(Option=2,MAX(H233-$P233,0),0)),0))</f>
        <v> </v>
      </c>
      <c r="Z233" s="293" t="str">
        <f aca="false">IF($A233="N/A"," ",IF(OR(Dayrun&lt;=2,Dayrun&gt;=11),IF(Option=1,MAX($Q233-$H233,0),IF(Option=2,MAX($H233-$Q233,0),0)),0))</f>
        <v> </v>
      </c>
      <c r="AA233" s="289" t="str">
        <f aca="false">IF($A233="N/A"," ",IF(Dayrun&gt;=3,(MAX(0,(xSPRDOPT(I233,($E233-'Pricing Inputs'!$X268*$D233),$CV233,0,($CN233+IF(Smile=TRUE(),VLOOKUP(MAX(-5,$H233-I233),Volsmile,2),0)),$CT233,$CU233,($A233-DateToday)+15,ABS(Option-2),0)-R233))),0))</f>
        <v> </v>
      </c>
      <c r="AB233" s="290" t="str">
        <f aca="false">IF($A233="N/A"," ",IF(Dayrun&gt;=6,MAX(0,(xSPRDOPT(J233,($E233-'Pricing Inputs'!$X268*$D233),$CV233,0,($CN233+IF(Smile=TRUE(),VLOOKUP(MAX(-5,$H233-J233),Volsmile,2),0)),$CT233,$CU233,($A233-DateToday)+15,ABS(Option-2),0)-S233)),0))</f>
        <v> </v>
      </c>
      <c r="AC233" s="290" t="str">
        <f aca="false">IF($A233="N/A"," ",IF(OR(Dayrun&lt;=2,Dayrun&gt;=9),IF(OffPeakEx=TRUE(),MAX(0,(xSPRDOPT(K233,($E233-'Pricing Inputs'!$X268*$D233),$CV233,0,($CQ233+IF(Smile=TRUE(),VLOOKUP(MAX(-5,$H233-K233),Volsmile,2),0)),$CT233,$CU233,($A233-DateToday)+15,ABS(Option-2),0)-T233)),0),0))</f>
        <v> </v>
      </c>
      <c r="AD233" s="290" t="str">
        <f aca="false">IF($A233="N/A"," ",IF(OR(Dayrun=1,Dayrun=4,Dayrun=5,Dayrun=7,Dayrun=8,Dayrun=10,Dayrun=11),MAX(0,(xSPRDOPT(L233,($E233-'Pricing Inputs'!$X268*$D233),$CV233,0,($CQ233+IF(Smile=TRUE(),VLOOKUP(MAX(-5,$H233-L233),Volsmile,2),0)),$CT233,$CU233,($A233-DateToday)+15,ABS(Option-2),0)-U233)),0))</f>
        <v> </v>
      </c>
      <c r="AE233" s="290" t="str">
        <f aca="false">IF($A233="N/A"," ",IF(OR(Dayrun=1,Dayrun=7,Dayrun=8,Dayrun=10,Dayrun=11),MAX(0,(xSPRDOPT(M233,($E233-'Pricing Inputs'!$X268*$D233),$CV233,0,($CQ233+IF(Smile=TRUE(),VLOOKUP(MAX(-5,$H233-M233),Volsmile,2),0)),$CT233,$CU233,($A233-DateToday)+15,ABS(Option-2),0)-V233)),0))</f>
        <v> </v>
      </c>
      <c r="AF233" s="290" t="str">
        <f aca="false">IF($A233="N/A"," ",IF(OR(Dayrun&lt;=2,Dayrun&gt;=10),IF(OffPeakEx=TRUE(),MAX(0,(xSPRDOPT(N233,($E233-'Pricing Inputs'!$X268*$D233),$CV233,0,($CQ233+IF(Smile=TRUE(),VLOOKUP(MAX(-5,$H233-N233),Volsmile,2),0)),$CT233,$CU233,($A233-DateToday)+15,ABS(Option-2),0)-W233)),0),0))</f>
        <v> </v>
      </c>
      <c r="AG233" s="290" t="str">
        <f aca="false">IF($A233="N/A"," ",IF(OR(Dayrun=1,Dayrun=5,Dayrun=8,Dayrun=11),MAX(0,(xSPRDOPT(O233,($E233-'Pricing Inputs'!$X268*$D233),$CV233,0,($CQ233+IF(Smile=TRUE(),VLOOKUP(MAX(-5,$H233-O233),Volsmile,2),0)),$CT233,$CU233,($A233-DateToday)+15,ABS(Option-2),0)-X233)),0))</f>
        <v> </v>
      </c>
      <c r="AH233" s="290" t="str">
        <f aca="false">IF($A233="N/A"," ",IF(OR(Dayrun=1,Dayrun=8,Dayrun=11),MAX(0,(xSPRDOPT(P233,($E233-'Pricing Inputs'!$X268*$D233),$CV233,0,($CQ233+IF(Smile=TRUE(),VLOOKUP(MAX(-5,$H233-P233),Volsmile,2),0)),$CT233,$CU233,($A233-DateToday)+15,ABS(Option-2),0)-Y233)),0))</f>
        <v> </v>
      </c>
      <c r="AI233" s="290" t="str">
        <f aca="false">IF($A233="N/A"," ",IF(OR(Dayrun&lt;=2,Dayrun&gt;=11),IF(OffPeakEx=TRUE(),MAX(0,(xSPRDOPT(Q233,($E233-'Pricing Inputs'!$X268*$D233),$CV233,0,($CQ233+IF(Smile=TRUE(),VLOOKUP(MAX(-5,$H233-Q233),Volsmile,2),0)),$CT233,$CU233,($A233-DateToday)+15,ABS(Option-2),0)-Z233)),0),0))</f>
        <v> </v>
      </c>
      <c r="AJ233" s="294" t="str">
        <f aca="false">IF($A233="N/A"," ",IF(Dayrun&gt;=3,IF(Option=1,$I233-$H233,IF(Option=2,$H233-$I233)),0))</f>
        <v> </v>
      </c>
      <c r="AK233" s="295" t="str">
        <f aca="false">IF($A233="N/A"," ",IF(Dayrun&gt;=6,IF(Option=1,$J233-H233,IF(Option=2,H233-$J233)),0))</f>
        <v> </v>
      </c>
      <c r="AL233" s="295" t="str">
        <f aca="false">IF($A233="N/A"," ",IF(OR(Dayrun&lt;=2,Dayrun&gt;=9),IF(Option=1,$K233-$H233,IF(Option=2,$H233-$K233)),0))</f>
        <v> </v>
      </c>
      <c r="AM233" s="295" t="str">
        <f aca="false">IF($A233="N/A"," ",IF(OR(Dayrun=1,Dayrun=4,Dayrun=5,Dayrun=7,Dayrun=8,Dayrun=10,Dayrun=11),IF(Option=1,$L233-H233,IF(Option=2,H233-$L233)),0))</f>
        <v> </v>
      </c>
      <c r="AN233" s="295" t="str">
        <f aca="false">IF($A233="N/A"," ",IF(OR(Dayrun=1,Dayrun=7,Dayrun=8,Dayrun=10,Dayrun=11),IF(Option=1,$M233-H233,IF(Option=2,H233-$M233)),0))</f>
        <v> </v>
      </c>
      <c r="AO233" s="295" t="str">
        <f aca="false">IF($A233="N/A"," ",IF(OR(Dayrun&lt;=2,Dayrun&gt;=9),IF(Option=1,$N233-$H233,IF(Option=2,$H233-$N233)),0))</f>
        <v> </v>
      </c>
      <c r="AP233" s="295" t="str">
        <f aca="false">IF($A233="N/A"," ",IF(OR(Dayrun=1,Dayrun=5,Dayrun=8,Dayrun=11),IF(Option=1,$O233-H233,IF(Option=2,H233-$O233)),0))</f>
        <v> </v>
      </c>
      <c r="AQ233" s="295" t="str">
        <f aca="false">IF($A233="N/A"," ",IF(OR(Dayrun=1,Dayrun=8,Dayrun=11),IF(Option=1,$P233-H233,IF(Option=2,H233-$P233)),0))</f>
        <v> </v>
      </c>
      <c r="AR233" s="296" t="str">
        <f aca="false">IF($A233="N/A"," ",IF(OR(Dayrun&lt;=2,Dayrun&gt;=9),IF(Option=1,$Q233-H233,IF(Option=2,H233-$Q233)),0))</f>
        <v> </v>
      </c>
      <c r="AS233" s="297" t="str">
        <f aca="false">IF($A233="N/A"," ",IF(VLOOKUP(MONTH($A233),ManualTable,2)=1,IF(Dayrun&gt;=3,$DE233*8*$CY233,0),0))</f>
        <v> </v>
      </c>
      <c r="AT233" s="297" t="str">
        <f aca="false">IF($A233="N/A"," ",IF(VLOOKUP(MONTH($A233),ManualTable,3)=1,IF(Dayrun&gt;=6,$DE233*8*$CY233,0),0))</f>
        <v> </v>
      </c>
      <c r="AU233" s="297" t="str">
        <f aca="false">IF($A233="N/A"," ",IF(VLOOKUP(MONTH($A233),ManualTable,4)=1,IF(OR(Dayrun&lt;=2,Dayrun&gt;=9),$DE233*8*$CY233,0),0))</f>
        <v> </v>
      </c>
      <c r="AV233" s="297" t="str">
        <f aca="false">IF($A233="N/A"," ",IF(VLOOKUP(MONTH($A233),ManualTable,5)=1,IF(OR(Dayrun=1,Dayrun=4,Dayrun=5,Dayrun=7,Dayrun=8,Dayrun=10,Dayrun=11),$DF233*8*$CY233,0),0))</f>
        <v> </v>
      </c>
      <c r="AW233" s="297" t="str">
        <f aca="false">IF($A233="N/A"," ",IF(VLOOKUP(MONTH($A233),ManualTable,6)=1,IF(OR(Dayrun=1,Dayrun=7,Dayrun=8,Dayrun=10,Dayrun=11),$DF233*8*$CY233,0),0))</f>
        <v> </v>
      </c>
      <c r="AX233" s="297" t="str">
        <f aca="false">IF($A233="N/A"," ",IF(VLOOKUP(MONTH($A233),ManualTable,7)=1,IF(OR(Dayrun&lt;=2,Dayrun&gt;=9),$DF233*8*$CY233,0),0))</f>
        <v> </v>
      </c>
      <c r="AY233" s="297" t="str">
        <f aca="false">IF($A233="N/A"," ",IF(VLOOKUP(MONTH($A233),ManualTable,8)=1,IF(OR(Dayrun=1,Dayrun=5,Dayrun=8,Dayrun=11),$DG233*8*$CY233,0),0))</f>
        <v> </v>
      </c>
      <c r="AZ233" s="297" t="str">
        <f aca="false">IF($A233="N/A"," ",IF(VLOOKUP(MONTH($A233),ManualTable,9)=1,IF(OR(Dayrun=1,Dayrun=8,Dayrun=11),$DG233*8*$CY233,0),0))</f>
        <v> </v>
      </c>
      <c r="BA233" s="298" t="str">
        <f aca="false">IF($A233="N/A"," ",IF(VLOOKUP(MONTH($A233),ManualTable,10)=1,IF(OR(Dayrun&lt;=2,Dayrun&gt;=9),$DG233*8*$CY233,0),0))</f>
        <v> </v>
      </c>
      <c r="BB233" s="299" t="str">
        <f aca="false">IF($A233="N/A"," ",IF(Dayrun&gt;=3,(MAX(0,(xSPRDOPT(I233,($E233-'Pricing Inputs'!$X268*$D233),$CV233,0,($CN233+IF(Smile=TRUE(),VLOOKUP(MAX(-5,$H233-I233),Volsmile,2),0)),$CT233,$CU233,($A233-DateToday)+15,ABS(Option-2),1)*DE233*8))),0))</f>
        <v> </v>
      </c>
      <c r="BC233" s="300" t="str">
        <f aca="false">IF($A233="N/A"," ",IF(Dayrun&gt;=6,MAX(0,(xSPRDOPT(J233,($E233-'Pricing Inputs'!$X268*$D233),$CV233,0,($CN233+IF(Smile=TRUE(),VLOOKUP(MAX(-5,$H233-J233),Volsmile,2),0)),$CT233,$CU233,($A233-DateToday)+15,ABS(Option-2),1)*DE233*8)),0))</f>
        <v> </v>
      </c>
      <c r="BD233" s="300" t="str">
        <f aca="false">IF($A233="N/A"," ",IF(OR(Dayrun&lt;=2,Dayrun&gt;=9),IF(OffPeakEx=TRUE(),MAX(0,(xSPRDOPT(K233,($E233-'Pricing Inputs'!$X268*$D233),$CV233,0,($CQ233+IF(Smile=TRUE(),VLOOKUP(MAX(-5,$H233-K233),Volsmile,2),0)),$CT233,$CU233,($A233-DateToday)+15,ABS(Option-2),1)*DE233*8)),0),0))</f>
        <v> </v>
      </c>
      <c r="BE233" s="300" t="str">
        <f aca="false">IF($A233="N/A"," ",IF(OR(Dayrun=1,Dayrun=4,Dayrun=5,Dayrun=7,Dayrun=8,Dayrun=10,Dayrun=11),MAX(0,(xSPRDOPT(L233,($E233-'Pricing Inputs'!$X268*$D233),$CV233,0,($CQ233+IF(Smile=TRUE(),VLOOKUP(MAX(-5,$H233-L233),Volsmile,2),0)),$CT233,$CU233,($A233-DateToday)+15,ABS(Option-2),1)*DF233*8)),0))</f>
        <v> </v>
      </c>
      <c r="BF233" s="300" t="str">
        <f aca="false">IF($A233="N/A"," ",IF(OR(Dayrun=1,Dayrun=7,Dayrun=8,Dayrun=10,Dayrun=11),MAX(0,(xSPRDOPT(M233,($E233-'Pricing Inputs'!$X268*$D233),$CV233,0,($CQ233+IF(Smile=TRUE(),VLOOKUP(MAX(-5,$H233-M233),Volsmile,2),0)),$CT233,$CU233,($A233-DateToday)+15,ABS(Option-2),1)*DF233*8)),0))</f>
        <v> </v>
      </c>
      <c r="BG233" s="300" t="str">
        <f aca="false">IF($A233="N/A"," ",IF(OR(Dayrun&lt;=2,Dayrun&gt;=10),IF(OffPeakEx=TRUE(),MAX(0,(xSPRDOPT(N233,($E233-'Pricing Inputs'!$X268*$D233),$CV233,0,($CQ233+IF(Smile=TRUE(),VLOOKUP(MAX(-5,$H233-N233),Volsmile,2),0)),$CT233,$CU233,($A233-DateToday)+15,ABS(Option-2),1)*DF233*8)),0),0))</f>
        <v> </v>
      </c>
      <c r="BH233" s="300" t="str">
        <f aca="false">IF($A233="N/A"," ",IF(OR(Dayrun=1,Dayrun=5,Dayrun=8,Dayrun=11),MAX(0,(xSPRDOPT(O233,($E233-'Pricing Inputs'!$X268*$D233),$CV233,0,($CQ233+IF(Smile=TRUE(),VLOOKUP(MAX(-5,$H233-O233),Volsmile,2),0)),$CT233,$CU233,($A233-DateToday)+15,ABS(Option-2),1)*DG233*8)),0))</f>
        <v> </v>
      </c>
      <c r="BI233" s="300" t="str">
        <f aca="false">IF($A233="N/A"," ",IF(OR(Dayrun=1,Dayrun=8,Dayrun=11),MAX(0,(xSPRDOPT(P233,($E233-'Pricing Inputs'!$X268*$D233),$CV233,0,($CQ233+IF(Smile=TRUE(),VLOOKUP(MAX(-5,$H233-P233),Volsmile,2),0)),$CT233,$CU233,($A233-DateToday)+15,ABS(Option-2),1)*DG233*8)),0))</f>
        <v> </v>
      </c>
      <c r="BJ233" s="301" t="str">
        <f aca="false">IF($A233="N/A"," ",IF(OR(Dayrun&lt;=2,Dayrun&gt;=11),IF(OffPeakEx=TRUE(),MAX(0,(xSPRDOPT(Q233,($E233-'Pricing Inputs'!$X268*$D233),$CV233,0,($CQ233+IF(Smile=TRUE(),VLOOKUP(MAX(-5,$H233-Q233),Volsmile,2),0)),$CT233,$CU233,($A233-DateToday)+15,ABS(Option-2),1)*DG233*8)),0),0))</f>
        <v> </v>
      </c>
      <c r="BK233" s="302" t="str">
        <f aca="false">IF($A233="N/A"," ",R233*$AS233)</f>
        <v> </v>
      </c>
      <c r="BL233" s="303" t="str">
        <f aca="false">IF($A233="N/A"," ",S233*$AT233)</f>
        <v> </v>
      </c>
      <c r="BM233" s="303" t="str">
        <f aca="false">IF($A233="N/A"," ",T233*$AU233)</f>
        <v> </v>
      </c>
      <c r="BN233" s="303" t="str">
        <f aca="false">IF($A233="N/A"," ",U233*$AV233)</f>
        <v> </v>
      </c>
      <c r="BO233" s="303" t="str">
        <f aca="false">IF($A233="N/A"," ",V233*$AW233)</f>
        <v> </v>
      </c>
      <c r="BP233" s="303" t="str">
        <f aca="false">IF($A233="N/A"," ",W233*$AX233)</f>
        <v> </v>
      </c>
      <c r="BQ233" s="303" t="str">
        <f aca="false">IF($A233="N/A"," ",X233*$AY233)</f>
        <v> </v>
      </c>
      <c r="BR233" s="303" t="str">
        <f aca="false">IF($A233="N/A"," ",Y233*$AZ233)</f>
        <v> </v>
      </c>
      <c r="BS233" s="304" t="str">
        <f aca="false">IF($A233="N/A"," ",Z233*$BA233)</f>
        <v> </v>
      </c>
      <c r="BT233" s="305" t="str">
        <f aca="false">IF($A233="N/A"," ",AA233*$AS233)</f>
        <v> </v>
      </c>
      <c r="BU233" s="306" t="str">
        <f aca="false">IF($A233="N/A"," ",AB233*$AT233)</f>
        <v> </v>
      </c>
      <c r="BV233" s="306" t="str">
        <f aca="false">IF($A233="N/A"," ",AC233*$AU233)</f>
        <v> </v>
      </c>
      <c r="BW233" s="306" t="str">
        <f aca="false">IF($A233="N/A"," ",AD233*$AV233)</f>
        <v> </v>
      </c>
      <c r="BX233" s="306" t="str">
        <f aca="false">IF($A233="N/A"," ",AE233*$AW233)</f>
        <v> </v>
      </c>
      <c r="BY233" s="306" t="str">
        <f aca="false">IF($A233="N/A"," ",AF233*$AX233)</f>
        <v> </v>
      </c>
      <c r="BZ233" s="306" t="str">
        <f aca="false">IF($A233="N/A"," ",AG233*$AY233)</f>
        <v> </v>
      </c>
      <c r="CA233" s="306" t="str">
        <f aca="false">IF($A233="N/A"," ",AH233*$AZ233)</f>
        <v> </v>
      </c>
      <c r="CB233" s="307" t="str">
        <f aca="false">IF($A233="N/A"," ",AI233*$BA233)</f>
        <v> </v>
      </c>
      <c r="CC233" s="308" t="str">
        <f aca="false">IF($A233="N/A"," ",AJ233*$AS233)</f>
        <v> </v>
      </c>
      <c r="CD233" s="309" t="str">
        <f aca="false">IF($A233="N/A"," ",AK233*$AT233)</f>
        <v> </v>
      </c>
      <c r="CE233" s="309" t="str">
        <f aca="false">IF($A233="N/A"," ",AL233*$AU233)</f>
        <v> </v>
      </c>
      <c r="CF233" s="309" t="str">
        <f aca="false">IF($A233="N/A"," ",AM233*$AV233)</f>
        <v> </v>
      </c>
      <c r="CG233" s="309" t="str">
        <f aca="false">IF($A233="N/A"," ",AN233*$AW233)</f>
        <v> </v>
      </c>
      <c r="CH233" s="309" t="str">
        <f aca="false">IF($A233="N/A"," ",AO233*$AX233)</f>
        <v> </v>
      </c>
      <c r="CI233" s="309" t="str">
        <f aca="false">IF($A233="N/A"," ",AP233*$AY233)</f>
        <v> </v>
      </c>
      <c r="CJ233" s="309" t="str">
        <f aca="false">IF($A233="N/A"," ",AQ233*$AZ233)</f>
        <v> </v>
      </c>
      <c r="CK233" s="310" t="str">
        <f aca="false">IF($A233="N/A"," ",AR233*$BA233)</f>
        <v> </v>
      </c>
      <c r="CL233" s="311" t="str">
        <f aca="false">IF(A233="N/A"," ",(VLOOKUP(A233,PowerVolTable,(IF(VolBMO=2,7,IF(VolBMO=1,6,8))),FALSE())))</f>
        <v> </v>
      </c>
      <c r="CM233" s="312" t="str">
        <f aca="false">IF(A233="N/A"," ",(VLOOKUP(A233,IntraPowerVol,(IF(VolBMO=2,3,IF(VolBMO=1,2,4))),FALSE())*VLOOKUP(MONTH($A233),Volscale,2)))</f>
        <v> </v>
      </c>
      <c r="CN233" s="312" t="str">
        <f aca="false">IF($A233="N/A"," ",IF(VolType=1,CM233,CL233))</f>
        <v> </v>
      </c>
      <c r="CO233" s="312" t="str">
        <f aca="false">IF($A233="N/A"," ",(VLOOKUP($A233,OffPeakVol,(IF(VolBMO=2,7,IF(VolBMO=1,6,8))),FALSE())))</f>
        <v> </v>
      </c>
      <c r="CP233" s="312" t="str">
        <f aca="false">IF($A233="N/A"," ",(VLOOKUP($A233,OffPeakVol,(IF(VolBMO=2,3,IF(VolBMO=1,2,4))),FALSE())*VLOOKUP(MONTH($A233),Volscale,2)))</f>
        <v> </v>
      </c>
      <c r="CQ233" s="312" t="str">
        <f aca="false">IF($A233="N/A"," ",IF(VolType=1,CP233,CO233))</f>
        <v> </v>
      </c>
      <c r="CR233" s="312" t="str">
        <f aca="false">IF($A233="N/A"," ",(VLOOKUP($A233,GasVolTable,(IF(VolBMO=2,6,IF(VolBMO=1,7,5))),FALSE())))</f>
        <v> </v>
      </c>
      <c r="CS233" s="312" t="str">
        <f aca="false">IF($A233="N/A"," ",(VLOOKUP($A233,OmicronVol,(IF(VolBMO=2,3,IF(VolBMO=1,4,2))),FALSE())))</f>
        <v> </v>
      </c>
      <c r="CT233" s="312" t="str">
        <f aca="false">IF($A233="N/A"," ",(IF(DateToday&gt;$A233,$CS233,IF(VolType=1,((($CR233^2)*((($A233-1)-DateToday)/((EOMONTH($A233,0)+1)-DateToday-15)))+((($CS233)^2)*((15)/((EOMONTH($A233,0)+1)-DateToday-15))))^0.5,CR233))))</f>
        <v> </v>
      </c>
      <c r="CU233" s="312" t="str">
        <f aca="false">IF($A233="N/A"," ",IF('Pricing Inputs'!$AR$23=TRUE(),Inputs!$S$22,VLOOKUP($A233,CorrelationTable,2,FALSE())))</f>
        <v> </v>
      </c>
      <c r="CV233" s="313" t="str">
        <f aca="false">IF($A233="N/A"," ",F233+G233+(D233*('Pricing Inputs'!X268)))</f>
        <v> </v>
      </c>
      <c r="CW233" s="314" t="str">
        <f aca="false">IF($A233="N/A"," ",IF(PV=1,0,'Pricing Inputs'!Y268))</f>
        <v> </v>
      </c>
      <c r="CX233" s="315" t="str">
        <f aca="false">IF($A233="N/A"," ",(1+CW233/2)^(-2*((EOMONTH(A233,0)+20)-DateToday)/365.25))</f>
        <v> </v>
      </c>
      <c r="CY233" s="316" t="str">
        <f aca="false">IF($A233="N/A"," ",(IF(MONTH(A233)&gt;=4,IF(MONTH(A233)&lt;=10,Inputs!$S$26,Inputs!$S$27),Inputs!$S$27))*$CX233)</f>
        <v> </v>
      </c>
      <c r="CZ233" s="317" t="str">
        <f aca="false">IF($A233="N/A"," ",BK233+BL233+BN233+BO233+BQ233+BR233)</f>
        <v> </v>
      </c>
      <c r="DA233" s="318" t="str">
        <f aca="false">IF($A233="N/A"," ",BM233+BP233+BS233)</f>
        <v> </v>
      </c>
      <c r="DB233" s="319" t="str">
        <f aca="false">IF($A233="N/A"," ",BT233+BU233+BW233+BX233+BZ233+CA233)</f>
        <v> </v>
      </c>
      <c r="DC233" s="319" t="str">
        <f aca="false">IF($A233="N/A"," ",BV233+BY233+CB233)</f>
        <v> </v>
      </c>
      <c r="DD233" s="320" t="str">
        <f aca="false">IF($A233="N/A"," ",SUM(CC233:CK233))</f>
        <v> </v>
      </c>
      <c r="DE233" s="321" t="str">
        <f aca="false">IF($A233="N/A"," ",VLOOKUP($A233,NumberofDaysTable,2)*Availability)</f>
        <v> </v>
      </c>
      <c r="DF233" s="94" t="str">
        <f aca="false">IF($A233="N/A"," ",VLOOKUP($A233,NumberofDaysTable,3)*Availability)</f>
        <v> </v>
      </c>
      <c r="DG233" s="322" t="str">
        <f aca="false">IF($A233="N/A"," ",VLOOKUP($A233,NumberofDaysTable,4)*Availability)</f>
        <v> </v>
      </c>
      <c r="DH233" s="323" t="str">
        <f aca="false">IF($A233="N/A"," ",IF(Option=1,$D233*Inputs!$S$15*SUM(AS233:BA233),0))</f>
        <v> </v>
      </c>
      <c r="DI233" s="324" t="str">
        <f aca="false">IF($A233="N/A"," ",IF(Option=1,$D233*Inputs!$S$16*SUM(AS233:BA233),0))</f>
        <v> </v>
      </c>
      <c r="DJ233" s="325" t="str">
        <f aca="false">IF($A233="N/A"," ",SUM(AS233:AT233))</f>
        <v> </v>
      </c>
      <c r="DK233" s="325" t="str">
        <f aca="false">IF($A233="N/A"," ",SUM(AU233:BA233))</f>
        <v> </v>
      </c>
      <c r="DL233" s="325" t="str">
        <f aca="false">IF($A233="N/A"," ",SUM(BB233:BC233))</f>
        <v> </v>
      </c>
      <c r="DM233" s="325" t="str">
        <f aca="false">IF($A233="N/A"," ",SUM(BD233:BJ233))</f>
        <v> </v>
      </c>
    </row>
    <row r="234" customFormat="false" ht="12.75" hidden="false" customHeight="false" outlineLevel="0" collapsed="false">
      <c r="A234" s="282" t="str">
        <f aca="false">IF(A233="N/A","N/A",IF(EDATE(A233,1)&gt;Inputs!$S$5,"N/A",EDATE(A233,1)))</f>
        <v>N/A</v>
      </c>
      <c r="B234" s="283" t="str">
        <f aca="false">IF(A234="N/A"," ",YEAR(A234))</f>
        <v> </v>
      </c>
      <c r="C234" s="284" t="str">
        <f aca="false">IF(A234="N/A"," ",VLOOKUP(A234,ScaledPrice,14))</f>
        <v> </v>
      </c>
      <c r="D234" s="285" t="str">
        <f aca="false">IF(A234="N/A"," ",(VLOOKUP(MONTH($A234),Hrtable,2))/1000)</f>
        <v> </v>
      </c>
      <c r="E234" s="286" t="str">
        <f aca="false">IF($A234="N/A"," ",(C234)*D234)</f>
        <v> </v>
      </c>
      <c r="F234" s="287" t="str">
        <f aca="false">IF(A234="N/A"," ",VOM*(1+VOMesc)^(YEAR(A234)-YEAR(Today)))</f>
        <v> </v>
      </c>
      <c r="G234" s="287" t="str">
        <f aca="false">IF(A234="N/A"," ",Perstart/VLOOKUP(Dayrun,'Pricing Inputs'!$AQ$4:$AS$14,3)/(CY234/CX234))</f>
        <v> </v>
      </c>
      <c r="H234" s="288" t="str">
        <f aca="false">IF(A234="N/A"," ",SUM(E234:G234))</f>
        <v> </v>
      </c>
      <c r="I234" s="289" t="str">
        <f aca="false">VLOOKUP($A234,ScaledPrice,6)</f>
        <v> </v>
      </c>
      <c r="J234" s="290" t="str">
        <f aca="false">VLOOKUP($A234,ScaledPrice,10)</f>
        <v> </v>
      </c>
      <c r="K234" s="290" t="str">
        <f aca="false">VLOOKUP($A234,ScaledPrice,13)</f>
        <v> </v>
      </c>
      <c r="L234" s="290" t="str">
        <f aca="false">VLOOKUP($A234,ScaledPrice,7)</f>
        <v> </v>
      </c>
      <c r="M234" s="290" t="str">
        <f aca="false">VLOOKUP($A234,ScaledPrice,11)</f>
        <v> </v>
      </c>
      <c r="N234" s="290" t="str">
        <f aca="false">VLOOKUP($A234,ScaledPrice,13)</f>
        <v> </v>
      </c>
      <c r="O234" s="290" t="str">
        <f aca="false">VLOOKUP($A234,ScaledPrice,8)</f>
        <v> </v>
      </c>
      <c r="P234" s="290" t="str">
        <f aca="false">VLOOKUP($A234,ScaledPrice,12)</f>
        <v> </v>
      </c>
      <c r="Q234" s="291" t="str">
        <f aca="false">VLOOKUP($A234,ScaledPrice,13)</f>
        <v> </v>
      </c>
      <c r="R234" s="292" t="str">
        <f aca="false">IF($A234="N/A"," ",IF(Dayrun&gt;=3,IF(Option=1,MAX($I234-$H234,0),IF(Option=2,MAX($H234-$I234,0),0)),0))</f>
        <v> </v>
      </c>
      <c r="S234" s="286" t="str">
        <f aca="false">IF($A234="N/A"," ",IF(Dayrun&gt;=6,IF(Option=1,MAX($J234-H234,0),IF(Option=2,MAX(H234-$J234,0),0)),0))</f>
        <v> </v>
      </c>
      <c r="T234" s="286" t="str">
        <f aca="false">IF($A234="N/A"," ",IF(OR(Dayrun&lt;=2,Dayrun&gt;=9),IF(Option=1,MAX($K234-$H234,0),IF(Option=2,MAX($H234-$K234,0),0)),0))</f>
        <v> </v>
      </c>
      <c r="U234" s="286" t="str">
        <f aca="false">IF($A234="N/A"," ",IF(OR(Dayrun=1,Dayrun=4,Dayrun=5,Dayrun=7,Dayrun=8,Dayrun=10,Dayrun=11),IF(Option=1,MAX($L234-H234,0),IF(Option=2,MAX(H234-$L234,0),0)),0))</f>
        <v> </v>
      </c>
      <c r="V234" s="286" t="str">
        <f aca="false">IF($A234="N/A"," ",IF(OR(Dayrun=1,Dayrun=7,Dayrun=8,Dayrun=10,Dayrun=11),IF(Option=1,MAX($M234-H234,0),IF(Option=2,MAX(H234-$M234,0),0)),0))</f>
        <v> </v>
      </c>
      <c r="W234" s="286" t="str">
        <f aca="false">IF($A234="N/A"," ",IF(OR(Dayrun&lt;=2,Dayrun&gt;=10),IF(Option=1,MAX($N234-$H234,0),IF(Option=2,MAX($H234-$N234,0),0)),0))</f>
        <v> </v>
      </c>
      <c r="X234" s="286" t="str">
        <f aca="false">IF($A234="N/A"," ",IF(OR(Dayrun=1,Dayrun=5,Dayrun=8,Dayrun=11),IF(Option=1,MAX($O234-H234,0),IF(Option=2,MAX(H234-$O234,0),0)),0))</f>
        <v> </v>
      </c>
      <c r="Y234" s="286" t="str">
        <f aca="false">IF($A234="N/A"," ",IF(OR(Dayrun=1,Dayrun=8,Dayrun=11),IF(Option=1,MAX($P234-H234,0),IF(Option=2,MAX(H234-$P234,0),0)),0))</f>
        <v> </v>
      </c>
      <c r="Z234" s="293" t="str">
        <f aca="false">IF($A234="N/A"," ",IF(OR(Dayrun&lt;=2,Dayrun&gt;=11),IF(Option=1,MAX($Q234-$H234,0),IF(Option=2,MAX($H234-$Q234,0),0)),0))</f>
        <v> </v>
      </c>
      <c r="AA234" s="289" t="str">
        <f aca="false">IF($A234="N/A"," ",IF(Dayrun&gt;=3,(MAX(0,(xSPRDOPT(I234,($E234-'Pricing Inputs'!$X269*$D234),$CV234,0,($CN234+IF(Smile=TRUE(),VLOOKUP(MAX(-5,$H234-I234),Volsmile,2),0)),$CT234,$CU234,($A234-DateToday)+15,ABS(Option-2),0)-R234))),0))</f>
        <v> </v>
      </c>
      <c r="AB234" s="290" t="str">
        <f aca="false">IF($A234="N/A"," ",IF(Dayrun&gt;=6,MAX(0,(xSPRDOPT(J234,($E234-'Pricing Inputs'!$X269*$D234),$CV234,0,($CN234+IF(Smile=TRUE(),VLOOKUP(MAX(-5,$H234-J234),Volsmile,2),0)),$CT234,$CU234,($A234-DateToday)+15,ABS(Option-2),0)-S234)),0))</f>
        <v> </v>
      </c>
      <c r="AC234" s="290" t="str">
        <f aca="false">IF($A234="N/A"," ",IF(OR(Dayrun&lt;=2,Dayrun&gt;=9),IF(OffPeakEx=TRUE(),MAX(0,(xSPRDOPT(K234,($E234-'Pricing Inputs'!$X269*$D234),$CV234,0,($CQ234+IF(Smile=TRUE(),VLOOKUP(MAX(-5,$H234-K234),Volsmile,2),0)),$CT234,$CU234,($A234-DateToday)+15,ABS(Option-2),0)-T234)),0),0))</f>
        <v> </v>
      </c>
      <c r="AD234" s="290" t="str">
        <f aca="false">IF($A234="N/A"," ",IF(OR(Dayrun=1,Dayrun=4,Dayrun=5,Dayrun=7,Dayrun=8,Dayrun=10,Dayrun=11),MAX(0,(xSPRDOPT(L234,($E234-'Pricing Inputs'!$X269*$D234),$CV234,0,($CQ234+IF(Smile=TRUE(),VLOOKUP(MAX(-5,$H234-L234),Volsmile,2),0)),$CT234,$CU234,($A234-DateToday)+15,ABS(Option-2),0)-U234)),0))</f>
        <v> </v>
      </c>
      <c r="AE234" s="290" t="str">
        <f aca="false">IF($A234="N/A"," ",IF(OR(Dayrun=1,Dayrun=7,Dayrun=8,Dayrun=10,Dayrun=11),MAX(0,(xSPRDOPT(M234,($E234-'Pricing Inputs'!$X269*$D234),$CV234,0,($CQ234+IF(Smile=TRUE(),VLOOKUP(MAX(-5,$H234-M234),Volsmile,2),0)),$CT234,$CU234,($A234-DateToday)+15,ABS(Option-2),0)-V234)),0))</f>
        <v> </v>
      </c>
      <c r="AF234" s="290" t="str">
        <f aca="false">IF($A234="N/A"," ",IF(OR(Dayrun&lt;=2,Dayrun&gt;=10),IF(OffPeakEx=TRUE(),MAX(0,(xSPRDOPT(N234,($E234-'Pricing Inputs'!$X269*$D234),$CV234,0,($CQ234+IF(Smile=TRUE(),VLOOKUP(MAX(-5,$H234-N234),Volsmile,2),0)),$CT234,$CU234,($A234-DateToday)+15,ABS(Option-2),0)-W234)),0),0))</f>
        <v> </v>
      </c>
      <c r="AG234" s="290" t="str">
        <f aca="false">IF($A234="N/A"," ",IF(OR(Dayrun=1,Dayrun=5,Dayrun=8,Dayrun=11),MAX(0,(xSPRDOPT(O234,($E234-'Pricing Inputs'!$X269*$D234),$CV234,0,($CQ234+IF(Smile=TRUE(),VLOOKUP(MAX(-5,$H234-O234),Volsmile,2),0)),$CT234,$CU234,($A234-DateToday)+15,ABS(Option-2),0)-X234)),0))</f>
        <v> </v>
      </c>
      <c r="AH234" s="290" t="str">
        <f aca="false">IF($A234="N/A"," ",IF(OR(Dayrun=1,Dayrun=8,Dayrun=11),MAX(0,(xSPRDOPT(P234,($E234-'Pricing Inputs'!$X269*$D234),$CV234,0,($CQ234+IF(Smile=TRUE(),VLOOKUP(MAX(-5,$H234-P234),Volsmile,2),0)),$CT234,$CU234,($A234-DateToday)+15,ABS(Option-2),0)-Y234)),0))</f>
        <v> </v>
      </c>
      <c r="AI234" s="290" t="str">
        <f aca="false">IF($A234="N/A"," ",IF(OR(Dayrun&lt;=2,Dayrun&gt;=11),IF(OffPeakEx=TRUE(),MAX(0,(xSPRDOPT(Q234,($E234-'Pricing Inputs'!$X269*$D234),$CV234,0,($CQ234+IF(Smile=TRUE(),VLOOKUP(MAX(-5,$H234-Q234),Volsmile,2),0)),$CT234,$CU234,($A234-DateToday)+15,ABS(Option-2),0)-Z234)),0),0))</f>
        <v> </v>
      </c>
      <c r="AJ234" s="294" t="str">
        <f aca="false">IF($A234="N/A"," ",IF(Dayrun&gt;=3,IF(Option=1,$I234-$H234,IF(Option=2,$H234-$I234)),0))</f>
        <v> </v>
      </c>
      <c r="AK234" s="295" t="str">
        <f aca="false">IF($A234="N/A"," ",IF(Dayrun&gt;=6,IF(Option=1,$J234-H234,IF(Option=2,H234-$J234)),0))</f>
        <v> </v>
      </c>
      <c r="AL234" s="295" t="str">
        <f aca="false">IF($A234="N/A"," ",IF(OR(Dayrun&lt;=2,Dayrun&gt;=9),IF(Option=1,$K234-$H234,IF(Option=2,$H234-$K234)),0))</f>
        <v> </v>
      </c>
      <c r="AM234" s="295" t="str">
        <f aca="false">IF($A234="N/A"," ",IF(OR(Dayrun=1,Dayrun=4,Dayrun=5,Dayrun=7,Dayrun=8,Dayrun=10,Dayrun=11),IF(Option=1,$L234-H234,IF(Option=2,H234-$L234)),0))</f>
        <v> </v>
      </c>
      <c r="AN234" s="295" t="str">
        <f aca="false">IF($A234="N/A"," ",IF(OR(Dayrun=1,Dayrun=7,Dayrun=8,Dayrun=10,Dayrun=11),IF(Option=1,$M234-H234,IF(Option=2,H234-$M234)),0))</f>
        <v> </v>
      </c>
      <c r="AO234" s="295" t="str">
        <f aca="false">IF($A234="N/A"," ",IF(OR(Dayrun&lt;=2,Dayrun&gt;=9),IF(Option=1,$N234-$H234,IF(Option=2,$H234-$N234)),0))</f>
        <v> </v>
      </c>
      <c r="AP234" s="295" t="str">
        <f aca="false">IF($A234="N/A"," ",IF(OR(Dayrun=1,Dayrun=5,Dayrun=8,Dayrun=11),IF(Option=1,$O234-H234,IF(Option=2,H234-$O234)),0))</f>
        <v> </v>
      </c>
      <c r="AQ234" s="295" t="str">
        <f aca="false">IF($A234="N/A"," ",IF(OR(Dayrun=1,Dayrun=8,Dayrun=11),IF(Option=1,$P234-H234,IF(Option=2,H234-$P234)),0))</f>
        <v> </v>
      </c>
      <c r="AR234" s="296" t="str">
        <f aca="false">IF($A234="N/A"," ",IF(OR(Dayrun&lt;=2,Dayrun&gt;=9),IF(Option=1,$Q234-H234,IF(Option=2,H234-$Q234)),0))</f>
        <v> </v>
      </c>
      <c r="AS234" s="297" t="str">
        <f aca="false">IF($A234="N/A"," ",IF(VLOOKUP(MONTH($A234),ManualTable,2)=1,IF(Dayrun&gt;=3,$DE234*8*$CY234,0),0))</f>
        <v> </v>
      </c>
      <c r="AT234" s="297" t="str">
        <f aca="false">IF($A234="N/A"," ",IF(VLOOKUP(MONTH($A234),ManualTable,3)=1,IF(Dayrun&gt;=6,$DE234*8*$CY234,0),0))</f>
        <v> </v>
      </c>
      <c r="AU234" s="297" t="str">
        <f aca="false">IF($A234="N/A"," ",IF(VLOOKUP(MONTH($A234),ManualTable,4)=1,IF(OR(Dayrun&lt;=2,Dayrun&gt;=9),$DE234*8*$CY234,0),0))</f>
        <v> </v>
      </c>
      <c r="AV234" s="297" t="str">
        <f aca="false">IF($A234="N/A"," ",IF(VLOOKUP(MONTH($A234),ManualTable,5)=1,IF(OR(Dayrun=1,Dayrun=4,Dayrun=5,Dayrun=7,Dayrun=8,Dayrun=10,Dayrun=11),$DF234*8*$CY234,0),0))</f>
        <v> </v>
      </c>
      <c r="AW234" s="297" t="str">
        <f aca="false">IF($A234="N/A"," ",IF(VLOOKUP(MONTH($A234),ManualTable,6)=1,IF(OR(Dayrun=1,Dayrun=7,Dayrun=8,Dayrun=10,Dayrun=11),$DF234*8*$CY234,0),0))</f>
        <v> </v>
      </c>
      <c r="AX234" s="297" t="str">
        <f aca="false">IF($A234="N/A"," ",IF(VLOOKUP(MONTH($A234),ManualTable,7)=1,IF(OR(Dayrun&lt;=2,Dayrun&gt;=9),$DF234*8*$CY234,0),0))</f>
        <v> </v>
      </c>
      <c r="AY234" s="297" t="str">
        <f aca="false">IF($A234="N/A"," ",IF(VLOOKUP(MONTH($A234),ManualTable,8)=1,IF(OR(Dayrun=1,Dayrun=5,Dayrun=8,Dayrun=11),$DG234*8*$CY234,0),0))</f>
        <v> </v>
      </c>
      <c r="AZ234" s="297" t="str">
        <f aca="false">IF($A234="N/A"," ",IF(VLOOKUP(MONTH($A234),ManualTable,9)=1,IF(OR(Dayrun=1,Dayrun=8,Dayrun=11),$DG234*8*$CY234,0),0))</f>
        <v> </v>
      </c>
      <c r="BA234" s="298" t="str">
        <f aca="false">IF($A234="N/A"," ",IF(VLOOKUP(MONTH($A234),ManualTable,10)=1,IF(OR(Dayrun&lt;=2,Dayrun&gt;=9),$DG234*8*$CY234,0),0))</f>
        <v> </v>
      </c>
      <c r="BB234" s="299" t="str">
        <f aca="false">IF($A234="N/A"," ",IF(Dayrun&gt;=3,(MAX(0,(xSPRDOPT(I234,($E234-'Pricing Inputs'!$X269*$D234),$CV234,0,($CN234+IF(Smile=TRUE(),VLOOKUP(MAX(-5,$H234-I234),Volsmile,2),0)),$CT234,$CU234,($A234-DateToday)+15,ABS(Option-2),1)*DE234*8))),0))</f>
        <v> </v>
      </c>
      <c r="BC234" s="300" t="str">
        <f aca="false">IF($A234="N/A"," ",IF(Dayrun&gt;=6,MAX(0,(xSPRDOPT(J234,($E234-'Pricing Inputs'!$X269*$D234),$CV234,0,($CN234+IF(Smile=TRUE(),VLOOKUP(MAX(-5,$H234-J234),Volsmile,2),0)),$CT234,$CU234,($A234-DateToday)+15,ABS(Option-2),1)*DE234*8)),0))</f>
        <v> </v>
      </c>
      <c r="BD234" s="300" t="str">
        <f aca="false">IF($A234="N/A"," ",IF(OR(Dayrun&lt;=2,Dayrun&gt;=9),IF(OffPeakEx=TRUE(),MAX(0,(xSPRDOPT(K234,($E234-'Pricing Inputs'!$X269*$D234),$CV234,0,($CQ234+IF(Smile=TRUE(),VLOOKUP(MAX(-5,$H234-K234),Volsmile,2),0)),$CT234,$CU234,($A234-DateToday)+15,ABS(Option-2),1)*DE234*8)),0),0))</f>
        <v> </v>
      </c>
      <c r="BE234" s="300" t="str">
        <f aca="false">IF($A234="N/A"," ",IF(OR(Dayrun=1,Dayrun=4,Dayrun=5,Dayrun=7,Dayrun=8,Dayrun=10,Dayrun=11),MAX(0,(xSPRDOPT(L234,($E234-'Pricing Inputs'!$X269*$D234),$CV234,0,($CQ234+IF(Smile=TRUE(),VLOOKUP(MAX(-5,$H234-L234),Volsmile,2),0)),$CT234,$CU234,($A234-DateToday)+15,ABS(Option-2),1)*DF234*8)),0))</f>
        <v> </v>
      </c>
      <c r="BF234" s="300" t="str">
        <f aca="false">IF($A234="N/A"," ",IF(OR(Dayrun=1,Dayrun=7,Dayrun=8,Dayrun=10,Dayrun=11),MAX(0,(xSPRDOPT(M234,($E234-'Pricing Inputs'!$X269*$D234),$CV234,0,($CQ234+IF(Smile=TRUE(),VLOOKUP(MAX(-5,$H234-M234),Volsmile,2),0)),$CT234,$CU234,($A234-DateToday)+15,ABS(Option-2),1)*DF234*8)),0))</f>
        <v> </v>
      </c>
      <c r="BG234" s="300" t="str">
        <f aca="false">IF($A234="N/A"," ",IF(OR(Dayrun&lt;=2,Dayrun&gt;=10),IF(OffPeakEx=TRUE(),MAX(0,(xSPRDOPT(N234,($E234-'Pricing Inputs'!$X269*$D234),$CV234,0,($CQ234+IF(Smile=TRUE(),VLOOKUP(MAX(-5,$H234-N234),Volsmile,2),0)),$CT234,$CU234,($A234-DateToday)+15,ABS(Option-2),1)*DF234*8)),0),0))</f>
        <v> </v>
      </c>
      <c r="BH234" s="300" t="str">
        <f aca="false">IF($A234="N/A"," ",IF(OR(Dayrun=1,Dayrun=5,Dayrun=8,Dayrun=11),MAX(0,(xSPRDOPT(O234,($E234-'Pricing Inputs'!$X269*$D234),$CV234,0,($CQ234+IF(Smile=TRUE(),VLOOKUP(MAX(-5,$H234-O234),Volsmile,2),0)),$CT234,$CU234,($A234-DateToday)+15,ABS(Option-2),1)*DG234*8)),0))</f>
        <v> </v>
      </c>
      <c r="BI234" s="300" t="str">
        <f aca="false">IF($A234="N/A"," ",IF(OR(Dayrun=1,Dayrun=8,Dayrun=11),MAX(0,(xSPRDOPT(P234,($E234-'Pricing Inputs'!$X269*$D234),$CV234,0,($CQ234+IF(Smile=TRUE(),VLOOKUP(MAX(-5,$H234-P234),Volsmile,2),0)),$CT234,$CU234,($A234-DateToday)+15,ABS(Option-2),1)*DG234*8)),0))</f>
        <v> </v>
      </c>
      <c r="BJ234" s="301" t="str">
        <f aca="false">IF($A234="N/A"," ",IF(OR(Dayrun&lt;=2,Dayrun&gt;=11),IF(OffPeakEx=TRUE(),MAX(0,(xSPRDOPT(Q234,($E234-'Pricing Inputs'!$X269*$D234),$CV234,0,($CQ234+IF(Smile=TRUE(),VLOOKUP(MAX(-5,$H234-Q234),Volsmile,2),0)),$CT234,$CU234,($A234-DateToday)+15,ABS(Option-2),1)*DG234*8)),0),0))</f>
        <v> </v>
      </c>
      <c r="BK234" s="302" t="str">
        <f aca="false">IF($A234="N/A"," ",R234*$AS234)</f>
        <v> </v>
      </c>
      <c r="BL234" s="303" t="str">
        <f aca="false">IF($A234="N/A"," ",S234*$AT234)</f>
        <v> </v>
      </c>
      <c r="BM234" s="303" t="str">
        <f aca="false">IF($A234="N/A"," ",T234*$AU234)</f>
        <v> </v>
      </c>
      <c r="BN234" s="303" t="str">
        <f aca="false">IF($A234="N/A"," ",U234*$AV234)</f>
        <v> </v>
      </c>
      <c r="BO234" s="303" t="str">
        <f aca="false">IF($A234="N/A"," ",V234*$AW234)</f>
        <v> </v>
      </c>
      <c r="BP234" s="303" t="str">
        <f aca="false">IF($A234="N/A"," ",W234*$AX234)</f>
        <v> </v>
      </c>
      <c r="BQ234" s="303" t="str">
        <f aca="false">IF($A234="N/A"," ",X234*$AY234)</f>
        <v> </v>
      </c>
      <c r="BR234" s="303" t="str">
        <f aca="false">IF($A234="N/A"," ",Y234*$AZ234)</f>
        <v> </v>
      </c>
      <c r="BS234" s="304" t="str">
        <f aca="false">IF($A234="N/A"," ",Z234*$BA234)</f>
        <v> </v>
      </c>
      <c r="BT234" s="305" t="str">
        <f aca="false">IF($A234="N/A"," ",AA234*$AS234)</f>
        <v> </v>
      </c>
      <c r="BU234" s="306" t="str">
        <f aca="false">IF($A234="N/A"," ",AB234*$AT234)</f>
        <v> </v>
      </c>
      <c r="BV234" s="306" t="str">
        <f aca="false">IF($A234="N/A"," ",AC234*$AU234)</f>
        <v> </v>
      </c>
      <c r="BW234" s="306" t="str">
        <f aca="false">IF($A234="N/A"," ",AD234*$AV234)</f>
        <v> </v>
      </c>
      <c r="BX234" s="306" t="str">
        <f aca="false">IF($A234="N/A"," ",AE234*$AW234)</f>
        <v> </v>
      </c>
      <c r="BY234" s="306" t="str">
        <f aca="false">IF($A234="N/A"," ",AF234*$AX234)</f>
        <v> </v>
      </c>
      <c r="BZ234" s="306" t="str">
        <f aca="false">IF($A234="N/A"," ",AG234*$AY234)</f>
        <v> </v>
      </c>
      <c r="CA234" s="306" t="str">
        <f aca="false">IF($A234="N/A"," ",AH234*$AZ234)</f>
        <v> </v>
      </c>
      <c r="CB234" s="307" t="str">
        <f aca="false">IF($A234="N/A"," ",AI234*$BA234)</f>
        <v> </v>
      </c>
      <c r="CC234" s="308" t="str">
        <f aca="false">IF($A234="N/A"," ",AJ234*$AS234)</f>
        <v> </v>
      </c>
      <c r="CD234" s="309" t="str">
        <f aca="false">IF($A234="N/A"," ",AK234*$AT234)</f>
        <v> </v>
      </c>
      <c r="CE234" s="309" t="str">
        <f aca="false">IF($A234="N/A"," ",AL234*$AU234)</f>
        <v> </v>
      </c>
      <c r="CF234" s="309" t="str">
        <f aca="false">IF($A234="N/A"," ",AM234*$AV234)</f>
        <v> </v>
      </c>
      <c r="CG234" s="309" t="str">
        <f aca="false">IF($A234="N/A"," ",AN234*$AW234)</f>
        <v> </v>
      </c>
      <c r="CH234" s="309" t="str">
        <f aca="false">IF($A234="N/A"," ",AO234*$AX234)</f>
        <v> </v>
      </c>
      <c r="CI234" s="309" t="str">
        <f aca="false">IF($A234="N/A"," ",AP234*$AY234)</f>
        <v> </v>
      </c>
      <c r="CJ234" s="309" t="str">
        <f aca="false">IF($A234="N/A"," ",AQ234*$AZ234)</f>
        <v> </v>
      </c>
      <c r="CK234" s="310" t="str">
        <f aca="false">IF($A234="N/A"," ",AR234*$BA234)</f>
        <v> </v>
      </c>
      <c r="CL234" s="311" t="str">
        <f aca="false">IF(A234="N/A"," ",(VLOOKUP(A234,PowerVolTable,(IF(VolBMO=2,7,IF(VolBMO=1,6,8))),FALSE())))</f>
        <v> </v>
      </c>
      <c r="CM234" s="312" t="str">
        <f aca="false">IF(A234="N/A"," ",(VLOOKUP(A234,IntraPowerVol,(IF(VolBMO=2,3,IF(VolBMO=1,2,4))),FALSE())*VLOOKUP(MONTH($A234),Volscale,2)))</f>
        <v> </v>
      </c>
      <c r="CN234" s="312" t="str">
        <f aca="false">IF($A234="N/A"," ",IF(VolType=1,CM234,CL234))</f>
        <v> </v>
      </c>
      <c r="CO234" s="312" t="str">
        <f aca="false">IF($A234="N/A"," ",(VLOOKUP($A234,OffPeakVol,(IF(VolBMO=2,7,IF(VolBMO=1,6,8))),FALSE())))</f>
        <v> </v>
      </c>
      <c r="CP234" s="312" t="str">
        <f aca="false">IF($A234="N/A"," ",(VLOOKUP($A234,OffPeakVol,(IF(VolBMO=2,3,IF(VolBMO=1,2,4))),FALSE())*VLOOKUP(MONTH($A234),Volscale,2)))</f>
        <v> </v>
      </c>
      <c r="CQ234" s="312" t="str">
        <f aca="false">IF($A234="N/A"," ",IF(VolType=1,CP234,CO234))</f>
        <v> </v>
      </c>
      <c r="CR234" s="312" t="str">
        <f aca="false">IF($A234="N/A"," ",(VLOOKUP($A234,GasVolTable,(IF(VolBMO=2,6,IF(VolBMO=1,7,5))),FALSE())))</f>
        <v> </v>
      </c>
      <c r="CS234" s="312" t="str">
        <f aca="false">IF($A234="N/A"," ",(VLOOKUP($A234,OmicronVol,(IF(VolBMO=2,3,IF(VolBMO=1,4,2))),FALSE())))</f>
        <v> </v>
      </c>
      <c r="CT234" s="312" t="str">
        <f aca="false">IF($A234="N/A"," ",(IF(DateToday&gt;$A234,$CS234,IF(VolType=1,((($CR234^2)*((($A234-1)-DateToday)/((EOMONTH($A234,0)+1)-DateToday-15)))+((($CS234)^2)*((15)/((EOMONTH($A234,0)+1)-DateToday-15))))^0.5,CR234))))</f>
        <v> </v>
      </c>
      <c r="CU234" s="312" t="str">
        <f aca="false">IF($A234="N/A"," ",IF('Pricing Inputs'!$AR$23=TRUE(),Inputs!$S$22,VLOOKUP($A234,CorrelationTable,2,FALSE())))</f>
        <v> </v>
      </c>
      <c r="CV234" s="313" t="str">
        <f aca="false">IF($A234="N/A"," ",F234+G234+(D234*('Pricing Inputs'!X269)))</f>
        <v> </v>
      </c>
      <c r="CW234" s="314" t="str">
        <f aca="false">IF($A234="N/A"," ",IF(PV=1,0,'Pricing Inputs'!Y269))</f>
        <v> </v>
      </c>
      <c r="CX234" s="315" t="str">
        <f aca="false">IF($A234="N/A"," ",(1+CW234/2)^(-2*((EOMONTH(A234,0)+20)-DateToday)/365.25))</f>
        <v> </v>
      </c>
      <c r="CY234" s="316" t="str">
        <f aca="false">IF($A234="N/A"," ",(IF(MONTH(A234)&gt;=4,IF(MONTH(A234)&lt;=10,Inputs!$S$26,Inputs!$S$27),Inputs!$S$27))*$CX234)</f>
        <v> </v>
      </c>
      <c r="CZ234" s="317" t="str">
        <f aca="false">IF($A234="N/A"," ",BK234+BL234+BN234+BO234+BQ234+BR234)</f>
        <v> </v>
      </c>
      <c r="DA234" s="318" t="str">
        <f aca="false">IF($A234="N/A"," ",BM234+BP234+BS234)</f>
        <v> </v>
      </c>
      <c r="DB234" s="319" t="str">
        <f aca="false">IF($A234="N/A"," ",BT234+BU234+BW234+BX234+BZ234+CA234)</f>
        <v> </v>
      </c>
      <c r="DC234" s="319" t="str">
        <f aca="false">IF($A234="N/A"," ",BV234+BY234+CB234)</f>
        <v> </v>
      </c>
      <c r="DD234" s="320" t="str">
        <f aca="false">IF($A234="N/A"," ",SUM(CC234:CK234))</f>
        <v> </v>
      </c>
      <c r="DE234" s="321" t="str">
        <f aca="false">IF($A234="N/A"," ",VLOOKUP($A234,NumberofDaysTable,2)*Availability)</f>
        <v> </v>
      </c>
      <c r="DF234" s="94" t="str">
        <f aca="false">IF($A234="N/A"," ",VLOOKUP($A234,NumberofDaysTable,3)*Availability)</f>
        <v> </v>
      </c>
      <c r="DG234" s="322" t="str">
        <f aca="false">IF($A234="N/A"," ",VLOOKUP($A234,NumberofDaysTable,4)*Availability)</f>
        <v> </v>
      </c>
      <c r="DH234" s="323" t="str">
        <f aca="false">IF($A234="N/A"," ",IF(Option=1,$D234*Inputs!$S$15*SUM(AS234:BA234),0))</f>
        <v> </v>
      </c>
      <c r="DI234" s="324" t="str">
        <f aca="false">IF($A234="N/A"," ",IF(Option=1,$D234*Inputs!$S$16*SUM(AS234:BA234),0))</f>
        <v> </v>
      </c>
      <c r="DJ234" s="325" t="str">
        <f aca="false">IF($A234="N/A"," ",SUM(AS234:AT234))</f>
        <v> </v>
      </c>
      <c r="DK234" s="325" t="str">
        <f aca="false">IF($A234="N/A"," ",SUM(AU234:BA234))</f>
        <v> </v>
      </c>
      <c r="DL234" s="325" t="str">
        <f aca="false">IF($A234="N/A"," ",SUM(BB234:BC234))</f>
        <v> </v>
      </c>
      <c r="DM234" s="325" t="str">
        <f aca="false">IF($A234="N/A"," ",SUM(BD234:BJ234))</f>
        <v> </v>
      </c>
    </row>
    <row r="235" customFormat="false" ht="12.75" hidden="false" customHeight="false" outlineLevel="0" collapsed="false">
      <c r="A235" s="282" t="str">
        <f aca="false">IF(A234="N/A","N/A",IF(EDATE(A234,1)&gt;Inputs!$S$5,"N/A",EDATE(A234,1)))</f>
        <v>N/A</v>
      </c>
      <c r="B235" s="283" t="str">
        <f aca="false">IF(A235="N/A"," ",YEAR(A235))</f>
        <v> </v>
      </c>
      <c r="C235" s="284" t="str">
        <f aca="false">IF(A235="N/A"," ",VLOOKUP(A235,ScaledPrice,14))</f>
        <v> </v>
      </c>
      <c r="D235" s="285" t="str">
        <f aca="false">IF(A235="N/A"," ",(VLOOKUP(MONTH($A235),Hrtable,2))/1000)</f>
        <v> </v>
      </c>
      <c r="E235" s="286" t="str">
        <f aca="false">IF($A235="N/A"," ",(C235)*D235)</f>
        <v> </v>
      </c>
      <c r="F235" s="287" t="str">
        <f aca="false">IF(A235="N/A"," ",VOM*(1+VOMesc)^(YEAR(A235)-YEAR(Today)))</f>
        <v> </v>
      </c>
      <c r="G235" s="287" t="str">
        <f aca="false">IF(A235="N/A"," ",Perstart/VLOOKUP(Dayrun,'Pricing Inputs'!$AQ$4:$AS$14,3)/(CY235/CX235))</f>
        <v> </v>
      </c>
      <c r="H235" s="288" t="str">
        <f aca="false">IF(A235="N/A"," ",SUM(E235:G235))</f>
        <v> </v>
      </c>
      <c r="I235" s="289" t="str">
        <f aca="false">VLOOKUP($A235,ScaledPrice,6)</f>
        <v> </v>
      </c>
      <c r="J235" s="290" t="str">
        <f aca="false">VLOOKUP($A235,ScaledPrice,10)</f>
        <v> </v>
      </c>
      <c r="K235" s="290" t="str">
        <f aca="false">VLOOKUP($A235,ScaledPrice,13)</f>
        <v> </v>
      </c>
      <c r="L235" s="290" t="str">
        <f aca="false">VLOOKUP($A235,ScaledPrice,7)</f>
        <v> </v>
      </c>
      <c r="M235" s="290" t="str">
        <f aca="false">VLOOKUP($A235,ScaledPrice,11)</f>
        <v> </v>
      </c>
      <c r="N235" s="290" t="str">
        <f aca="false">VLOOKUP($A235,ScaledPrice,13)</f>
        <v> </v>
      </c>
      <c r="O235" s="290" t="str">
        <f aca="false">VLOOKUP($A235,ScaledPrice,8)</f>
        <v> </v>
      </c>
      <c r="P235" s="290" t="str">
        <f aca="false">VLOOKUP($A235,ScaledPrice,12)</f>
        <v> </v>
      </c>
      <c r="Q235" s="291" t="str">
        <f aca="false">VLOOKUP($A235,ScaledPrice,13)</f>
        <v> </v>
      </c>
      <c r="R235" s="292" t="str">
        <f aca="false">IF($A235="N/A"," ",IF(Dayrun&gt;=3,IF(Option=1,MAX($I235-$H235,0),IF(Option=2,MAX($H235-$I235,0),0)),0))</f>
        <v> </v>
      </c>
      <c r="S235" s="286" t="str">
        <f aca="false">IF($A235="N/A"," ",IF(Dayrun&gt;=6,IF(Option=1,MAX($J235-H235,0),IF(Option=2,MAX(H235-$J235,0),0)),0))</f>
        <v> </v>
      </c>
      <c r="T235" s="286" t="str">
        <f aca="false">IF($A235="N/A"," ",IF(OR(Dayrun&lt;=2,Dayrun&gt;=9),IF(Option=1,MAX($K235-$H235,0),IF(Option=2,MAX($H235-$K235,0),0)),0))</f>
        <v> </v>
      </c>
      <c r="U235" s="286" t="str">
        <f aca="false">IF($A235="N/A"," ",IF(OR(Dayrun=1,Dayrun=4,Dayrun=5,Dayrun=7,Dayrun=8,Dayrun=10,Dayrun=11),IF(Option=1,MAX($L235-H235,0),IF(Option=2,MAX(H235-$L235,0),0)),0))</f>
        <v> </v>
      </c>
      <c r="V235" s="286" t="str">
        <f aca="false">IF($A235="N/A"," ",IF(OR(Dayrun=1,Dayrun=7,Dayrun=8,Dayrun=10,Dayrun=11),IF(Option=1,MAX($M235-H235,0),IF(Option=2,MAX(H235-$M235,0),0)),0))</f>
        <v> </v>
      </c>
      <c r="W235" s="286" t="str">
        <f aca="false">IF($A235="N/A"," ",IF(OR(Dayrun&lt;=2,Dayrun&gt;=10),IF(Option=1,MAX($N235-$H235,0),IF(Option=2,MAX($H235-$N235,0),0)),0))</f>
        <v> </v>
      </c>
      <c r="X235" s="286" t="str">
        <f aca="false">IF($A235="N/A"," ",IF(OR(Dayrun=1,Dayrun=5,Dayrun=8,Dayrun=11),IF(Option=1,MAX($O235-H235,0),IF(Option=2,MAX(H235-$O235,0),0)),0))</f>
        <v> </v>
      </c>
      <c r="Y235" s="286" t="str">
        <f aca="false">IF($A235="N/A"," ",IF(OR(Dayrun=1,Dayrun=8,Dayrun=11),IF(Option=1,MAX($P235-H235,0),IF(Option=2,MAX(H235-$P235,0),0)),0))</f>
        <v> </v>
      </c>
      <c r="Z235" s="293" t="str">
        <f aca="false">IF($A235="N/A"," ",IF(OR(Dayrun&lt;=2,Dayrun&gt;=11),IF(Option=1,MAX($Q235-$H235,0),IF(Option=2,MAX($H235-$Q235,0),0)),0))</f>
        <v> </v>
      </c>
      <c r="AA235" s="289" t="str">
        <f aca="false">IF($A235="N/A"," ",IF(Dayrun&gt;=3,(MAX(0,(xSPRDOPT(I235,($E235-'Pricing Inputs'!$X270*$D235),$CV235,0,($CN235+IF(Smile=TRUE(),VLOOKUP(MAX(-5,$H235-I235),Volsmile,2),0)),$CT235,$CU235,($A235-DateToday)+15,ABS(Option-2),0)-R235))),0))</f>
        <v> </v>
      </c>
      <c r="AB235" s="290" t="str">
        <f aca="false">IF($A235="N/A"," ",IF(Dayrun&gt;=6,MAX(0,(xSPRDOPT(J235,($E235-'Pricing Inputs'!$X270*$D235),$CV235,0,($CN235+IF(Smile=TRUE(),VLOOKUP(MAX(-5,$H235-J235),Volsmile,2),0)),$CT235,$CU235,($A235-DateToday)+15,ABS(Option-2),0)-S235)),0))</f>
        <v> </v>
      </c>
      <c r="AC235" s="290" t="str">
        <f aca="false">IF($A235="N/A"," ",IF(OR(Dayrun&lt;=2,Dayrun&gt;=9),IF(OffPeakEx=TRUE(),MAX(0,(xSPRDOPT(K235,($E235-'Pricing Inputs'!$X270*$D235),$CV235,0,($CQ235+IF(Smile=TRUE(),VLOOKUP(MAX(-5,$H235-K235),Volsmile,2),0)),$CT235,$CU235,($A235-DateToday)+15,ABS(Option-2),0)-T235)),0),0))</f>
        <v> </v>
      </c>
      <c r="AD235" s="290" t="str">
        <f aca="false">IF($A235="N/A"," ",IF(OR(Dayrun=1,Dayrun=4,Dayrun=5,Dayrun=7,Dayrun=8,Dayrun=10,Dayrun=11),MAX(0,(xSPRDOPT(L235,($E235-'Pricing Inputs'!$X270*$D235),$CV235,0,($CQ235+IF(Smile=TRUE(),VLOOKUP(MAX(-5,$H235-L235),Volsmile,2),0)),$CT235,$CU235,($A235-DateToday)+15,ABS(Option-2),0)-U235)),0))</f>
        <v> </v>
      </c>
      <c r="AE235" s="290" t="str">
        <f aca="false">IF($A235="N/A"," ",IF(OR(Dayrun=1,Dayrun=7,Dayrun=8,Dayrun=10,Dayrun=11),MAX(0,(xSPRDOPT(M235,($E235-'Pricing Inputs'!$X270*$D235),$CV235,0,($CQ235+IF(Smile=TRUE(),VLOOKUP(MAX(-5,$H235-M235),Volsmile,2),0)),$CT235,$CU235,($A235-DateToday)+15,ABS(Option-2),0)-V235)),0))</f>
        <v> </v>
      </c>
      <c r="AF235" s="290" t="str">
        <f aca="false">IF($A235="N/A"," ",IF(OR(Dayrun&lt;=2,Dayrun&gt;=10),IF(OffPeakEx=TRUE(),MAX(0,(xSPRDOPT(N235,($E235-'Pricing Inputs'!$X270*$D235),$CV235,0,($CQ235+IF(Smile=TRUE(),VLOOKUP(MAX(-5,$H235-N235),Volsmile,2),0)),$CT235,$CU235,($A235-DateToday)+15,ABS(Option-2),0)-W235)),0),0))</f>
        <v> </v>
      </c>
      <c r="AG235" s="290" t="str">
        <f aca="false">IF($A235="N/A"," ",IF(OR(Dayrun=1,Dayrun=5,Dayrun=8,Dayrun=11),MAX(0,(xSPRDOPT(O235,($E235-'Pricing Inputs'!$X270*$D235),$CV235,0,($CQ235+IF(Smile=TRUE(),VLOOKUP(MAX(-5,$H235-O235),Volsmile,2),0)),$CT235,$CU235,($A235-DateToday)+15,ABS(Option-2),0)-X235)),0))</f>
        <v> </v>
      </c>
      <c r="AH235" s="290" t="str">
        <f aca="false">IF($A235="N/A"," ",IF(OR(Dayrun=1,Dayrun=8,Dayrun=11),MAX(0,(xSPRDOPT(P235,($E235-'Pricing Inputs'!$X270*$D235),$CV235,0,($CQ235+IF(Smile=TRUE(),VLOOKUP(MAX(-5,$H235-P235),Volsmile,2),0)),$CT235,$CU235,($A235-DateToday)+15,ABS(Option-2),0)-Y235)),0))</f>
        <v> </v>
      </c>
      <c r="AI235" s="290" t="str">
        <f aca="false">IF($A235="N/A"," ",IF(OR(Dayrun&lt;=2,Dayrun&gt;=11),IF(OffPeakEx=TRUE(),MAX(0,(xSPRDOPT(Q235,($E235-'Pricing Inputs'!$X270*$D235),$CV235,0,($CQ235+IF(Smile=TRUE(),VLOOKUP(MAX(-5,$H235-Q235),Volsmile,2),0)),$CT235,$CU235,($A235-DateToday)+15,ABS(Option-2),0)-Z235)),0),0))</f>
        <v> </v>
      </c>
      <c r="AJ235" s="294" t="str">
        <f aca="false">IF($A235="N/A"," ",IF(Dayrun&gt;=3,IF(Option=1,$I235-$H235,IF(Option=2,$H235-$I235)),0))</f>
        <v> </v>
      </c>
      <c r="AK235" s="295" t="str">
        <f aca="false">IF($A235="N/A"," ",IF(Dayrun&gt;=6,IF(Option=1,$J235-H235,IF(Option=2,H235-$J235)),0))</f>
        <v> </v>
      </c>
      <c r="AL235" s="295" t="str">
        <f aca="false">IF($A235="N/A"," ",IF(OR(Dayrun&lt;=2,Dayrun&gt;=9),IF(Option=1,$K235-$H235,IF(Option=2,$H235-$K235)),0))</f>
        <v> </v>
      </c>
      <c r="AM235" s="295" t="str">
        <f aca="false">IF($A235="N/A"," ",IF(OR(Dayrun=1,Dayrun=4,Dayrun=5,Dayrun=7,Dayrun=8,Dayrun=10,Dayrun=11),IF(Option=1,$L235-H235,IF(Option=2,H235-$L235)),0))</f>
        <v> </v>
      </c>
      <c r="AN235" s="295" t="str">
        <f aca="false">IF($A235="N/A"," ",IF(OR(Dayrun=1,Dayrun=7,Dayrun=8,Dayrun=10,Dayrun=11),IF(Option=1,$M235-H235,IF(Option=2,H235-$M235)),0))</f>
        <v> </v>
      </c>
      <c r="AO235" s="295" t="str">
        <f aca="false">IF($A235="N/A"," ",IF(OR(Dayrun&lt;=2,Dayrun&gt;=9),IF(Option=1,$N235-$H235,IF(Option=2,$H235-$N235)),0))</f>
        <v> </v>
      </c>
      <c r="AP235" s="295" t="str">
        <f aca="false">IF($A235="N/A"," ",IF(OR(Dayrun=1,Dayrun=5,Dayrun=8,Dayrun=11),IF(Option=1,$O235-H235,IF(Option=2,H235-$O235)),0))</f>
        <v> </v>
      </c>
      <c r="AQ235" s="295" t="str">
        <f aca="false">IF($A235="N/A"," ",IF(OR(Dayrun=1,Dayrun=8,Dayrun=11),IF(Option=1,$P235-H235,IF(Option=2,H235-$P235)),0))</f>
        <v> </v>
      </c>
      <c r="AR235" s="296" t="str">
        <f aca="false">IF($A235="N/A"," ",IF(OR(Dayrun&lt;=2,Dayrun&gt;=9),IF(Option=1,$Q235-H235,IF(Option=2,H235-$Q235)),0))</f>
        <v> </v>
      </c>
      <c r="AS235" s="297" t="str">
        <f aca="false">IF($A235="N/A"," ",IF(VLOOKUP(MONTH($A235),ManualTable,2)=1,IF(Dayrun&gt;=3,$DE235*8*$CY235,0),0))</f>
        <v> </v>
      </c>
      <c r="AT235" s="297" t="str">
        <f aca="false">IF($A235="N/A"," ",IF(VLOOKUP(MONTH($A235),ManualTable,3)=1,IF(Dayrun&gt;=6,$DE235*8*$CY235,0),0))</f>
        <v> </v>
      </c>
      <c r="AU235" s="297" t="str">
        <f aca="false">IF($A235="N/A"," ",IF(VLOOKUP(MONTH($A235),ManualTable,4)=1,IF(OR(Dayrun&lt;=2,Dayrun&gt;=9),$DE235*8*$CY235,0),0))</f>
        <v> </v>
      </c>
      <c r="AV235" s="297" t="str">
        <f aca="false">IF($A235="N/A"," ",IF(VLOOKUP(MONTH($A235),ManualTable,5)=1,IF(OR(Dayrun=1,Dayrun=4,Dayrun=5,Dayrun=7,Dayrun=8,Dayrun=10,Dayrun=11),$DF235*8*$CY235,0),0))</f>
        <v> </v>
      </c>
      <c r="AW235" s="297" t="str">
        <f aca="false">IF($A235="N/A"," ",IF(VLOOKUP(MONTH($A235),ManualTable,6)=1,IF(OR(Dayrun=1,Dayrun=7,Dayrun=8,Dayrun=10,Dayrun=11),$DF235*8*$CY235,0),0))</f>
        <v> </v>
      </c>
      <c r="AX235" s="297" t="str">
        <f aca="false">IF($A235="N/A"," ",IF(VLOOKUP(MONTH($A235),ManualTable,7)=1,IF(OR(Dayrun&lt;=2,Dayrun&gt;=9),$DF235*8*$CY235,0),0))</f>
        <v> </v>
      </c>
      <c r="AY235" s="297" t="str">
        <f aca="false">IF($A235="N/A"," ",IF(VLOOKUP(MONTH($A235),ManualTable,8)=1,IF(OR(Dayrun=1,Dayrun=5,Dayrun=8,Dayrun=11),$DG235*8*$CY235,0),0))</f>
        <v> </v>
      </c>
      <c r="AZ235" s="297" t="str">
        <f aca="false">IF($A235="N/A"," ",IF(VLOOKUP(MONTH($A235),ManualTable,9)=1,IF(OR(Dayrun=1,Dayrun=8,Dayrun=11),$DG235*8*$CY235,0),0))</f>
        <v> </v>
      </c>
      <c r="BA235" s="298" t="str">
        <f aca="false">IF($A235="N/A"," ",IF(VLOOKUP(MONTH($A235),ManualTable,10)=1,IF(OR(Dayrun&lt;=2,Dayrun&gt;=9),$DG235*8*$CY235,0),0))</f>
        <v> </v>
      </c>
      <c r="BB235" s="299" t="str">
        <f aca="false">IF($A235="N/A"," ",IF(Dayrun&gt;=3,(MAX(0,(xSPRDOPT(I235,($E235-'Pricing Inputs'!$X270*$D235),$CV235,0,($CN235+IF(Smile=TRUE(),VLOOKUP(MAX(-5,$H235-I235),Volsmile,2),0)),$CT235,$CU235,($A235-DateToday)+15,ABS(Option-2),1)*DE235*8))),0))</f>
        <v> </v>
      </c>
      <c r="BC235" s="300" t="str">
        <f aca="false">IF($A235="N/A"," ",IF(Dayrun&gt;=6,MAX(0,(xSPRDOPT(J235,($E235-'Pricing Inputs'!$X270*$D235),$CV235,0,($CN235+IF(Smile=TRUE(),VLOOKUP(MAX(-5,$H235-J235),Volsmile,2),0)),$CT235,$CU235,($A235-DateToday)+15,ABS(Option-2),1)*DE235*8)),0))</f>
        <v> </v>
      </c>
      <c r="BD235" s="300" t="str">
        <f aca="false">IF($A235="N/A"," ",IF(OR(Dayrun&lt;=2,Dayrun&gt;=9),IF(OffPeakEx=TRUE(),MAX(0,(xSPRDOPT(K235,($E235-'Pricing Inputs'!$X270*$D235),$CV235,0,($CQ235+IF(Smile=TRUE(),VLOOKUP(MAX(-5,$H235-K235),Volsmile,2),0)),$CT235,$CU235,($A235-DateToday)+15,ABS(Option-2),1)*DE235*8)),0),0))</f>
        <v> </v>
      </c>
      <c r="BE235" s="300" t="str">
        <f aca="false">IF($A235="N/A"," ",IF(OR(Dayrun=1,Dayrun=4,Dayrun=5,Dayrun=7,Dayrun=8,Dayrun=10,Dayrun=11),MAX(0,(xSPRDOPT(L235,($E235-'Pricing Inputs'!$X270*$D235),$CV235,0,($CQ235+IF(Smile=TRUE(),VLOOKUP(MAX(-5,$H235-L235),Volsmile,2),0)),$CT235,$CU235,($A235-DateToday)+15,ABS(Option-2),1)*DF235*8)),0))</f>
        <v> </v>
      </c>
      <c r="BF235" s="300" t="str">
        <f aca="false">IF($A235="N/A"," ",IF(OR(Dayrun=1,Dayrun=7,Dayrun=8,Dayrun=10,Dayrun=11),MAX(0,(xSPRDOPT(M235,($E235-'Pricing Inputs'!$X270*$D235),$CV235,0,($CQ235+IF(Smile=TRUE(),VLOOKUP(MAX(-5,$H235-M235),Volsmile,2),0)),$CT235,$CU235,($A235-DateToday)+15,ABS(Option-2),1)*DF235*8)),0))</f>
        <v> </v>
      </c>
      <c r="BG235" s="300" t="str">
        <f aca="false">IF($A235="N/A"," ",IF(OR(Dayrun&lt;=2,Dayrun&gt;=10),IF(OffPeakEx=TRUE(),MAX(0,(xSPRDOPT(N235,($E235-'Pricing Inputs'!$X270*$D235),$CV235,0,($CQ235+IF(Smile=TRUE(),VLOOKUP(MAX(-5,$H235-N235),Volsmile,2),0)),$CT235,$CU235,($A235-DateToday)+15,ABS(Option-2),1)*DF235*8)),0),0))</f>
        <v> </v>
      </c>
      <c r="BH235" s="300" t="str">
        <f aca="false">IF($A235="N/A"," ",IF(OR(Dayrun=1,Dayrun=5,Dayrun=8,Dayrun=11),MAX(0,(xSPRDOPT(O235,($E235-'Pricing Inputs'!$X270*$D235),$CV235,0,($CQ235+IF(Smile=TRUE(),VLOOKUP(MAX(-5,$H235-O235),Volsmile,2),0)),$CT235,$CU235,($A235-DateToday)+15,ABS(Option-2),1)*DG235*8)),0))</f>
        <v> </v>
      </c>
      <c r="BI235" s="300" t="str">
        <f aca="false">IF($A235="N/A"," ",IF(OR(Dayrun=1,Dayrun=8,Dayrun=11),MAX(0,(xSPRDOPT(P235,($E235-'Pricing Inputs'!$X270*$D235),$CV235,0,($CQ235+IF(Smile=TRUE(),VLOOKUP(MAX(-5,$H235-P235),Volsmile,2),0)),$CT235,$CU235,($A235-DateToday)+15,ABS(Option-2),1)*DG235*8)),0))</f>
        <v> </v>
      </c>
      <c r="BJ235" s="301" t="str">
        <f aca="false">IF($A235="N/A"," ",IF(OR(Dayrun&lt;=2,Dayrun&gt;=11),IF(OffPeakEx=TRUE(),MAX(0,(xSPRDOPT(Q235,($E235-'Pricing Inputs'!$X270*$D235),$CV235,0,($CQ235+IF(Smile=TRUE(),VLOOKUP(MAX(-5,$H235-Q235),Volsmile,2),0)),$CT235,$CU235,($A235-DateToday)+15,ABS(Option-2),1)*DG235*8)),0),0))</f>
        <v> </v>
      </c>
      <c r="BK235" s="302" t="str">
        <f aca="false">IF($A235="N/A"," ",R235*$AS235)</f>
        <v> </v>
      </c>
      <c r="BL235" s="303" t="str">
        <f aca="false">IF($A235="N/A"," ",S235*$AT235)</f>
        <v> </v>
      </c>
      <c r="BM235" s="303" t="str">
        <f aca="false">IF($A235="N/A"," ",T235*$AU235)</f>
        <v> </v>
      </c>
      <c r="BN235" s="303" t="str">
        <f aca="false">IF($A235="N/A"," ",U235*$AV235)</f>
        <v> </v>
      </c>
      <c r="BO235" s="303" t="str">
        <f aca="false">IF($A235="N/A"," ",V235*$AW235)</f>
        <v> </v>
      </c>
      <c r="BP235" s="303" t="str">
        <f aca="false">IF($A235="N/A"," ",W235*$AX235)</f>
        <v> </v>
      </c>
      <c r="BQ235" s="303" t="str">
        <f aca="false">IF($A235="N/A"," ",X235*$AY235)</f>
        <v> </v>
      </c>
      <c r="BR235" s="303" t="str">
        <f aca="false">IF($A235="N/A"," ",Y235*$AZ235)</f>
        <v> </v>
      </c>
      <c r="BS235" s="304" t="str">
        <f aca="false">IF($A235="N/A"," ",Z235*$BA235)</f>
        <v> </v>
      </c>
      <c r="BT235" s="305" t="str">
        <f aca="false">IF($A235="N/A"," ",AA235*$AS235)</f>
        <v> </v>
      </c>
      <c r="BU235" s="306" t="str">
        <f aca="false">IF($A235="N/A"," ",AB235*$AT235)</f>
        <v> </v>
      </c>
      <c r="BV235" s="306" t="str">
        <f aca="false">IF($A235="N/A"," ",AC235*$AU235)</f>
        <v> </v>
      </c>
      <c r="BW235" s="306" t="str">
        <f aca="false">IF($A235="N/A"," ",AD235*$AV235)</f>
        <v> </v>
      </c>
      <c r="BX235" s="306" t="str">
        <f aca="false">IF($A235="N/A"," ",AE235*$AW235)</f>
        <v> </v>
      </c>
      <c r="BY235" s="306" t="str">
        <f aca="false">IF($A235="N/A"," ",AF235*$AX235)</f>
        <v> </v>
      </c>
      <c r="BZ235" s="306" t="str">
        <f aca="false">IF($A235="N/A"," ",AG235*$AY235)</f>
        <v> </v>
      </c>
      <c r="CA235" s="306" t="str">
        <f aca="false">IF($A235="N/A"," ",AH235*$AZ235)</f>
        <v> </v>
      </c>
      <c r="CB235" s="307" t="str">
        <f aca="false">IF($A235="N/A"," ",AI235*$BA235)</f>
        <v> </v>
      </c>
      <c r="CC235" s="308" t="str">
        <f aca="false">IF($A235="N/A"," ",AJ235*$AS235)</f>
        <v> </v>
      </c>
      <c r="CD235" s="309" t="str">
        <f aca="false">IF($A235="N/A"," ",AK235*$AT235)</f>
        <v> </v>
      </c>
      <c r="CE235" s="309" t="str">
        <f aca="false">IF($A235="N/A"," ",AL235*$AU235)</f>
        <v> </v>
      </c>
      <c r="CF235" s="309" t="str">
        <f aca="false">IF($A235="N/A"," ",AM235*$AV235)</f>
        <v> </v>
      </c>
      <c r="CG235" s="309" t="str">
        <f aca="false">IF($A235="N/A"," ",AN235*$AW235)</f>
        <v> </v>
      </c>
      <c r="CH235" s="309" t="str">
        <f aca="false">IF($A235="N/A"," ",AO235*$AX235)</f>
        <v> </v>
      </c>
      <c r="CI235" s="309" t="str">
        <f aca="false">IF($A235="N/A"," ",AP235*$AY235)</f>
        <v> </v>
      </c>
      <c r="CJ235" s="309" t="str">
        <f aca="false">IF($A235="N/A"," ",AQ235*$AZ235)</f>
        <v> </v>
      </c>
      <c r="CK235" s="310" t="str">
        <f aca="false">IF($A235="N/A"," ",AR235*$BA235)</f>
        <v> </v>
      </c>
      <c r="CL235" s="311" t="str">
        <f aca="false">IF(A235="N/A"," ",(VLOOKUP(A235,PowerVolTable,(IF(VolBMO=2,7,IF(VolBMO=1,6,8))),FALSE())))</f>
        <v> </v>
      </c>
      <c r="CM235" s="312" t="str">
        <f aca="false">IF(A235="N/A"," ",(VLOOKUP(A235,IntraPowerVol,(IF(VolBMO=2,3,IF(VolBMO=1,2,4))),FALSE())*VLOOKUP(MONTH($A235),Volscale,2)))</f>
        <v> </v>
      </c>
      <c r="CN235" s="312" t="str">
        <f aca="false">IF($A235="N/A"," ",IF(VolType=1,CM235,CL235))</f>
        <v> </v>
      </c>
      <c r="CO235" s="312" t="str">
        <f aca="false">IF($A235="N/A"," ",(VLOOKUP($A235,OffPeakVol,(IF(VolBMO=2,7,IF(VolBMO=1,6,8))),FALSE())))</f>
        <v> </v>
      </c>
      <c r="CP235" s="312" t="str">
        <f aca="false">IF($A235="N/A"," ",(VLOOKUP($A235,OffPeakVol,(IF(VolBMO=2,3,IF(VolBMO=1,2,4))),FALSE())*VLOOKUP(MONTH($A235),Volscale,2)))</f>
        <v> </v>
      </c>
      <c r="CQ235" s="312" t="str">
        <f aca="false">IF($A235="N/A"," ",IF(VolType=1,CP235,CO235))</f>
        <v> </v>
      </c>
      <c r="CR235" s="312" t="str">
        <f aca="false">IF($A235="N/A"," ",(VLOOKUP($A235,GasVolTable,(IF(VolBMO=2,6,IF(VolBMO=1,7,5))),FALSE())))</f>
        <v> </v>
      </c>
      <c r="CS235" s="312" t="str">
        <f aca="false">IF($A235="N/A"," ",(VLOOKUP($A235,OmicronVol,(IF(VolBMO=2,3,IF(VolBMO=1,4,2))),FALSE())))</f>
        <v> </v>
      </c>
      <c r="CT235" s="312" t="str">
        <f aca="false">IF($A235="N/A"," ",(IF(DateToday&gt;$A235,$CS235,IF(VolType=1,((($CR235^2)*((($A235-1)-DateToday)/((EOMONTH($A235,0)+1)-DateToday-15)))+((($CS235)^2)*((15)/((EOMONTH($A235,0)+1)-DateToday-15))))^0.5,CR235))))</f>
        <v> </v>
      </c>
      <c r="CU235" s="312" t="str">
        <f aca="false">IF($A235="N/A"," ",IF('Pricing Inputs'!$AR$23=TRUE(),Inputs!$S$22,VLOOKUP($A235,CorrelationTable,2,FALSE())))</f>
        <v> </v>
      </c>
      <c r="CV235" s="313" t="str">
        <f aca="false">IF($A235="N/A"," ",F235+G235+(D235*('Pricing Inputs'!X270)))</f>
        <v> </v>
      </c>
      <c r="CW235" s="314" t="str">
        <f aca="false">IF($A235="N/A"," ",IF(PV=1,0,'Pricing Inputs'!Y270))</f>
        <v> </v>
      </c>
      <c r="CX235" s="315" t="str">
        <f aca="false">IF($A235="N/A"," ",(1+CW235/2)^(-2*((EOMONTH(A235,0)+20)-DateToday)/365.25))</f>
        <v> </v>
      </c>
      <c r="CY235" s="316" t="str">
        <f aca="false">IF($A235="N/A"," ",(IF(MONTH(A235)&gt;=4,IF(MONTH(A235)&lt;=10,Inputs!$S$26,Inputs!$S$27),Inputs!$S$27))*$CX235)</f>
        <v> </v>
      </c>
      <c r="CZ235" s="317" t="str">
        <f aca="false">IF($A235="N/A"," ",BK235+BL235+BN235+BO235+BQ235+BR235)</f>
        <v> </v>
      </c>
      <c r="DA235" s="318" t="str">
        <f aca="false">IF($A235="N/A"," ",BM235+BP235+BS235)</f>
        <v> </v>
      </c>
      <c r="DB235" s="319" t="str">
        <f aca="false">IF($A235="N/A"," ",BT235+BU235+BW235+BX235+BZ235+CA235)</f>
        <v> </v>
      </c>
      <c r="DC235" s="319" t="str">
        <f aca="false">IF($A235="N/A"," ",BV235+BY235+CB235)</f>
        <v> </v>
      </c>
      <c r="DD235" s="320" t="str">
        <f aca="false">IF($A235="N/A"," ",SUM(CC235:CK235))</f>
        <v> </v>
      </c>
      <c r="DE235" s="321" t="str">
        <f aca="false">IF($A235="N/A"," ",VLOOKUP($A235,NumberofDaysTable,2)*Availability)</f>
        <v> </v>
      </c>
      <c r="DF235" s="94" t="str">
        <f aca="false">IF($A235="N/A"," ",VLOOKUP($A235,NumberofDaysTable,3)*Availability)</f>
        <v> </v>
      </c>
      <c r="DG235" s="322" t="str">
        <f aca="false">IF($A235="N/A"," ",VLOOKUP($A235,NumberofDaysTable,4)*Availability)</f>
        <v> </v>
      </c>
      <c r="DH235" s="323" t="str">
        <f aca="false">IF($A235="N/A"," ",IF(Option=1,$D235*Inputs!$S$15*SUM(AS235:BA235),0))</f>
        <v> </v>
      </c>
      <c r="DI235" s="324" t="str">
        <f aca="false">IF($A235="N/A"," ",IF(Option=1,$D235*Inputs!$S$16*SUM(AS235:BA235),0))</f>
        <v> </v>
      </c>
      <c r="DJ235" s="325" t="str">
        <f aca="false">IF($A235="N/A"," ",SUM(AS235:AT235))</f>
        <v> </v>
      </c>
      <c r="DK235" s="325" t="str">
        <f aca="false">IF($A235="N/A"," ",SUM(AU235:BA235))</f>
        <v> </v>
      </c>
      <c r="DL235" s="325" t="str">
        <f aca="false">IF($A235="N/A"," ",SUM(BB235:BC235))</f>
        <v> </v>
      </c>
      <c r="DM235" s="325" t="str">
        <f aca="false">IF($A235="N/A"," ",SUM(BD235:BJ235))</f>
        <v> </v>
      </c>
    </row>
    <row r="236" customFormat="false" ht="12.75" hidden="false" customHeight="false" outlineLevel="0" collapsed="false">
      <c r="A236" s="282" t="str">
        <f aca="false">IF(A235="N/A","N/A",IF(EDATE(A235,1)&gt;Inputs!$S$5,"N/A",EDATE(A235,1)))</f>
        <v>N/A</v>
      </c>
      <c r="B236" s="283" t="str">
        <f aca="false">IF(A236="N/A"," ",YEAR(A236))</f>
        <v> </v>
      </c>
      <c r="C236" s="284" t="str">
        <f aca="false">IF(A236="N/A"," ",VLOOKUP(A236,ScaledPrice,14))</f>
        <v> </v>
      </c>
      <c r="D236" s="285" t="str">
        <f aca="false">IF(A236="N/A"," ",(VLOOKUP(MONTH($A236),Hrtable,2))/1000)</f>
        <v> </v>
      </c>
      <c r="E236" s="286" t="str">
        <f aca="false">IF($A236="N/A"," ",(C236)*D236)</f>
        <v> </v>
      </c>
      <c r="F236" s="287" t="str">
        <f aca="false">IF(A236="N/A"," ",VOM*(1+VOMesc)^(YEAR(A236)-YEAR(Today)))</f>
        <v> </v>
      </c>
      <c r="G236" s="287" t="str">
        <f aca="false">IF(A236="N/A"," ",Perstart/VLOOKUP(Dayrun,'Pricing Inputs'!$AQ$4:$AS$14,3)/(CY236/CX236))</f>
        <v> </v>
      </c>
      <c r="H236" s="288" t="str">
        <f aca="false">IF(A236="N/A"," ",SUM(E236:G236))</f>
        <v> </v>
      </c>
      <c r="I236" s="289" t="str">
        <f aca="false">VLOOKUP($A236,ScaledPrice,6)</f>
        <v> </v>
      </c>
      <c r="J236" s="290" t="str">
        <f aca="false">VLOOKUP($A236,ScaledPrice,10)</f>
        <v> </v>
      </c>
      <c r="K236" s="290" t="str">
        <f aca="false">VLOOKUP($A236,ScaledPrice,13)</f>
        <v> </v>
      </c>
      <c r="L236" s="290" t="str">
        <f aca="false">VLOOKUP($A236,ScaledPrice,7)</f>
        <v> </v>
      </c>
      <c r="M236" s="290" t="str">
        <f aca="false">VLOOKUP($A236,ScaledPrice,11)</f>
        <v> </v>
      </c>
      <c r="N236" s="290" t="str">
        <f aca="false">VLOOKUP($A236,ScaledPrice,13)</f>
        <v> </v>
      </c>
      <c r="O236" s="290" t="str">
        <f aca="false">VLOOKUP($A236,ScaledPrice,8)</f>
        <v> </v>
      </c>
      <c r="P236" s="290" t="str">
        <f aca="false">VLOOKUP($A236,ScaledPrice,12)</f>
        <v> </v>
      </c>
      <c r="Q236" s="291" t="str">
        <f aca="false">VLOOKUP($A236,ScaledPrice,13)</f>
        <v> </v>
      </c>
      <c r="R236" s="292" t="str">
        <f aca="false">IF($A236="N/A"," ",IF(Dayrun&gt;=3,IF(Option=1,MAX($I236-$H236,0),IF(Option=2,MAX($H236-$I236,0),0)),0))</f>
        <v> </v>
      </c>
      <c r="S236" s="286" t="str">
        <f aca="false">IF($A236="N/A"," ",IF(Dayrun&gt;=6,IF(Option=1,MAX($J236-H236,0),IF(Option=2,MAX(H236-$J236,0),0)),0))</f>
        <v> </v>
      </c>
      <c r="T236" s="286" t="str">
        <f aca="false">IF($A236="N/A"," ",IF(OR(Dayrun&lt;=2,Dayrun&gt;=9),IF(Option=1,MAX($K236-$H236,0),IF(Option=2,MAX($H236-$K236,0),0)),0))</f>
        <v> </v>
      </c>
      <c r="U236" s="286" t="str">
        <f aca="false">IF($A236="N/A"," ",IF(OR(Dayrun=1,Dayrun=4,Dayrun=5,Dayrun=7,Dayrun=8,Dayrun=10,Dayrun=11),IF(Option=1,MAX($L236-H236,0),IF(Option=2,MAX(H236-$L236,0),0)),0))</f>
        <v> </v>
      </c>
      <c r="V236" s="286" t="str">
        <f aca="false">IF($A236="N/A"," ",IF(OR(Dayrun=1,Dayrun=7,Dayrun=8,Dayrun=10,Dayrun=11),IF(Option=1,MAX($M236-H236,0),IF(Option=2,MAX(H236-$M236,0),0)),0))</f>
        <v> </v>
      </c>
      <c r="W236" s="286" t="str">
        <f aca="false">IF($A236="N/A"," ",IF(OR(Dayrun&lt;=2,Dayrun&gt;=10),IF(Option=1,MAX($N236-$H236,0),IF(Option=2,MAX($H236-$N236,0),0)),0))</f>
        <v> </v>
      </c>
      <c r="X236" s="286" t="str">
        <f aca="false">IF($A236="N/A"," ",IF(OR(Dayrun=1,Dayrun=5,Dayrun=8,Dayrun=11),IF(Option=1,MAX($O236-H236,0),IF(Option=2,MAX(H236-$O236,0),0)),0))</f>
        <v> </v>
      </c>
      <c r="Y236" s="286" t="str">
        <f aca="false">IF($A236="N/A"," ",IF(OR(Dayrun=1,Dayrun=8,Dayrun=11),IF(Option=1,MAX($P236-H236,0),IF(Option=2,MAX(H236-$P236,0),0)),0))</f>
        <v> </v>
      </c>
      <c r="Z236" s="293" t="str">
        <f aca="false">IF($A236="N/A"," ",IF(OR(Dayrun&lt;=2,Dayrun&gt;=11),IF(Option=1,MAX($Q236-$H236,0),IF(Option=2,MAX($H236-$Q236,0),0)),0))</f>
        <v> </v>
      </c>
      <c r="AA236" s="289" t="str">
        <f aca="false">IF($A236="N/A"," ",IF(Dayrun&gt;=3,(MAX(0,(xSPRDOPT(I236,($E236-'Pricing Inputs'!$X271*$D236),$CV236,0,($CN236+IF(Smile=TRUE(),VLOOKUP(MAX(-5,$H236-I236),Volsmile,2),0)),$CT236,$CU236,($A236-DateToday)+15,ABS(Option-2),0)-R236))),0))</f>
        <v> </v>
      </c>
      <c r="AB236" s="290" t="str">
        <f aca="false">IF($A236="N/A"," ",IF(Dayrun&gt;=6,MAX(0,(xSPRDOPT(J236,($E236-'Pricing Inputs'!$X271*$D236),$CV236,0,($CN236+IF(Smile=TRUE(),VLOOKUP(MAX(-5,$H236-J236),Volsmile,2),0)),$CT236,$CU236,($A236-DateToday)+15,ABS(Option-2),0)-S236)),0))</f>
        <v> </v>
      </c>
      <c r="AC236" s="290" t="str">
        <f aca="false">IF($A236="N/A"," ",IF(OR(Dayrun&lt;=2,Dayrun&gt;=9),IF(OffPeakEx=TRUE(),MAX(0,(xSPRDOPT(K236,($E236-'Pricing Inputs'!$X271*$D236),$CV236,0,($CQ236+IF(Smile=TRUE(),VLOOKUP(MAX(-5,$H236-K236),Volsmile,2),0)),$CT236,$CU236,($A236-DateToday)+15,ABS(Option-2),0)-T236)),0),0))</f>
        <v> </v>
      </c>
      <c r="AD236" s="290" t="str">
        <f aca="false">IF($A236="N/A"," ",IF(OR(Dayrun=1,Dayrun=4,Dayrun=5,Dayrun=7,Dayrun=8,Dayrun=10,Dayrun=11),MAX(0,(xSPRDOPT(L236,($E236-'Pricing Inputs'!$X271*$D236),$CV236,0,($CQ236+IF(Smile=TRUE(),VLOOKUP(MAX(-5,$H236-L236),Volsmile,2),0)),$CT236,$CU236,($A236-DateToday)+15,ABS(Option-2),0)-U236)),0))</f>
        <v> </v>
      </c>
      <c r="AE236" s="290" t="str">
        <f aca="false">IF($A236="N/A"," ",IF(OR(Dayrun=1,Dayrun=7,Dayrun=8,Dayrun=10,Dayrun=11),MAX(0,(xSPRDOPT(M236,($E236-'Pricing Inputs'!$X271*$D236),$CV236,0,($CQ236+IF(Smile=TRUE(),VLOOKUP(MAX(-5,$H236-M236),Volsmile,2),0)),$CT236,$CU236,($A236-DateToday)+15,ABS(Option-2),0)-V236)),0))</f>
        <v> </v>
      </c>
      <c r="AF236" s="290" t="str">
        <f aca="false">IF($A236="N/A"," ",IF(OR(Dayrun&lt;=2,Dayrun&gt;=10),IF(OffPeakEx=TRUE(),MAX(0,(xSPRDOPT(N236,($E236-'Pricing Inputs'!$X271*$D236),$CV236,0,($CQ236+IF(Smile=TRUE(),VLOOKUP(MAX(-5,$H236-N236),Volsmile,2),0)),$CT236,$CU236,($A236-DateToday)+15,ABS(Option-2),0)-W236)),0),0))</f>
        <v> </v>
      </c>
      <c r="AG236" s="290" t="str">
        <f aca="false">IF($A236="N/A"," ",IF(OR(Dayrun=1,Dayrun=5,Dayrun=8,Dayrun=11),MAX(0,(xSPRDOPT(O236,($E236-'Pricing Inputs'!$X271*$D236),$CV236,0,($CQ236+IF(Smile=TRUE(),VLOOKUP(MAX(-5,$H236-O236),Volsmile,2),0)),$CT236,$CU236,($A236-DateToday)+15,ABS(Option-2),0)-X236)),0))</f>
        <v> </v>
      </c>
      <c r="AH236" s="290" t="str">
        <f aca="false">IF($A236="N/A"," ",IF(OR(Dayrun=1,Dayrun=8,Dayrun=11),MAX(0,(xSPRDOPT(P236,($E236-'Pricing Inputs'!$X271*$D236),$CV236,0,($CQ236+IF(Smile=TRUE(),VLOOKUP(MAX(-5,$H236-P236),Volsmile,2),0)),$CT236,$CU236,($A236-DateToday)+15,ABS(Option-2),0)-Y236)),0))</f>
        <v> </v>
      </c>
      <c r="AI236" s="290" t="str">
        <f aca="false">IF($A236="N/A"," ",IF(OR(Dayrun&lt;=2,Dayrun&gt;=11),IF(OffPeakEx=TRUE(),MAX(0,(xSPRDOPT(Q236,($E236-'Pricing Inputs'!$X271*$D236),$CV236,0,($CQ236+IF(Smile=TRUE(),VLOOKUP(MAX(-5,$H236-Q236),Volsmile,2),0)),$CT236,$CU236,($A236-DateToday)+15,ABS(Option-2),0)-Z236)),0),0))</f>
        <v> </v>
      </c>
      <c r="AJ236" s="294" t="str">
        <f aca="false">IF($A236="N/A"," ",IF(Dayrun&gt;=3,IF(Option=1,$I236-$H236,IF(Option=2,$H236-$I236)),0))</f>
        <v> </v>
      </c>
      <c r="AK236" s="295" t="str">
        <f aca="false">IF($A236="N/A"," ",IF(Dayrun&gt;=6,IF(Option=1,$J236-H236,IF(Option=2,H236-$J236)),0))</f>
        <v> </v>
      </c>
      <c r="AL236" s="295" t="str">
        <f aca="false">IF($A236="N/A"," ",IF(OR(Dayrun&lt;=2,Dayrun&gt;=9),IF(Option=1,$K236-$H236,IF(Option=2,$H236-$K236)),0))</f>
        <v> </v>
      </c>
      <c r="AM236" s="295" t="str">
        <f aca="false">IF($A236="N/A"," ",IF(OR(Dayrun=1,Dayrun=4,Dayrun=5,Dayrun=7,Dayrun=8,Dayrun=10,Dayrun=11),IF(Option=1,$L236-H236,IF(Option=2,H236-$L236)),0))</f>
        <v> </v>
      </c>
      <c r="AN236" s="295" t="str">
        <f aca="false">IF($A236="N/A"," ",IF(OR(Dayrun=1,Dayrun=7,Dayrun=8,Dayrun=10,Dayrun=11),IF(Option=1,$M236-H236,IF(Option=2,H236-$M236)),0))</f>
        <v> </v>
      </c>
      <c r="AO236" s="295" t="str">
        <f aca="false">IF($A236="N/A"," ",IF(OR(Dayrun&lt;=2,Dayrun&gt;=9),IF(Option=1,$N236-$H236,IF(Option=2,$H236-$N236)),0))</f>
        <v> </v>
      </c>
      <c r="AP236" s="295" t="str">
        <f aca="false">IF($A236="N/A"," ",IF(OR(Dayrun=1,Dayrun=5,Dayrun=8,Dayrun=11),IF(Option=1,$O236-H236,IF(Option=2,H236-$O236)),0))</f>
        <v> </v>
      </c>
      <c r="AQ236" s="295" t="str">
        <f aca="false">IF($A236="N/A"," ",IF(OR(Dayrun=1,Dayrun=8,Dayrun=11),IF(Option=1,$P236-H236,IF(Option=2,H236-$P236)),0))</f>
        <v> </v>
      </c>
      <c r="AR236" s="296" t="str">
        <f aca="false">IF($A236="N/A"," ",IF(OR(Dayrun&lt;=2,Dayrun&gt;=9),IF(Option=1,$Q236-H236,IF(Option=2,H236-$Q236)),0))</f>
        <v> </v>
      </c>
      <c r="AS236" s="297" t="str">
        <f aca="false">IF($A236="N/A"," ",IF(VLOOKUP(MONTH($A236),ManualTable,2)=1,IF(Dayrun&gt;=3,$DE236*8*$CY236,0),0))</f>
        <v> </v>
      </c>
      <c r="AT236" s="297" t="str">
        <f aca="false">IF($A236="N/A"," ",IF(VLOOKUP(MONTH($A236),ManualTable,3)=1,IF(Dayrun&gt;=6,$DE236*8*$CY236,0),0))</f>
        <v> </v>
      </c>
      <c r="AU236" s="297" t="str">
        <f aca="false">IF($A236="N/A"," ",IF(VLOOKUP(MONTH($A236),ManualTable,4)=1,IF(OR(Dayrun&lt;=2,Dayrun&gt;=9),$DE236*8*$CY236,0),0))</f>
        <v> </v>
      </c>
      <c r="AV236" s="297" t="str">
        <f aca="false">IF($A236="N/A"," ",IF(VLOOKUP(MONTH($A236),ManualTable,5)=1,IF(OR(Dayrun=1,Dayrun=4,Dayrun=5,Dayrun=7,Dayrun=8,Dayrun=10,Dayrun=11),$DF236*8*$CY236,0),0))</f>
        <v> </v>
      </c>
      <c r="AW236" s="297" t="str">
        <f aca="false">IF($A236="N/A"," ",IF(VLOOKUP(MONTH($A236),ManualTable,6)=1,IF(OR(Dayrun=1,Dayrun=7,Dayrun=8,Dayrun=10,Dayrun=11),$DF236*8*$CY236,0),0))</f>
        <v> </v>
      </c>
      <c r="AX236" s="297" t="str">
        <f aca="false">IF($A236="N/A"," ",IF(VLOOKUP(MONTH($A236),ManualTable,7)=1,IF(OR(Dayrun&lt;=2,Dayrun&gt;=9),$DF236*8*$CY236,0),0))</f>
        <v> </v>
      </c>
      <c r="AY236" s="297" t="str">
        <f aca="false">IF($A236="N/A"," ",IF(VLOOKUP(MONTH($A236),ManualTable,8)=1,IF(OR(Dayrun=1,Dayrun=5,Dayrun=8,Dayrun=11),$DG236*8*$CY236,0),0))</f>
        <v> </v>
      </c>
      <c r="AZ236" s="297" t="str">
        <f aca="false">IF($A236="N/A"," ",IF(VLOOKUP(MONTH($A236),ManualTable,9)=1,IF(OR(Dayrun=1,Dayrun=8,Dayrun=11),$DG236*8*$CY236,0),0))</f>
        <v> </v>
      </c>
      <c r="BA236" s="298" t="str">
        <f aca="false">IF($A236="N/A"," ",IF(VLOOKUP(MONTH($A236),ManualTable,10)=1,IF(OR(Dayrun&lt;=2,Dayrun&gt;=9),$DG236*8*$CY236,0),0))</f>
        <v> </v>
      </c>
      <c r="BB236" s="299" t="str">
        <f aca="false">IF($A236="N/A"," ",IF(Dayrun&gt;=3,(MAX(0,(xSPRDOPT(I236,($E236-'Pricing Inputs'!$X271*$D236),$CV236,0,($CN236+IF(Smile=TRUE(),VLOOKUP(MAX(-5,$H236-I236),Volsmile,2),0)),$CT236,$CU236,($A236-DateToday)+15,ABS(Option-2),1)*DE236*8))),0))</f>
        <v> </v>
      </c>
      <c r="BC236" s="300" t="str">
        <f aca="false">IF($A236="N/A"," ",IF(Dayrun&gt;=6,MAX(0,(xSPRDOPT(J236,($E236-'Pricing Inputs'!$X271*$D236),$CV236,0,($CN236+IF(Smile=TRUE(),VLOOKUP(MAX(-5,$H236-J236),Volsmile,2),0)),$CT236,$CU236,($A236-DateToday)+15,ABS(Option-2),1)*DE236*8)),0))</f>
        <v> </v>
      </c>
      <c r="BD236" s="300" t="str">
        <f aca="false">IF($A236="N/A"," ",IF(OR(Dayrun&lt;=2,Dayrun&gt;=9),IF(OffPeakEx=TRUE(),MAX(0,(xSPRDOPT(K236,($E236-'Pricing Inputs'!$X271*$D236),$CV236,0,($CQ236+IF(Smile=TRUE(),VLOOKUP(MAX(-5,$H236-K236),Volsmile,2),0)),$CT236,$CU236,($A236-DateToday)+15,ABS(Option-2),1)*DE236*8)),0),0))</f>
        <v> </v>
      </c>
      <c r="BE236" s="300" t="str">
        <f aca="false">IF($A236="N/A"," ",IF(OR(Dayrun=1,Dayrun=4,Dayrun=5,Dayrun=7,Dayrun=8,Dayrun=10,Dayrun=11),MAX(0,(xSPRDOPT(L236,($E236-'Pricing Inputs'!$X271*$D236),$CV236,0,($CQ236+IF(Smile=TRUE(),VLOOKUP(MAX(-5,$H236-L236),Volsmile,2),0)),$CT236,$CU236,($A236-DateToday)+15,ABS(Option-2),1)*DF236*8)),0))</f>
        <v> </v>
      </c>
      <c r="BF236" s="300" t="str">
        <f aca="false">IF($A236="N/A"," ",IF(OR(Dayrun=1,Dayrun=7,Dayrun=8,Dayrun=10,Dayrun=11),MAX(0,(xSPRDOPT(M236,($E236-'Pricing Inputs'!$X271*$D236),$CV236,0,($CQ236+IF(Smile=TRUE(),VLOOKUP(MAX(-5,$H236-M236),Volsmile,2),0)),$CT236,$CU236,($A236-DateToday)+15,ABS(Option-2),1)*DF236*8)),0))</f>
        <v> </v>
      </c>
      <c r="BG236" s="300" t="str">
        <f aca="false">IF($A236="N/A"," ",IF(OR(Dayrun&lt;=2,Dayrun&gt;=10),IF(OffPeakEx=TRUE(),MAX(0,(xSPRDOPT(N236,($E236-'Pricing Inputs'!$X271*$D236),$CV236,0,($CQ236+IF(Smile=TRUE(),VLOOKUP(MAX(-5,$H236-N236),Volsmile,2),0)),$CT236,$CU236,($A236-DateToday)+15,ABS(Option-2),1)*DF236*8)),0),0))</f>
        <v> </v>
      </c>
      <c r="BH236" s="300" t="str">
        <f aca="false">IF($A236="N/A"," ",IF(OR(Dayrun=1,Dayrun=5,Dayrun=8,Dayrun=11),MAX(0,(xSPRDOPT(O236,($E236-'Pricing Inputs'!$X271*$D236),$CV236,0,($CQ236+IF(Smile=TRUE(),VLOOKUP(MAX(-5,$H236-O236),Volsmile,2),0)),$CT236,$CU236,($A236-DateToday)+15,ABS(Option-2),1)*DG236*8)),0))</f>
        <v> </v>
      </c>
      <c r="BI236" s="300" t="str">
        <f aca="false">IF($A236="N/A"," ",IF(OR(Dayrun=1,Dayrun=8,Dayrun=11),MAX(0,(xSPRDOPT(P236,($E236-'Pricing Inputs'!$X271*$D236),$CV236,0,($CQ236+IF(Smile=TRUE(),VLOOKUP(MAX(-5,$H236-P236),Volsmile,2),0)),$CT236,$CU236,($A236-DateToday)+15,ABS(Option-2),1)*DG236*8)),0))</f>
        <v> </v>
      </c>
      <c r="BJ236" s="301" t="str">
        <f aca="false">IF($A236="N/A"," ",IF(OR(Dayrun&lt;=2,Dayrun&gt;=11),IF(OffPeakEx=TRUE(),MAX(0,(xSPRDOPT(Q236,($E236-'Pricing Inputs'!$X271*$D236),$CV236,0,($CQ236+IF(Smile=TRUE(),VLOOKUP(MAX(-5,$H236-Q236),Volsmile,2),0)),$CT236,$CU236,($A236-DateToday)+15,ABS(Option-2),1)*DG236*8)),0),0))</f>
        <v> </v>
      </c>
      <c r="BK236" s="302" t="str">
        <f aca="false">IF($A236="N/A"," ",R236*$AS236)</f>
        <v> </v>
      </c>
      <c r="BL236" s="303" t="str">
        <f aca="false">IF($A236="N/A"," ",S236*$AT236)</f>
        <v> </v>
      </c>
      <c r="BM236" s="303" t="str">
        <f aca="false">IF($A236="N/A"," ",T236*$AU236)</f>
        <v> </v>
      </c>
      <c r="BN236" s="303" t="str">
        <f aca="false">IF($A236="N/A"," ",U236*$AV236)</f>
        <v> </v>
      </c>
      <c r="BO236" s="303" t="str">
        <f aca="false">IF($A236="N/A"," ",V236*$AW236)</f>
        <v> </v>
      </c>
      <c r="BP236" s="303" t="str">
        <f aca="false">IF($A236="N/A"," ",W236*$AX236)</f>
        <v> </v>
      </c>
      <c r="BQ236" s="303" t="str">
        <f aca="false">IF($A236="N/A"," ",X236*$AY236)</f>
        <v> </v>
      </c>
      <c r="BR236" s="303" t="str">
        <f aca="false">IF($A236="N/A"," ",Y236*$AZ236)</f>
        <v> </v>
      </c>
      <c r="BS236" s="304" t="str">
        <f aca="false">IF($A236="N/A"," ",Z236*$BA236)</f>
        <v> </v>
      </c>
      <c r="BT236" s="305" t="str">
        <f aca="false">IF($A236="N/A"," ",AA236*$AS236)</f>
        <v> </v>
      </c>
      <c r="BU236" s="306" t="str">
        <f aca="false">IF($A236="N/A"," ",AB236*$AT236)</f>
        <v> </v>
      </c>
      <c r="BV236" s="306" t="str">
        <f aca="false">IF($A236="N/A"," ",AC236*$AU236)</f>
        <v> </v>
      </c>
      <c r="BW236" s="306" t="str">
        <f aca="false">IF($A236="N/A"," ",AD236*$AV236)</f>
        <v> </v>
      </c>
      <c r="BX236" s="306" t="str">
        <f aca="false">IF($A236="N/A"," ",AE236*$AW236)</f>
        <v> </v>
      </c>
      <c r="BY236" s="306" t="str">
        <f aca="false">IF($A236="N/A"," ",AF236*$AX236)</f>
        <v> </v>
      </c>
      <c r="BZ236" s="306" t="str">
        <f aca="false">IF($A236="N/A"," ",AG236*$AY236)</f>
        <v> </v>
      </c>
      <c r="CA236" s="306" t="str">
        <f aca="false">IF($A236="N/A"," ",AH236*$AZ236)</f>
        <v> </v>
      </c>
      <c r="CB236" s="307" t="str">
        <f aca="false">IF($A236="N/A"," ",AI236*$BA236)</f>
        <v> </v>
      </c>
      <c r="CC236" s="308" t="str">
        <f aca="false">IF($A236="N/A"," ",AJ236*$AS236)</f>
        <v> </v>
      </c>
      <c r="CD236" s="309" t="str">
        <f aca="false">IF($A236="N/A"," ",AK236*$AT236)</f>
        <v> </v>
      </c>
      <c r="CE236" s="309" t="str">
        <f aca="false">IF($A236="N/A"," ",AL236*$AU236)</f>
        <v> </v>
      </c>
      <c r="CF236" s="309" t="str">
        <f aca="false">IF($A236="N/A"," ",AM236*$AV236)</f>
        <v> </v>
      </c>
      <c r="CG236" s="309" t="str">
        <f aca="false">IF($A236="N/A"," ",AN236*$AW236)</f>
        <v> </v>
      </c>
      <c r="CH236" s="309" t="str">
        <f aca="false">IF($A236="N/A"," ",AO236*$AX236)</f>
        <v> </v>
      </c>
      <c r="CI236" s="309" t="str">
        <f aca="false">IF($A236="N/A"," ",AP236*$AY236)</f>
        <v> </v>
      </c>
      <c r="CJ236" s="309" t="str">
        <f aca="false">IF($A236="N/A"," ",AQ236*$AZ236)</f>
        <v> </v>
      </c>
      <c r="CK236" s="310" t="str">
        <f aca="false">IF($A236="N/A"," ",AR236*$BA236)</f>
        <v> </v>
      </c>
      <c r="CL236" s="311" t="str">
        <f aca="false">IF(A236="N/A"," ",(VLOOKUP(A236,PowerVolTable,(IF(VolBMO=2,7,IF(VolBMO=1,6,8))),FALSE())))</f>
        <v> </v>
      </c>
      <c r="CM236" s="312" t="str">
        <f aca="false">IF(A236="N/A"," ",(VLOOKUP(A236,IntraPowerVol,(IF(VolBMO=2,3,IF(VolBMO=1,2,4))),FALSE())*VLOOKUP(MONTH($A236),Volscale,2)))</f>
        <v> </v>
      </c>
      <c r="CN236" s="312" t="str">
        <f aca="false">IF($A236="N/A"," ",IF(VolType=1,CM236,CL236))</f>
        <v> </v>
      </c>
      <c r="CO236" s="312" t="str">
        <f aca="false">IF($A236="N/A"," ",(VLOOKUP($A236,OffPeakVol,(IF(VolBMO=2,7,IF(VolBMO=1,6,8))),FALSE())))</f>
        <v> </v>
      </c>
      <c r="CP236" s="312" t="str">
        <f aca="false">IF($A236="N/A"," ",(VLOOKUP($A236,OffPeakVol,(IF(VolBMO=2,3,IF(VolBMO=1,2,4))),FALSE())*VLOOKUP(MONTH($A236),Volscale,2)))</f>
        <v> </v>
      </c>
      <c r="CQ236" s="312" t="str">
        <f aca="false">IF($A236="N/A"," ",IF(VolType=1,CP236,CO236))</f>
        <v> </v>
      </c>
      <c r="CR236" s="312" t="str">
        <f aca="false">IF($A236="N/A"," ",(VLOOKUP($A236,GasVolTable,(IF(VolBMO=2,6,IF(VolBMO=1,7,5))),FALSE())))</f>
        <v> </v>
      </c>
      <c r="CS236" s="312" t="str">
        <f aca="false">IF($A236="N/A"," ",(VLOOKUP($A236,OmicronVol,(IF(VolBMO=2,3,IF(VolBMO=1,4,2))),FALSE())))</f>
        <v> </v>
      </c>
      <c r="CT236" s="312" t="str">
        <f aca="false">IF($A236="N/A"," ",(IF(DateToday&gt;$A236,$CS236,IF(VolType=1,((($CR236^2)*((($A236-1)-DateToday)/((EOMONTH($A236,0)+1)-DateToday-15)))+((($CS236)^2)*((15)/((EOMONTH($A236,0)+1)-DateToday-15))))^0.5,CR236))))</f>
        <v> </v>
      </c>
      <c r="CU236" s="312" t="str">
        <f aca="false">IF($A236="N/A"," ",IF('Pricing Inputs'!$AR$23=TRUE(),Inputs!$S$22,VLOOKUP($A236,CorrelationTable,2,FALSE())))</f>
        <v> </v>
      </c>
      <c r="CV236" s="313" t="str">
        <f aca="false">IF($A236="N/A"," ",F236+G236+(D236*('Pricing Inputs'!X271)))</f>
        <v> </v>
      </c>
      <c r="CW236" s="314" t="str">
        <f aca="false">IF($A236="N/A"," ",IF(PV=1,0,'Pricing Inputs'!Y271))</f>
        <v> </v>
      </c>
      <c r="CX236" s="315" t="str">
        <f aca="false">IF($A236="N/A"," ",(1+CW236/2)^(-2*((EOMONTH(A236,0)+20)-DateToday)/365.25))</f>
        <v> </v>
      </c>
      <c r="CY236" s="316" t="str">
        <f aca="false">IF($A236="N/A"," ",(IF(MONTH(A236)&gt;=4,IF(MONTH(A236)&lt;=10,Inputs!$S$26,Inputs!$S$27),Inputs!$S$27))*$CX236)</f>
        <v> </v>
      </c>
      <c r="CZ236" s="317" t="str">
        <f aca="false">IF($A236="N/A"," ",BK236+BL236+BN236+BO236+BQ236+BR236)</f>
        <v> </v>
      </c>
      <c r="DA236" s="318" t="str">
        <f aca="false">IF($A236="N/A"," ",BM236+BP236+BS236)</f>
        <v> </v>
      </c>
      <c r="DB236" s="319" t="str">
        <f aca="false">IF($A236="N/A"," ",BT236+BU236+BW236+BX236+BZ236+CA236)</f>
        <v> </v>
      </c>
      <c r="DC236" s="319" t="str">
        <f aca="false">IF($A236="N/A"," ",BV236+BY236+CB236)</f>
        <v> </v>
      </c>
      <c r="DD236" s="320" t="str">
        <f aca="false">IF($A236="N/A"," ",SUM(CC236:CK236))</f>
        <v> </v>
      </c>
      <c r="DE236" s="321" t="str">
        <f aca="false">IF($A236="N/A"," ",VLOOKUP($A236,NumberofDaysTable,2)*Availability)</f>
        <v> </v>
      </c>
      <c r="DF236" s="94" t="str">
        <f aca="false">IF($A236="N/A"," ",VLOOKUP($A236,NumberofDaysTable,3)*Availability)</f>
        <v> </v>
      </c>
      <c r="DG236" s="322" t="str">
        <f aca="false">IF($A236="N/A"," ",VLOOKUP($A236,NumberofDaysTable,4)*Availability)</f>
        <v> </v>
      </c>
      <c r="DH236" s="323" t="str">
        <f aca="false">IF($A236="N/A"," ",IF(Option=1,$D236*Inputs!$S$15*SUM(AS236:BA236),0))</f>
        <v> </v>
      </c>
      <c r="DI236" s="324" t="str">
        <f aca="false">IF($A236="N/A"," ",IF(Option=1,$D236*Inputs!$S$16*SUM(AS236:BA236),0))</f>
        <v> </v>
      </c>
      <c r="DJ236" s="325" t="str">
        <f aca="false">IF($A236="N/A"," ",SUM(AS236:AT236))</f>
        <v> </v>
      </c>
      <c r="DK236" s="325" t="str">
        <f aca="false">IF($A236="N/A"," ",SUM(AU236:BA236))</f>
        <v> </v>
      </c>
      <c r="DL236" s="325" t="str">
        <f aca="false">IF($A236="N/A"," ",SUM(BB236:BC236))</f>
        <v> </v>
      </c>
      <c r="DM236" s="325" t="str">
        <f aca="false">IF($A236="N/A"," ",SUM(BD236:BJ236))</f>
        <v> </v>
      </c>
    </row>
    <row r="237" customFormat="false" ht="12.75" hidden="false" customHeight="false" outlineLevel="0" collapsed="false">
      <c r="A237" s="282" t="str">
        <f aca="false">IF(A236="N/A","N/A",IF(EDATE(A236,1)&gt;Inputs!$S$5,"N/A",EDATE(A236,1)))</f>
        <v>N/A</v>
      </c>
      <c r="B237" s="283" t="str">
        <f aca="false">IF(A237="N/A"," ",YEAR(A237))</f>
        <v> </v>
      </c>
      <c r="C237" s="284" t="str">
        <f aca="false">IF(A237="N/A"," ",VLOOKUP(A237,ScaledPrice,14))</f>
        <v> </v>
      </c>
      <c r="D237" s="285" t="str">
        <f aca="false">IF(A237="N/A"," ",(VLOOKUP(MONTH($A237),Hrtable,2))/1000)</f>
        <v> </v>
      </c>
      <c r="E237" s="286" t="str">
        <f aca="false">IF($A237="N/A"," ",(C237)*D237)</f>
        <v> </v>
      </c>
      <c r="F237" s="287" t="str">
        <f aca="false">IF(A237="N/A"," ",VOM*(1+VOMesc)^(YEAR(A237)-YEAR(Today)))</f>
        <v> </v>
      </c>
      <c r="G237" s="287" t="str">
        <f aca="false">IF(A237="N/A"," ",Perstart/VLOOKUP(Dayrun,'Pricing Inputs'!$AQ$4:$AS$14,3)/(CY237/CX237))</f>
        <v> </v>
      </c>
      <c r="H237" s="288" t="str">
        <f aca="false">IF(A237="N/A"," ",SUM(E237:G237))</f>
        <v> </v>
      </c>
      <c r="I237" s="289" t="str">
        <f aca="false">VLOOKUP($A237,ScaledPrice,6)</f>
        <v> </v>
      </c>
      <c r="J237" s="290" t="str">
        <f aca="false">VLOOKUP($A237,ScaledPrice,10)</f>
        <v> </v>
      </c>
      <c r="K237" s="290" t="str">
        <f aca="false">VLOOKUP($A237,ScaledPrice,13)</f>
        <v> </v>
      </c>
      <c r="L237" s="290" t="str">
        <f aca="false">VLOOKUP($A237,ScaledPrice,7)</f>
        <v> </v>
      </c>
      <c r="M237" s="290" t="str">
        <f aca="false">VLOOKUP($A237,ScaledPrice,11)</f>
        <v> </v>
      </c>
      <c r="N237" s="290" t="str">
        <f aca="false">VLOOKUP($A237,ScaledPrice,13)</f>
        <v> </v>
      </c>
      <c r="O237" s="290" t="str">
        <f aca="false">VLOOKUP($A237,ScaledPrice,8)</f>
        <v> </v>
      </c>
      <c r="P237" s="290" t="str">
        <f aca="false">VLOOKUP($A237,ScaledPrice,12)</f>
        <v> </v>
      </c>
      <c r="Q237" s="291" t="str">
        <f aca="false">VLOOKUP($A237,ScaledPrice,13)</f>
        <v> </v>
      </c>
      <c r="R237" s="292" t="str">
        <f aca="false">IF($A237="N/A"," ",IF(Dayrun&gt;=3,IF(Option=1,MAX($I237-$H237,0),IF(Option=2,MAX($H237-$I237,0),0)),0))</f>
        <v> </v>
      </c>
      <c r="S237" s="286" t="str">
        <f aca="false">IF($A237="N/A"," ",IF(Dayrun&gt;=6,IF(Option=1,MAX($J237-H237,0),IF(Option=2,MAX(H237-$J237,0),0)),0))</f>
        <v> </v>
      </c>
      <c r="T237" s="286" t="str">
        <f aca="false">IF($A237="N/A"," ",IF(OR(Dayrun&lt;=2,Dayrun&gt;=9),IF(Option=1,MAX($K237-$H237,0),IF(Option=2,MAX($H237-$K237,0),0)),0))</f>
        <v> </v>
      </c>
      <c r="U237" s="286" t="str">
        <f aca="false">IF($A237="N/A"," ",IF(OR(Dayrun=1,Dayrun=4,Dayrun=5,Dayrun=7,Dayrun=8,Dayrun=10,Dayrun=11),IF(Option=1,MAX($L237-H237,0),IF(Option=2,MAX(H237-$L237,0),0)),0))</f>
        <v> </v>
      </c>
      <c r="V237" s="286" t="str">
        <f aca="false">IF($A237="N/A"," ",IF(OR(Dayrun=1,Dayrun=7,Dayrun=8,Dayrun=10,Dayrun=11),IF(Option=1,MAX($M237-H237,0),IF(Option=2,MAX(H237-$M237,0),0)),0))</f>
        <v> </v>
      </c>
      <c r="W237" s="286" t="str">
        <f aca="false">IF($A237="N/A"," ",IF(OR(Dayrun&lt;=2,Dayrun&gt;=10),IF(Option=1,MAX($N237-$H237,0),IF(Option=2,MAX($H237-$N237,0),0)),0))</f>
        <v> </v>
      </c>
      <c r="X237" s="286" t="str">
        <f aca="false">IF($A237="N/A"," ",IF(OR(Dayrun=1,Dayrun=5,Dayrun=8,Dayrun=11),IF(Option=1,MAX($O237-H237,0),IF(Option=2,MAX(H237-$O237,0),0)),0))</f>
        <v> </v>
      </c>
      <c r="Y237" s="286" t="str">
        <f aca="false">IF($A237="N/A"," ",IF(OR(Dayrun=1,Dayrun=8,Dayrun=11),IF(Option=1,MAX($P237-H237,0),IF(Option=2,MAX(H237-$P237,0),0)),0))</f>
        <v> </v>
      </c>
      <c r="Z237" s="293" t="str">
        <f aca="false">IF($A237="N/A"," ",IF(OR(Dayrun&lt;=2,Dayrun&gt;=11),IF(Option=1,MAX($Q237-$H237,0),IF(Option=2,MAX($H237-$Q237,0),0)),0))</f>
        <v> </v>
      </c>
      <c r="AA237" s="289" t="str">
        <f aca="false">IF($A237="N/A"," ",IF(Dayrun&gt;=3,(MAX(0,(xSPRDOPT(I237,($E237-'Pricing Inputs'!$X272*$D237),$CV237,0,($CN237+IF(Smile=TRUE(),VLOOKUP(MAX(-5,$H237-I237),Volsmile,2),0)),$CT237,$CU237,($A237-DateToday)+15,ABS(Option-2),0)-R237))),0))</f>
        <v> </v>
      </c>
      <c r="AB237" s="290" t="str">
        <f aca="false">IF($A237="N/A"," ",IF(Dayrun&gt;=6,MAX(0,(xSPRDOPT(J237,($E237-'Pricing Inputs'!$X272*$D237),$CV237,0,($CN237+IF(Smile=TRUE(),VLOOKUP(MAX(-5,$H237-J237),Volsmile,2),0)),$CT237,$CU237,($A237-DateToday)+15,ABS(Option-2),0)-S237)),0))</f>
        <v> </v>
      </c>
      <c r="AC237" s="290" t="str">
        <f aca="false">IF($A237="N/A"," ",IF(OR(Dayrun&lt;=2,Dayrun&gt;=9),IF(OffPeakEx=TRUE(),MAX(0,(xSPRDOPT(K237,($E237-'Pricing Inputs'!$X272*$D237),$CV237,0,($CQ237+IF(Smile=TRUE(),VLOOKUP(MAX(-5,$H237-K237),Volsmile,2),0)),$CT237,$CU237,($A237-DateToday)+15,ABS(Option-2),0)-T237)),0),0))</f>
        <v> </v>
      </c>
      <c r="AD237" s="290" t="str">
        <f aca="false">IF($A237="N/A"," ",IF(OR(Dayrun=1,Dayrun=4,Dayrun=5,Dayrun=7,Dayrun=8,Dayrun=10,Dayrun=11),MAX(0,(xSPRDOPT(L237,($E237-'Pricing Inputs'!$X272*$D237),$CV237,0,($CQ237+IF(Smile=TRUE(),VLOOKUP(MAX(-5,$H237-L237),Volsmile,2),0)),$CT237,$CU237,($A237-DateToday)+15,ABS(Option-2),0)-U237)),0))</f>
        <v> </v>
      </c>
      <c r="AE237" s="290" t="str">
        <f aca="false">IF($A237="N/A"," ",IF(OR(Dayrun=1,Dayrun=7,Dayrun=8,Dayrun=10,Dayrun=11),MAX(0,(xSPRDOPT(M237,($E237-'Pricing Inputs'!$X272*$D237),$CV237,0,($CQ237+IF(Smile=TRUE(),VLOOKUP(MAX(-5,$H237-M237),Volsmile,2),0)),$CT237,$CU237,($A237-DateToday)+15,ABS(Option-2),0)-V237)),0))</f>
        <v> </v>
      </c>
      <c r="AF237" s="290" t="str">
        <f aca="false">IF($A237="N/A"," ",IF(OR(Dayrun&lt;=2,Dayrun&gt;=10),IF(OffPeakEx=TRUE(),MAX(0,(xSPRDOPT(N237,($E237-'Pricing Inputs'!$X272*$D237),$CV237,0,($CQ237+IF(Smile=TRUE(),VLOOKUP(MAX(-5,$H237-N237),Volsmile,2),0)),$CT237,$CU237,($A237-DateToday)+15,ABS(Option-2),0)-W237)),0),0))</f>
        <v> </v>
      </c>
      <c r="AG237" s="290" t="str">
        <f aca="false">IF($A237="N/A"," ",IF(OR(Dayrun=1,Dayrun=5,Dayrun=8,Dayrun=11),MAX(0,(xSPRDOPT(O237,($E237-'Pricing Inputs'!$X272*$D237),$CV237,0,($CQ237+IF(Smile=TRUE(),VLOOKUP(MAX(-5,$H237-O237),Volsmile,2),0)),$CT237,$CU237,($A237-DateToday)+15,ABS(Option-2),0)-X237)),0))</f>
        <v> </v>
      </c>
      <c r="AH237" s="290" t="str">
        <f aca="false">IF($A237="N/A"," ",IF(OR(Dayrun=1,Dayrun=8,Dayrun=11),MAX(0,(xSPRDOPT(P237,($E237-'Pricing Inputs'!$X272*$D237),$CV237,0,($CQ237+IF(Smile=TRUE(),VLOOKUP(MAX(-5,$H237-P237),Volsmile,2),0)),$CT237,$CU237,($A237-DateToday)+15,ABS(Option-2),0)-Y237)),0))</f>
        <v> </v>
      </c>
      <c r="AI237" s="290" t="str">
        <f aca="false">IF($A237="N/A"," ",IF(OR(Dayrun&lt;=2,Dayrun&gt;=11),IF(OffPeakEx=TRUE(),MAX(0,(xSPRDOPT(Q237,($E237-'Pricing Inputs'!$X272*$D237),$CV237,0,($CQ237+IF(Smile=TRUE(),VLOOKUP(MAX(-5,$H237-Q237),Volsmile,2),0)),$CT237,$CU237,($A237-DateToday)+15,ABS(Option-2),0)-Z237)),0),0))</f>
        <v> </v>
      </c>
      <c r="AJ237" s="294" t="str">
        <f aca="false">IF($A237="N/A"," ",IF(Dayrun&gt;=3,IF(Option=1,$I237-$H237,IF(Option=2,$H237-$I237)),0))</f>
        <v> </v>
      </c>
      <c r="AK237" s="295" t="str">
        <f aca="false">IF($A237="N/A"," ",IF(Dayrun&gt;=6,IF(Option=1,$J237-H237,IF(Option=2,H237-$J237)),0))</f>
        <v> </v>
      </c>
      <c r="AL237" s="295" t="str">
        <f aca="false">IF($A237="N/A"," ",IF(OR(Dayrun&lt;=2,Dayrun&gt;=9),IF(Option=1,$K237-$H237,IF(Option=2,$H237-$K237)),0))</f>
        <v> </v>
      </c>
      <c r="AM237" s="295" t="str">
        <f aca="false">IF($A237="N/A"," ",IF(OR(Dayrun=1,Dayrun=4,Dayrun=5,Dayrun=7,Dayrun=8,Dayrun=10,Dayrun=11),IF(Option=1,$L237-H237,IF(Option=2,H237-$L237)),0))</f>
        <v> </v>
      </c>
      <c r="AN237" s="295" t="str">
        <f aca="false">IF($A237="N/A"," ",IF(OR(Dayrun=1,Dayrun=7,Dayrun=8,Dayrun=10,Dayrun=11),IF(Option=1,$M237-H237,IF(Option=2,H237-$M237)),0))</f>
        <v> </v>
      </c>
      <c r="AO237" s="295" t="str">
        <f aca="false">IF($A237="N/A"," ",IF(OR(Dayrun&lt;=2,Dayrun&gt;=9),IF(Option=1,$N237-$H237,IF(Option=2,$H237-$N237)),0))</f>
        <v> </v>
      </c>
      <c r="AP237" s="295" t="str">
        <f aca="false">IF($A237="N/A"," ",IF(OR(Dayrun=1,Dayrun=5,Dayrun=8,Dayrun=11),IF(Option=1,$O237-H237,IF(Option=2,H237-$O237)),0))</f>
        <v> </v>
      </c>
      <c r="AQ237" s="295" t="str">
        <f aca="false">IF($A237="N/A"," ",IF(OR(Dayrun=1,Dayrun=8,Dayrun=11),IF(Option=1,$P237-H237,IF(Option=2,H237-$P237)),0))</f>
        <v> </v>
      </c>
      <c r="AR237" s="296" t="str">
        <f aca="false">IF($A237="N/A"," ",IF(OR(Dayrun&lt;=2,Dayrun&gt;=9),IF(Option=1,$Q237-H237,IF(Option=2,H237-$Q237)),0))</f>
        <v> </v>
      </c>
      <c r="AS237" s="297" t="str">
        <f aca="false">IF($A237="N/A"," ",IF(VLOOKUP(MONTH($A237),ManualTable,2)=1,IF(Dayrun&gt;=3,$DE237*8*$CY237,0),0))</f>
        <v> </v>
      </c>
      <c r="AT237" s="297" t="str">
        <f aca="false">IF($A237="N/A"," ",IF(VLOOKUP(MONTH($A237),ManualTable,3)=1,IF(Dayrun&gt;=6,$DE237*8*$CY237,0),0))</f>
        <v> </v>
      </c>
      <c r="AU237" s="297" t="str">
        <f aca="false">IF($A237="N/A"," ",IF(VLOOKUP(MONTH($A237),ManualTable,4)=1,IF(OR(Dayrun&lt;=2,Dayrun&gt;=9),$DE237*8*$CY237,0),0))</f>
        <v> </v>
      </c>
      <c r="AV237" s="297" t="str">
        <f aca="false">IF($A237="N/A"," ",IF(VLOOKUP(MONTH($A237),ManualTable,5)=1,IF(OR(Dayrun=1,Dayrun=4,Dayrun=5,Dayrun=7,Dayrun=8,Dayrun=10,Dayrun=11),$DF237*8*$CY237,0),0))</f>
        <v> </v>
      </c>
      <c r="AW237" s="297" t="str">
        <f aca="false">IF($A237="N/A"," ",IF(VLOOKUP(MONTH($A237),ManualTable,6)=1,IF(OR(Dayrun=1,Dayrun=7,Dayrun=8,Dayrun=10,Dayrun=11),$DF237*8*$CY237,0),0))</f>
        <v> </v>
      </c>
      <c r="AX237" s="297" t="str">
        <f aca="false">IF($A237="N/A"," ",IF(VLOOKUP(MONTH($A237),ManualTable,7)=1,IF(OR(Dayrun&lt;=2,Dayrun&gt;=9),$DF237*8*$CY237,0),0))</f>
        <v> </v>
      </c>
      <c r="AY237" s="297" t="str">
        <f aca="false">IF($A237="N/A"," ",IF(VLOOKUP(MONTH($A237),ManualTable,8)=1,IF(OR(Dayrun=1,Dayrun=5,Dayrun=8,Dayrun=11),$DG237*8*$CY237,0),0))</f>
        <v> </v>
      </c>
      <c r="AZ237" s="297" t="str">
        <f aca="false">IF($A237="N/A"," ",IF(VLOOKUP(MONTH($A237),ManualTable,9)=1,IF(OR(Dayrun=1,Dayrun=8,Dayrun=11),$DG237*8*$CY237,0),0))</f>
        <v> </v>
      </c>
      <c r="BA237" s="298" t="str">
        <f aca="false">IF($A237="N/A"," ",IF(VLOOKUP(MONTH($A237),ManualTable,10)=1,IF(OR(Dayrun&lt;=2,Dayrun&gt;=9),$DG237*8*$CY237,0),0))</f>
        <v> </v>
      </c>
      <c r="BB237" s="299" t="str">
        <f aca="false">IF($A237="N/A"," ",IF(Dayrun&gt;=3,(MAX(0,(xSPRDOPT(I237,($E237-'Pricing Inputs'!$X272*$D237),$CV237,0,($CN237+IF(Smile=TRUE(),VLOOKUP(MAX(-5,$H237-I237),Volsmile,2),0)),$CT237,$CU237,($A237-DateToday)+15,ABS(Option-2),1)*DE237*8))),0))</f>
        <v> </v>
      </c>
      <c r="BC237" s="300" t="str">
        <f aca="false">IF($A237="N/A"," ",IF(Dayrun&gt;=6,MAX(0,(xSPRDOPT(J237,($E237-'Pricing Inputs'!$X272*$D237),$CV237,0,($CN237+IF(Smile=TRUE(),VLOOKUP(MAX(-5,$H237-J237),Volsmile,2),0)),$CT237,$CU237,($A237-DateToday)+15,ABS(Option-2),1)*DE237*8)),0))</f>
        <v> </v>
      </c>
      <c r="BD237" s="300" t="str">
        <f aca="false">IF($A237="N/A"," ",IF(OR(Dayrun&lt;=2,Dayrun&gt;=9),IF(OffPeakEx=TRUE(),MAX(0,(xSPRDOPT(K237,($E237-'Pricing Inputs'!$X272*$D237),$CV237,0,($CQ237+IF(Smile=TRUE(),VLOOKUP(MAX(-5,$H237-K237),Volsmile,2),0)),$CT237,$CU237,($A237-DateToday)+15,ABS(Option-2),1)*DE237*8)),0),0))</f>
        <v> </v>
      </c>
      <c r="BE237" s="300" t="str">
        <f aca="false">IF($A237="N/A"," ",IF(OR(Dayrun=1,Dayrun=4,Dayrun=5,Dayrun=7,Dayrun=8,Dayrun=10,Dayrun=11),MAX(0,(xSPRDOPT(L237,($E237-'Pricing Inputs'!$X272*$D237),$CV237,0,($CQ237+IF(Smile=TRUE(),VLOOKUP(MAX(-5,$H237-L237),Volsmile,2),0)),$CT237,$CU237,($A237-DateToday)+15,ABS(Option-2),1)*DF237*8)),0))</f>
        <v> </v>
      </c>
      <c r="BF237" s="300" t="str">
        <f aca="false">IF($A237="N/A"," ",IF(OR(Dayrun=1,Dayrun=7,Dayrun=8,Dayrun=10,Dayrun=11),MAX(0,(xSPRDOPT(M237,($E237-'Pricing Inputs'!$X272*$D237),$CV237,0,($CQ237+IF(Smile=TRUE(),VLOOKUP(MAX(-5,$H237-M237),Volsmile,2),0)),$CT237,$CU237,($A237-DateToday)+15,ABS(Option-2),1)*DF237*8)),0))</f>
        <v> </v>
      </c>
      <c r="BG237" s="300" t="str">
        <f aca="false">IF($A237="N/A"," ",IF(OR(Dayrun&lt;=2,Dayrun&gt;=10),IF(OffPeakEx=TRUE(),MAX(0,(xSPRDOPT(N237,($E237-'Pricing Inputs'!$X272*$D237),$CV237,0,($CQ237+IF(Smile=TRUE(),VLOOKUP(MAX(-5,$H237-N237),Volsmile,2),0)),$CT237,$CU237,($A237-DateToday)+15,ABS(Option-2),1)*DF237*8)),0),0))</f>
        <v> </v>
      </c>
      <c r="BH237" s="300" t="str">
        <f aca="false">IF($A237="N/A"," ",IF(OR(Dayrun=1,Dayrun=5,Dayrun=8,Dayrun=11),MAX(0,(xSPRDOPT(O237,($E237-'Pricing Inputs'!$X272*$D237),$CV237,0,($CQ237+IF(Smile=TRUE(),VLOOKUP(MAX(-5,$H237-O237),Volsmile,2),0)),$CT237,$CU237,($A237-DateToday)+15,ABS(Option-2),1)*DG237*8)),0))</f>
        <v> </v>
      </c>
      <c r="BI237" s="300" t="str">
        <f aca="false">IF($A237="N/A"," ",IF(OR(Dayrun=1,Dayrun=8,Dayrun=11),MAX(0,(xSPRDOPT(P237,($E237-'Pricing Inputs'!$X272*$D237),$CV237,0,($CQ237+IF(Smile=TRUE(),VLOOKUP(MAX(-5,$H237-P237),Volsmile,2),0)),$CT237,$CU237,($A237-DateToday)+15,ABS(Option-2),1)*DG237*8)),0))</f>
        <v> </v>
      </c>
      <c r="BJ237" s="301" t="str">
        <f aca="false">IF($A237="N/A"," ",IF(OR(Dayrun&lt;=2,Dayrun&gt;=11),IF(OffPeakEx=TRUE(),MAX(0,(xSPRDOPT(Q237,($E237-'Pricing Inputs'!$X272*$D237),$CV237,0,($CQ237+IF(Smile=TRUE(),VLOOKUP(MAX(-5,$H237-Q237),Volsmile,2),0)),$CT237,$CU237,($A237-DateToday)+15,ABS(Option-2),1)*DG237*8)),0),0))</f>
        <v> </v>
      </c>
      <c r="BK237" s="302" t="str">
        <f aca="false">IF($A237="N/A"," ",R237*$AS237)</f>
        <v> </v>
      </c>
      <c r="BL237" s="303" t="str">
        <f aca="false">IF($A237="N/A"," ",S237*$AT237)</f>
        <v> </v>
      </c>
      <c r="BM237" s="303" t="str">
        <f aca="false">IF($A237="N/A"," ",T237*$AU237)</f>
        <v> </v>
      </c>
      <c r="BN237" s="303" t="str">
        <f aca="false">IF($A237="N/A"," ",U237*$AV237)</f>
        <v> </v>
      </c>
      <c r="BO237" s="303" t="str">
        <f aca="false">IF($A237="N/A"," ",V237*$AW237)</f>
        <v> </v>
      </c>
      <c r="BP237" s="303" t="str">
        <f aca="false">IF($A237="N/A"," ",W237*$AX237)</f>
        <v> </v>
      </c>
      <c r="BQ237" s="303" t="str">
        <f aca="false">IF($A237="N/A"," ",X237*$AY237)</f>
        <v> </v>
      </c>
      <c r="BR237" s="303" t="str">
        <f aca="false">IF($A237="N/A"," ",Y237*$AZ237)</f>
        <v> </v>
      </c>
      <c r="BS237" s="304" t="str">
        <f aca="false">IF($A237="N/A"," ",Z237*$BA237)</f>
        <v> </v>
      </c>
      <c r="BT237" s="305" t="str">
        <f aca="false">IF($A237="N/A"," ",AA237*$AS237)</f>
        <v> </v>
      </c>
      <c r="BU237" s="306" t="str">
        <f aca="false">IF($A237="N/A"," ",AB237*$AT237)</f>
        <v> </v>
      </c>
      <c r="BV237" s="306" t="str">
        <f aca="false">IF($A237="N/A"," ",AC237*$AU237)</f>
        <v> </v>
      </c>
      <c r="BW237" s="306" t="str">
        <f aca="false">IF($A237="N/A"," ",AD237*$AV237)</f>
        <v> </v>
      </c>
      <c r="BX237" s="306" t="str">
        <f aca="false">IF($A237="N/A"," ",AE237*$AW237)</f>
        <v> </v>
      </c>
      <c r="BY237" s="306" t="str">
        <f aca="false">IF($A237="N/A"," ",AF237*$AX237)</f>
        <v> </v>
      </c>
      <c r="BZ237" s="306" t="str">
        <f aca="false">IF($A237="N/A"," ",AG237*$AY237)</f>
        <v> </v>
      </c>
      <c r="CA237" s="306" t="str">
        <f aca="false">IF($A237="N/A"," ",AH237*$AZ237)</f>
        <v> </v>
      </c>
      <c r="CB237" s="307" t="str">
        <f aca="false">IF($A237="N/A"," ",AI237*$BA237)</f>
        <v> </v>
      </c>
      <c r="CC237" s="308" t="str">
        <f aca="false">IF($A237="N/A"," ",AJ237*$AS237)</f>
        <v> </v>
      </c>
      <c r="CD237" s="309" t="str">
        <f aca="false">IF($A237="N/A"," ",AK237*$AT237)</f>
        <v> </v>
      </c>
      <c r="CE237" s="309" t="str">
        <f aca="false">IF($A237="N/A"," ",AL237*$AU237)</f>
        <v> </v>
      </c>
      <c r="CF237" s="309" t="str">
        <f aca="false">IF($A237="N/A"," ",AM237*$AV237)</f>
        <v> </v>
      </c>
      <c r="CG237" s="309" t="str">
        <f aca="false">IF($A237="N/A"," ",AN237*$AW237)</f>
        <v> </v>
      </c>
      <c r="CH237" s="309" t="str">
        <f aca="false">IF($A237="N/A"," ",AO237*$AX237)</f>
        <v> </v>
      </c>
      <c r="CI237" s="309" t="str">
        <f aca="false">IF($A237="N/A"," ",AP237*$AY237)</f>
        <v> </v>
      </c>
      <c r="CJ237" s="309" t="str">
        <f aca="false">IF($A237="N/A"," ",AQ237*$AZ237)</f>
        <v> </v>
      </c>
      <c r="CK237" s="310" t="str">
        <f aca="false">IF($A237="N/A"," ",AR237*$BA237)</f>
        <v> </v>
      </c>
      <c r="CL237" s="311" t="str">
        <f aca="false">IF(A237="N/A"," ",(VLOOKUP(A237,PowerVolTable,(IF(VolBMO=2,7,IF(VolBMO=1,6,8))),FALSE())))</f>
        <v> </v>
      </c>
      <c r="CM237" s="312" t="str">
        <f aca="false">IF(A237="N/A"," ",(VLOOKUP(A237,IntraPowerVol,(IF(VolBMO=2,3,IF(VolBMO=1,2,4))),FALSE())*VLOOKUP(MONTH($A237),Volscale,2)))</f>
        <v> </v>
      </c>
      <c r="CN237" s="312" t="str">
        <f aca="false">IF($A237="N/A"," ",IF(VolType=1,CM237,CL237))</f>
        <v> </v>
      </c>
      <c r="CO237" s="312" t="str">
        <f aca="false">IF($A237="N/A"," ",(VLOOKUP($A237,OffPeakVol,(IF(VolBMO=2,7,IF(VolBMO=1,6,8))),FALSE())))</f>
        <v> </v>
      </c>
      <c r="CP237" s="312" t="str">
        <f aca="false">IF($A237="N/A"," ",(VLOOKUP($A237,OffPeakVol,(IF(VolBMO=2,3,IF(VolBMO=1,2,4))),FALSE())*VLOOKUP(MONTH($A237),Volscale,2)))</f>
        <v> </v>
      </c>
      <c r="CQ237" s="312" t="str">
        <f aca="false">IF($A237="N/A"," ",IF(VolType=1,CP237,CO237))</f>
        <v> </v>
      </c>
      <c r="CR237" s="312" t="str">
        <f aca="false">IF($A237="N/A"," ",(VLOOKUP($A237,GasVolTable,(IF(VolBMO=2,6,IF(VolBMO=1,7,5))),FALSE())))</f>
        <v> </v>
      </c>
      <c r="CS237" s="312" t="str">
        <f aca="false">IF($A237="N/A"," ",(VLOOKUP($A237,OmicronVol,(IF(VolBMO=2,3,IF(VolBMO=1,4,2))),FALSE())))</f>
        <v> </v>
      </c>
      <c r="CT237" s="312" t="str">
        <f aca="false">IF($A237="N/A"," ",(IF(DateToday&gt;$A237,$CS237,IF(VolType=1,((($CR237^2)*((($A237-1)-DateToday)/((EOMONTH($A237,0)+1)-DateToday-15)))+((($CS237)^2)*((15)/((EOMONTH($A237,0)+1)-DateToday-15))))^0.5,CR237))))</f>
        <v> </v>
      </c>
      <c r="CU237" s="312" t="str">
        <f aca="false">IF($A237="N/A"," ",IF('Pricing Inputs'!$AR$23=TRUE(),Inputs!$S$22,VLOOKUP($A237,CorrelationTable,2,FALSE())))</f>
        <v> </v>
      </c>
      <c r="CV237" s="313" t="str">
        <f aca="false">IF($A237="N/A"," ",F237+G237+(D237*('Pricing Inputs'!X272)))</f>
        <v> </v>
      </c>
      <c r="CW237" s="314" t="str">
        <f aca="false">IF($A237="N/A"," ",IF(PV=1,0,'Pricing Inputs'!Y272))</f>
        <v> </v>
      </c>
      <c r="CX237" s="315" t="str">
        <f aca="false">IF($A237="N/A"," ",(1+CW237/2)^(-2*((EOMONTH(A237,0)+20)-DateToday)/365.25))</f>
        <v> </v>
      </c>
      <c r="CY237" s="316" t="str">
        <f aca="false">IF($A237="N/A"," ",(IF(MONTH(A237)&gt;=4,IF(MONTH(A237)&lt;=10,Inputs!$S$26,Inputs!$S$27),Inputs!$S$27))*$CX237)</f>
        <v> </v>
      </c>
      <c r="CZ237" s="317" t="str">
        <f aca="false">IF($A237="N/A"," ",BK237+BL237+BN237+BO237+BQ237+BR237)</f>
        <v> </v>
      </c>
      <c r="DA237" s="318" t="str">
        <f aca="false">IF($A237="N/A"," ",BM237+BP237+BS237)</f>
        <v> </v>
      </c>
      <c r="DB237" s="319" t="str">
        <f aca="false">IF($A237="N/A"," ",BT237+BU237+BW237+BX237+BZ237+CA237)</f>
        <v> </v>
      </c>
      <c r="DC237" s="319" t="str">
        <f aca="false">IF($A237="N/A"," ",BV237+BY237+CB237)</f>
        <v> </v>
      </c>
      <c r="DD237" s="320" t="str">
        <f aca="false">IF($A237="N/A"," ",SUM(CC237:CK237))</f>
        <v> </v>
      </c>
      <c r="DE237" s="321" t="str">
        <f aca="false">IF($A237="N/A"," ",VLOOKUP($A237,NumberofDaysTable,2)*Availability)</f>
        <v> </v>
      </c>
      <c r="DF237" s="94" t="str">
        <f aca="false">IF($A237="N/A"," ",VLOOKUP($A237,NumberofDaysTable,3)*Availability)</f>
        <v> </v>
      </c>
      <c r="DG237" s="322" t="str">
        <f aca="false">IF($A237="N/A"," ",VLOOKUP($A237,NumberofDaysTable,4)*Availability)</f>
        <v> </v>
      </c>
      <c r="DH237" s="323" t="str">
        <f aca="false">IF($A237="N/A"," ",IF(Option=1,$D237*Inputs!$S$15*SUM(AS237:BA237),0))</f>
        <v> </v>
      </c>
      <c r="DI237" s="324" t="str">
        <f aca="false">IF($A237="N/A"," ",IF(Option=1,$D237*Inputs!$S$16*SUM(AS237:BA237),0))</f>
        <v> </v>
      </c>
      <c r="DJ237" s="325" t="str">
        <f aca="false">IF($A237="N/A"," ",SUM(AS237:AT237))</f>
        <v> </v>
      </c>
      <c r="DK237" s="325" t="str">
        <f aca="false">IF($A237="N/A"," ",SUM(AU237:BA237))</f>
        <v> </v>
      </c>
      <c r="DL237" s="325" t="str">
        <f aca="false">IF($A237="N/A"," ",SUM(BB237:BC237))</f>
        <v> </v>
      </c>
      <c r="DM237" s="325" t="str">
        <f aca="false">IF($A237="N/A"," ",SUM(BD237:BJ237))</f>
        <v> </v>
      </c>
    </row>
    <row r="238" customFormat="false" ht="12.75" hidden="false" customHeight="false" outlineLevel="0" collapsed="false">
      <c r="A238" s="282" t="str">
        <f aca="false">IF(A237="N/A","N/A",IF(EDATE(A237,1)&gt;Inputs!$S$5,"N/A",EDATE(A237,1)))</f>
        <v>N/A</v>
      </c>
      <c r="B238" s="283" t="str">
        <f aca="false">IF(A238="N/A"," ",YEAR(A238))</f>
        <v> </v>
      </c>
      <c r="C238" s="284" t="str">
        <f aca="false">IF(A238="N/A"," ",VLOOKUP(A238,ScaledPrice,14))</f>
        <v> </v>
      </c>
      <c r="D238" s="285" t="str">
        <f aca="false">IF(A238="N/A"," ",(VLOOKUP(MONTH($A238),Hrtable,2))/1000)</f>
        <v> </v>
      </c>
      <c r="E238" s="286" t="str">
        <f aca="false">IF($A238="N/A"," ",(C238)*D238)</f>
        <v> </v>
      </c>
      <c r="F238" s="287" t="str">
        <f aca="false">IF(A238="N/A"," ",VOM*(1+VOMesc)^(YEAR(A238)-YEAR(Today)))</f>
        <v> </v>
      </c>
      <c r="G238" s="287" t="str">
        <f aca="false">IF(A238="N/A"," ",Perstart/VLOOKUP(Dayrun,'Pricing Inputs'!$AQ$4:$AS$14,3)/(CY238/CX238))</f>
        <v> </v>
      </c>
      <c r="H238" s="288" t="str">
        <f aca="false">IF(A238="N/A"," ",SUM(E238:G238))</f>
        <v> </v>
      </c>
      <c r="I238" s="289" t="str">
        <f aca="false">VLOOKUP($A238,ScaledPrice,6)</f>
        <v> </v>
      </c>
      <c r="J238" s="290" t="str">
        <f aca="false">VLOOKUP($A238,ScaledPrice,10)</f>
        <v> </v>
      </c>
      <c r="K238" s="290" t="str">
        <f aca="false">VLOOKUP($A238,ScaledPrice,13)</f>
        <v> </v>
      </c>
      <c r="L238" s="290" t="str">
        <f aca="false">VLOOKUP($A238,ScaledPrice,7)</f>
        <v> </v>
      </c>
      <c r="M238" s="290" t="str">
        <f aca="false">VLOOKUP($A238,ScaledPrice,11)</f>
        <v> </v>
      </c>
      <c r="N238" s="290" t="str">
        <f aca="false">VLOOKUP($A238,ScaledPrice,13)</f>
        <v> </v>
      </c>
      <c r="O238" s="290" t="str">
        <f aca="false">VLOOKUP($A238,ScaledPrice,8)</f>
        <v> </v>
      </c>
      <c r="P238" s="290" t="str">
        <f aca="false">VLOOKUP($A238,ScaledPrice,12)</f>
        <v> </v>
      </c>
      <c r="Q238" s="291" t="str">
        <f aca="false">VLOOKUP($A238,ScaledPrice,13)</f>
        <v> </v>
      </c>
      <c r="R238" s="292" t="str">
        <f aca="false">IF($A238="N/A"," ",IF(Dayrun&gt;=3,IF(Option=1,MAX($I238-$H238,0),IF(Option=2,MAX($H238-$I238,0),0)),0))</f>
        <v> </v>
      </c>
      <c r="S238" s="286" t="str">
        <f aca="false">IF($A238="N/A"," ",IF(Dayrun&gt;=6,IF(Option=1,MAX($J238-H238,0),IF(Option=2,MAX(H238-$J238,0),0)),0))</f>
        <v> </v>
      </c>
      <c r="T238" s="286" t="str">
        <f aca="false">IF($A238="N/A"," ",IF(OR(Dayrun&lt;=2,Dayrun&gt;=9),IF(Option=1,MAX($K238-$H238,0),IF(Option=2,MAX($H238-$K238,0),0)),0))</f>
        <v> </v>
      </c>
      <c r="U238" s="286" t="str">
        <f aca="false">IF($A238="N/A"," ",IF(OR(Dayrun=1,Dayrun=4,Dayrun=5,Dayrun=7,Dayrun=8,Dayrun=10,Dayrun=11),IF(Option=1,MAX($L238-H238,0),IF(Option=2,MAX(H238-$L238,0),0)),0))</f>
        <v> </v>
      </c>
      <c r="V238" s="286" t="str">
        <f aca="false">IF($A238="N/A"," ",IF(OR(Dayrun=1,Dayrun=7,Dayrun=8,Dayrun=10,Dayrun=11),IF(Option=1,MAX($M238-H238,0),IF(Option=2,MAX(H238-$M238,0),0)),0))</f>
        <v> </v>
      </c>
      <c r="W238" s="286" t="str">
        <f aca="false">IF($A238="N/A"," ",IF(OR(Dayrun&lt;=2,Dayrun&gt;=10),IF(Option=1,MAX($N238-$H238,0),IF(Option=2,MAX($H238-$N238,0),0)),0))</f>
        <v> </v>
      </c>
      <c r="X238" s="286" t="str">
        <f aca="false">IF($A238="N/A"," ",IF(OR(Dayrun=1,Dayrun=5,Dayrun=8,Dayrun=11),IF(Option=1,MAX($O238-H238,0),IF(Option=2,MAX(H238-$O238,0),0)),0))</f>
        <v> </v>
      </c>
      <c r="Y238" s="286" t="str">
        <f aca="false">IF($A238="N/A"," ",IF(OR(Dayrun=1,Dayrun=8,Dayrun=11),IF(Option=1,MAX($P238-H238,0),IF(Option=2,MAX(H238-$P238,0),0)),0))</f>
        <v> </v>
      </c>
      <c r="Z238" s="293" t="str">
        <f aca="false">IF($A238="N/A"," ",IF(OR(Dayrun&lt;=2,Dayrun&gt;=11),IF(Option=1,MAX($Q238-$H238,0),IF(Option=2,MAX($H238-$Q238,0),0)),0))</f>
        <v> </v>
      </c>
      <c r="AA238" s="289" t="str">
        <f aca="false">IF($A238="N/A"," ",IF(Dayrun&gt;=3,(MAX(0,(xSPRDOPT(I238,($E238-'Pricing Inputs'!$X273*$D238),$CV238,0,($CN238+IF(Smile=TRUE(),VLOOKUP(MAX(-5,$H238-I238),Volsmile,2),0)),$CT238,$CU238,($A238-DateToday)+15,ABS(Option-2),0)-R238))),0))</f>
        <v> </v>
      </c>
      <c r="AB238" s="290" t="str">
        <f aca="false">IF($A238="N/A"," ",IF(Dayrun&gt;=6,MAX(0,(xSPRDOPT(J238,($E238-'Pricing Inputs'!$X273*$D238),$CV238,0,($CN238+IF(Smile=TRUE(),VLOOKUP(MAX(-5,$H238-J238),Volsmile,2),0)),$CT238,$CU238,($A238-DateToday)+15,ABS(Option-2),0)-S238)),0))</f>
        <v> </v>
      </c>
      <c r="AC238" s="290" t="str">
        <f aca="false">IF($A238="N/A"," ",IF(OR(Dayrun&lt;=2,Dayrun&gt;=9),IF(OffPeakEx=TRUE(),MAX(0,(xSPRDOPT(K238,($E238-'Pricing Inputs'!$X273*$D238),$CV238,0,($CQ238+IF(Smile=TRUE(),VLOOKUP(MAX(-5,$H238-K238),Volsmile,2),0)),$CT238,$CU238,($A238-DateToday)+15,ABS(Option-2),0)-T238)),0),0))</f>
        <v> </v>
      </c>
      <c r="AD238" s="290" t="str">
        <f aca="false">IF($A238="N/A"," ",IF(OR(Dayrun=1,Dayrun=4,Dayrun=5,Dayrun=7,Dayrun=8,Dayrun=10,Dayrun=11),MAX(0,(xSPRDOPT(L238,($E238-'Pricing Inputs'!$X273*$D238),$CV238,0,($CQ238+IF(Smile=TRUE(),VLOOKUP(MAX(-5,$H238-L238),Volsmile,2),0)),$CT238,$CU238,($A238-DateToday)+15,ABS(Option-2),0)-U238)),0))</f>
        <v> </v>
      </c>
      <c r="AE238" s="290" t="str">
        <f aca="false">IF($A238="N/A"," ",IF(OR(Dayrun=1,Dayrun=7,Dayrun=8,Dayrun=10,Dayrun=11),MAX(0,(xSPRDOPT(M238,($E238-'Pricing Inputs'!$X273*$D238),$CV238,0,($CQ238+IF(Smile=TRUE(),VLOOKUP(MAX(-5,$H238-M238),Volsmile,2),0)),$CT238,$CU238,($A238-DateToday)+15,ABS(Option-2),0)-V238)),0))</f>
        <v> </v>
      </c>
      <c r="AF238" s="290" t="str">
        <f aca="false">IF($A238="N/A"," ",IF(OR(Dayrun&lt;=2,Dayrun&gt;=10),IF(OffPeakEx=TRUE(),MAX(0,(xSPRDOPT(N238,($E238-'Pricing Inputs'!$X273*$D238),$CV238,0,($CQ238+IF(Smile=TRUE(),VLOOKUP(MAX(-5,$H238-N238),Volsmile,2),0)),$CT238,$CU238,($A238-DateToday)+15,ABS(Option-2),0)-W238)),0),0))</f>
        <v> </v>
      </c>
      <c r="AG238" s="290" t="str">
        <f aca="false">IF($A238="N/A"," ",IF(OR(Dayrun=1,Dayrun=5,Dayrun=8,Dayrun=11),MAX(0,(xSPRDOPT(O238,($E238-'Pricing Inputs'!$X273*$D238),$CV238,0,($CQ238+IF(Smile=TRUE(),VLOOKUP(MAX(-5,$H238-O238),Volsmile,2),0)),$CT238,$CU238,($A238-DateToday)+15,ABS(Option-2),0)-X238)),0))</f>
        <v> </v>
      </c>
      <c r="AH238" s="290" t="str">
        <f aca="false">IF($A238="N/A"," ",IF(OR(Dayrun=1,Dayrun=8,Dayrun=11),MAX(0,(xSPRDOPT(P238,($E238-'Pricing Inputs'!$X273*$D238),$CV238,0,($CQ238+IF(Smile=TRUE(),VLOOKUP(MAX(-5,$H238-P238),Volsmile,2),0)),$CT238,$CU238,($A238-DateToday)+15,ABS(Option-2),0)-Y238)),0))</f>
        <v> </v>
      </c>
      <c r="AI238" s="290" t="str">
        <f aca="false">IF($A238="N/A"," ",IF(OR(Dayrun&lt;=2,Dayrun&gt;=11),IF(OffPeakEx=TRUE(),MAX(0,(xSPRDOPT(Q238,($E238-'Pricing Inputs'!$X273*$D238),$CV238,0,($CQ238+IF(Smile=TRUE(),VLOOKUP(MAX(-5,$H238-Q238),Volsmile,2),0)),$CT238,$CU238,($A238-DateToday)+15,ABS(Option-2),0)-Z238)),0),0))</f>
        <v> </v>
      </c>
      <c r="AJ238" s="294" t="str">
        <f aca="false">IF($A238="N/A"," ",IF(Dayrun&gt;=3,IF(Option=1,$I238-$H238,IF(Option=2,$H238-$I238)),0))</f>
        <v> </v>
      </c>
      <c r="AK238" s="295" t="str">
        <f aca="false">IF($A238="N/A"," ",IF(Dayrun&gt;=6,IF(Option=1,$J238-H238,IF(Option=2,H238-$J238)),0))</f>
        <v> </v>
      </c>
      <c r="AL238" s="295" t="str">
        <f aca="false">IF($A238="N/A"," ",IF(OR(Dayrun&lt;=2,Dayrun&gt;=9),IF(Option=1,$K238-$H238,IF(Option=2,$H238-$K238)),0))</f>
        <v> </v>
      </c>
      <c r="AM238" s="295" t="str">
        <f aca="false">IF($A238="N/A"," ",IF(OR(Dayrun=1,Dayrun=4,Dayrun=5,Dayrun=7,Dayrun=8,Dayrun=10,Dayrun=11),IF(Option=1,$L238-H238,IF(Option=2,H238-$L238)),0))</f>
        <v> </v>
      </c>
      <c r="AN238" s="295" t="str">
        <f aca="false">IF($A238="N/A"," ",IF(OR(Dayrun=1,Dayrun=7,Dayrun=8,Dayrun=10,Dayrun=11),IF(Option=1,$M238-H238,IF(Option=2,H238-$M238)),0))</f>
        <v> </v>
      </c>
      <c r="AO238" s="295" t="str">
        <f aca="false">IF($A238="N/A"," ",IF(OR(Dayrun&lt;=2,Dayrun&gt;=9),IF(Option=1,$N238-$H238,IF(Option=2,$H238-$N238)),0))</f>
        <v> </v>
      </c>
      <c r="AP238" s="295" t="str">
        <f aca="false">IF($A238="N/A"," ",IF(OR(Dayrun=1,Dayrun=5,Dayrun=8,Dayrun=11),IF(Option=1,$O238-H238,IF(Option=2,H238-$O238)),0))</f>
        <v> </v>
      </c>
      <c r="AQ238" s="295" t="str">
        <f aca="false">IF($A238="N/A"," ",IF(OR(Dayrun=1,Dayrun=8,Dayrun=11),IF(Option=1,$P238-H238,IF(Option=2,H238-$P238)),0))</f>
        <v> </v>
      </c>
      <c r="AR238" s="296" t="str">
        <f aca="false">IF($A238="N/A"," ",IF(OR(Dayrun&lt;=2,Dayrun&gt;=9),IF(Option=1,$Q238-H238,IF(Option=2,H238-$Q238)),0))</f>
        <v> </v>
      </c>
      <c r="AS238" s="297" t="str">
        <f aca="false">IF($A238="N/A"," ",IF(VLOOKUP(MONTH($A238),ManualTable,2)=1,IF(Dayrun&gt;=3,$DE238*8*$CY238,0),0))</f>
        <v> </v>
      </c>
      <c r="AT238" s="297" t="str">
        <f aca="false">IF($A238="N/A"," ",IF(VLOOKUP(MONTH($A238),ManualTable,3)=1,IF(Dayrun&gt;=6,$DE238*8*$CY238,0),0))</f>
        <v> </v>
      </c>
      <c r="AU238" s="297" t="str">
        <f aca="false">IF($A238="N/A"," ",IF(VLOOKUP(MONTH($A238),ManualTable,4)=1,IF(OR(Dayrun&lt;=2,Dayrun&gt;=9),$DE238*8*$CY238,0),0))</f>
        <v> </v>
      </c>
      <c r="AV238" s="297" t="str">
        <f aca="false">IF($A238="N/A"," ",IF(VLOOKUP(MONTH($A238),ManualTable,5)=1,IF(OR(Dayrun=1,Dayrun=4,Dayrun=5,Dayrun=7,Dayrun=8,Dayrun=10,Dayrun=11),$DF238*8*$CY238,0),0))</f>
        <v> </v>
      </c>
      <c r="AW238" s="297" t="str">
        <f aca="false">IF($A238="N/A"," ",IF(VLOOKUP(MONTH($A238),ManualTable,6)=1,IF(OR(Dayrun=1,Dayrun=7,Dayrun=8,Dayrun=10,Dayrun=11),$DF238*8*$CY238,0),0))</f>
        <v> </v>
      </c>
      <c r="AX238" s="297" t="str">
        <f aca="false">IF($A238="N/A"," ",IF(VLOOKUP(MONTH($A238),ManualTable,7)=1,IF(OR(Dayrun&lt;=2,Dayrun&gt;=9),$DF238*8*$CY238,0),0))</f>
        <v> </v>
      </c>
      <c r="AY238" s="297" t="str">
        <f aca="false">IF($A238="N/A"," ",IF(VLOOKUP(MONTH($A238),ManualTable,8)=1,IF(OR(Dayrun=1,Dayrun=5,Dayrun=8,Dayrun=11),$DG238*8*$CY238,0),0))</f>
        <v> </v>
      </c>
      <c r="AZ238" s="297" t="str">
        <f aca="false">IF($A238="N/A"," ",IF(VLOOKUP(MONTH($A238),ManualTable,9)=1,IF(OR(Dayrun=1,Dayrun=8,Dayrun=11),$DG238*8*$CY238,0),0))</f>
        <v> </v>
      </c>
      <c r="BA238" s="298" t="str">
        <f aca="false">IF($A238="N/A"," ",IF(VLOOKUP(MONTH($A238),ManualTable,10)=1,IF(OR(Dayrun&lt;=2,Dayrun&gt;=9),$DG238*8*$CY238,0),0))</f>
        <v> </v>
      </c>
      <c r="BB238" s="299" t="str">
        <f aca="false">IF($A238="N/A"," ",IF(Dayrun&gt;=3,(MAX(0,(xSPRDOPT(I238,($E238-'Pricing Inputs'!$X273*$D238),$CV238,0,($CN238+IF(Smile=TRUE(),VLOOKUP(MAX(-5,$H238-I238),Volsmile,2),0)),$CT238,$CU238,($A238-DateToday)+15,ABS(Option-2),1)*DE238*8))),0))</f>
        <v> </v>
      </c>
      <c r="BC238" s="300" t="str">
        <f aca="false">IF($A238="N/A"," ",IF(Dayrun&gt;=6,MAX(0,(xSPRDOPT(J238,($E238-'Pricing Inputs'!$X273*$D238),$CV238,0,($CN238+IF(Smile=TRUE(),VLOOKUP(MAX(-5,$H238-J238),Volsmile,2),0)),$CT238,$CU238,($A238-DateToday)+15,ABS(Option-2),1)*DE238*8)),0))</f>
        <v> </v>
      </c>
      <c r="BD238" s="300" t="str">
        <f aca="false">IF($A238="N/A"," ",IF(OR(Dayrun&lt;=2,Dayrun&gt;=9),IF(OffPeakEx=TRUE(),MAX(0,(xSPRDOPT(K238,($E238-'Pricing Inputs'!$X273*$D238),$CV238,0,($CQ238+IF(Smile=TRUE(),VLOOKUP(MAX(-5,$H238-K238),Volsmile,2),0)),$CT238,$CU238,($A238-DateToday)+15,ABS(Option-2),1)*DE238*8)),0),0))</f>
        <v> </v>
      </c>
      <c r="BE238" s="300" t="str">
        <f aca="false">IF($A238="N/A"," ",IF(OR(Dayrun=1,Dayrun=4,Dayrun=5,Dayrun=7,Dayrun=8,Dayrun=10,Dayrun=11),MAX(0,(xSPRDOPT(L238,($E238-'Pricing Inputs'!$X273*$D238),$CV238,0,($CQ238+IF(Smile=TRUE(),VLOOKUP(MAX(-5,$H238-L238),Volsmile,2),0)),$CT238,$CU238,($A238-DateToday)+15,ABS(Option-2),1)*DF238*8)),0))</f>
        <v> </v>
      </c>
      <c r="BF238" s="300" t="str">
        <f aca="false">IF($A238="N/A"," ",IF(OR(Dayrun=1,Dayrun=7,Dayrun=8,Dayrun=10,Dayrun=11),MAX(0,(xSPRDOPT(M238,($E238-'Pricing Inputs'!$X273*$D238),$CV238,0,($CQ238+IF(Smile=TRUE(),VLOOKUP(MAX(-5,$H238-M238),Volsmile,2),0)),$CT238,$CU238,($A238-DateToday)+15,ABS(Option-2),1)*DF238*8)),0))</f>
        <v> </v>
      </c>
      <c r="BG238" s="300" t="str">
        <f aca="false">IF($A238="N/A"," ",IF(OR(Dayrun&lt;=2,Dayrun&gt;=10),IF(OffPeakEx=TRUE(),MAX(0,(xSPRDOPT(N238,($E238-'Pricing Inputs'!$X273*$D238),$CV238,0,($CQ238+IF(Smile=TRUE(),VLOOKUP(MAX(-5,$H238-N238),Volsmile,2),0)),$CT238,$CU238,($A238-DateToday)+15,ABS(Option-2),1)*DF238*8)),0),0))</f>
        <v> </v>
      </c>
      <c r="BH238" s="300" t="str">
        <f aca="false">IF($A238="N/A"," ",IF(OR(Dayrun=1,Dayrun=5,Dayrun=8,Dayrun=11),MAX(0,(xSPRDOPT(O238,($E238-'Pricing Inputs'!$X273*$D238),$CV238,0,($CQ238+IF(Smile=TRUE(),VLOOKUP(MAX(-5,$H238-O238),Volsmile,2),0)),$CT238,$CU238,($A238-DateToday)+15,ABS(Option-2),1)*DG238*8)),0))</f>
        <v> </v>
      </c>
      <c r="BI238" s="300" t="str">
        <f aca="false">IF($A238="N/A"," ",IF(OR(Dayrun=1,Dayrun=8,Dayrun=11),MAX(0,(xSPRDOPT(P238,($E238-'Pricing Inputs'!$X273*$D238),$CV238,0,($CQ238+IF(Smile=TRUE(),VLOOKUP(MAX(-5,$H238-P238),Volsmile,2),0)),$CT238,$CU238,($A238-DateToday)+15,ABS(Option-2),1)*DG238*8)),0))</f>
        <v> </v>
      </c>
      <c r="BJ238" s="301" t="str">
        <f aca="false">IF($A238="N/A"," ",IF(OR(Dayrun&lt;=2,Dayrun&gt;=11),IF(OffPeakEx=TRUE(),MAX(0,(xSPRDOPT(Q238,($E238-'Pricing Inputs'!$X273*$D238),$CV238,0,($CQ238+IF(Smile=TRUE(),VLOOKUP(MAX(-5,$H238-Q238),Volsmile,2),0)),$CT238,$CU238,($A238-DateToday)+15,ABS(Option-2),1)*DG238*8)),0),0))</f>
        <v> </v>
      </c>
      <c r="BK238" s="302" t="str">
        <f aca="false">IF($A238="N/A"," ",R238*$AS238)</f>
        <v> </v>
      </c>
      <c r="BL238" s="303" t="str">
        <f aca="false">IF($A238="N/A"," ",S238*$AT238)</f>
        <v> </v>
      </c>
      <c r="BM238" s="303" t="str">
        <f aca="false">IF($A238="N/A"," ",T238*$AU238)</f>
        <v> </v>
      </c>
      <c r="BN238" s="303" t="str">
        <f aca="false">IF($A238="N/A"," ",U238*$AV238)</f>
        <v> </v>
      </c>
      <c r="BO238" s="303" t="str">
        <f aca="false">IF($A238="N/A"," ",V238*$AW238)</f>
        <v> </v>
      </c>
      <c r="BP238" s="303" t="str">
        <f aca="false">IF($A238="N/A"," ",W238*$AX238)</f>
        <v> </v>
      </c>
      <c r="BQ238" s="303" t="str">
        <f aca="false">IF($A238="N/A"," ",X238*$AY238)</f>
        <v> </v>
      </c>
      <c r="BR238" s="303" t="str">
        <f aca="false">IF($A238="N/A"," ",Y238*$AZ238)</f>
        <v> </v>
      </c>
      <c r="BS238" s="304" t="str">
        <f aca="false">IF($A238="N/A"," ",Z238*$BA238)</f>
        <v> </v>
      </c>
      <c r="BT238" s="305" t="str">
        <f aca="false">IF($A238="N/A"," ",AA238*$AS238)</f>
        <v> </v>
      </c>
      <c r="BU238" s="306" t="str">
        <f aca="false">IF($A238="N/A"," ",AB238*$AT238)</f>
        <v> </v>
      </c>
      <c r="BV238" s="306" t="str">
        <f aca="false">IF($A238="N/A"," ",AC238*$AU238)</f>
        <v> </v>
      </c>
      <c r="BW238" s="306" t="str">
        <f aca="false">IF($A238="N/A"," ",AD238*$AV238)</f>
        <v> </v>
      </c>
      <c r="BX238" s="306" t="str">
        <f aca="false">IF($A238="N/A"," ",AE238*$AW238)</f>
        <v> </v>
      </c>
      <c r="BY238" s="306" t="str">
        <f aca="false">IF($A238="N/A"," ",AF238*$AX238)</f>
        <v> </v>
      </c>
      <c r="BZ238" s="306" t="str">
        <f aca="false">IF($A238="N/A"," ",AG238*$AY238)</f>
        <v> </v>
      </c>
      <c r="CA238" s="306" t="str">
        <f aca="false">IF($A238="N/A"," ",AH238*$AZ238)</f>
        <v> </v>
      </c>
      <c r="CB238" s="307" t="str">
        <f aca="false">IF($A238="N/A"," ",AI238*$BA238)</f>
        <v> </v>
      </c>
      <c r="CC238" s="308" t="str">
        <f aca="false">IF($A238="N/A"," ",AJ238*$AS238)</f>
        <v> </v>
      </c>
      <c r="CD238" s="309" t="str">
        <f aca="false">IF($A238="N/A"," ",AK238*$AT238)</f>
        <v> </v>
      </c>
      <c r="CE238" s="309" t="str">
        <f aca="false">IF($A238="N/A"," ",AL238*$AU238)</f>
        <v> </v>
      </c>
      <c r="CF238" s="309" t="str">
        <f aca="false">IF($A238="N/A"," ",AM238*$AV238)</f>
        <v> </v>
      </c>
      <c r="CG238" s="309" t="str">
        <f aca="false">IF($A238="N/A"," ",AN238*$AW238)</f>
        <v> </v>
      </c>
      <c r="CH238" s="309" t="str">
        <f aca="false">IF($A238="N/A"," ",AO238*$AX238)</f>
        <v> </v>
      </c>
      <c r="CI238" s="309" t="str">
        <f aca="false">IF($A238="N/A"," ",AP238*$AY238)</f>
        <v> </v>
      </c>
      <c r="CJ238" s="309" t="str">
        <f aca="false">IF($A238="N/A"," ",AQ238*$AZ238)</f>
        <v> </v>
      </c>
      <c r="CK238" s="310" t="str">
        <f aca="false">IF($A238="N/A"," ",AR238*$BA238)</f>
        <v> </v>
      </c>
      <c r="CL238" s="311" t="str">
        <f aca="false">IF(A238="N/A"," ",(VLOOKUP(A238,PowerVolTable,(IF(VolBMO=2,7,IF(VolBMO=1,6,8))),FALSE())))</f>
        <v> </v>
      </c>
      <c r="CM238" s="312" t="str">
        <f aca="false">IF(A238="N/A"," ",(VLOOKUP(A238,IntraPowerVol,(IF(VolBMO=2,3,IF(VolBMO=1,2,4))),FALSE())*VLOOKUP(MONTH($A238),Volscale,2)))</f>
        <v> </v>
      </c>
      <c r="CN238" s="312" t="str">
        <f aca="false">IF($A238="N/A"," ",IF(VolType=1,CM238,CL238))</f>
        <v> </v>
      </c>
      <c r="CO238" s="312" t="str">
        <f aca="false">IF($A238="N/A"," ",(VLOOKUP($A238,OffPeakVol,(IF(VolBMO=2,7,IF(VolBMO=1,6,8))),FALSE())))</f>
        <v> </v>
      </c>
      <c r="CP238" s="312" t="str">
        <f aca="false">IF($A238="N/A"," ",(VLOOKUP($A238,OffPeakVol,(IF(VolBMO=2,3,IF(VolBMO=1,2,4))),FALSE())*VLOOKUP(MONTH($A238),Volscale,2)))</f>
        <v> </v>
      </c>
      <c r="CQ238" s="312" t="str">
        <f aca="false">IF($A238="N/A"," ",IF(VolType=1,CP238,CO238))</f>
        <v> </v>
      </c>
      <c r="CR238" s="312" t="str">
        <f aca="false">IF($A238="N/A"," ",(VLOOKUP($A238,GasVolTable,(IF(VolBMO=2,6,IF(VolBMO=1,7,5))),FALSE())))</f>
        <v> </v>
      </c>
      <c r="CS238" s="312" t="str">
        <f aca="false">IF($A238="N/A"," ",(VLOOKUP($A238,OmicronVol,(IF(VolBMO=2,3,IF(VolBMO=1,4,2))),FALSE())))</f>
        <v> </v>
      </c>
      <c r="CT238" s="312" t="str">
        <f aca="false">IF($A238="N/A"," ",(IF(DateToday&gt;$A238,$CS238,IF(VolType=1,((($CR238^2)*((($A238-1)-DateToday)/((EOMONTH($A238,0)+1)-DateToday-15)))+((($CS238)^2)*((15)/((EOMONTH($A238,0)+1)-DateToday-15))))^0.5,CR238))))</f>
        <v> </v>
      </c>
      <c r="CU238" s="312" t="str">
        <f aca="false">IF($A238="N/A"," ",IF('Pricing Inputs'!$AR$23=TRUE(),Inputs!$S$22,VLOOKUP($A238,CorrelationTable,2,FALSE())))</f>
        <v> </v>
      </c>
      <c r="CV238" s="313" t="str">
        <f aca="false">IF($A238="N/A"," ",F238+G238+(D238*('Pricing Inputs'!X273)))</f>
        <v> </v>
      </c>
      <c r="CW238" s="314" t="str">
        <f aca="false">IF($A238="N/A"," ",IF(PV=1,0,'Pricing Inputs'!Y273))</f>
        <v> </v>
      </c>
      <c r="CX238" s="315" t="str">
        <f aca="false">IF($A238="N/A"," ",(1+CW238/2)^(-2*((EOMONTH(A238,0)+20)-DateToday)/365.25))</f>
        <v> </v>
      </c>
      <c r="CY238" s="316" t="str">
        <f aca="false">IF($A238="N/A"," ",(IF(MONTH(A238)&gt;=4,IF(MONTH(A238)&lt;=10,Inputs!$S$26,Inputs!$S$27),Inputs!$S$27))*$CX238)</f>
        <v> </v>
      </c>
      <c r="CZ238" s="317" t="str">
        <f aca="false">IF($A238="N/A"," ",BK238+BL238+BN238+BO238+BQ238+BR238)</f>
        <v> </v>
      </c>
      <c r="DA238" s="318" t="str">
        <f aca="false">IF($A238="N/A"," ",BM238+BP238+BS238)</f>
        <v> </v>
      </c>
      <c r="DB238" s="319" t="str">
        <f aca="false">IF($A238="N/A"," ",BT238+BU238+BW238+BX238+BZ238+CA238)</f>
        <v> </v>
      </c>
      <c r="DC238" s="319" t="str">
        <f aca="false">IF($A238="N/A"," ",BV238+BY238+CB238)</f>
        <v> </v>
      </c>
      <c r="DD238" s="320" t="str">
        <f aca="false">IF($A238="N/A"," ",SUM(CC238:CK238))</f>
        <v> </v>
      </c>
      <c r="DE238" s="321" t="str">
        <f aca="false">IF($A238="N/A"," ",VLOOKUP($A238,NumberofDaysTable,2)*Availability)</f>
        <v> </v>
      </c>
      <c r="DF238" s="94" t="str">
        <f aca="false">IF($A238="N/A"," ",VLOOKUP($A238,NumberofDaysTable,3)*Availability)</f>
        <v> </v>
      </c>
      <c r="DG238" s="322" t="str">
        <f aca="false">IF($A238="N/A"," ",VLOOKUP($A238,NumberofDaysTable,4)*Availability)</f>
        <v> </v>
      </c>
      <c r="DH238" s="323" t="str">
        <f aca="false">IF($A238="N/A"," ",IF(Option=1,$D238*Inputs!$S$15*SUM(AS238:BA238),0))</f>
        <v> </v>
      </c>
      <c r="DI238" s="324" t="str">
        <f aca="false">IF($A238="N/A"," ",IF(Option=1,$D238*Inputs!$S$16*SUM(AS238:BA238),0))</f>
        <v> </v>
      </c>
      <c r="DJ238" s="325" t="str">
        <f aca="false">IF($A238="N/A"," ",SUM(AS238:AT238))</f>
        <v> </v>
      </c>
      <c r="DK238" s="325" t="str">
        <f aca="false">IF($A238="N/A"," ",SUM(AU238:BA238))</f>
        <v> </v>
      </c>
      <c r="DL238" s="325" t="str">
        <f aca="false">IF($A238="N/A"," ",SUM(BB238:BC238))</f>
        <v> </v>
      </c>
      <c r="DM238" s="325" t="str">
        <f aca="false">IF($A238="N/A"," ",SUM(BD238:BJ238))</f>
        <v> </v>
      </c>
    </row>
    <row r="239" customFormat="false" ht="12.75" hidden="false" customHeight="false" outlineLevel="0" collapsed="false">
      <c r="A239" s="282" t="str">
        <f aca="false">IF(A238="N/A","N/A",IF(EDATE(A238,1)&gt;Inputs!$S$5,"N/A",EDATE(A238,1)))</f>
        <v>N/A</v>
      </c>
      <c r="B239" s="283" t="str">
        <f aca="false">IF(A239="N/A"," ",YEAR(A239))</f>
        <v> </v>
      </c>
      <c r="C239" s="284" t="str">
        <f aca="false">IF(A239="N/A"," ",VLOOKUP(A239,ScaledPrice,14))</f>
        <v> </v>
      </c>
      <c r="D239" s="285" t="str">
        <f aca="false">IF(A239="N/A"," ",(VLOOKUP(MONTH($A239),Hrtable,2))/1000)</f>
        <v> </v>
      </c>
      <c r="E239" s="286" t="str">
        <f aca="false">IF($A239="N/A"," ",(C239)*D239)</f>
        <v> </v>
      </c>
      <c r="F239" s="287" t="str">
        <f aca="false">IF(A239="N/A"," ",VOM*(1+VOMesc)^(YEAR(A239)-YEAR(Today)))</f>
        <v> </v>
      </c>
      <c r="G239" s="287" t="str">
        <f aca="false">IF(A239="N/A"," ",Perstart/VLOOKUP(Dayrun,'Pricing Inputs'!$AQ$4:$AS$14,3)/(CY239/CX239))</f>
        <v> </v>
      </c>
      <c r="H239" s="288" t="str">
        <f aca="false">IF(A239="N/A"," ",SUM(E239:G239))</f>
        <v> </v>
      </c>
      <c r="I239" s="289" t="str">
        <f aca="false">VLOOKUP($A239,ScaledPrice,6)</f>
        <v> </v>
      </c>
      <c r="J239" s="290" t="str">
        <f aca="false">VLOOKUP($A239,ScaledPrice,10)</f>
        <v> </v>
      </c>
      <c r="K239" s="290" t="str">
        <f aca="false">VLOOKUP($A239,ScaledPrice,13)</f>
        <v> </v>
      </c>
      <c r="L239" s="290" t="str">
        <f aca="false">VLOOKUP($A239,ScaledPrice,7)</f>
        <v> </v>
      </c>
      <c r="M239" s="290" t="str">
        <f aca="false">VLOOKUP($A239,ScaledPrice,11)</f>
        <v> </v>
      </c>
      <c r="N239" s="290" t="str">
        <f aca="false">VLOOKUP($A239,ScaledPrice,13)</f>
        <v> </v>
      </c>
      <c r="O239" s="290" t="str">
        <f aca="false">VLOOKUP($A239,ScaledPrice,8)</f>
        <v> </v>
      </c>
      <c r="P239" s="290" t="str">
        <f aca="false">VLOOKUP($A239,ScaledPrice,12)</f>
        <v> </v>
      </c>
      <c r="Q239" s="291" t="str">
        <f aca="false">VLOOKUP($A239,ScaledPrice,13)</f>
        <v> </v>
      </c>
      <c r="R239" s="292" t="str">
        <f aca="false">IF($A239="N/A"," ",IF(Dayrun&gt;=3,IF(Option=1,MAX($I239-$H239,0),IF(Option=2,MAX($H239-$I239,0),0)),0))</f>
        <v> </v>
      </c>
      <c r="S239" s="286" t="str">
        <f aca="false">IF($A239="N/A"," ",IF(Dayrun&gt;=6,IF(Option=1,MAX($J239-H239,0),IF(Option=2,MAX(H239-$J239,0),0)),0))</f>
        <v> </v>
      </c>
      <c r="T239" s="286" t="str">
        <f aca="false">IF($A239="N/A"," ",IF(OR(Dayrun&lt;=2,Dayrun&gt;=9),IF(Option=1,MAX($K239-$H239,0),IF(Option=2,MAX($H239-$K239,0),0)),0))</f>
        <v> </v>
      </c>
      <c r="U239" s="286" t="str">
        <f aca="false">IF($A239="N/A"," ",IF(OR(Dayrun=1,Dayrun=4,Dayrun=5,Dayrun=7,Dayrun=8,Dayrun=10,Dayrun=11),IF(Option=1,MAX($L239-H239,0),IF(Option=2,MAX(H239-$L239,0),0)),0))</f>
        <v> </v>
      </c>
      <c r="V239" s="286" t="str">
        <f aca="false">IF($A239="N/A"," ",IF(OR(Dayrun=1,Dayrun=7,Dayrun=8,Dayrun=10,Dayrun=11),IF(Option=1,MAX($M239-H239,0),IF(Option=2,MAX(H239-$M239,0),0)),0))</f>
        <v> </v>
      </c>
      <c r="W239" s="286" t="str">
        <f aca="false">IF($A239="N/A"," ",IF(OR(Dayrun&lt;=2,Dayrun&gt;=10),IF(Option=1,MAX($N239-$H239,0),IF(Option=2,MAX($H239-$N239,0),0)),0))</f>
        <v> </v>
      </c>
      <c r="X239" s="286" t="str">
        <f aca="false">IF($A239="N/A"," ",IF(OR(Dayrun=1,Dayrun=5,Dayrun=8,Dayrun=11),IF(Option=1,MAX($O239-H239,0),IF(Option=2,MAX(H239-$O239,0),0)),0))</f>
        <v> </v>
      </c>
      <c r="Y239" s="286" t="str">
        <f aca="false">IF($A239="N/A"," ",IF(OR(Dayrun=1,Dayrun=8,Dayrun=11),IF(Option=1,MAX($P239-H239,0),IF(Option=2,MAX(H239-$P239,0),0)),0))</f>
        <v> </v>
      </c>
      <c r="Z239" s="293" t="str">
        <f aca="false">IF($A239="N/A"," ",IF(OR(Dayrun&lt;=2,Dayrun&gt;=11),IF(Option=1,MAX($Q239-$H239,0),IF(Option=2,MAX($H239-$Q239,0),0)),0))</f>
        <v> </v>
      </c>
      <c r="AA239" s="289" t="str">
        <f aca="false">IF($A239="N/A"," ",IF(Dayrun&gt;=3,(MAX(0,(xSPRDOPT(I239,($E239-'Pricing Inputs'!$X274*$D239),$CV239,0,($CN239+IF(Smile=TRUE(),VLOOKUP(MAX(-5,$H239-I239),Volsmile,2),0)),$CT239,$CU239,($A239-DateToday)+15,ABS(Option-2),0)-R239))),0))</f>
        <v> </v>
      </c>
      <c r="AB239" s="290" t="str">
        <f aca="false">IF($A239="N/A"," ",IF(Dayrun&gt;=6,MAX(0,(xSPRDOPT(J239,($E239-'Pricing Inputs'!$X274*$D239),$CV239,0,($CN239+IF(Smile=TRUE(),VLOOKUP(MAX(-5,$H239-J239),Volsmile,2),0)),$CT239,$CU239,($A239-DateToday)+15,ABS(Option-2),0)-S239)),0))</f>
        <v> </v>
      </c>
      <c r="AC239" s="290" t="str">
        <f aca="false">IF($A239="N/A"," ",IF(OR(Dayrun&lt;=2,Dayrun&gt;=9),IF(OffPeakEx=TRUE(),MAX(0,(xSPRDOPT(K239,($E239-'Pricing Inputs'!$X274*$D239),$CV239,0,($CQ239+IF(Smile=TRUE(),VLOOKUP(MAX(-5,$H239-K239),Volsmile,2),0)),$CT239,$CU239,($A239-DateToday)+15,ABS(Option-2),0)-T239)),0),0))</f>
        <v> </v>
      </c>
      <c r="AD239" s="290" t="str">
        <f aca="false">IF($A239="N/A"," ",IF(OR(Dayrun=1,Dayrun=4,Dayrun=5,Dayrun=7,Dayrun=8,Dayrun=10,Dayrun=11),MAX(0,(xSPRDOPT(L239,($E239-'Pricing Inputs'!$X274*$D239),$CV239,0,($CQ239+IF(Smile=TRUE(),VLOOKUP(MAX(-5,$H239-L239),Volsmile,2),0)),$CT239,$CU239,($A239-DateToday)+15,ABS(Option-2),0)-U239)),0))</f>
        <v> </v>
      </c>
      <c r="AE239" s="290" t="str">
        <f aca="false">IF($A239="N/A"," ",IF(OR(Dayrun=1,Dayrun=7,Dayrun=8,Dayrun=10,Dayrun=11),MAX(0,(xSPRDOPT(M239,($E239-'Pricing Inputs'!$X274*$D239),$CV239,0,($CQ239+IF(Smile=TRUE(),VLOOKUP(MAX(-5,$H239-M239),Volsmile,2),0)),$CT239,$CU239,($A239-DateToday)+15,ABS(Option-2),0)-V239)),0))</f>
        <v> </v>
      </c>
      <c r="AF239" s="290" t="str">
        <f aca="false">IF($A239="N/A"," ",IF(OR(Dayrun&lt;=2,Dayrun&gt;=10),IF(OffPeakEx=TRUE(),MAX(0,(xSPRDOPT(N239,($E239-'Pricing Inputs'!$X274*$D239),$CV239,0,($CQ239+IF(Smile=TRUE(),VLOOKUP(MAX(-5,$H239-N239),Volsmile,2),0)),$CT239,$CU239,($A239-DateToday)+15,ABS(Option-2),0)-W239)),0),0))</f>
        <v> </v>
      </c>
      <c r="AG239" s="290" t="str">
        <f aca="false">IF($A239="N/A"," ",IF(OR(Dayrun=1,Dayrun=5,Dayrun=8,Dayrun=11),MAX(0,(xSPRDOPT(O239,($E239-'Pricing Inputs'!$X274*$D239),$CV239,0,($CQ239+IF(Smile=TRUE(),VLOOKUP(MAX(-5,$H239-O239),Volsmile,2),0)),$CT239,$CU239,($A239-DateToday)+15,ABS(Option-2),0)-X239)),0))</f>
        <v> </v>
      </c>
      <c r="AH239" s="290" t="str">
        <f aca="false">IF($A239="N/A"," ",IF(OR(Dayrun=1,Dayrun=8,Dayrun=11),MAX(0,(xSPRDOPT(P239,($E239-'Pricing Inputs'!$X274*$D239),$CV239,0,($CQ239+IF(Smile=TRUE(),VLOOKUP(MAX(-5,$H239-P239),Volsmile,2),0)),$CT239,$CU239,($A239-DateToday)+15,ABS(Option-2),0)-Y239)),0))</f>
        <v> </v>
      </c>
      <c r="AI239" s="290" t="str">
        <f aca="false">IF($A239="N/A"," ",IF(OR(Dayrun&lt;=2,Dayrun&gt;=11),IF(OffPeakEx=TRUE(),MAX(0,(xSPRDOPT(Q239,($E239-'Pricing Inputs'!$X274*$D239),$CV239,0,($CQ239+IF(Smile=TRUE(),VLOOKUP(MAX(-5,$H239-Q239),Volsmile,2),0)),$CT239,$CU239,($A239-DateToday)+15,ABS(Option-2),0)-Z239)),0),0))</f>
        <v> </v>
      </c>
      <c r="AJ239" s="294" t="str">
        <f aca="false">IF($A239="N/A"," ",IF(Dayrun&gt;=3,IF(Option=1,$I239-$H239,IF(Option=2,$H239-$I239)),0))</f>
        <v> </v>
      </c>
      <c r="AK239" s="295" t="str">
        <f aca="false">IF($A239="N/A"," ",IF(Dayrun&gt;=6,IF(Option=1,$J239-H239,IF(Option=2,H239-$J239)),0))</f>
        <v> </v>
      </c>
      <c r="AL239" s="295" t="str">
        <f aca="false">IF($A239="N/A"," ",IF(OR(Dayrun&lt;=2,Dayrun&gt;=9),IF(Option=1,$K239-$H239,IF(Option=2,$H239-$K239)),0))</f>
        <v> </v>
      </c>
      <c r="AM239" s="295" t="str">
        <f aca="false">IF($A239="N/A"," ",IF(OR(Dayrun=1,Dayrun=4,Dayrun=5,Dayrun=7,Dayrun=8,Dayrun=10,Dayrun=11),IF(Option=1,$L239-H239,IF(Option=2,H239-$L239)),0))</f>
        <v> </v>
      </c>
      <c r="AN239" s="295" t="str">
        <f aca="false">IF($A239="N/A"," ",IF(OR(Dayrun=1,Dayrun=7,Dayrun=8,Dayrun=10,Dayrun=11),IF(Option=1,$M239-H239,IF(Option=2,H239-$M239)),0))</f>
        <v> </v>
      </c>
      <c r="AO239" s="295" t="str">
        <f aca="false">IF($A239="N/A"," ",IF(OR(Dayrun&lt;=2,Dayrun&gt;=9),IF(Option=1,$N239-$H239,IF(Option=2,$H239-$N239)),0))</f>
        <v> </v>
      </c>
      <c r="AP239" s="295" t="str">
        <f aca="false">IF($A239="N/A"," ",IF(OR(Dayrun=1,Dayrun=5,Dayrun=8,Dayrun=11),IF(Option=1,$O239-H239,IF(Option=2,H239-$O239)),0))</f>
        <v> </v>
      </c>
      <c r="AQ239" s="295" t="str">
        <f aca="false">IF($A239="N/A"," ",IF(OR(Dayrun=1,Dayrun=8,Dayrun=11),IF(Option=1,$P239-H239,IF(Option=2,H239-$P239)),0))</f>
        <v> </v>
      </c>
      <c r="AR239" s="296" t="str">
        <f aca="false">IF($A239="N/A"," ",IF(OR(Dayrun&lt;=2,Dayrun&gt;=9),IF(Option=1,$Q239-H239,IF(Option=2,H239-$Q239)),0))</f>
        <v> </v>
      </c>
      <c r="AS239" s="297" t="str">
        <f aca="false">IF($A239="N/A"," ",IF(VLOOKUP(MONTH($A239),ManualTable,2)=1,IF(Dayrun&gt;=3,$DE239*8*$CY239,0),0))</f>
        <v> </v>
      </c>
      <c r="AT239" s="297" t="str">
        <f aca="false">IF($A239="N/A"," ",IF(VLOOKUP(MONTH($A239),ManualTable,3)=1,IF(Dayrun&gt;=6,$DE239*8*$CY239,0),0))</f>
        <v> </v>
      </c>
      <c r="AU239" s="297" t="str">
        <f aca="false">IF($A239="N/A"," ",IF(VLOOKUP(MONTH($A239),ManualTable,4)=1,IF(OR(Dayrun&lt;=2,Dayrun&gt;=9),$DE239*8*$CY239,0),0))</f>
        <v> </v>
      </c>
      <c r="AV239" s="297" t="str">
        <f aca="false">IF($A239="N/A"," ",IF(VLOOKUP(MONTH($A239),ManualTable,5)=1,IF(OR(Dayrun=1,Dayrun=4,Dayrun=5,Dayrun=7,Dayrun=8,Dayrun=10,Dayrun=11),$DF239*8*$CY239,0),0))</f>
        <v> </v>
      </c>
      <c r="AW239" s="297" t="str">
        <f aca="false">IF($A239="N/A"," ",IF(VLOOKUP(MONTH($A239),ManualTable,6)=1,IF(OR(Dayrun=1,Dayrun=7,Dayrun=8,Dayrun=10,Dayrun=11),$DF239*8*$CY239,0),0))</f>
        <v> </v>
      </c>
      <c r="AX239" s="297" t="str">
        <f aca="false">IF($A239="N/A"," ",IF(VLOOKUP(MONTH($A239),ManualTable,7)=1,IF(OR(Dayrun&lt;=2,Dayrun&gt;=9),$DF239*8*$CY239,0),0))</f>
        <v> </v>
      </c>
      <c r="AY239" s="297" t="str">
        <f aca="false">IF($A239="N/A"," ",IF(VLOOKUP(MONTH($A239),ManualTable,8)=1,IF(OR(Dayrun=1,Dayrun=5,Dayrun=8,Dayrun=11),$DG239*8*$CY239,0),0))</f>
        <v> </v>
      </c>
      <c r="AZ239" s="297" t="str">
        <f aca="false">IF($A239="N/A"," ",IF(VLOOKUP(MONTH($A239),ManualTable,9)=1,IF(OR(Dayrun=1,Dayrun=8,Dayrun=11),$DG239*8*$CY239,0),0))</f>
        <v> </v>
      </c>
      <c r="BA239" s="298" t="str">
        <f aca="false">IF($A239="N/A"," ",IF(VLOOKUP(MONTH($A239),ManualTable,10)=1,IF(OR(Dayrun&lt;=2,Dayrun&gt;=9),$DG239*8*$CY239,0),0))</f>
        <v> </v>
      </c>
      <c r="BB239" s="299" t="str">
        <f aca="false">IF($A239="N/A"," ",IF(Dayrun&gt;=3,(MAX(0,(xSPRDOPT(I239,($E239-'Pricing Inputs'!$X274*$D239),$CV239,0,($CN239+IF(Smile=TRUE(),VLOOKUP(MAX(-5,$H239-I239),Volsmile,2),0)),$CT239,$CU239,($A239-DateToday)+15,ABS(Option-2),1)*DE239*8))),0))</f>
        <v> </v>
      </c>
      <c r="BC239" s="300" t="str">
        <f aca="false">IF($A239="N/A"," ",IF(Dayrun&gt;=6,MAX(0,(xSPRDOPT(J239,($E239-'Pricing Inputs'!$X274*$D239),$CV239,0,($CN239+IF(Smile=TRUE(),VLOOKUP(MAX(-5,$H239-J239),Volsmile,2),0)),$CT239,$CU239,($A239-DateToday)+15,ABS(Option-2),1)*DE239*8)),0))</f>
        <v> </v>
      </c>
      <c r="BD239" s="300" t="str">
        <f aca="false">IF($A239="N/A"," ",IF(OR(Dayrun&lt;=2,Dayrun&gt;=9),IF(OffPeakEx=TRUE(),MAX(0,(xSPRDOPT(K239,($E239-'Pricing Inputs'!$X274*$D239),$CV239,0,($CQ239+IF(Smile=TRUE(),VLOOKUP(MAX(-5,$H239-K239),Volsmile,2),0)),$CT239,$CU239,($A239-DateToday)+15,ABS(Option-2),1)*DE239*8)),0),0))</f>
        <v> </v>
      </c>
      <c r="BE239" s="300" t="str">
        <f aca="false">IF($A239="N/A"," ",IF(OR(Dayrun=1,Dayrun=4,Dayrun=5,Dayrun=7,Dayrun=8,Dayrun=10,Dayrun=11),MAX(0,(xSPRDOPT(L239,($E239-'Pricing Inputs'!$X274*$D239),$CV239,0,($CQ239+IF(Smile=TRUE(),VLOOKUP(MAX(-5,$H239-L239),Volsmile,2),0)),$CT239,$CU239,($A239-DateToday)+15,ABS(Option-2),1)*DF239*8)),0))</f>
        <v> </v>
      </c>
      <c r="BF239" s="300" t="str">
        <f aca="false">IF($A239="N/A"," ",IF(OR(Dayrun=1,Dayrun=7,Dayrun=8,Dayrun=10,Dayrun=11),MAX(0,(xSPRDOPT(M239,($E239-'Pricing Inputs'!$X274*$D239),$CV239,0,($CQ239+IF(Smile=TRUE(),VLOOKUP(MAX(-5,$H239-M239),Volsmile,2),0)),$CT239,$CU239,($A239-DateToday)+15,ABS(Option-2),1)*DF239*8)),0))</f>
        <v> </v>
      </c>
      <c r="BG239" s="300" t="str">
        <f aca="false">IF($A239="N/A"," ",IF(OR(Dayrun&lt;=2,Dayrun&gt;=10),IF(OffPeakEx=TRUE(),MAX(0,(xSPRDOPT(N239,($E239-'Pricing Inputs'!$X274*$D239),$CV239,0,($CQ239+IF(Smile=TRUE(),VLOOKUP(MAX(-5,$H239-N239),Volsmile,2),0)),$CT239,$CU239,($A239-DateToday)+15,ABS(Option-2),1)*DF239*8)),0),0))</f>
        <v> </v>
      </c>
      <c r="BH239" s="300" t="str">
        <f aca="false">IF($A239="N/A"," ",IF(OR(Dayrun=1,Dayrun=5,Dayrun=8,Dayrun=11),MAX(0,(xSPRDOPT(O239,($E239-'Pricing Inputs'!$X274*$D239),$CV239,0,($CQ239+IF(Smile=TRUE(),VLOOKUP(MAX(-5,$H239-O239),Volsmile,2),0)),$CT239,$CU239,($A239-DateToday)+15,ABS(Option-2),1)*DG239*8)),0))</f>
        <v> </v>
      </c>
      <c r="BI239" s="300" t="str">
        <f aca="false">IF($A239="N/A"," ",IF(OR(Dayrun=1,Dayrun=8,Dayrun=11),MAX(0,(xSPRDOPT(P239,($E239-'Pricing Inputs'!$X274*$D239),$CV239,0,($CQ239+IF(Smile=TRUE(),VLOOKUP(MAX(-5,$H239-P239),Volsmile,2),0)),$CT239,$CU239,($A239-DateToday)+15,ABS(Option-2),1)*DG239*8)),0))</f>
        <v> </v>
      </c>
      <c r="BJ239" s="301" t="str">
        <f aca="false">IF($A239="N/A"," ",IF(OR(Dayrun&lt;=2,Dayrun&gt;=11),IF(OffPeakEx=TRUE(),MAX(0,(xSPRDOPT(Q239,($E239-'Pricing Inputs'!$X274*$D239),$CV239,0,($CQ239+IF(Smile=TRUE(),VLOOKUP(MAX(-5,$H239-Q239),Volsmile,2),0)),$CT239,$CU239,($A239-DateToday)+15,ABS(Option-2),1)*DG239*8)),0),0))</f>
        <v> </v>
      </c>
      <c r="BK239" s="302" t="str">
        <f aca="false">IF($A239="N/A"," ",R239*$AS239)</f>
        <v> </v>
      </c>
      <c r="BL239" s="303" t="str">
        <f aca="false">IF($A239="N/A"," ",S239*$AT239)</f>
        <v> </v>
      </c>
      <c r="BM239" s="303" t="str">
        <f aca="false">IF($A239="N/A"," ",T239*$AU239)</f>
        <v> </v>
      </c>
      <c r="BN239" s="303" t="str">
        <f aca="false">IF($A239="N/A"," ",U239*$AV239)</f>
        <v> </v>
      </c>
      <c r="BO239" s="303" t="str">
        <f aca="false">IF($A239="N/A"," ",V239*$AW239)</f>
        <v> </v>
      </c>
      <c r="BP239" s="303" t="str">
        <f aca="false">IF($A239="N/A"," ",W239*$AX239)</f>
        <v> </v>
      </c>
      <c r="BQ239" s="303" t="str">
        <f aca="false">IF($A239="N/A"," ",X239*$AY239)</f>
        <v> </v>
      </c>
      <c r="BR239" s="303" t="str">
        <f aca="false">IF($A239="N/A"," ",Y239*$AZ239)</f>
        <v> </v>
      </c>
      <c r="BS239" s="304" t="str">
        <f aca="false">IF($A239="N/A"," ",Z239*$BA239)</f>
        <v> </v>
      </c>
      <c r="BT239" s="305" t="str">
        <f aca="false">IF($A239="N/A"," ",AA239*$AS239)</f>
        <v> </v>
      </c>
      <c r="BU239" s="306" t="str">
        <f aca="false">IF($A239="N/A"," ",AB239*$AT239)</f>
        <v> </v>
      </c>
      <c r="BV239" s="306" t="str">
        <f aca="false">IF($A239="N/A"," ",AC239*$AU239)</f>
        <v> </v>
      </c>
      <c r="BW239" s="306" t="str">
        <f aca="false">IF($A239="N/A"," ",AD239*$AV239)</f>
        <v> </v>
      </c>
      <c r="BX239" s="306" t="str">
        <f aca="false">IF($A239="N/A"," ",AE239*$AW239)</f>
        <v> </v>
      </c>
      <c r="BY239" s="306" t="str">
        <f aca="false">IF($A239="N/A"," ",AF239*$AX239)</f>
        <v> </v>
      </c>
      <c r="BZ239" s="306" t="str">
        <f aca="false">IF($A239="N/A"," ",AG239*$AY239)</f>
        <v> </v>
      </c>
      <c r="CA239" s="306" t="str">
        <f aca="false">IF($A239="N/A"," ",AH239*$AZ239)</f>
        <v> </v>
      </c>
      <c r="CB239" s="307" t="str">
        <f aca="false">IF($A239="N/A"," ",AI239*$BA239)</f>
        <v> </v>
      </c>
      <c r="CC239" s="308" t="str">
        <f aca="false">IF($A239="N/A"," ",AJ239*$AS239)</f>
        <v> </v>
      </c>
      <c r="CD239" s="309" t="str">
        <f aca="false">IF($A239="N/A"," ",AK239*$AT239)</f>
        <v> </v>
      </c>
      <c r="CE239" s="309" t="str">
        <f aca="false">IF($A239="N/A"," ",AL239*$AU239)</f>
        <v> </v>
      </c>
      <c r="CF239" s="309" t="str">
        <f aca="false">IF($A239="N/A"," ",AM239*$AV239)</f>
        <v> </v>
      </c>
      <c r="CG239" s="309" t="str">
        <f aca="false">IF($A239="N/A"," ",AN239*$AW239)</f>
        <v> </v>
      </c>
      <c r="CH239" s="309" t="str">
        <f aca="false">IF($A239="N/A"," ",AO239*$AX239)</f>
        <v> </v>
      </c>
      <c r="CI239" s="309" t="str">
        <f aca="false">IF($A239="N/A"," ",AP239*$AY239)</f>
        <v> </v>
      </c>
      <c r="CJ239" s="309" t="str">
        <f aca="false">IF($A239="N/A"," ",AQ239*$AZ239)</f>
        <v> </v>
      </c>
      <c r="CK239" s="310" t="str">
        <f aca="false">IF($A239="N/A"," ",AR239*$BA239)</f>
        <v> </v>
      </c>
      <c r="CL239" s="311" t="str">
        <f aca="false">IF(A239="N/A"," ",(VLOOKUP(A239,PowerVolTable,(IF(VolBMO=2,7,IF(VolBMO=1,6,8))),FALSE())))</f>
        <v> </v>
      </c>
      <c r="CM239" s="312" t="str">
        <f aca="false">IF(A239="N/A"," ",(VLOOKUP(A239,IntraPowerVol,(IF(VolBMO=2,3,IF(VolBMO=1,2,4))),FALSE())*VLOOKUP(MONTH($A239),Volscale,2)))</f>
        <v> </v>
      </c>
      <c r="CN239" s="312" t="str">
        <f aca="false">IF($A239="N/A"," ",IF(VolType=1,CM239,CL239))</f>
        <v> </v>
      </c>
      <c r="CO239" s="312" t="str">
        <f aca="false">IF($A239="N/A"," ",(VLOOKUP($A239,OffPeakVol,(IF(VolBMO=2,7,IF(VolBMO=1,6,8))),FALSE())))</f>
        <v> </v>
      </c>
      <c r="CP239" s="312" t="str">
        <f aca="false">IF($A239="N/A"," ",(VLOOKUP($A239,OffPeakVol,(IF(VolBMO=2,3,IF(VolBMO=1,2,4))),FALSE())*VLOOKUP(MONTH($A239),Volscale,2)))</f>
        <v> </v>
      </c>
      <c r="CQ239" s="312" t="str">
        <f aca="false">IF($A239="N/A"," ",IF(VolType=1,CP239,CO239))</f>
        <v> </v>
      </c>
      <c r="CR239" s="312" t="str">
        <f aca="false">IF($A239="N/A"," ",(VLOOKUP($A239,GasVolTable,(IF(VolBMO=2,6,IF(VolBMO=1,7,5))),FALSE())))</f>
        <v> </v>
      </c>
      <c r="CS239" s="312" t="str">
        <f aca="false">IF($A239="N/A"," ",(VLOOKUP($A239,OmicronVol,(IF(VolBMO=2,3,IF(VolBMO=1,4,2))),FALSE())))</f>
        <v> </v>
      </c>
      <c r="CT239" s="312" t="str">
        <f aca="false">IF($A239="N/A"," ",(IF(DateToday&gt;$A239,$CS239,IF(VolType=1,((($CR239^2)*((($A239-1)-DateToday)/((EOMONTH($A239,0)+1)-DateToday-15)))+((($CS239)^2)*((15)/((EOMONTH($A239,0)+1)-DateToday-15))))^0.5,CR239))))</f>
        <v> </v>
      </c>
      <c r="CU239" s="312" t="str">
        <f aca="false">IF($A239="N/A"," ",IF('Pricing Inputs'!$AR$23=TRUE(),Inputs!$S$22,VLOOKUP($A239,CorrelationTable,2,FALSE())))</f>
        <v> </v>
      </c>
      <c r="CV239" s="313" t="str">
        <f aca="false">IF($A239="N/A"," ",F239+G239+(D239*('Pricing Inputs'!X274)))</f>
        <v> </v>
      </c>
      <c r="CW239" s="314" t="str">
        <f aca="false">IF($A239="N/A"," ",IF(PV=1,0,'Pricing Inputs'!Y274))</f>
        <v> </v>
      </c>
      <c r="CX239" s="315" t="str">
        <f aca="false">IF($A239="N/A"," ",(1+CW239/2)^(-2*((EOMONTH(A239,0)+20)-DateToday)/365.25))</f>
        <v> </v>
      </c>
      <c r="CY239" s="316" t="str">
        <f aca="false">IF($A239="N/A"," ",(IF(MONTH(A239)&gt;=4,IF(MONTH(A239)&lt;=10,Inputs!$S$26,Inputs!$S$27),Inputs!$S$27))*$CX239)</f>
        <v> </v>
      </c>
      <c r="CZ239" s="317" t="str">
        <f aca="false">IF($A239="N/A"," ",BK239+BL239+BN239+BO239+BQ239+BR239)</f>
        <v> </v>
      </c>
      <c r="DA239" s="318" t="str">
        <f aca="false">IF($A239="N/A"," ",BM239+BP239+BS239)</f>
        <v> </v>
      </c>
      <c r="DB239" s="319" t="str">
        <f aca="false">IF($A239="N/A"," ",BT239+BU239+BW239+BX239+BZ239+CA239)</f>
        <v> </v>
      </c>
      <c r="DC239" s="319" t="str">
        <f aca="false">IF($A239="N/A"," ",BV239+BY239+CB239)</f>
        <v> </v>
      </c>
      <c r="DD239" s="320" t="str">
        <f aca="false">IF($A239="N/A"," ",SUM(CC239:CK239))</f>
        <v> </v>
      </c>
      <c r="DE239" s="321" t="str">
        <f aca="false">IF($A239="N/A"," ",VLOOKUP($A239,NumberofDaysTable,2)*Availability)</f>
        <v> </v>
      </c>
      <c r="DF239" s="94" t="str">
        <f aca="false">IF($A239="N/A"," ",VLOOKUP($A239,NumberofDaysTable,3)*Availability)</f>
        <v> </v>
      </c>
      <c r="DG239" s="322" t="str">
        <f aca="false">IF($A239="N/A"," ",VLOOKUP($A239,NumberofDaysTable,4)*Availability)</f>
        <v> </v>
      </c>
      <c r="DH239" s="323" t="str">
        <f aca="false">IF($A239="N/A"," ",IF(Option=1,$D239*Inputs!$S$15*SUM(AS239:BA239),0))</f>
        <v> </v>
      </c>
      <c r="DI239" s="324" t="str">
        <f aca="false">IF($A239="N/A"," ",IF(Option=1,$D239*Inputs!$S$16*SUM(AS239:BA239),0))</f>
        <v> </v>
      </c>
      <c r="DJ239" s="325" t="str">
        <f aca="false">IF($A239="N/A"," ",SUM(AS239:AT239))</f>
        <v> </v>
      </c>
      <c r="DK239" s="325" t="str">
        <f aca="false">IF($A239="N/A"," ",SUM(AU239:BA239))</f>
        <v> </v>
      </c>
      <c r="DL239" s="325" t="str">
        <f aca="false">IF($A239="N/A"," ",SUM(BB239:BC239))</f>
        <v> </v>
      </c>
      <c r="DM239" s="325" t="str">
        <f aca="false">IF($A239="N/A"," ",SUM(BD239:BJ239))</f>
        <v> </v>
      </c>
    </row>
    <row r="240" customFormat="false" ht="12.75" hidden="false" customHeight="false" outlineLevel="0" collapsed="false">
      <c r="A240" s="282" t="str">
        <f aca="false">IF(A239="N/A","N/A",IF(EDATE(A239,1)&gt;Inputs!$S$5,"N/A",EDATE(A239,1)))</f>
        <v>N/A</v>
      </c>
      <c r="B240" s="283" t="str">
        <f aca="false">IF(A240="N/A"," ",YEAR(A240))</f>
        <v> </v>
      </c>
      <c r="C240" s="284" t="str">
        <f aca="false">IF(A240="N/A"," ",VLOOKUP(A240,ScaledPrice,14))</f>
        <v> </v>
      </c>
      <c r="D240" s="285" t="str">
        <f aca="false">IF(A240="N/A"," ",(VLOOKUP(MONTH($A240),Hrtable,2))/1000)</f>
        <v> </v>
      </c>
      <c r="E240" s="286" t="str">
        <f aca="false">IF($A240="N/A"," ",(C240)*D240)</f>
        <v> </v>
      </c>
      <c r="F240" s="287" t="str">
        <f aca="false">IF(A240="N/A"," ",VOM*(1+VOMesc)^(YEAR(A240)-YEAR(Today)))</f>
        <v> </v>
      </c>
      <c r="G240" s="287" t="str">
        <f aca="false">IF(A240="N/A"," ",Perstart/VLOOKUP(Dayrun,'Pricing Inputs'!$AQ$4:$AS$14,3)/(CY240/CX240))</f>
        <v> </v>
      </c>
      <c r="H240" s="288" t="str">
        <f aca="false">IF(A240="N/A"," ",SUM(E240:G240))</f>
        <v> </v>
      </c>
      <c r="I240" s="289" t="str">
        <f aca="false">VLOOKUP($A240,ScaledPrice,6)</f>
        <v> </v>
      </c>
      <c r="J240" s="290" t="str">
        <f aca="false">VLOOKUP($A240,ScaledPrice,10)</f>
        <v> </v>
      </c>
      <c r="K240" s="290" t="str">
        <f aca="false">VLOOKUP($A240,ScaledPrice,13)</f>
        <v> </v>
      </c>
      <c r="L240" s="290" t="str">
        <f aca="false">VLOOKUP($A240,ScaledPrice,7)</f>
        <v> </v>
      </c>
      <c r="M240" s="290" t="str">
        <f aca="false">VLOOKUP($A240,ScaledPrice,11)</f>
        <v> </v>
      </c>
      <c r="N240" s="290" t="str">
        <f aca="false">VLOOKUP($A240,ScaledPrice,13)</f>
        <v> </v>
      </c>
      <c r="O240" s="290" t="str">
        <f aca="false">VLOOKUP($A240,ScaledPrice,8)</f>
        <v> </v>
      </c>
      <c r="P240" s="290" t="str">
        <f aca="false">VLOOKUP($A240,ScaledPrice,12)</f>
        <v> </v>
      </c>
      <c r="Q240" s="291" t="str">
        <f aca="false">VLOOKUP($A240,ScaledPrice,13)</f>
        <v> </v>
      </c>
      <c r="R240" s="292" t="str">
        <f aca="false">IF($A240="N/A"," ",IF(Dayrun&gt;=3,IF(Option=1,MAX($I240-$H240,0),IF(Option=2,MAX($H240-$I240,0),0)),0))</f>
        <v> </v>
      </c>
      <c r="S240" s="286" t="str">
        <f aca="false">IF($A240="N/A"," ",IF(Dayrun&gt;=6,IF(Option=1,MAX($J240-H240,0),IF(Option=2,MAX(H240-$J240,0),0)),0))</f>
        <v> </v>
      </c>
      <c r="T240" s="286" t="str">
        <f aca="false">IF($A240="N/A"," ",IF(OR(Dayrun&lt;=2,Dayrun&gt;=9),IF(Option=1,MAX($K240-$H240,0),IF(Option=2,MAX($H240-$K240,0),0)),0))</f>
        <v> </v>
      </c>
      <c r="U240" s="286" t="str">
        <f aca="false">IF($A240="N/A"," ",IF(OR(Dayrun=1,Dayrun=4,Dayrun=5,Dayrun=7,Dayrun=8,Dayrun=10,Dayrun=11),IF(Option=1,MAX($L240-H240,0),IF(Option=2,MAX(H240-$L240,0),0)),0))</f>
        <v> </v>
      </c>
      <c r="V240" s="286" t="str">
        <f aca="false">IF($A240="N/A"," ",IF(OR(Dayrun=1,Dayrun=7,Dayrun=8,Dayrun=10,Dayrun=11),IF(Option=1,MAX($M240-H240,0),IF(Option=2,MAX(H240-$M240,0),0)),0))</f>
        <v> </v>
      </c>
      <c r="W240" s="286" t="str">
        <f aca="false">IF($A240="N/A"," ",IF(OR(Dayrun&lt;=2,Dayrun&gt;=10),IF(Option=1,MAX($N240-$H240,0),IF(Option=2,MAX($H240-$N240,0),0)),0))</f>
        <v> </v>
      </c>
      <c r="X240" s="286" t="str">
        <f aca="false">IF($A240="N/A"," ",IF(OR(Dayrun=1,Dayrun=5,Dayrun=8,Dayrun=11),IF(Option=1,MAX($O240-H240,0),IF(Option=2,MAX(H240-$O240,0),0)),0))</f>
        <v> </v>
      </c>
      <c r="Y240" s="286" t="str">
        <f aca="false">IF($A240="N/A"," ",IF(OR(Dayrun=1,Dayrun=8,Dayrun=11),IF(Option=1,MAX($P240-H240,0),IF(Option=2,MAX(H240-$P240,0),0)),0))</f>
        <v> </v>
      </c>
      <c r="Z240" s="293" t="str">
        <f aca="false">IF($A240="N/A"," ",IF(OR(Dayrun&lt;=2,Dayrun&gt;=11),IF(Option=1,MAX($Q240-$H240,0),IF(Option=2,MAX($H240-$Q240,0),0)),0))</f>
        <v> </v>
      </c>
      <c r="AA240" s="289" t="str">
        <f aca="false">IF($A240="N/A"," ",IF(Dayrun&gt;=3,(MAX(0,(xSPRDOPT(I240,($E240-'Pricing Inputs'!$X275*$D240),$CV240,0,($CN240+IF(Smile=TRUE(),VLOOKUP(MAX(-5,$H240-I240),Volsmile,2),0)),$CT240,$CU240,($A240-DateToday)+15,ABS(Option-2),0)-R240))),0))</f>
        <v> </v>
      </c>
      <c r="AB240" s="290" t="str">
        <f aca="false">IF($A240="N/A"," ",IF(Dayrun&gt;=6,MAX(0,(xSPRDOPT(J240,($E240-'Pricing Inputs'!$X275*$D240),$CV240,0,($CN240+IF(Smile=TRUE(),VLOOKUP(MAX(-5,$H240-J240),Volsmile,2),0)),$CT240,$CU240,($A240-DateToday)+15,ABS(Option-2),0)-S240)),0))</f>
        <v> </v>
      </c>
      <c r="AC240" s="290" t="str">
        <f aca="false">IF($A240="N/A"," ",IF(OR(Dayrun&lt;=2,Dayrun&gt;=9),IF(OffPeakEx=TRUE(),MAX(0,(xSPRDOPT(K240,($E240-'Pricing Inputs'!$X275*$D240),$CV240,0,($CQ240+IF(Smile=TRUE(),VLOOKUP(MAX(-5,$H240-K240),Volsmile,2),0)),$CT240,$CU240,($A240-DateToday)+15,ABS(Option-2),0)-T240)),0),0))</f>
        <v> </v>
      </c>
      <c r="AD240" s="290" t="str">
        <f aca="false">IF($A240="N/A"," ",IF(OR(Dayrun=1,Dayrun=4,Dayrun=5,Dayrun=7,Dayrun=8,Dayrun=10,Dayrun=11),MAX(0,(xSPRDOPT(L240,($E240-'Pricing Inputs'!$X275*$D240),$CV240,0,($CQ240+IF(Smile=TRUE(),VLOOKUP(MAX(-5,$H240-L240),Volsmile,2),0)),$CT240,$CU240,($A240-DateToday)+15,ABS(Option-2),0)-U240)),0))</f>
        <v> </v>
      </c>
      <c r="AE240" s="290" t="str">
        <f aca="false">IF($A240="N/A"," ",IF(OR(Dayrun=1,Dayrun=7,Dayrun=8,Dayrun=10,Dayrun=11),MAX(0,(xSPRDOPT(M240,($E240-'Pricing Inputs'!$X275*$D240),$CV240,0,($CQ240+IF(Smile=TRUE(),VLOOKUP(MAX(-5,$H240-M240),Volsmile,2),0)),$CT240,$CU240,($A240-DateToday)+15,ABS(Option-2),0)-V240)),0))</f>
        <v> </v>
      </c>
      <c r="AF240" s="290" t="str">
        <f aca="false">IF($A240="N/A"," ",IF(OR(Dayrun&lt;=2,Dayrun&gt;=10),IF(OffPeakEx=TRUE(),MAX(0,(xSPRDOPT(N240,($E240-'Pricing Inputs'!$X275*$D240),$CV240,0,($CQ240+IF(Smile=TRUE(),VLOOKUP(MAX(-5,$H240-N240),Volsmile,2),0)),$CT240,$CU240,($A240-DateToday)+15,ABS(Option-2),0)-W240)),0),0))</f>
        <v> </v>
      </c>
      <c r="AG240" s="290" t="str">
        <f aca="false">IF($A240="N/A"," ",IF(OR(Dayrun=1,Dayrun=5,Dayrun=8,Dayrun=11),MAX(0,(xSPRDOPT(O240,($E240-'Pricing Inputs'!$X275*$D240),$CV240,0,($CQ240+IF(Smile=TRUE(),VLOOKUP(MAX(-5,$H240-O240),Volsmile,2),0)),$CT240,$CU240,($A240-DateToday)+15,ABS(Option-2),0)-X240)),0))</f>
        <v> </v>
      </c>
      <c r="AH240" s="290" t="str">
        <f aca="false">IF($A240="N/A"," ",IF(OR(Dayrun=1,Dayrun=8,Dayrun=11),MAX(0,(xSPRDOPT(P240,($E240-'Pricing Inputs'!$X275*$D240),$CV240,0,($CQ240+IF(Smile=TRUE(),VLOOKUP(MAX(-5,$H240-P240),Volsmile,2),0)),$CT240,$CU240,($A240-DateToday)+15,ABS(Option-2),0)-Y240)),0))</f>
        <v> </v>
      </c>
      <c r="AI240" s="290" t="str">
        <f aca="false">IF($A240="N/A"," ",IF(OR(Dayrun&lt;=2,Dayrun&gt;=11),IF(OffPeakEx=TRUE(),MAX(0,(xSPRDOPT(Q240,($E240-'Pricing Inputs'!$X275*$D240),$CV240,0,($CQ240+IF(Smile=TRUE(),VLOOKUP(MAX(-5,$H240-Q240),Volsmile,2),0)),$CT240,$CU240,($A240-DateToday)+15,ABS(Option-2),0)-Z240)),0),0))</f>
        <v> </v>
      </c>
      <c r="AJ240" s="294" t="str">
        <f aca="false">IF($A240="N/A"," ",IF(Dayrun&gt;=3,IF(Option=1,$I240-$H240,IF(Option=2,$H240-$I240)),0))</f>
        <v> </v>
      </c>
      <c r="AK240" s="295" t="str">
        <f aca="false">IF($A240="N/A"," ",IF(Dayrun&gt;=6,IF(Option=1,$J240-H240,IF(Option=2,H240-$J240)),0))</f>
        <v> </v>
      </c>
      <c r="AL240" s="295" t="str">
        <f aca="false">IF($A240="N/A"," ",IF(OR(Dayrun&lt;=2,Dayrun&gt;=9),IF(Option=1,$K240-$H240,IF(Option=2,$H240-$K240)),0))</f>
        <v> </v>
      </c>
      <c r="AM240" s="295" t="str">
        <f aca="false">IF($A240="N/A"," ",IF(OR(Dayrun=1,Dayrun=4,Dayrun=5,Dayrun=7,Dayrun=8,Dayrun=10,Dayrun=11),IF(Option=1,$L240-H240,IF(Option=2,H240-$L240)),0))</f>
        <v> </v>
      </c>
      <c r="AN240" s="295" t="str">
        <f aca="false">IF($A240="N/A"," ",IF(OR(Dayrun=1,Dayrun=7,Dayrun=8,Dayrun=10,Dayrun=11),IF(Option=1,$M240-H240,IF(Option=2,H240-$M240)),0))</f>
        <v> </v>
      </c>
      <c r="AO240" s="295" t="str">
        <f aca="false">IF($A240="N/A"," ",IF(OR(Dayrun&lt;=2,Dayrun&gt;=9),IF(Option=1,$N240-$H240,IF(Option=2,$H240-$N240)),0))</f>
        <v> </v>
      </c>
      <c r="AP240" s="295" t="str">
        <f aca="false">IF($A240="N/A"," ",IF(OR(Dayrun=1,Dayrun=5,Dayrun=8,Dayrun=11),IF(Option=1,$O240-H240,IF(Option=2,H240-$O240)),0))</f>
        <v> </v>
      </c>
      <c r="AQ240" s="295" t="str">
        <f aca="false">IF($A240="N/A"," ",IF(OR(Dayrun=1,Dayrun=8,Dayrun=11),IF(Option=1,$P240-H240,IF(Option=2,H240-$P240)),0))</f>
        <v> </v>
      </c>
      <c r="AR240" s="296" t="str">
        <f aca="false">IF($A240="N/A"," ",IF(OR(Dayrun&lt;=2,Dayrun&gt;=9),IF(Option=1,$Q240-H240,IF(Option=2,H240-$Q240)),0))</f>
        <v> </v>
      </c>
      <c r="AS240" s="297" t="str">
        <f aca="false">IF($A240="N/A"," ",IF(VLOOKUP(MONTH($A240),ManualTable,2)=1,IF(Dayrun&gt;=3,$DE240*8*$CY240,0),0))</f>
        <v> </v>
      </c>
      <c r="AT240" s="297" t="str">
        <f aca="false">IF($A240="N/A"," ",IF(VLOOKUP(MONTH($A240),ManualTable,3)=1,IF(Dayrun&gt;=6,$DE240*8*$CY240,0),0))</f>
        <v> </v>
      </c>
      <c r="AU240" s="297" t="str">
        <f aca="false">IF($A240="N/A"," ",IF(VLOOKUP(MONTH($A240),ManualTable,4)=1,IF(OR(Dayrun&lt;=2,Dayrun&gt;=9),$DE240*8*$CY240,0),0))</f>
        <v> </v>
      </c>
      <c r="AV240" s="297" t="str">
        <f aca="false">IF($A240="N/A"," ",IF(VLOOKUP(MONTH($A240),ManualTable,5)=1,IF(OR(Dayrun=1,Dayrun=4,Dayrun=5,Dayrun=7,Dayrun=8,Dayrun=10,Dayrun=11),$DF240*8*$CY240,0),0))</f>
        <v> </v>
      </c>
      <c r="AW240" s="297" t="str">
        <f aca="false">IF($A240="N/A"," ",IF(VLOOKUP(MONTH($A240),ManualTable,6)=1,IF(OR(Dayrun=1,Dayrun=7,Dayrun=8,Dayrun=10,Dayrun=11),$DF240*8*$CY240,0),0))</f>
        <v> </v>
      </c>
      <c r="AX240" s="297" t="str">
        <f aca="false">IF($A240="N/A"," ",IF(VLOOKUP(MONTH($A240),ManualTable,7)=1,IF(OR(Dayrun&lt;=2,Dayrun&gt;=9),$DF240*8*$CY240,0),0))</f>
        <v> </v>
      </c>
      <c r="AY240" s="297" t="str">
        <f aca="false">IF($A240="N/A"," ",IF(VLOOKUP(MONTH($A240),ManualTable,8)=1,IF(OR(Dayrun=1,Dayrun=5,Dayrun=8,Dayrun=11),$DG240*8*$CY240,0),0))</f>
        <v> </v>
      </c>
      <c r="AZ240" s="297" t="str">
        <f aca="false">IF($A240="N/A"," ",IF(VLOOKUP(MONTH($A240),ManualTable,9)=1,IF(OR(Dayrun=1,Dayrun=8,Dayrun=11),$DG240*8*$CY240,0),0))</f>
        <v> </v>
      </c>
      <c r="BA240" s="298" t="str">
        <f aca="false">IF($A240="N/A"," ",IF(VLOOKUP(MONTH($A240),ManualTable,10)=1,IF(OR(Dayrun&lt;=2,Dayrun&gt;=9),$DG240*8*$CY240,0),0))</f>
        <v> </v>
      </c>
      <c r="BB240" s="299" t="str">
        <f aca="false">IF($A240="N/A"," ",IF(Dayrun&gt;=3,(MAX(0,(xSPRDOPT(I240,($E240-'Pricing Inputs'!$X275*$D240),$CV240,0,($CN240+IF(Smile=TRUE(),VLOOKUP(MAX(-5,$H240-I240),Volsmile,2),0)),$CT240,$CU240,($A240-DateToday)+15,ABS(Option-2),1)*DE240*8))),0))</f>
        <v> </v>
      </c>
      <c r="BC240" s="300" t="str">
        <f aca="false">IF($A240="N/A"," ",IF(Dayrun&gt;=6,MAX(0,(xSPRDOPT(J240,($E240-'Pricing Inputs'!$X275*$D240),$CV240,0,($CN240+IF(Smile=TRUE(),VLOOKUP(MAX(-5,$H240-J240),Volsmile,2),0)),$CT240,$CU240,($A240-DateToday)+15,ABS(Option-2),1)*DE240*8)),0))</f>
        <v> </v>
      </c>
      <c r="BD240" s="300" t="str">
        <f aca="false">IF($A240="N/A"," ",IF(OR(Dayrun&lt;=2,Dayrun&gt;=9),IF(OffPeakEx=TRUE(),MAX(0,(xSPRDOPT(K240,($E240-'Pricing Inputs'!$X275*$D240),$CV240,0,($CQ240+IF(Smile=TRUE(),VLOOKUP(MAX(-5,$H240-K240),Volsmile,2),0)),$CT240,$CU240,($A240-DateToday)+15,ABS(Option-2),1)*DE240*8)),0),0))</f>
        <v> </v>
      </c>
      <c r="BE240" s="300" t="str">
        <f aca="false">IF($A240="N/A"," ",IF(OR(Dayrun=1,Dayrun=4,Dayrun=5,Dayrun=7,Dayrun=8,Dayrun=10,Dayrun=11),MAX(0,(xSPRDOPT(L240,($E240-'Pricing Inputs'!$X275*$D240),$CV240,0,($CQ240+IF(Smile=TRUE(),VLOOKUP(MAX(-5,$H240-L240),Volsmile,2),0)),$CT240,$CU240,($A240-DateToday)+15,ABS(Option-2),1)*DF240*8)),0))</f>
        <v> </v>
      </c>
      <c r="BF240" s="300" t="str">
        <f aca="false">IF($A240="N/A"," ",IF(OR(Dayrun=1,Dayrun=7,Dayrun=8,Dayrun=10,Dayrun=11),MAX(0,(xSPRDOPT(M240,($E240-'Pricing Inputs'!$X275*$D240),$CV240,0,($CQ240+IF(Smile=TRUE(),VLOOKUP(MAX(-5,$H240-M240),Volsmile,2),0)),$CT240,$CU240,($A240-DateToday)+15,ABS(Option-2),1)*DF240*8)),0))</f>
        <v> </v>
      </c>
      <c r="BG240" s="300" t="str">
        <f aca="false">IF($A240="N/A"," ",IF(OR(Dayrun&lt;=2,Dayrun&gt;=10),IF(OffPeakEx=TRUE(),MAX(0,(xSPRDOPT(N240,($E240-'Pricing Inputs'!$X275*$D240),$CV240,0,($CQ240+IF(Smile=TRUE(),VLOOKUP(MAX(-5,$H240-N240),Volsmile,2),0)),$CT240,$CU240,($A240-DateToday)+15,ABS(Option-2),1)*DF240*8)),0),0))</f>
        <v> </v>
      </c>
      <c r="BH240" s="300" t="str">
        <f aca="false">IF($A240="N/A"," ",IF(OR(Dayrun=1,Dayrun=5,Dayrun=8,Dayrun=11),MAX(0,(xSPRDOPT(O240,($E240-'Pricing Inputs'!$X275*$D240),$CV240,0,($CQ240+IF(Smile=TRUE(),VLOOKUP(MAX(-5,$H240-O240),Volsmile,2),0)),$CT240,$CU240,($A240-DateToday)+15,ABS(Option-2),1)*DG240*8)),0))</f>
        <v> </v>
      </c>
      <c r="BI240" s="300" t="str">
        <f aca="false">IF($A240="N/A"," ",IF(OR(Dayrun=1,Dayrun=8,Dayrun=11),MAX(0,(xSPRDOPT(P240,($E240-'Pricing Inputs'!$X275*$D240),$CV240,0,($CQ240+IF(Smile=TRUE(),VLOOKUP(MAX(-5,$H240-P240),Volsmile,2),0)),$CT240,$CU240,($A240-DateToday)+15,ABS(Option-2),1)*DG240*8)),0))</f>
        <v> </v>
      </c>
      <c r="BJ240" s="301" t="str">
        <f aca="false">IF($A240="N/A"," ",IF(OR(Dayrun&lt;=2,Dayrun&gt;=11),IF(OffPeakEx=TRUE(),MAX(0,(xSPRDOPT(Q240,($E240-'Pricing Inputs'!$X275*$D240),$CV240,0,($CQ240+IF(Smile=TRUE(),VLOOKUP(MAX(-5,$H240-Q240),Volsmile,2),0)),$CT240,$CU240,($A240-DateToday)+15,ABS(Option-2),1)*DG240*8)),0),0))</f>
        <v> </v>
      </c>
      <c r="BK240" s="302" t="str">
        <f aca="false">IF($A240="N/A"," ",R240*$AS240)</f>
        <v> </v>
      </c>
      <c r="BL240" s="303" t="str">
        <f aca="false">IF($A240="N/A"," ",S240*$AT240)</f>
        <v> </v>
      </c>
      <c r="BM240" s="303" t="str">
        <f aca="false">IF($A240="N/A"," ",T240*$AU240)</f>
        <v> </v>
      </c>
      <c r="BN240" s="303" t="str">
        <f aca="false">IF($A240="N/A"," ",U240*$AV240)</f>
        <v> </v>
      </c>
      <c r="BO240" s="303" t="str">
        <f aca="false">IF($A240="N/A"," ",V240*$AW240)</f>
        <v> </v>
      </c>
      <c r="BP240" s="303" t="str">
        <f aca="false">IF($A240="N/A"," ",W240*$AX240)</f>
        <v> </v>
      </c>
      <c r="BQ240" s="303" t="str">
        <f aca="false">IF($A240="N/A"," ",X240*$AY240)</f>
        <v> </v>
      </c>
      <c r="BR240" s="303" t="str">
        <f aca="false">IF($A240="N/A"," ",Y240*$AZ240)</f>
        <v> </v>
      </c>
      <c r="BS240" s="304" t="str">
        <f aca="false">IF($A240="N/A"," ",Z240*$BA240)</f>
        <v> </v>
      </c>
      <c r="BT240" s="305" t="str">
        <f aca="false">IF($A240="N/A"," ",AA240*$AS240)</f>
        <v> </v>
      </c>
      <c r="BU240" s="306" t="str">
        <f aca="false">IF($A240="N/A"," ",AB240*$AT240)</f>
        <v> </v>
      </c>
      <c r="BV240" s="306" t="str">
        <f aca="false">IF($A240="N/A"," ",AC240*$AU240)</f>
        <v> </v>
      </c>
      <c r="BW240" s="306" t="str">
        <f aca="false">IF($A240="N/A"," ",AD240*$AV240)</f>
        <v> </v>
      </c>
      <c r="BX240" s="306" t="str">
        <f aca="false">IF($A240="N/A"," ",AE240*$AW240)</f>
        <v> </v>
      </c>
      <c r="BY240" s="306" t="str">
        <f aca="false">IF($A240="N/A"," ",AF240*$AX240)</f>
        <v> </v>
      </c>
      <c r="BZ240" s="306" t="str">
        <f aca="false">IF($A240="N/A"," ",AG240*$AY240)</f>
        <v> </v>
      </c>
      <c r="CA240" s="306" t="str">
        <f aca="false">IF($A240="N/A"," ",AH240*$AZ240)</f>
        <v> </v>
      </c>
      <c r="CB240" s="307" t="str">
        <f aca="false">IF($A240="N/A"," ",AI240*$BA240)</f>
        <v> </v>
      </c>
      <c r="CC240" s="308" t="str">
        <f aca="false">IF($A240="N/A"," ",AJ240*$AS240)</f>
        <v> </v>
      </c>
      <c r="CD240" s="309" t="str">
        <f aca="false">IF($A240="N/A"," ",AK240*$AT240)</f>
        <v> </v>
      </c>
      <c r="CE240" s="309" t="str">
        <f aca="false">IF($A240="N/A"," ",AL240*$AU240)</f>
        <v> </v>
      </c>
      <c r="CF240" s="309" t="str">
        <f aca="false">IF($A240="N/A"," ",AM240*$AV240)</f>
        <v> </v>
      </c>
      <c r="CG240" s="309" t="str">
        <f aca="false">IF($A240="N/A"," ",AN240*$AW240)</f>
        <v> </v>
      </c>
      <c r="CH240" s="309" t="str">
        <f aca="false">IF($A240="N/A"," ",AO240*$AX240)</f>
        <v> </v>
      </c>
      <c r="CI240" s="309" t="str">
        <f aca="false">IF($A240="N/A"," ",AP240*$AY240)</f>
        <v> </v>
      </c>
      <c r="CJ240" s="309" t="str">
        <f aca="false">IF($A240="N/A"," ",AQ240*$AZ240)</f>
        <v> </v>
      </c>
      <c r="CK240" s="310" t="str">
        <f aca="false">IF($A240="N/A"," ",AR240*$BA240)</f>
        <v> </v>
      </c>
      <c r="CL240" s="311" t="str">
        <f aca="false">IF(A240="N/A"," ",(VLOOKUP(A240,PowerVolTable,(IF(VolBMO=2,7,IF(VolBMO=1,6,8))),FALSE())))</f>
        <v> </v>
      </c>
      <c r="CM240" s="312" t="str">
        <f aca="false">IF(A240="N/A"," ",(VLOOKUP(A240,IntraPowerVol,(IF(VolBMO=2,3,IF(VolBMO=1,2,4))),FALSE())*VLOOKUP(MONTH($A240),Volscale,2)))</f>
        <v> </v>
      </c>
      <c r="CN240" s="312" t="str">
        <f aca="false">IF($A240="N/A"," ",IF(VolType=1,CM240,CL240))</f>
        <v> </v>
      </c>
      <c r="CO240" s="312" t="str">
        <f aca="false">IF($A240="N/A"," ",(VLOOKUP($A240,OffPeakVol,(IF(VolBMO=2,7,IF(VolBMO=1,6,8))),FALSE())))</f>
        <v> </v>
      </c>
      <c r="CP240" s="312" t="str">
        <f aca="false">IF($A240="N/A"," ",(VLOOKUP($A240,OffPeakVol,(IF(VolBMO=2,3,IF(VolBMO=1,2,4))),FALSE())*VLOOKUP(MONTH($A240),Volscale,2)))</f>
        <v> </v>
      </c>
      <c r="CQ240" s="312" t="str">
        <f aca="false">IF($A240="N/A"," ",IF(VolType=1,CP240,CO240))</f>
        <v> </v>
      </c>
      <c r="CR240" s="312" t="str">
        <f aca="false">IF($A240="N/A"," ",(VLOOKUP($A240,GasVolTable,(IF(VolBMO=2,6,IF(VolBMO=1,7,5))),FALSE())))</f>
        <v> </v>
      </c>
      <c r="CS240" s="312" t="str">
        <f aca="false">IF($A240="N/A"," ",(VLOOKUP($A240,OmicronVol,(IF(VolBMO=2,3,IF(VolBMO=1,4,2))),FALSE())))</f>
        <v> </v>
      </c>
      <c r="CT240" s="312" t="str">
        <f aca="false">IF($A240="N/A"," ",(IF(DateToday&gt;$A240,$CS240,IF(VolType=1,((($CR240^2)*((($A240-1)-DateToday)/((EOMONTH($A240,0)+1)-DateToday-15)))+((($CS240)^2)*((15)/((EOMONTH($A240,0)+1)-DateToday-15))))^0.5,CR240))))</f>
        <v> </v>
      </c>
      <c r="CU240" s="312" t="str">
        <f aca="false">IF($A240="N/A"," ",IF('Pricing Inputs'!$AR$23=TRUE(),Inputs!$S$22,VLOOKUP($A240,CorrelationTable,2,FALSE())))</f>
        <v> </v>
      </c>
      <c r="CV240" s="313" t="str">
        <f aca="false">IF($A240="N/A"," ",F240+G240+(D240*('Pricing Inputs'!X275)))</f>
        <v> </v>
      </c>
      <c r="CW240" s="314" t="str">
        <f aca="false">IF($A240="N/A"," ",IF(PV=1,0,'Pricing Inputs'!Y275))</f>
        <v> </v>
      </c>
      <c r="CX240" s="315" t="str">
        <f aca="false">IF($A240="N/A"," ",(1+CW240/2)^(-2*((EOMONTH(A240,0)+20)-DateToday)/365.25))</f>
        <v> </v>
      </c>
      <c r="CY240" s="316" t="str">
        <f aca="false">IF($A240="N/A"," ",(IF(MONTH(A240)&gt;=4,IF(MONTH(A240)&lt;=10,Inputs!$S$26,Inputs!$S$27),Inputs!$S$27))*$CX240)</f>
        <v> </v>
      </c>
      <c r="CZ240" s="317" t="str">
        <f aca="false">IF($A240="N/A"," ",BK240+BL240+BN240+BO240+BQ240+BR240)</f>
        <v> </v>
      </c>
      <c r="DA240" s="318" t="str">
        <f aca="false">IF($A240="N/A"," ",BM240+BP240+BS240)</f>
        <v> </v>
      </c>
      <c r="DB240" s="319" t="str">
        <f aca="false">IF($A240="N/A"," ",BT240+BU240+BW240+BX240+BZ240+CA240)</f>
        <v> </v>
      </c>
      <c r="DC240" s="319" t="str">
        <f aca="false">IF($A240="N/A"," ",BV240+BY240+CB240)</f>
        <v> </v>
      </c>
      <c r="DD240" s="320" t="str">
        <f aca="false">IF($A240="N/A"," ",SUM(CC240:CK240))</f>
        <v> </v>
      </c>
      <c r="DE240" s="321" t="str">
        <f aca="false">IF($A240="N/A"," ",VLOOKUP($A240,NumberofDaysTable,2)*Availability)</f>
        <v> </v>
      </c>
      <c r="DF240" s="94" t="str">
        <f aca="false">IF($A240="N/A"," ",VLOOKUP($A240,NumberofDaysTable,3)*Availability)</f>
        <v> </v>
      </c>
      <c r="DG240" s="322" t="str">
        <f aca="false">IF($A240="N/A"," ",VLOOKUP($A240,NumberofDaysTable,4)*Availability)</f>
        <v> </v>
      </c>
      <c r="DH240" s="323" t="str">
        <f aca="false">IF($A240="N/A"," ",IF(Option=1,$D240*Inputs!$S$15*SUM(AS240:BA240),0))</f>
        <v> </v>
      </c>
      <c r="DI240" s="324" t="str">
        <f aca="false">IF($A240="N/A"," ",IF(Option=1,$D240*Inputs!$S$16*SUM(AS240:BA240),0))</f>
        <v> </v>
      </c>
      <c r="DJ240" s="325" t="str">
        <f aca="false">IF($A240="N/A"," ",SUM(AS240:AT240))</f>
        <v> </v>
      </c>
      <c r="DK240" s="325" t="str">
        <f aca="false">IF($A240="N/A"," ",SUM(AU240:BA240))</f>
        <v> </v>
      </c>
      <c r="DL240" s="325" t="str">
        <f aca="false">IF($A240="N/A"," ",SUM(BB240:BC240))</f>
        <v> </v>
      </c>
      <c r="DM240" s="325" t="str">
        <f aca="false">IF($A240="N/A"," ",SUM(BD240:BJ240))</f>
        <v> </v>
      </c>
    </row>
    <row r="241" customFormat="false" ht="12.75" hidden="false" customHeight="false" outlineLevel="0" collapsed="false">
      <c r="A241" s="282" t="str">
        <f aca="false">IF(A240="N/A","N/A",IF(EDATE(A240,1)&gt;Inputs!$S$5,"N/A",EDATE(A240,1)))</f>
        <v>N/A</v>
      </c>
      <c r="B241" s="283" t="str">
        <f aca="false">IF(A241="N/A"," ",YEAR(A241))</f>
        <v> </v>
      </c>
      <c r="C241" s="284" t="str">
        <f aca="false">IF(A241="N/A"," ",VLOOKUP(A241,ScaledPrice,14))</f>
        <v> </v>
      </c>
      <c r="D241" s="285" t="str">
        <f aca="false">IF(A241="N/A"," ",(VLOOKUP(MONTH($A241),Hrtable,2))/1000)</f>
        <v> </v>
      </c>
      <c r="E241" s="286" t="str">
        <f aca="false">IF($A241="N/A"," ",(C241)*D241)</f>
        <v> </v>
      </c>
      <c r="F241" s="287" t="str">
        <f aca="false">IF(A241="N/A"," ",VOM*(1+VOMesc)^(YEAR(A241)-YEAR(Today)))</f>
        <v> </v>
      </c>
      <c r="G241" s="287" t="str">
        <f aca="false">IF(A241="N/A"," ",Perstart/VLOOKUP(Dayrun,'Pricing Inputs'!$AQ$4:$AS$14,3)/(CY241/CX241))</f>
        <v> </v>
      </c>
      <c r="H241" s="288" t="str">
        <f aca="false">IF(A241="N/A"," ",SUM(E241:G241))</f>
        <v> </v>
      </c>
      <c r="I241" s="289" t="str">
        <f aca="false">VLOOKUP($A241,ScaledPrice,6)</f>
        <v> </v>
      </c>
      <c r="J241" s="290" t="str">
        <f aca="false">VLOOKUP($A241,ScaledPrice,10)</f>
        <v> </v>
      </c>
      <c r="K241" s="290" t="str">
        <f aca="false">VLOOKUP($A241,ScaledPrice,13)</f>
        <v> </v>
      </c>
      <c r="L241" s="290" t="str">
        <f aca="false">VLOOKUP($A241,ScaledPrice,7)</f>
        <v> </v>
      </c>
      <c r="M241" s="290" t="str">
        <f aca="false">VLOOKUP($A241,ScaledPrice,11)</f>
        <v> </v>
      </c>
      <c r="N241" s="290" t="str">
        <f aca="false">VLOOKUP($A241,ScaledPrice,13)</f>
        <v> </v>
      </c>
      <c r="O241" s="290" t="str">
        <f aca="false">VLOOKUP($A241,ScaledPrice,8)</f>
        <v> </v>
      </c>
      <c r="P241" s="290" t="str">
        <f aca="false">VLOOKUP($A241,ScaledPrice,12)</f>
        <v> </v>
      </c>
      <c r="Q241" s="291" t="str">
        <f aca="false">VLOOKUP($A241,ScaledPrice,13)</f>
        <v> </v>
      </c>
      <c r="R241" s="292" t="str">
        <f aca="false">IF($A241="N/A"," ",IF(Dayrun&gt;=3,IF(Option=1,MAX($I241-$H241,0),IF(Option=2,MAX($H241-$I241,0),0)),0))</f>
        <v> </v>
      </c>
      <c r="S241" s="286" t="str">
        <f aca="false">IF($A241="N/A"," ",IF(Dayrun&gt;=6,IF(Option=1,MAX($J241-H241,0),IF(Option=2,MAX(H241-$J241,0),0)),0))</f>
        <v> </v>
      </c>
      <c r="T241" s="286" t="str">
        <f aca="false">IF($A241="N/A"," ",IF(OR(Dayrun&lt;=2,Dayrun&gt;=9),IF(Option=1,MAX($K241-$H241,0),IF(Option=2,MAX($H241-$K241,0),0)),0))</f>
        <v> </v>
      </c>
      <c r="U241" s="286" t="str">
        <f aca="false">IF($A241="N/A"," ",IF(OR(Dayrun=1,Dayrun=4,Dayrun=5,Dayrun=7,Dayrun=8,Dayrun=10,Dayrun=11),IF(Option=1,MAX($L241-H241,0),IF(Option=2,MAX(H241-$L241,0),0)),0))</f>
        <v> </v>
      </c>
      <c r="V241" s="286" t="str">
        <f aca="false">IF($A241="N/A"," ",IF(OR(Dayrun=1,Dayrun=7,Dayrun=8,Dayrun=10,Dayrun=11),IF(Option=1,MAX($M241-H241,0),IF(Option=2,MAX(H241-$M241,0),0)),0))</f>
        <v> </v>
      </c>
      <c r="W241" s="286" t="str">
        <f aca="false">IF($A241="N/A"," ",IF(OR(Dayrun&lt;=2,Dayrun&gt;=10),IF(Option=1,MAX($N241-$H241,0),IF(Option=2,MAX($H241-$N241,0),0)),0))</f>
        <v> </v>
      </c>
      <c r="X241" s="286" t="str">
        <f aca="false">IF($A241="N/A"," ",IF(OR(Dayrun=1,Dayrun=5,Dayrun=8,Dayrun=11),IF(Option=1,MAX($O241-H241,0),IF(Option=2,MAX(H241-$O241,0),0)),0))</f>
        <v> </v>
      </c>
      <c r="Y241" s="286" t="str">
        <f aca="false">IF($A241="N/A"," ",IF(OR(Dayrun=1,Dayrun=8,Dayrun=11),IF(Option=1,MAX($P241-H241,0),IF(Option=2,MAX(H241-$P241,0),0)),0))</f>
        <v> </v>
      </c>
      <c r="Z241" s="293" t="str">
        <f aca="false">IF($A241="N/A"," ",IF(OR(Dayrun&lt;=2,Dayrun&gt;=11),IF(Option=1,MAX($Q241-$H241,0),IF(Option=2,MAX($H241-$Q241,0),0)),0))</f>
        <v> </v>
      </c>
      <c r="AA241" s="289" t="str">
        <f aca="false">IF($A241="N/A"," ",IF(Dayrun&gt;=3,(MAX(0,(xSPRDOPT(I241,($E241-'Pricing Inputs'!$X276*$D241),$CV241,0,($CN241+IF(Smile=TRUE(),VLOOKUP(MAX(-5,$H241-I241),Volsmile,2),0)),$CT241,$CU241,($A241-DateToday)+15,ABS(Option-2),0)-R241))),0))</f>
        <v> </v>
      </c>
      <c r="AB241" s="290" t="str">
        <f aca="false">IF($A241="N/A"," ",IF(Dayrun&gt;=6,MAX(0,(xSPRDOPT(J241,($E241-'Pricing Inputs'!$X276*$D241),$CV241,0,($CN241+IF(Smile=TRUE(),VLOOKUP(MAX(-5,$H241-J241),Volsmile,2),0)),$CT241,$CU241,($A241-DateToday)+15,ABS(Option-2),0)-S241)),0))</f>
        <v> </v>
      </c>
      <c r="AC241" s="290" t="str">
        <f aca="false">IF($A241="N/A"," ",IF(OR(Dayrun&lt;=2,Dayrun&gt;=9),IF(OffPeakEx=TRUE(),MAX(0,(xSPRDOPT(K241,($E241-'Pricing Inputs'!$X276*$D241),$CV241,0,($CQ241+IF(Smile=TRUE(),VLOOKUP(MAX(-5,$H241-K241),Volsmile,2),0)),$CT241,$CU241,($A241-DateToday)+15,ABS(Option-2),0)-T241)),0),0))</f>
        <v> </v>
      </c>
      <c r="AD241" s="290" t="str">
        <f aca="false">IF($A241="N/A"," ",IF(OR(Dayrun=1,Dayrun=4,Dayrun=5,Dayrun=7,Dayrun=8,Dayrun=10,Dayrun=11),MAX(0,(xSPRDOPT(L241,($E241-'Pricing Inputs'!$X276*$D241),$CV241,0,($CQ241+IF(Smile=TRUE(),VLOOKUP(MAX(-5,$H241-L241),Volsmile,2),0)),$CT241,$CU241,($A241-DateToday)+15,ABS(Option-2),0)-U241)),0))</f>
        <v> </v>
      </c>
      <c r="AE241" s="290" t="str">
        <f aca="false">IF($A241="N/A"," ",IF(OR(Dayrun=1,Dayrun=7,Dayrun=8,Dayrun=10,Dayrun=11),MAX(0,(xSPRDOPT(M241,($E241-'Pricing Inputs'!$X276*$D241),$CV241,0,($CQ241+IF(Smile=TRUE(),VLOOKUP(MAX(-5,$H241-M241),Volsmile,2),0)),$CT241,$CU241,($A241-DateToday)+15,ABS(Option-2),0)-V241)),0))</f>
        <v> </v>
      </c>
      <c r="AF241" s="290" t="str">
        <f aca="false">IF($A241="N/A"," ",IF(OR(Dayrun&lt;=2,Dayrun&gt;=10),IF(OffPeakEx=TRUE(),MAX(0,(xSPRDOPT(N241,($E241-'Pricing Inputs'!$X276*$D241),$CV241,0,($CQ241+IF(Smile=TRUE(),VLOOKUP(MAX(-5,$H241-N241),Volsmile,2),0)),$CT241,$CU241,($A241-DateToday)+15,ABS(Option-2),0)-W241)),0),0))</f>
        <v> </v>
      </c>
      <c r="AG241" s="290" t="str">
        <f aca="false">IF($A241="N/A"," ",IF(OR(Dayrun=1,Dayrun=5,Dayrun=8,Dayrun=11),MAX(0,(xSPRDOPT(O241,($E241-'Pricing Inputs'!$X276*$D241),$CV241,0,($CQ241+IF(Smile=TRUE(),VLOOKUP(MAX(-5,$H241-O241),Volsmile,2),0)),$CT241,$CU241,($A241-DateToday)+15,ABS(Option-2),0)-X241)),0))</f>
        <v> </v>
      </c>
      <c r="AH241" s="290" t="str">
        <f aca="false">IF($A241="N/A"," ",IF(OR(Dayrun=1,Dayrun=8,Dayrun=11),MAX(0,(xSPRDOPT(P241,($E241-'Pricing Inputs'!$X276*$D241),$CV241,0,($CQ241+IF(Smile=TRUE(),VLOOKUP(MAX(-5,$H241-P241),Volsmile,2),0)),$CT241,$CU241,($A241-DateToday)+15,ABS(Option-2),0)-Y241)),0))</f>
        <v> </v>
      </c>
      <c r="AI241" s="290" t="str">
        <f aca="false">IF($A241="N/A"," ",IF(OR(Dayrun&lt;=2,Dayrun&gt;=11),IF(OffPeakEx=TRUE(),MAX(0,(xSPRDOPT(Q241,($E241-'Pricing Inputs'!$X276*$D241),$CV241,0,($CQ241+IF(Smile=TRUE(),VLOOKUP(MAX(-5,$H241-Q241),Volsmile,2),0)),$CT241,$CU241,($A241-DateToday)+15,ABS(Option-2),0)-Z241)),0),0))</f>
        <v> </v>
      </c>
      <c r="AJ241" s="294" t="str">
        <f aca="false">IF($A241="N/A"," ",IF(Dayrun&gt;=3,IF(Option=1,$I241-$H241,IF(Option=2,$H241-$I241)),0))</f>
        <v> </v>
      </c>
      <c r="AK241" s="295" t="str">
        <f aca="false">IF($A241="N/A"," ",IF(Dayrun&gt;=6,IF(Option=1,$J241-H241,IF(Option=2,H241-$J241)),0))</f>
        <v> </v>
      </c>
      <c r="AL241" s="295" t="str">
        <f aca="false">IF($A241="N/A"," ",IF(OR(Dayrun&lt;=2,Dayrun&gt;=9),IF(Option=1,$K241-$H241,IF(Option=2,$H241-$K241)),0))</f>
        <v> </v>
      </c>
      <c r="AM241" s="295" t="str">
        <f aca="false">IF($A241="N/A"," ",IF(OR(Dayrun=1,Dayrun=4,Dayrun=5,Dayrun=7,Dayrun=8,Dayrun=10,Dayrun=11),IF(Option=1,$L241-H241,IF(Option=2,H241-$L241)),0))</f>
        <v> </v>
      </c>
      <c r="AN241" s="295" t="str">
        <f aca="false">IF($A241="N/A"," ",IF(OR(Dayrun=1,Dayrun=7,Dayrun=8,Dayrun=10,Dayrun=11),IF(Option=1,$M241-H241,IF(Option=2,H241-$M241)),0))</f>
        <v> </v>
      </c>
      <c r="AO241" s="295" t="str">
        <f aca="false">IF($A241="N/A"," ",IF(OR(Dayrun&lt;=2,Dayrun&gt;=9),IF(Option=1,$N241-$H241,IF(Option=2,$H241-$N241)),0))</f>
        <v> </v>
      </c>
      <c r="AP241" s="295" t="str">
        <f aca="false">IF($A241="N/A"," ",IF(OR(Dayrun=1,Dayrun=5,Dayrun=8,Dayrun=11),IF(Option=1,$O241-H241,IF(Option=2,H241-$O241)),0))</f>
        <v> </v>
      </c>
      <c r="AQ241" s="295" t="str">
        <f aca="false">IF($A241="N/A"," ",IF(OR(Dayrun=1,Dayrun=8,Dayrun=11),IF(Option=1,$P241-H241,IF(Option=2,H241-$P241)),0))</f>
        <v> </v>
      </c>
      <c r="AR241" s="296" t="str">
        <f aca="false">IF($A241="N/A"," ",IF(OR(Dayrun&lt;=2,Dayrun&gt;=9),IF(Option=1,$Q241-H241,IF(Option=2,H241-$Q241)),0))</f>
        <v> </v>
      </c>
      <c r="AS241" s="297" t="str">
        <f aca="false">IF($A241="N/A"," ",IF(VLOOKUP(MONTH($A241),ManualTable,2)=1,IF(Dayrun&gt;=3,$DE241*8*$CY241,0),0))</f>
        <v> </v>
      </c>
      <c r="AT241" s="297" t="str">
        <f aca="false">IF($A241="N/A"," ",IF(VLOOKUP(MONTH($A241),ManualTable,3)=1,IF(Dayrun&gt;=6,$DE241*8*$CY241,0),0))</f>
        <v> </v>
      </c>
      <c r="AU241" s="297" t="str">
        <f aca="false">IF($A241="N/A"," ",IF(VLOOKUP(MONTH($A241),ManualTable,4)=1,IF(OR(Dayrun&lt;=2,Dayrun&gt;=9),$DE241*8*$CY241,0),0))</f>
        <v> </v>
      </c>
      <c r="AV241" s="297" t="str">
        <f aca="false">IF($A241="N/A"," ",IF(VLOOKUP(MONTH($A241),ManualTable,5)=1,IF(OR(Dayrun=1,Dayrun=4,Dayrun=5,Dayrun=7,Dayrun=8,Dayrun=10,Dayrun=11),$DF241*8*$CY241,0),0))</f>
        <v> </v>
      </c>
      <c r="AW241" s="297" t="str">
        <f aca="false">IF($A241="N/A"," ",IF(VLOOKUP(MONTH($A241),ManualTable,6)=1,IF(OR(Dayrun=1,Dayrun=7,Dayrun=8,Dayrun=10,Dayrun=11),$DF241*8*$CY241,0),0))</f>
        <v> </v>
      </c>
      <c r="AX241" s="297" t="str">
        <f aca="false">IF($A241="N/A"," ",IF(VLOOKUP(MONTH($A241),ManualTable,7)=1,IF(OR(Dayrun&lt;=2,Dayrun&gt;=9),$DF241*8*$CY241,0),0))</f>
        <v> </v>
      </c>
      <c r="AY241" s="297" t="str">
        <f aca="false">IF($A241="N/A"," ",IF(VLOOKUP(MONTH($A241),ManualTable,8)=1,IF(OR(Dayrun=1,Dayrun=5,Dayrun=8,Dayrun=11),$DG241*8*$CY241,0),0))</f>
        <v> </v>
      </c>
      <c r="AZ241" s="297" t="str">
        <f aca="false">IF($A241="N/A"," ",IF(VLOOKUP(MONTH($A241),ManualTable,9)=1,IF(OR(Dayrun=1,Dayrun=8,Dayrun=11),$DG241*8*$CY241,0),0))</f>
        <v> </v>
      </c>
      <c r="BA241" s="298" t="str">
        <f aca="false">IF($A241="N/A"," ",IF(VLOOKUP(MONTH($A241),ManualTable,10)=1,IF(OR(Dayrun&lt;=2,Dayrun&gt;=9),$DG241*8*$CY241,0),0))</f>
        <v> </v>
      </c>
      <c r="BB241" s="299" t="str">
        <f aca="false">IF($A241="N/A"," ",IF(Dayrun&gt;=3,(MAX(0,(xSPRDOPT(I241,($E241-'Pricing Inputs'!$X276*$D241),$CV241,0,($CN241+IF(Smile=TRUE(),VLOOKUP(MAX(-5,$H241-I241),Volsmile,2),0)),$CT241,$CU241,($A241-DateToday)+15,ABS(Option-2),1)*DE241*8))),0))</f>
        <v> </v>
      </c>
      <c r="BC241" s="300" t="str">
        <f aca="false">IF($A241="N/A"," ",IF(Dayrun&gt;=6,MAX(0,(xSPRDOPT(J241,($E241-'Pricing Inputs'!$X276*$D241),$CV241,0,($CN241+IF(Smile=TRUE(),VLOOKUP(MAX(-5,$H241-J241),Volsmile,2),0)),$CT241,$CU241,($A241-DateToday)+15,ABS(Option-2),1)*DE241*8)),0))</f>
        <v> </v>
      </c>
      <c r="BD241" s="300" t="str">
        <f aca="false">IF($A241="N/A"," ",IF(OR(Dayrun&lt;=2,Dayrun&gt;=9),IF(OffPeakEx=TRUE(),MAX(0,(xSPRDOPT(K241,($E241-'Pricing Inputs'!$X276*$D241),$CV241,0,($CQ241+IF(Smile=TRUE(),VLOOKUP(MAX(-5,$H241-K241),Volsmile,2),0)),$CT241,$CU241,($A241-DateToday)+15,ABS(Option-2),1)*DE241*8)),0),0))</f>
        <v> </v>
      </c>
      <c r="BE241" s="300" t="str">
        <f aca="false">IF($A241="N/A"," ",IF(OR(Dayrun=1,Dayrun=4,Dayrun=5,Dayrun=7,Dayrun=8,Dayrun=10,Dayrun=11),MAX(0,(xSPRDOPT(L241,($E241-'Pricing Inputs'!$X276*$D241),$CV241,0,($CQ241+IF(Smile=TRUE(),VLOOKUP(MAX(-5,$H241-L241),Volsmile,2),0)),$CT241,$CU241,($A241-DateToday)+15,ABS(Option-2),1)*DF241*8)),0))</f>
        <v> </v>
      </c>
      <c r="BF241" s="300" t="str">
        <f aca="false">IF($A241="N/A"," ",IF(OR(Dayrun=1,Dayrun=7,Dayrun=8,Dayrun=10,Dayrun=11),MAX(0,(xSPRDOPT(M241,($E241-'Pricing Inputs'!$X276*$D241),$CV241,0,($CQ241+IF(Smile=TRUE(),VLOOKUP(MAX(-5,$H241-M241),Volsmile,2),0)),$CT241,$CU241,($A241-DateToday)+15,ABS(Option-2),1)*DF241*8)),0))</f>
        <v> </v>
      </c>
      <c r="BG241" s="300" t="str">
        <f aca="false">IF($A241="N/A"," ",IF(OR(Dayrun&lt;=2,Dayrun&gt;=10),IF(OffPeakEx=TRUE(),MAX(0,(xSPRDOPT(N241,($E241-'Pricing Inputs'!$X276*$D241),$CV241,0,($CQ241+IF(Smile=TRUE(),VLOOKUP(MAX(-5,$H241-N241),Volsmile,2),0)),$CT241,$CU241,($A241-DateToday)+15,ABS(Option-2),1)*DF241*8)),0),0))</f>
        <v> </v>
      </c>
      <c r="BH241" s="300" t="str">
        <f aca="false">IF($A241="N/A"," ",IF(OR(Dayrun=1,Dayrun=5,Dayrun=8,Dayrun=11),MAX(0,(xSPRDOPT(O241,($E241-'Pricing Inputs'!$X276*$D241),$CV241,0,($CQ241+IF(Smile=TRUE(),VLOOKUP(MAX(-5,$H241-O241),Volsmile,2),0)),$CT241,$CU241,($A241-DateToday)+15,ABS(Option-2),1)*DG241*8)),0))</f>
        <v> </v>
      </c>
      <c r="BI241" s="300" t="str">
        <f aca="false">IF($A241="N/A"," ",IF(OR(Dayrun=1,Dayrun=8,Dayrun=11),MAX(0,(xSPRDOPT(P241,($E241-'Pricing Inputs'!$X276*$D241),$CV241,0,($CQ241+IF(Smile=TRUE(),VLOOKUP(MAX(-5,$H241-P241),Volsmile,2),0)),$CT241,$CU241,($A241-DateToday)+15,ABS(Option-2),1)*DG241*8)),0))</f>
        <v> </v>
      </c>
      <c r="BJ241" s="301" t="str">
        <f aca="false">IF($A241="N/A"," ",IF(OR(Dayrun&lt;=2,Dayrun&gt;=11),IF(OffPeakEx=TRUE(),MAX(0,(xSPRDOPT(Q241,($E241-'Pricing Inputs'!$X276*$D241),$CV241,0,($CQ241+IF(Smile=TRUE(),VLOOKUP(MAX(-5,$H241-Q241),Volsmile,2),0)),$CT241,$CU241,($A241-DateToday)+15,ABS(Option-2),1)*DG241*8)),0),0))</f>
        <v> </v>
      </c>
      <c r="BK241" s="302" t="str">
        <f aca="false">IF($A241="N/A"," ",R241*$AS241)</f>
        <v> </v>
      </c>
      <c r="BL241" s="303" t="str">
        <f aca="false">IF($A241="N/A"," ",S241*$AT241)</f>
        <v> </v>
      </c>
      <c r="BM241" s="303" t="str">
        <f aca="false">IF($A241="N/A"," ",T241*$AU241)</f>
        <v> </v>
      </c>
      <c r="BN241" s="303" t="str">
        <f aca="false">IF($A241="N/A"," ",U241*$AV241)</f>
        <v> </v>
      </c>
      <c r="BO241" s="303" t="str">
        <f aca="false">IF($A241="N/A"," ",V241*$AW241)</f>
        <v> </v>
      </c>
      <c r="BP241" s="303" t="str">
        <f aca="false">IF($A241="N/A"," ",W241*$AX241)</f>
        <v> </v>
      </c>
      <c r="BQ241" s="303" t="str">
        <f aca="false">IF($A241="N/A"," ",X241*$AY241)</f>
        <v> </v>
      </c>
      <c r="BR241" s="303" t="str">
        <f aca="false">IF($A241="N/A"," ",Y241*$AZ241)</f>
        <v> </v>
      </c>
      <c r="BS241" s="304" t="str">
        <f aca="false">IF($A241="N/A"," ",Z241*$BA241)</f>
        <v> </v>
      </c>
      <c r="BT241" s="305" t="str">
        <f aca="false">IF($A241="N/A"," ",AA241*$AS241)</f>
        <v> </v>
      </c>
      <c r="BU241" s="306" t="str">
        <f aca="false">IF($A241="N/A"," ",AB241*$AT241)</f>
        <v> </v>
      </c>
      <c r="BV241" s="306" t="str">
        <f aca="false">IF($A241="N/A"," ",AC241*$AU241)</f>
        <v> </v>
      </c>
      <c r="BW241" s="306" t="str">
        <f aca="false">IF($A241="N/A"," ",AD241*$AV241)</f>
        <v> </v>
      </c>
      <c r="BX241" s="306" t="str">
        <f aca="false">IF($A241="N/A"," ",AE241*$AW241)</f>
        <v> </v>
      </c>
      <c r="BY241" s="306" t="str">
        <f aca="false">IF($A241="N/A"," ",AF241*$AX241)</f>
        <v> </v>
      </c>
      <c r="BZ241" s="306" t="str">
        <f aca="false">IF($A241="N/A"," ",AG241*$AY241)</f>
        <v> </v>
      </c>
      <c r="CA241" s="306" t="str">
        <f aca="false">IF($A241="N/A"," ",AH241*$AZ241)</f>
        <v> </v>
      </c>
      <c r="CB241" s="307" t="str">
        <f aca="false">IF($A241="N/A"," ",AI241*$BA241)</f>
        <v> </v>
      </c>
      <c r="CC241" s="308" t="str">
        <f aca="false">IF($A241="N/A"," ",AJ241*$AS241)</f>
        <v> </v>
      </c>
      <c r="CD241" s="309" t="str">
        <f aca="false">IF($A241="N/A"," ",AK241*$AT241)</f>
        <v> </v>
      </c>
      <c r="CE241" s="309" t="str">
        <f aca="false">IF($A241="N/A"," ",AL241*$AU241)</f>
        <v> </v>
      </c>
      <c r="CF241" s="309" t="str">
        <f aca="false">IF($A241="N/A"," ",AM241*$AV241)</f>
        <v> </v>
      </c>
      <c r="CG241" s="309" t="str">
        <f aca="false">IF($A241="N/A"," ",AN241*$AW241)</f>
        <v> </v>
      </c>
      <c r="CH241" s="309" t="str">
        <f aca="false">IF($A241="N/A"," ",AO241*$AX241)</f>
        <v> </v>
      </c>
      <c r="CI241" s="309" t="str">
        <f aca="false">IF($A241="N/A"," ",AP241*$AY241)</f>
        <v> </v>
      </c>
      <c r="CJ241" s="309" t="str">
        <f aca="false">IF($A241="N/A"," ",AQ241*$AZ241)</f>
        <v> </v>
      </c>
      <c r="CK241" s="310" t="str">
        <f aca="false">IF($A241="N/A"," ",AR241*$BA241)</f>
        <v> </v>
      </c>
      <c r="CL241" s="311" t="str">
        <f aca="false">IF(A241="N/A"," ",(VLOOKUP(A241,PowerVolTable,(IF(VolBMO=2,7,IF(VolBMO=1,6,8))),FALSE())))</f>
        <v> </v>
      </c>
      <c r="CM241" s="312" t="str">
        <f aca="false">IF(A241="N/A"," ",(VLOOKUP(A241,IntraPowerVol,(IF(VolBMO=2,3,IF(VolBMO=1,2,4))),FALSE())*VLOOKUP(MONTH($A241),Volscale,2)))</f>
        <v> </v>
      </c>
      <c r="CN241" s="312" t="str">
        <f aca="false">IF($A241="N/A"," ",IF(VolType=1,CM241,CL241))</f>
        <v> </v>
      </c>
      <c r="CO241" s="312" t="str">
        <f aca="false">IF($A241="N/A"," ",(VLOOKUP($A241,OffPeakVol,(IF(VolBMO=2,7,IF(VolBMO=1,6,8))),FALSE())))</f>
        <v> </v>
      </c>
      <c r="CP241" s="312" t="str">
        <f aca="false">IF($A241="N/A"," ",(VLOOKUP($A241,OffPeakVol,(IF(VolBMO=2,3,IF(VolBMO=1,2,4))),FALSE())*VLOOKUP(MONTH($A241),Volscale,2)))</f>
        <v> </v>
      </c>
      <c r="CQ241" s="312" t="str">
        <f aca="false">IF($A241="N/A"," ",IF(VolType=1,CP241,CO241))</f>
        <v> </v>
      </c>
      <c r="CR241" s="312" t="str">
        <f aca="false">IF($A241="N/A"," ",(VLOOKUP($A241,GasVolTable,(IF(VolBMO=2,6,IF(VolBMO=1,7,5))),FALSE())))</f>
        <v> </v>
      </c>
      <c r="CS241" s="312" t="str">
        <f aca="false">IF($A241="N/A"," ",(VLOOKUP($A241,OmicronVol,(IF(VolBMO=2,3,IF(VolBMO=1,4,2))),FALSE())))</f>
        <v> </v>
      </c>
      <c r="CT241" s="312" t="str">
        <f aca="false">IF($A241="N/A"," ",(IF(DateToday&gt;$A241,$CS241,IF(VolType=1,((($CR241^2)*((($A241-1)-DateToday)/((EOMONTH($A241,0)+1)-DateToday-15)))+((($CS241)^2)*((15)/((EOMONTH($A241,0)+1)-DateToday-15))))^0.5,CR241))))</f>
        <v> </v>
      </c>
      <c r="CU241" s="312" t="str">
        <f aca="false">IF($A241="N/A"," ",IF('Pricing Inputs'!$AR$23=TRUE(),Inputs!$S$22,VLOOKUP($A241,CorrelationTable,2,FALSE())))</f>
        <v> </v>
      </c>
      <c r="CV241" s="313" t="str">
        <f aca="false">IF($A241="N/A"," ",F241+G241+(D241*('Pricing Inputs'!X276)))</f>
        <v> </v>
      </c>
      <c r="CW241" s="314" t="str">
        <f aca="false">IF($A241="N/A"," ",IF(PV=1,0,'Pricing Inputs'!Y276))</f>
        <v> </v>
      </c>
      <c r="CX241" s="315" t="str">
        <f aca="false">IF($A241="N/A"," ",(1+CW241/2)^(-2*((EOMONTH(A241,0)+20)-DateToday)/365.25))</f>
        <v> </v>
      </c>
      <c r="CY241" s="316" t="str">
        <f aca="false">IF($A241="N/A"," ",(IF(MONTH(A241)&gt;=4,IF(MONTH(A241)&lt;=10,Inputs!$S$26,Inputs!$S$27),Inputs!$S$27))*$CX241)</f>
        <v> </v>
      </c>
      <c r="CZ241" s="317" t="str">
        <f aca="false">IF($A241="N/A"," ",BK241+BL241+BN241+BO241+BQ241+BR241)</f>
        <v> </v>
      </c>
      <c r="DA241" s="318" t="str">
        <f aca="false">IF($A241="N/A"," ",BM241+BP241+BS241)</f>
        <v> </v>
      </c>
      <c r="DB241" s="319" t="str">
        <f aca="false">IF($A241="N/A"," ",BT241+BU241+BW241+BX241+BZ241+CA241)</f>
        <v> </v>
      </c>
      <c r="DC241" s="319" t="str">
        <f aca="false">IF($A241="N/A"," ",BV241+BY241+CB241)</f>
        <v> </v>
      </c>
      <c r="DD241" s="320" t="str">
        <f aca="false">IF($A241="N/A"," ",SUM(CC241:CK241))</f>
        <v> </v>
      </c>
      <c r="DE241" s="321" t="str">
        <f aca="false">IF($A241="N/A"," ",VLOOKUP($A241,NumberofDaysTable,2)*Availability)</f>
        <v> </v>
      </c>
      <c r="DF241" s="94" t="str">
        <f aca="false">IF($A241="N/A"," ",VLOOKUP($A241,NumberofDaysTable,3)*Availability)</f>
        <v> </v>
      </c>
      <c r="DG241" s="322" t="str">
        <f aca="false">IF($A241="N/A"," ",VLOOKUP($A241,NumberofDaysTable,4)*Availability)</f>
        <v> </v>
      </c>
      <c r="DH241" s="323" t="str">
        <f aca="false">IF($A241="N/A"," ",IF(Option=1,$D241*Inputs!$S$15*SUM(AS241:BA241),0))</f>
        <v> </v>
      </c>
      <c r="DI241" s="324" t="str">
        <f aca="false">IF($A241="N/A"," ",IF(Option=1,$D241*Inputs!$S$16*SUM(AS241:BA241),0))</f>
        <v> </v>
      </c>
      <c r="DJ241" s="325" t="str">
        <f aca="false">IF($A241="N/A"," ",SUM(AS241:AT241))</f>
        <v> </v>
      </c>
      <c r="DK241" s="325" t="str">
        <f aca="false">IF($A241="N/A"," ",SUM(AU241:BA241))</f>
        <v> </v>
      </c>
      <c r="DL241" s="325" t="str">
        <f aca="false">IF($A241="N/A"," ",SUM(BB241:BC241))</f>
        <v> </v>
      </c>
      <c r="DM241" s="325" t="str">
        <f aca="false">IF($A241="N/A"," ",SUM(BD241:BJ241))</f>
        <v> </v>
      </c>
    </row>
    <row r="242" customFormat="false" ht="12.75" hidden="false" customHeight="false" outlineLevel="0" collapsed="false">
      <c r="A242" s="282" t="str">
        <f aca="false">IF(A241="N/A","N/A",IF(EDATE(A241,1)&gt;Inputs!$S$5,"N/A",EDATE(A241,1)))</f>
        <v>N/A</v>
      </c>
      <c r="B242" s="283" t="str">
        <f aca="false">IF(A242="N/A"," ",YEAR(A242))</f>
        <v> </v>
      </c>
      <c r="C242" s="284" t="str">
        <f aca="false">IF(A242="N/A"," ",VLOOKUP(A242,ScaledPrice,14))</f>
        <v> </v>
      </c>
      <c r="D242" s="285" t="str">
        <f aca="false">IF(A242="N/A"," ",(VLOOKUP(MONTH($A242),Hrtable,2))/1000)</f>
        <v> </v>
      </c>
      <c r="E242" s="286" t="str">
        <f aca="false">IF($A242="N/A"," ",(C242)*D242)</f>
        <v> </v>
      </c>
      <c r="F242" s="287" t="str">
        <f aca="false">IF(A242="N/A"," ",VOM*(1+VOMesc)^(YEAR(A242)-YEAR(Today)))</f>
        <v> </v>
      </c>
      <c r="G242" s="287" t="str">
        <f aca="false">IF(A242="N/A"," ",Perstart/VLOOKUP(Dayrun,'Pricing Inputs'!$AQ$4:$AS$14,3)/(CY242/CX242))</f>
        <v> </v>
      </c>
      <c r="H242" s="288" t="str">
        <f aca="false">IF(A242="N/A"," ",SUM(E242:G242))</f>
        <v> </v>
      </c>
      <c r="I242" s="289" t="str">
        <f aca="false">VLOOKUP($A242,ScaledPrice,6)</f>
        <v> </v>
      </c>
      <c r="J242" s="290" t="str">
        <f aca="false">VLOOKUP($A242,ScaledPrice,10)</f>
        <v> </v>
      </c>
      <c r="K242" s="290" t="str">
        <f aca="false">VLOOKUP($A242,ScaledPrice,13)</f>
        <v> </v>
      </c>
      <c r="L242" s="290" t="str">
        <f aca="false">VLOOKUP($A242,ScaledPrice,7)</f>
        <v> </v>
      </c>
      <c r="M242" s="290" t="str">
        <f aca="false">VLOOKUP($A242,ScaledPrice,11)</f>
        <v> </v>
      </c>
      <c r="N242" s="290" t="str">
        <f aca="false">VLOOKUP($A242,ScaledPrice,13)</f>
        <v> </v>
      </c>
      <c r="O242" s="290" t="str">
        <f aca="false">VLOOKUP($A242,ScaledPrice,8)</f>
        <v> </v>
      </c>
      <c r="P242" s="290" t="str">
        <f aca="false">VLOOKUP($A242,ScaledPrice,12)</f>
        <v> </v>
      </c>
      <c r="Q242" s="291" t="str">
        <f aca="false">VLOOKUP($A242,ScaledPrice,13)</f>
        <v> </v>
      </c>
      <c r="R242" s="292" t="str">
        <f aca="false">IF($A242="N/A"," ",IF(Dayrun&gt;=3,IF(Option=1,MAX($I242-$H242,0),IF(Option=2,MAX($H242-$I242,0),0)),0))</f>
        <v> </v>
      </c>
      <c r="S242" s="286" t="str">
        <f aca="false">IF($A242="N/A"," ",IF(Dayrun&gt;=6,IF(Option=1,MAX($J242-H242,0),IF(Option=2,MAX(H242-$J242,0),0)),0))</f>
        <v> </v>
      </c>
      <c r="T242" s="286" t="str">
        <f aca="false">IF($A242="N/A"," ",IF(OR(Dayrun&lt;=2,Dayrun&gt;=9),IF(Option=1,MAX($K242-$H242,0),IF(Option=2,MAX($H242-$K242,0),0)),0))</f>
        <v> </v>
      </c>
      <c r="U242" s="286" t="str">
        <f aca="false">IF($A242="N/A"," ",IF(OR(Dayrun=1,Dayrun=4,Dayrun=5,Dayrun=7,Dayrun=8,Dayrun=10,Dayrun=11),IF(Option=1,MAX($L242-H242,0),IF(Option=2,MAX(H242-$L242,0),0)),0))</f>
        <v> </v>
      </c>
      <c r="V242" s="286" t="str">
        <f aca="false">IF($A242="N/A"," ",IF(OR(Dayrun=1,Dayrun=7,Dayrun=8,Dayrun=10,Dayrun=11),IF(Option=1,MAX($M242-H242,0),IF(Option=2,MAX(H242-$M242,0),0)),0))</f>
        <v> </v>
      </c>
      <c r="W242" s="286" t="str">
        <f aca="false">IF($A242="N/A"," ",IF(OR(Dayrun&lt;=2,Dayrun&gt;=10),IF(Option=1,MAX($N242-$H242,0),IF(Option=2,MAX($H242-$N242,0),0)),0))</f>
        <v> </v>
      </c>
      <c r="X242" s="286" t="str">
        <f aca="false">IF($A242="N/A"," ",IF(OR(Dayrun=1,Dayrun=5,Dayrun=8,Dayrun=11),IF(Option=1,MAX($O242-H242,0),IF(Option=2,MAX(H242-$O242,0),0)),0))</f>
        <v> </v>
      </c>
      <c r="Y242" s="286" t="str">
        <f aca="false">IF($A242="N/A"," ",IF(OR(Dayrun=1,Dayrun=8,Dayrun=11),IF(Option=1,MAX($P242-H242,0),IF(Option=2,MAX(H242-$P242,0),0)),0))</f>
        <v> </v>
      </c>
      <c r="Z242" s="293" t="str">
        <f aca="false">IF($A242="N/A"," ",IF(OR(Dayrun&lt;=2,Dayrun&gt;=11),IF(Option=1,MAX($Q242-$H242,0),IF(Option=2,MAX($H242-$Q242,0),0)),0))</f>
        <v> </v>
      </c>
      <c r="AA242" s="289" t="str">
        <f aca="false">IF($A242="N/A"," ",IF(Dayrun&gt;=3,(MAX(0,(xSPRDOPT(I242,($E242-'Pricing Inputs'!$X277*$D242),$CV242,0,($CN242+IF(Smile=TRUE(),VLOOKUP(MAX(-5,$H242-I242),Volsmile,2),0)),$CT242,$CU242,($A242-DateToday)+15,ABS(Option-2),0)-R242))),0))</f>
        <v> </v>
      </c>
      <c r="AB242" s="290" t="str">
        <f aca="false">IF($A242="N/A"," ",IF(Dayrun&gt;=6,MAX(0,(xSPRDOPT(J242,($E242-'Pricing Inputs'!$X277*$D242),$CV242,0,($CN242+IF(Smile=TRUE(),VLOOKUP(MAX(-5,$H242-J242),Volsmile,2),0)),$CT242,$CU242,($A242-DateToday)+15,ABS(Option-2),0)-S242)),0))</f>
        <v> </v>
      </c>
      <c r="AC242" s="290" t="str">
        <f aca="false">IF($A242="N/A"," ",IF(OR(Dayrun&lt;=2,Dayrun&gt;=9),IF(OffPeakEx=TRUE(),MAX(0,(xSPRDOPT(K242,($E242-'Pricing Inputs'!$X277*$D242),$CV242,0,($CQ242+IF(Smile=TRUE(),VLOOKUP(MAX(-5,$H242-K242),Volsmile,2),0)),$CT242,$CU242,($A242-DateToday)+15,ABS(Option-2),0)-T242)),0),0))</f>
        <v> </v>
      </c>
      <c r="AD242" s="290" t="str">
        <f aca="false">IF($A242="N/A"," ",IF(OR(Dayrun=1,Dayrun=4,Dayrun=5,Dayrun=7,Dayrun=8,Dayrun=10,Dayrun=11),MAX(0,(xSPRDOPT(L242,($E242-'Pricing Inputs'!$X277*$D242),$CV242,0,($CQ242+IF(Smile=TRUE(),VLOOKUP(MAX(-5,$H242-L242),Volsmile,2),0)),$CT242,$CU242,($A242-DateToday)+15,ABS(Option-2),0)-U242)),0))</f>
        <v> </v>
      </c>
      <c r="AE242" s="290" t="str">
        <f aca="false">IF($A242="N/A"," ",IF(OR(Dayrun=1,Dayrun=7,Dayrun=8,Dayrun=10,Dayrun=11),MAX(0,(xSPRDOPT(M242,($E242-'Pricing Inputs'!$X277*$D242),$CV242,0,($CQ242+IF(Smile=TRUE(),VLOOKUP(MAX(-5,$H242-M242),Volsmile,2),0)),$CT242,$CU242,($A242-DateToday)+15,ABS(Option-2),0)-V242)),0))</f>
        <v> </v>
      </c>
      <c r="AF242" s="290" t="str">
        <f aca="false">IF($A242="N/A"," ",IF(OR(Dayrun&lt;=2,Dayrun&gt;=10),IF(OffPeakEx=TRUE(),MAX(0,(xSPRDOPT(N242,($E242-'Pricing Inputs'!$X277*$D242),$CV242,0,($CQ242+IF(Smile=TRUE(),VLOOKUP(MAX(-5,$H242-N242),Volsmile,2),0)),$CT242,$CU242,($A242-DateToday)+15,ABS(Option-2),0)-W242)),0),0))</f>
        <v> </v>
      </c>
      <c r="AG242" s="290" t="str">
        <f aca="false">IF($A242="N/A"," ",IF(OR(Dayrun=1,Dayrun=5,Dayrun=8,Dayrun=11),MAX(0,(xSPRDOPT(O242,($E242-'Pricing Inputs'!$X277*$D242),$CV242,0,($CQ242+IF(Smile=TRUE(),VLOOKUP(MAX(-5,$H242-O242),Volsmile,2),0)),$CT242,$CU242,($A242-DateToday)+15,ABS(Option-2),0)-X242)),0))</f>
        <v> </v>
      </c>
      <c r="AH242" s="290" t="str">
        <f aca="false">IF($A242="N/A"," ",IF(OR(Dayrun=1,Dayrun=8,Dayrun=11),MAX(0,(xSPRDOPT(P242,($E242-'Pricing Inputs'!$X277*$D242),$CV242,0,($CQ242+IF(Smile=TRUE(),VLOOKUP(MAX(-5,$H242-P242),Volsmile,2),0)),$CT242,$CU242,($A242-DateToday)+15,ABS(Option-2),0)-Y242)),0))</f>
        <v> </v>
      </c>
      <c r="AI242" s="290" t="str">
        <f aca="false">IF($A242="N/A"," ",IF(OR(Dayrun&lt;=2,Dayrun&gt;=11),IF(OffPeakEx=TRUE(),MAX(0,(xSPRDOPT(Q242,($E242-'Pricing Inputs'!$X277*$D242),$CV242,0,($CQ242+IF(Smile=TRUE(),VLOOKUP(MAX(-5,$H242-Q242),Volsmile,2),0)),$CT242,$CU242,($A242-DateToday)+15,ABS(Option-2),0)-Z242)),0),0))</f>
        <v> </v>
      </c>
      <c r="AJ242" s="294" t="str">
        <f aca="false">IF($A242="N/A"," ",IF(Dayrun&gt;=3,IF(Option=1,$I242-$H242,IF(Option=2,$H242-$I242)),0))</f>
        <v> </v>
      </c>
      <c r="AK242" s="295" t="str">
        <f aca="false">IF($A242="N/A"," ",IF(Dayrun&gt;=6,IF(Option=1,$J242-H242,IF(Option=2,H242-$J242)),0))</f>
        <v> </v>
      </c>
      <c r="AL242" s="295" t="str">
        <f aca="false">IF($A242="N/A"," ",IF(OR(Dayrun&lt;=2,Dayrun&gt;=9),IF(Option=1,$K242-$H242,IF(Option=2,$H242-$K242)),0))</f>
        <v> </v>
      </c>
      <c r="AM242" s="295" t="str">
        <f aca="false">IF($A242="N/A"," ",IF(OR(Dayrun=1,Dayrun=4,Dayrun=5,Dayrun=7,Dayrun=8,Dayrun=10,Dayrun=11),IF(Option=1,$L242-H242,IF(Option=2,H242-$L242)),0))</f>
        <v> </v>
      </c>
      <c r="AN242" s="295" t="str">
        <f aca="false">IF($A242="N/A"," ",IF(OR(Dayrun=1,Dayrun=7,Dayrun=8,Dayrun=10,Dayrun=11),IF(Option=1,$M242-H242,IF(Option=2,H242-$M242)),0))</f>
        <v> </v>
      </c>
      <c r="AO242" s="295" t="str">
        <f aca="false">IF($A242="N/A"," ",IF(OR(Dayrun&lt;=2,Dayrun&gt;=9),IF(Option=1,$N242-$H242,IF(Option=2,$H242-$N242)),0))</f>
        <v> </v>
      </c>
      <c r="AP242" s="295" t="str">
        <f aca="false">IF($A242="N/A"," ",IF(OR(Dayrun=1,Dayrun=5,Dayrun=8,Dayrun=11),IF(Option=1,$O242-H242,IF(Option=2,H242-$O242)),0))</f>
        <v> </v>
      </c>
      <c r="AQ242" s="295" t="str">
        <f aca="false">IF($A242="N/A"," ",IF(OR(Dayrun=1,Dayrun=8,Dayrun=11),IF(Option=1,$P242-H242,IF(Option=2,H242-$P242)),0))</f>
        <v> </v>
      </c>
      <c r="AR242" s="296" t="str">
        <f aca="false">IF($A242="N/A"," ",IF(OR(Dayrun&lt;=2,Dayrun&gt;=9),IF(Option=1,$Q242-H242,IF(Option=2,H242-$Q242)),0))</f>
        <v> </v>
      </c>
      <c r="AS242" s="297" t="str">
        <f aca="false">IF($A242="N/A"," ",IF(VLOOKUP(MONTH($A242),ManualTable,2)=1,IF(Dayrun&gt;=3,$DE242*8*$CY242,0),0))</f>
        <v> </v>
      </c>
      <c r="AT242" s="297" t="str">
        <f aca="false">IF($A242="N/A"," ",IF(VLOOKUP(MONTH($A242),ManualTable,3)=1,IF(Dayrun&gt;=6,$DE242*8*$CY242,0),0))</f>
        <v> </v>
      </c>
      <c r="AU242" s="297" t="str">
        <f aca="false">IF($A242="N/A"," ",IF(VLOOKUP(MONTH($A242),ManualTable,4)=1,IF(OR(Dayrun&lt;=2,Dayrun&gt;=9),$DE242*8*$CY242,0),0))</f>
        <v> </v>
      </c>
      <c r="AV242" s="297" t="str">
        <f aca="false">IF($A242="N/A"," ",IF(VLOOKUP(MONTH($A242),ManualTable,5)=1,IF(OR(Dayrun=1,Dayrun=4,Dayrun=5,Dayrun=7,Dayrun=8,Dayrun=10,Dayrun=11),$DF242*8*$CY242,0),0))</f>
        <v> </v>
      </c>
      <c r="AW242" s="297" t="str">
        <f aca="false">IF($A242="N/A"," ",IF(VLOOKUP(MONTH($A242),ManualTable,6)=1,IF(OR(Dayrun=1,Dayrun=7,Dayrun=8,Dayrun=10,Dayrun=11),$DF242*8*$CY242,0),0))</f>
        <v> </v>
      </c>
      <c r="AX242" s="297" t="str">
        <f aca="false">IF($A242="N/A"," ",IF(VLOOKUP(MONTH($A242),ManualTable,7)=1,IF(OR(Dayrun&lt;=2,Dayrun&gt;=9),$DF242*8*$CY242,0),0))</f>
        <v> </v>
      </c>
      <c r="AY242" s="297" t="str">
        <f aca="false">IF($A242="N/A"," ",IF(VLOOKUP(MONTH($A242),ManualTable,8)=1,IF(OR(Dayrun=1,Dayrun=5,Dayrun=8,Dayrun=11),$DG242*8*$CY242,0),0))</f>
        <v> </v>
      </c>
      <c r="AZ242" s="297" t="str">
        <f aca="false">IF($A242="N/A"," ",IF(VLOOKUP(MONTH($A242),ManualTable,9)=1,IF(OR(Dayrun=1,Dayrun=8,Dayrun=11),$DG242*8*$CY242,0),0))</f>
        <v> </v>
      </c>
      <c r="BA242" s="298" t="str">
        <f aca="false">IF($A242="N/A"," ",IF(VLOOKUP(MONTH($A242),ManualTable,10)=1,IF(OR(Dayrun&lt;=2,Dayrun&gt;=9),$DG242*8*$CY242,0),0))</f>
        <v> </v>
      </c>
      <c r="BB242" s="299" t="str">
        <f aca="false">IF($A242="N/A"," ",IF(Dayrun&gt;=3,(MAX(0,(xSPRDOPT(I242,($E242-'Pricing Inputs'!$X277*$D242),$CV242,0,($CN242+IF(Smile=TRUE(),VLOOKUP(MAX(-5,$H242-I242),Volsmile,2),0)),$CT242,$CU242,($A242-DateToday)+15,ABS(Option-2),1)*DE242*8))),0))</f>
        <v> </v>
      </c>
      <c r="BC242" s="300" t="str">
        <f aca="false">IF($A242="N/A"," ",IF(Dayrun&gt;=6,MAX(0,(xSPRDOPT(J242,($E242-'Pricing Inputs'!$X277*$D242),$CV242,0,($CN242+IF(Smile=TRUE(),VLOOKUP(MAX(-5,$H242-J242),Volsmile,2),0)),$CT242,$CU242,($A242-DateToday)+15,ABS(Option-2),1)*DE242*8)),0))</f>
        <v> </v>
      </c>
      <c r="BD242" s="300" t="str">
        <f aca="false">IF($A242="N/A"," ",IF(OR(Dayrun&lt;=2,Dayrun&gt;=9),IF(OffPeakEx=TRUE(),MAX(0,(xSPRDOPT(K242,($E242-'Pricing Inputs'!$X277*$D242),$CV242,0,($CQ242+IF(Smile=TRUE(),VLOOKUP(MAX(-5,$H242-K242),Volsmile,2),0)),$CT242,$CU242,($A242-DateToday)+15,ABS(Option-2),1)*DE242*8)),0),0))</f>
        <v> </v>
      </c>
      <c r="BE242" s="300" t="str">
        <f aca="false">IF($A242="N/A"," ",IF(OR(Dayrun=1,Dayrun=4,Dayrun=5,Dayrun=7,Dayrun=8,Dayrun=10,Dayrun=11),MAX(0,(xSPRDOPT(L242,($E242-'Pricing Inputs'!$X277*$D242),$CV242,0,($CQ242+IF(Smile=TRUE(),VLOOKUP(MAX(-5,$H242-L242),Volsmile,2),0)),$CT242,$CU242,($A242-DateToday)+15,ABS(Option-2),1)*DF242*8)),0))</f>
        <v> </v>
      </c>
      <c r="BF242" s="300" t="str">
        <f aca="false">IF($A242="N/A"," ",IF(OR(Dayrun=1,Dayrun=7,Dayrun=8,Dayrun=10,Dayrun=11),MAX(0,(xSPRDOPT(M242,($E242-'Pricing Inputs'!$X277*$D242),$CV242,0,($CQ242+IF(Smile=TRUE(),VLOOKUP(MAX(-5,$H242-M242),Volsmile,2),0)),$CT242,$CU242,($A242-DateToday)+15,ABS(Option-2),1)*DF242*8)),0))</f>
        <v> </v>
      </c>
      <c r="BG242" s="300" t="str">
        <f aca="false">IF($A242="N/A"," ",IF(OR(Dayrun&lt;=2,Dayrun&gt;=10),IF(OffPeakEx=TRUE(),MAX(0,(xSPRDOPT(N242,($E242-'Pricing Inputs'!$X277*$D242),$CV242,0,($CQ242+IF(Smile=TRUE(),VLOOKUP(MAX(-5,$H242-N242),Volsmile,2),0)),$CT242,$CU242,($A242-DateToday)+15,ABS(Option-2),1)*DF242*8)),0),0))</f>
        <v> </v>
      </c>
      <c r="BH242" s="300" t="str">
        <f aca="false">IF($A242="N/A"," ",IF(OR(Dayrun=1,Dayrun=5,Dayrun=8,Dayrun=11),MAX(0,(xSPRDOPT(O242,($E242-'Pricing Inputs'!$X277*$D242),$CV242,0,($CQ242+IF(Smile=TRUE(),VLOOKUP(MAX(-5,$H242-O242),Volsmile,2),0)),$CT242,$CU242,($A242-DateToday)+15,ABS(Option-2),1)*DG242*8)),0))</f>
        <v> </v>
      </c>
      <c r="BI242" s="300" t="str">
        <f aca="false">IF($A242="N/A"," ",IF(OR(Dayrun=1,Dayrun=8,Dayrun=11),MAX(0,(xSPRDOPT(P242,($E242-'Pricing Inputs'!$X277*$D242),$CV242,0,($CQ242+IF(Smile=TRUE(),VLOOKUP(MAX(-5,$H242-P242),Volsmile,2),0)),$CT242,$CU242,($A242-DateToday)+15,ABS(Option-2),1)*DG242*8)),0))</f>
        <v> </v>
      </c>
      <c r="BJ242" s="301" t="str">
        <f aca="false">IF($A242="N/A"," ",IF(OR(Dayrun&lt;=2,Dayrun&gt;=11),IF(OffPeakEx=TRUE(),MAX(0,(xSPRDOPT(Q242,($E242-'Pricing Inputs'!$X277*$D242),$CV242,0,($CQ242+IF(Smile=TRUE(),VLOOKUP(MAX(-5,$H242-Q242),Volsmile,2),0)),$CT242,$CU242,($A242-DateToday)+15,ABS(Option-2),1)*DG242*8)),0),0))</f>
        <v> </v>
      </c>
      <c r="BK242" s="302" t="str">
        <f aca="false">IF($A242="N/A"," ",R242*$AS242)</f>
        <v> </v>
      </c>
      <c r="BL242" s="303" t="str">
        <f aca="false">IF($A242="N/A"," ",S242*$AT242)</f>
        <v> </v>
      </c>
      <c r="BM242" s="303" t="str">
        <f aca="false">IF($A242="N/A"," ",T242*$AU242)</f>
        <v> </v>
      </c>
      <c r="BN242" s="303" t="str">
        <f aca="false">IF($A242="N/A"," ",U242*$AV242)</f>
        <v> </v>
      </c>
      <c r="BO242" s="303" t="str">
        <f aca="false">IF($A242="N/A"," ",V242*$AW242)</f>
        <v> </v>
      </c>
      <c r="BP242" s="303" t="str">
        <f aca="false">IF($A242="N/A"," ",W242*$AX242)</f>
        <v> </v>
      </c>
      <c r="BQ242" s="303" t="str">
        <f aca="false">IF($A242="N/A"," ",X242*$AY242)</f>
        <v> </v>
      </c>
      <c r="BR242" s="303" t="str">
        <f aca="false">IF($A242="N/A"," ",Y242*$AZ242)</f>
        <v> </v>
      </c>
      <c r="BS242" s="304" t="str">
        <f aca="false">IF($A242="N/A"," ",Z242*$BA242)</f>
        <v> </v>
      </c>
      <c r="BT242" s="305" t="str">
        <f aca="false">IF($A242="N/A"," ",AA242*$AS242)</f>
        <v> </v>
      </c>
      <c r="BU242" s="306" t="str">
        <f aca="false">IF($A242="N/A"," ",AB242*$AT242)</f>
        <v> </v>
      </c>
      <c r="BV242" s="306" t="str">
        <f aca="false">IF($A242="N/A"," ",AC242*$AU242)</f>
        <v> </v>
      </c>
      <c r="BW242" s="306" t="str">
        <f aca="false">IF($A242="N/A"," ",AD242*$AV242)</f>
        <v> </v>
      </c>
      <c r="BX242" s="306" t="str">
        <f aca="false">IF($A242="N/A"," ",AE242*$AW242)</f>
        <v> </v>
      </c>
      <c r="BY242" s="306" t="str">
        <f aca="false">IF($A242="N/A"," ",AF242*$AX242)</f>
        <v> </v>
      </c>
      <c r="BZ242" s="306" t="str">
        <f aca="false">IF($A242="N/A"," ",AG242*$AY242)</f>
        <v> </v>
      </c>
      <c r="CA242" s="306" t="str">
        <f aca="false">IF($A242="N/A"," ",AH242*$AZ242)</f>
        <v> </v>
      </c>
      <c r="CB242" s="307" t="str">
        <f aca="false">IF($A242="N/A"," ",AI242*$BA242)</f>
        <v> </v>
      </c>
      <c r="CC242" s="308" t="str">
        <f aca="false">IF($A242="N/A"," ",AJ242*$AS242)</f>
        <v> </v>
      </c>
      <c r="CD242" s="309" t="str">
        <f aca="false">IF($A242="N/A"," ",AK242*$AT242)</f>
        <v> </v>
      </c>
      <c r="CE242" s="309" t="str">
        <f aca="false">IF($A242="N/A"," ",AL242*$AU242)</f>
        <v> </v>
      </c>
      <c r="CF242" s="309" t="str">
        <f aca="false">IF($A242="N/A"," ",AM242*$AV242)</f>
        <v> </v>
      </c>
      <c r="CG242" s="309" t="str">
        <f aca="false">IF($A242="N/A"," ",AN242*$AW242)</f>
        <v> </v>
      </c>
      <c r="CH242" s="309" t="str">
        <f aca="false">IF($A242="N/A"," ",AO242*$AX242)</f>
        <v> </v>
      </c>
      <c r="CI242" s="309" t="str">
        <f aca="false">IF($A242="N/A"," ",AP242*$AY242)</f>
        <v> </v>
      </c>
      <c r="CJ242" s="309" t="str">
        <f aca="false">IF($A242="N/A"," ",AQ242*$AZ242)</f>
        <v> </v>
      </c>
      <c r="CK242" s="310" t="str">
        <f aca="false">IF($A242="N/A"," ",AR242*$BA242)</f>
        <v> </v>
      </c>
      <c r="CL242" s="311" t="str">
        <f aca="false">IF(A242="N/A"," ",(VLOOKUP(A242,PowerVolTable,(IF(VolBMO=2,7,IF(VolBMO=1,6,8))),FALSE())))</f>
        <v> </v>
      </c>
      <c r="CM242" s="312" t="str">
        <f aca="false">IF(A242="N/A"," ",(VLOOKUP(A242,IntraPowerVol,(IF(VolBMO=2,3,IF(VolBMO=1,2,4))),FALSE())*VLOOKUP(MONTH($A242),Volscale,2)))</f>
        <v> </v>
      </c>
      <c r="CN242" s="312" t="str">
        <f aca="false">IF($A242="N/A"," ",IF(VolType=1,CM242,CL242))</f>
        <v> </v>
      </c>
      <c r="CO242" s="312" t="str">
        <f aca="false">IF($A242="N/A"," ",(VLOOKUP($A242,OffPeakVol,(IF(VolBMO=2,7,IF(VolBMO=1,6,8))),FALSE())))</f>
        <v> </v>
      </c>
      <c r="CP242" s="312" t="str">
        <f aca="false">IF($A242="N/A"," ",(VLOOKUP($A242,OffPeakVol,(IF(VolBMO=2,3,IF(VolBMO=1,2,4))),FALSE())*VLOOKUP(MONTH($A242),Volscale,2)))</f>
        <v> </v>
      </c>
      <c r="CQ242" s="312" t="str">
        <f aca="false">IF($A242="N/A"," ",IF(VolType=1,CP242,CO242))</f>
        <v> </v>
      </c>
      <c r="CR242" s="312" t="str">
        <f aca="false">IF($A242="N/A"," ",(VLOOKUP($A242,GasVolTable,(IF(VolBMO=2,6,IF(VolBMO=1,7,5))),FALSE())))</f>
        <v> </v>
      </c>
      <c r="CS242" s="312" t="str">
        <f aca="false">IF($A242="N/A"," ",(VLOOKUP($A242,OmicronVol,(IF(VolBMO=2,3,IF(VolBMO=1,4,2))),FALSE())))</f>
        <v> </v>
      </c>
      <c r="CT242" s="312" t="str">
        <f aca="false">IF($A242="N/A"," ",(IF(DateToday&gt;$A242,$CS242,IF(VolType=1,((($CR242^2)*((($A242-1)-DateToday)/((EOMONTH($A242,0)+1)-DateToday-15)))+((($CS242)^2)*((15)/((EOMONTH($A242,0)+1)-DateToday-15))))^0.5,CR242))))</f>
        <v> </v>
      </c>
      <c r="CU242" s="312" t="str">
        <f aca="false">IF($A242="N/A"," ",IF('Pricing Inputs'!$AR$23=TRUE(),Inputs!$S$22,VLOOKUP($A242,CorrelationTable,2,FALSE())))</f>
        <v> </v>
      </c>
      <c r="CV242" s="313" t="str">
        <f aca="false">IF($A242="N/A"," ",F242+G242+(D242*('Pricing Inputs'!X277)))</f>
        <v> </v>
      </c>
      <c r="CW242" s="314" t="str">
        <f aca="false">IF($A242="N/A"," ",IF(PV=1,0,'Pricing Inputs'!Y277))</f>
        <v> </v>
      </c>
      <c r="CX242" s="315" t="str">
        <f aca="false">IF($A242="N/A"," ",(1+CW242/2)^(-2*((EOMONTH(A242,0)+20)-DateToday)/365.25))</f>
        <v> </v>
      </c>
      <c r="CY242" s="316" t="str">
        <f aca="false">IF($A242="N/A"," ",(IF(MONTH(A242)&gt;=4,IF(MONTH(A242)&lt;=10,Inputs!$S$26,Inputs!$S$27),Inputs!$S$27))*$CX242)</f>
        <v> </v>
      </c>
      <c r="CZ242" s="317" t="str">
        <f aca="false">IF($A242="N/A"," ",BK242+BL242+BN242+BO242+BQ242+BR242)</f>
        <v> </v>
      </c>
      <c r="DA242" s="318" t="str">
        <f aca="false">IF($A242="N/A"," ",BM242+BP242+BS242)</f>
        <v> </v>
      </c>
      <c r="DB242" s="319" t="str">
        <f aca="false">IF($A242="N/A"," ",BT242+BU242+BW242+BX242+BZ242+CA242)</f>
        <v> </v>
      </c>
      <c r="DC242" s="319" t="str">
        <f aca="false">IF($A242="N/A"," ",BV242+BY242+CB242)</f>
        <v> </v>
      </c>
      <c r="DD242" s="320" t="str">
        <f aca="false">IF($A242="N/A"," ",SUM(CC242:CK242))</f>
        <v> </v>
      </c>
      <c r="DE242" s="321" t="str">
        <f aca="false">IF($A242="N/A"," ",VLOOKUP($A242,NumberofDaysTable,2)*Availability)</f>
        <v> </v>
      </c>
      <c r="DF242" s="94" t="str">
        <f aca="false">IF($A242="N/A"," ",VLOOKUP($A242,NumberofDaysTable,3)*Availability)</f>
        <v> </v>
      </c>
      <c r="DG242" s="322" t="str">
        <f aca="false">IF($A242="N/A"," ",VLOOKUP($A242,NumberofDaysTable,4)*Availability)</f>
        <v> </v>
      </c>
      <c r="DH242" s="323" t="str">
        <f aca="false">IF($A242="N/A"," ",IF(Option=1,$D242*Inputs!$S$15*SUM(AS242:BA242),0))</f>
        <v> </v>
      </c>
      <c r="DI242" s="324" t="str">
        <f aca="false">IF($A242="N/A"," ",IF(Option=1,$D242*Inputs!$S$16*SUM(AS242:BA242),0))</f>
        <v> </v>
      </c>
      <c r="DJ242" s="325" t="str">
        <f aca="false">IF($A242="N/A"," ",SUM(AS242:AT242))</f>
        <v> </v>
      </c>
      <c r="DK242" s="325" t="str">
        <f aca="false">IF($A242="N/A"," ",SUM(AU242:BA242))</f>
        <v> </v>
      </c>
      <c r="DL242" s="325" t="str">
        <f aca="false">IF($A242="N/A"," ",SUM(BB242:BC242))</f>
        <v> </v>
      </c>
      <c r="DM242" s="325" t="str">
        <f aca="false">IF($A242="N/A"," ",SUM(BD242:BJ242))</f>
        <v> </v>
      </c>
    </row>
    <row r="243" customFormat="false" ht="12.75" hidden="false" customHeight="false" outlineLevel="0" collapsed="false">
      <c r="A243" s="282" t="str">
        <f aca="false">IF(A242="N/A","N/A",IF(EDATE(A242,1)&gt;Inputs!$S$5,"N/A",EDATE(A242,1)))</f>
        <v>N/A</v>
      </c>
      <c r="B243" s="283" t="str">
        <f aca="false">IF(A243="N/A"," ",YEAR(A243))</f>
        <v> </v>
      </c>
      <c r="C243" s="284" t="str">
        <f aca="false">IF(A243="N/A"," ",VLOOKUP(A243,ScaledPrice,14))</f>
        <v> </v>
      </c>
      <c r="D243" s="285" t="str">
        <f aca="false">IF(A243="N/A"," ",(VLOOKUP(MONTH($A243),Hrtable,2))/1000)</f>
        <v> </v>
      </c>
      <c r="E243" s="286" t="str">
        <f aca="false">IF($A243="N/A"," ",(C243)*D243)</f>
        <v> </v>
      </c>
      <c r="F243" s="287" t="str">
        <f aca="false">IF(A243="N/A"," ",VOM*(1+VOMesc)^(YEAR(A243)-YEAR(Today)))</f>
        <v> </v>
      </c>
      <c r="G243" s="287" t="str">
        <f aca="false">IF(A243="N/A"," ",Perstart/VLOOKUP(Dayrun,'Pricing Inputs'!$AQ$4:$AS$14,3)/(CY243/CX243))</f>
        <v> </v>
      </c>
      <c r="H243" s="288" t="str">
        <f aca="false">IF(A243="N/A"," ",SUM(E243:G243))</f>
        <v> </v>
      </c>
      <c r="I243" s="289" t="str">
        <f aca="false">VLOOKUP($A243,ScaledPrice,6)</f>
        <v> </v>
      </c>
      <c r="J243" s="290" t="str">
        <f aca="false">VLOOKUP($A243,ScaledPrice,10)</f>
        <v> </v>
      </c>
      <c r="K243" s="290" t="str">
        <f aca="false">VLOOKUP($A243,ScaledPrice,13)</f>
        <v> </v>
      </c>
      <c r="L243" s="290" t="str">
        <f aca="false">VLOOKUP($A243,ScaledPrice,7)</f>
        <v> </v>
      </c>
      <c r="M243" s="290" t="str">
        <f aca="false">VLOOKUP($A243,ScaledPrice,11)</f>
        <v> </v>
      </c>
      <c r="N243" s="290" t="str">
        <f aca="false">VLOOKUP($A243,ScaledPrice,13)</f>
        <v> </v>
      </c>
      <c r="O243" s="290" t="str">
        <f aca="false">VLOOKUP($A243,ScaledPrice,8)</f>
        <v> </v>
      </c>
      <c r="P243" s="290" t="str">
        <f aca="false">VLOOKUP($A243,ScaledPrice,12)</f>
        <v> </v>
      </c>
      <c r="Q243" s="291" t="str">
        <f aca="false">VLOOKUP($A243,ScaledPrice,13)</f>
        <v> </v>
      </c>
      <c r="R243" s="292" t="str">
        <f aca="false">IF($A243="N/A"," ",IF(Dayrun&gt;=3,IF(Option=1,MAX($I243-$H243,0),IF(Option=2,MAX($H243-$I243,0),0)),0))</f>
        <v> </v>
      </c>
      <c r="S243" s="286" t="str">
        <f aca="false">IF($A243="N/A"," ",IF(Dayrun&gt;=6,IF(Option=1,MAX($J243-H243,0),IF(Option=2,MAX(H243-$J243,0),0)),0))</f>
        <v> </v>
      </c>
      <c r="T243" s="286" t="str">
        <f aca="false">IF($A243="N/A"," ",IF(OR(Dayrun&lt;=2,Dayrun&gt;=9),IF(Option=1,MAX($K243-$H243,0),IF(Option=2,MAX($H243-$K243,0),0)),0))</f>
        <v> </v>
      </c>
      <c r="U243" s="286" t="str">
        <f aca="false">IF($A243="N/A"," ",IF(OR(Dayrun=1,Dayrun=4,Dayrun=5,Dayrun=7,Dayrun=8,Dayrun=10,Dayrun=11),IF(Option=1,MAX($L243-H243,0),IF(Option=2,MAX(H243-$L243,0),0)),0))</f>
        <v> </v>
      </c>
      <c r="V243" s="286" t="str">
        <f aca="false">IF($A243="N/A"," ",IF(OR(Dayrun=1,Dayrun=7,Dayrun=8,Dayrun=10,Dayrun=11),IF(Option=1,MAX($M243-H243,0),IF(Option=2,MAX(H243-$M243,0),0)),0))</f>
        <v> </v>
      </c>
      <c r="W243" s="286" t="str">
        <f aca="false">IF($A243="N/A"," ",IF(OR(Dayrun&lt;=2,Dayrun&gt;=10),IF(Option=1,MAX($N243-$H243,0),IF(Option=2,MAX($H243-$N243,0),0)),0))</f>
        <v> </v>
      </c>
      <c r="X243" s="286" t="str">
        <f aca="false">IF($A243="N/A"," ",IF(OR(Dayrun=1,Dayrun=5,Dayrun=8,Dayrun=11),IF(Option=1,MAX($O243-H243,0),IF(Option=2,MAX(H243-$O243,0),0)),0))</f>
        <v> </v>
      </c>
      <c r="Y243" s="286" t="str">
        <f aca="false">IF($A243="N/A"," ",IF(OR(Dayrun=1,Dayrun=8,Dayrun=11),IF(Option=1,MAX($P243-H243,0),IF(Option=2,MAX(H243-$P243,0),0)),0))</f>
        <v> </v>
      </c>
      <c r="Z243" s="293" t="str">
        <f aca="false">IF($A243="N/A"," ",IF(OR(Dayrun&lt;=2,Dayrun&gt;=11),IF(Option=1,MAX($Q243-$H243,0),IF(Option=2,MAX($H243-$Q243,0),0)),0))</f>
        <v> </v>
      </c>
      <c r="AA243" s="289" t="str">
        <f aca="false">IF($A243="N/A"," ",IF(Dayrun&gt;=3,(MAX(0,(xSPRDOPT(I243,($E243-'Pricing Inputs'!$X278*$D243),$CV243,0,($CN243+IF(Smile=TRUE(),VLOOKUP(MAX(-5,$H243-I243),Volsmile,2),0)),$CT243,$CU243,($A243-DateToday)+15,ABS(Option-2),0)-R243))),0))</f>
        <v> </v>
      </c>
      <c r="AB243" s="290" t="str">
        <f aca="false">IF($A243="N/A"," ",IF(Dayrun&gt;=6,MAX(0,(xSPRDOPT(J243,($E243-'Pricing Inputs'!$X278*$D243),$CV243,0,($CN243+IF(Smile=TRUE(),VLOOKUP(MAX(-5,$H243-J243),Volsmile,2),0)),$CT243,$CU243,($A243-DateToday)+15,ABS(Option-2),0)-S243)),0))</f>
        <v> </v>
      </c>
      <c r="AC243" s="290" t="str">
        <f aca="false">IF($A243="N/A"," ",IF(OR(Dayrun&lt;=2,Dayrun&gt;=9),IF(OffPeakEx=TRUE(),MAX(0,(xSPRDOPT(K243,($E243-'Pricing Inputs'!$X278*$D243),$CV243,0,($CQ243+IF(Smile=TRUE(),VLOOKUP(MAX(-5,$H243-K243),Volsmile,2),0)),$CT243,$CU243,($A243-DateToday)+15,ABS(Option-2),0)-T243)),0),0))</f>
        <v> </v>
      </c>
      <c r="AD243" s="290" t="str">
        <f aca="false">IF($A243="N/A"," ",IF(OR(Dayrun=1,Dayrun=4,Dayrun=5,Dayrun=7,Dayrun=8,Dayrun=10,Dayrun=11),MAX(0,(xSPRDOPT(L243,($E243-'Pricing Inputs'!$X278*$D243),$CV243,0,($CQ243+IF(Smile=TRUE(),VLOOKUP(MAX(-5,$H243-L243),Volsmile,2),0)),$CT243,$CU243,($A243-DateToday)+15,ABS(Option-2),0)-U243)),0))</f>
        <v> </v>
      </c>
      <c r="AE243" s="290" t="str">
        <f aca="false">IF($A243="N/A"," ",IF(OR(Dayrun=1,Dayrun=7,Dayrun=8,Dayrun=10,Dayrun=11),MAX(0,(xSPRDOPT(M243,($E243-'Pricing Inputs'!$X278*$D243),$CV243,0,($CQ243+IF(Smile=TRUE(),VLOOKUP(MAX(-5,$H243-M243),Volsmile,2),0)),$CT243,$CU243,($A243-DateToday)+15,ABS(Option-2),0)-V243)),0))</f>
        <v> </v>
      </c>
      <c r="AF243" s="290" t="str">
        <f aca="false">IF($A243="N/A"," ",IF(OR(Dayrun&lt;=2,Dayrun&gt;=10),IF(OffPeakEx=TRUE(),MAX(0,(xSPRDOPT(N243,($E243-'Pricing Inputs'!$X278*$D243),$CV243,0,($CQ243+IF(Smile=TRUE(),VLOOKUP(MAX(-5,$H243-N243),Volsmile,2),0)),$CT243,$CU243,($A243-DateToday)+15,ABS(Option-2),0)-W243)),0),0))</f>
        <v> </v>
      </c>
      <c r="AG243" s="290" t="str">
        <f aca="false">IF($A243="N/A"," ",IF(OR(Dayrun=1,Dayrun=5,Dayrun=8,Dayrun=11),MAX(0,(xSPRDOPT(O243,($E243-'Pricing Inputs'!$X278*$D243),$CV243,0,($CQ243+IF(Smile=TRUE(),VLOOKUP(MAX(-5,$H243-O243),Volsmile,2),0)),$CT243,$CU243,($A243-DateToday)+15,ABS(Option-2),0)-X243)),0))</f>
        <v> </v>
      </c>
      <c r="AH243" s="290" t="str">
        <f aca="false">IF($A243="N/A"," ",IF(OR(Dayrun=1,Dayrun=8,Dayrun=11),MAX(0,(xSPRDOPT(P243,($E243-'Pricing Inputs'!$X278*$D243),$CV243,0,($CQ243+IF(Smile=TRUE(),VLOOKUP(MAX(-5,$H243-P243),Volsmile,2),0)),$CT243,$CU243,($A243-DateToday)+15,ABS(Option-2),0)-Y243)),0))</f>
        <v> </v>
      </c>
      <c r="AI243" s="290" t="str">
        <f aca="false">IF($A243="N/A"," ",IF(OR(Dayrun&lt;=2,Dayrun&gt;=11),IF(OffPeakEx=TRUE(),MAX(0,(xSPRDOPT(Q243,($E243-'Pricing Inputs'!$X278*$D243),$CV243,0,($CQ243+IF(Smile=TRUE(),VLOOKUP(MAX(-5,$H243-Q243),Volsmile,2),0)),$CT243,$CU243,($A243-DateToday)+15,ABS(Option-2),0)-Z243)),0),0))</f>
        <v> </v>
      </c>
      <c r="AJ243" s="294" t="str">
        <f aca="false">IF($A243="N/A"," ",IF(Dayrun&gt;=3,IF(Option=1,$I243-$H243,IF(Option=2,$H243-$I243)),0))</f>
        <v> </v>
      </c>
      <c r="AK243" s="295" t="str">
        <f aca="false">IF($A243="N/A"," ",IF(Dayrun&gt;=6,IF(Option=1,$J243-H243,IF(Option=2,H243-$J243)),0))</f>
        <v> </v>
      </c>
      <c r="AL243" s="295" t="str">
        <f aca="false">IF($A243="N/A"," ",IF(OR(Dayrun&lt;=2,Dayrun&gt;=9),IF(Option=1,$K243-$H243,IF(Option=2,$H243-$K243)),0))</f>
        <v> </v>
      </c>
      <c r="AM243" s="295" t="str">
        <f aca="false">IF($A243="N/A"," ",IF(OR(Dayrun=1,Dayrun=4,Dayrun=5,Dayrun=7,Dayrun=8,Dayrun=10,Dayrun=11),IF(Option=1,$L243-H243,IF(Option=2,H243-$L243)),0))</f>
        <v> </v>
      </c>
      <c r="AN243" s="295" t="str">
        <f aca="false">IF($A243="N/A"," ",IF(OR(Dayrun=1,Dayrun=7,Dayrun=8,Dayrun=10,Dayrun=11),IF(Option=1,$M243-H243,IF(Option=2,H243-$M243)),0))</f>
        <v> </v>
      </c>
      <c r="AO243" s="295" t="str">
        <f aca="false">IF($A243="N/A"," ",IF(OR(Dayrun&lt;=2,Dayrun&gt;=9),IF(Option=1,$N243-$H243,IF(Option=2,$H243-$N243)),0))</f>
        <v> </v>
      </c>
      <c r="AP243" s="295" t="str">
        <f aca="false">IF($A243="N/A"," ",IF(OR(Dayrun=1,Dayrun=5,Dayrun=8,Dayrun=11),IF(Option=1,$O243-H243,IF(Option=2,H243-$O243)),0))</f>
        <v> </v>
      </c>
      <c r="AQ243" s="295" t="str">
        <f aca="false">IF($A243="N/A"," ",IF(OR(Dayrun=1,Dayrun=8,Dayrun=11),IF(Option=1,$P243-H243,IF(Option=2,H243-$P243)),0))</f>
        <v> </v>
      </c>
      <c r="AR243" s="296" t="str">
        <f aca="false">IF($A243="N/A"," ",IF(OR(Dayrun&lt;=2,Dayrun&gt;=9),IF(Option=1,$Q243-H243,IF(Option=2,H243-$Q243)),0))</f>
        <v> </v>
      </c>
      <c r="AS243" s="297" t="str">
        <f aca="false">IF($A243="N/A"," ",IF(VLOOKUP(MONTH($A243),ManualTable,2)=1,IF(Dayrun&gt;=3,$DE243*8*$CY243,0),0))</f>
        <v> </v>
      </c>
      <c r="AT243" s="297" t="str">
        <f aca="false">IF($A243="N/A"," ",IF(VLOOKUP(MONTH($A243),ManualTable,3)=1,IF(Dayrun&gt;=6,$DE243*8*$CY243,0),0))</f>
        <v> </v>
      </c>
      <c r="AU243" s="297" t="str">
        <f aca="false">IF($A243="N/A"," ",IF(VLOOKUP(MONTH($A243),ManualTable,4)=1,IF(OR(Dayrun&lt;=2,Dayrun&gt;=9),$DE243*8*$CY243,0),0))</f>
        <v> </v>
      </c>
      <c r="AV243" s="297" t="str">
        <f aca="false">IF($A243="N/A"," ",IF(VLOOKUP(MONTH($A243),ManualTable,5)=1,IF(OR(Dayrun=1,Dayrun=4,Dayrun=5,Dayrun=7,Dayrun=8,Dayrun=10,Dayrun=11),$DF243*8*$CY243,0),0))</f>
        <v> </v>
      </c>
      <c r="AW243" s="297" t="str">
        <f aca="false">IF($A243="N/A"," ",IF(VLOOKUP(MONTH($A243),ManualTable,6)=1,IF(OR(Dayrun=1,Dayrun=7,Dayrun=8,Dayrun=10,Dayrun=11),$DF243*8*$CY243,0),0))</f>
        <v> </v>
      </c>
      <c r="AX243" s="297" t="str">
        <f aca="false">IF($A243="N/A"," ",IF(VLOOKUP(MONTH($A243),ManualTable,7)=1,IF(OR(Dayrun&lt;=2,Dayrun&gt;=9),$DF243*8*$CY243,0),0))</f>
        <v> </v>
      </c>
      <c r="AY243" s="297" t="str">
        <f aca="false">IF($A243="N/A"," ",IF(VLOOKUP(MONTH($A243),ManualTable,8)=1,IF(OR(Dayrun=1,Dayrun=5,Dayrun=8,Dayrun=11),$DG243*8*$CY243,0),0))</f>
        <v> </v>
      </c>
      <c r="AZ243" s="297" t="str">
        <f aca="false">IF($A243="N/A"," ",IF(VLOOKUP(MONTH($A243),ManualTable,9)=1,IF(OR(Dayrun=1,Dayrun=8,Dayrun=11),$DG243*8*$CY243,0),0))</f>
        <v> </v>
      </c>
      <c r="BA243" s="298" t="str">
        <f aca="false">IF($A243="N/A"," ",IF(VLOOKUP(MONTH($A243),ManualTable,10)=1,IF(OR(Dayrun&lt;=2,Dayrun&gt;=9),$DG243*8*$CY243,0),0))</f>
        <v> </v>
      </c>
      <c r="BB243" s="299" t="str">
        <f aca="false">IF($A243="N/A"," ",IF(Dayrun&gt;=3,(MAX(0,(xSPRDOPT(I243,($E243-'Pricing Inputs'!$X278*$D243),$CV243,0,($CN243+IF(Smile=TRUE(),VLOOKUP(MAX(-5,$H243-I243),Volsmile,2),0)),$CT243,$CU243,($A243-DateToday)+15,ABS(Option-2),1)*DE243*8))),0))</f>
        <v> </v>
      </c>
      <c r="BC243" s="300" t="str">
        <f aca="false">IF($A243="N/A"," ",IF(Dayrun&gt;=6,MAX(0,(xSPRDOPT(J243,($E243-'Pricing Inputs'!$X278*$D243),$CV243,0,($CN243+IF(Smile=TRUE(),VLOOKUP(MAX(-5,$H243-J243),Volsmile,2),0)),$CT243,$CU243,($A243-DateToday)+15,ABS(Option-2),1)*DE243*8)),0))</f>
        <v> </v>
      </c>
      <c r="BD243" s="300" t="str">
        <f aca="false">IF($A243="N/A"," ",IF(OR(Dayrun&lt;=2,Dayrun&gt;=9),IF(OffPeakEx=TRUE(),MAX(0,(xSPRDOPT(K243,($E243-'Pricing Inputs'!$X278*$D243),$CV243,0,($CQ243+IF(Smile=TRUE(),VLOOKUP(MAX(-5,$H243-K243),Volsmile,2),0)),$CT243,$CU243,($A243-DateToday)+15,ABS(Option-2),1)*DE243*8)),0),0))</f>
        <v> </v>
      </c>
      <c r="BE243" s="300" t="str">
        <f aca="false">IF($A243="N/A"," ",IF(OR(Dayrun=1,Dayrun=4,Dayrun=5,Dayrun=7,Dayrun=8,Dayrun=10,Dayrun=11),MAX(0,(xSPRDOPT(L243,($E243-'Pricing Inputs'!$X278*$D243),$CV243,0,($CQ243+IF(Smile=TRUE(),VLOOKUP(MAX(-5,$H243-L243),Volsmile,2),0)),$CT243,$CU243,($A243-DateToday)+15,ABS(Option-2),1)*DF243*8)),0))</f>
        <v> </v>
      </c>
      <c r="BF243" s="300" t="str">
        <f aca="false">IF($A243="N/A"," ",IF(OR(Dayrun=1,Dayrun=7,Dayrun=8,Dayrun=10,Dayrun=11),MAX(0,(xSPRDOPT(M243,($E243-'Pricing Inputs'!$X278*$D243),$CV243,0,($CQ243+IF(Smile=TRUE(),VLOOKUP(MAX(-5,$H243-M243),Volsmile,2),0)),$CT243,$CU243,($A243-DateToday)+15,ABS(Option-2),1)*DF243*8)),0))</f>
        <v> </v>
      </c>
      <c r="BG243" s="300" t="str">
        <f aca="false">IF($A243="N/A"," ",IF(OR(Dayrun&lt;=2,Dayrun&gt;=10),IF(OffPeakEx=TRUE(),MAX(0,(xSPRDOPT(N243,($E243-'Pricing Inputs'!$X278*$D243),$CV243,0,($CQ243+IF(Smile=TRUE(),VLOOKUP(MAX(-5,$H243-N243),Volsmile,2),0)),$CT243,$CU243,($A243-DateToday)+15,ABS(Option-2),1)*DF243*8)),0),0))</f>
        <v> </v>
      </c>
      <c r="BH243" s="300" t="str">
        <f aca="false">IF($A243="N/A"," ",IF(OR(Dayrun=1,Dayrun=5,Dayrun=8,Dayrun=11),MAX(0,(xSPRDOPT(O243,($E243-'Pricing Inputs'!$X278*$D243),$CV243,0,($CQ243+IF(Smile=TRUE(),VLOOKUP(MAX(-5,$H243-O243),Volsmile,2),0)),$CT243,$CU243,($A243-DateToday)+15,ABS(Option-2),1)*DG243*8)),0))</f>
        <v> </v>
      </c>
      <c r="BI243" s="300" t="str">
        <f aca="false">IF($A243="N/A"," ",IF(OR(Dayrun=1,Dayrun=8,Dayrun=11),MAX(0,(xSPRDOPT(P243,($E243-'Pricing Inputs'!$X278*$D243),$CV243,0,($CQ243+IF(Smile=TRUE(),VLOOKUP(MAX(-5,$H243-P243),Volsmile,2),0)),$CT243,$CU243,($A243-DateToday)+15,ABS(Option-2),1)*DG243*8)),0))</f>
        <v> </v>
      </c>
      <c r="BJ243" s="301" t="str">
        <f aca="false">IF($A243="N/A"," ",IF(OR(Dayrun&lt;=2,Dayrun&gt;=11),IF(OffPeakEx=TRUE(),MAX(0,(xSPRDOPT(Q243,($E243-'Pricing Inputs'!$X278*$D243),$CV243,0,($CQ243+IF(Smile=TRUE(),VLOOKUP(MAX(-5,$H243-Q243),Volsmile,2),0)),$CT243,$CU243,($A243-DateToday)+15,ABS(Option-2),1)*DG243*8)),0),0))</f>
        <v> </v>
      </c>
      <c r="BK243" s="302" t="str">
        <f aca="false">IF($A243="N/A"," ",R243*$AS243)</f>
        <v> </v>
      </c>
      <c r="BL243" s="303" t="str">
        <f aca="false">IF($A243="N/A"," ",S243*$AT243)</f>
        <v> </v>
      </c>
      <c r="BM243" s="303" t="str">
        <f aca="false">IF($A243="N/A"," ",T243*$AU243)</f>
        <v> </v>
      </c>
      <c r="BN243" s="303" t="str">
        <f aca="false">IF($A243="N/A"," ",U243*$AV243)</f>
        <v> </v>
      </c>
      <c r="BO243" s="303" t="str">
        <f aca="false">IF($A243="N/A"," ",V243*$AW243)</f>
        <v> </v>
      </c>
      <c r="BP243" s="303" t="str">
        <f aca="false">IF($A243="N/A"," ",W243*$AX243)</f>
        <v> </v>
      </c>
      <c r="BQ243" s="303" t="str">
        <f aca="false">IF($A243="N/A"," ",X243*$AY243)</f>
        <v> </v>
      </c>
      <c r="BR243" s="303" t="str">
        <f aca="false">IF($A243="N/A"," ",Y243*$AZ243)</f>
        <v> </v>
      </c>
      <c r="BS243" s="304" t="str">
        <f aca="false">IF($A243="N/A"," ",Z243*$BA243)</f>
        <v> </v>
      </c>
      <c r="BT243" s="305" t="str">
        <f aca="false">IF($A243="N/A"," ",AA243*$AS243)</f>
        <v> </v>
      </c>
      <c r="BU243" s="306" t="str">
        <f aca="false">IF($A243="N/A"," ",AB243*$AT243)</f>
        <v> </v>
      </c>
      <c r="BV243" s="306" t="str">
        <f aca="false">IF($A243="N/A"," ",AC243*$AU243)</f>
        <v> </v>
      </c>
      <c r="BW243" s="306" t="str">
        <f aca="false">IF($A243="N/A"," ",AD243*$AV243)</f>
        <v> </v>
      </c>
      <c r="BX243" s="306" t="str">
        <f aca="false">IF($A243="N/A"," ",AE243*$AW243)</f>
        <v> </v>
      </c>
      <c r="BY243" s="306" t="str">
        <f aca="false">IF($A243="N/A"," ",AF243*$AX243)</f>
        <v> </v>
      </c>
      <c r="BZ243" s="306" t="str">
        <f aca="false">IF($A243="N/A"," ",AG243*$AY243)</f>
        <v> </v>
      </c>
      <c r="CA243" s="306" t="str">
        <f aca="false">IF($A243="N/A"," ",AH243*$AZ243)</f>
        <v> </v>
      </c>
      <c r="CB243" s="307" t="str">
        <f aca="false">IF($A243="N/A"," ",AI243*$BA243)</f>
        <v> </v>
      </c>
      <c r="CC243" s="308" t="str">
        <f aca="false">IF($A243="N/A"," ",AJ243*$AS243)</f>
        <v> </v>
      </c>
      <c r="CD243" s="309" t="str">
        <f aca="false">IF($A243="N/A"," ",AK243*$AT243)</f>
        <v> </v>
      </c>
      <c r="CE243" s="309" t="str">
        <f aca="false">IF($A243="N/A"," ",AL243*$AU243)</f>
        <v> </v>
      </c>
      <c r="CF243" s="309" t="str">
        <f aca="false">IF($A243="N/A"," ",AM243*$AV243)</f>
        <v> </v>
      </c>
      <c r="CG243" s="309" t="str">
        <f aca="false">IF($A243="N/A"," ",AN243*$AW243)</f>
        <v> </v>
      </c>
      <c r="CH243" s="309" t="str">
        <f aca="false">IF($A243="N/A"," ",AO243*$AX243)</f>
        <v> </v>
      </c>
      <c r="CI243" s="309" t="str">
        <f aca="false">IF($A243="N/A"," ",AP243*$AY243)</f>
        <v> </v>
      </c>
      <c r="CJ243" s="309" t="str">
        <f aca="false">IF($A243="N/A"," ",AQ243*$AZ243)</f>
        <v> </v>
      </c>
      <c r="CK243" s="310" t="str">
        <f aca="false">IF($A243="N/A"," ",AR243*$BA243)</f>
        <v> </v>
      </c>
      <c r="CL243" s="311" t="str">
        <f aca="false">IF(A243="N/A"," ",(VLOOKUP(A243,PowerVolTable,(IF(VolBMO=2,7,IF(VolBMO=1,6,8))),FALSE())))</f>
        <v> </v>
      </c>
      <c r="CM243" s="312" t="str">
        <f aca="false">IF(A243="N/A"," ",(VLOOKUP(A243,IntraPowerVol,(IF(VolBMO=2,3,IF(VolBMO=1,2,4))),FALSE())*VLOOKUP(MONTH($A243),Volscale,2)))</f>
        <v> </v>
      </c>
      <c r="CN243" s="312" t="str">
        <f aca="false">IF($A243="N/A"," ",IF(VolType=1,CM243,CL243))</f>
        <v> </v>
      </c>
      <c r="CO243" s="312" t="str">
        <f aca="false">IF($A243="N/A"," ",(VLOOKUP($A243,OffPeakVol,(IF(VolBMO=2,7,IF(VolBMO=1,6,8))),FALSE())))</f>
        <v> </v>
      </c>
      <c r="CP243" s="312" t="str">
        <f aca="false">IF($A243="N/A"," ",(VLOOKUP($A243,OffPeakVol,(IF(VolBMO=2,3,IF(VolBMO=1,2,4))),FALSE())*VLOOKUP(MONTH($A243),Volscale,2)))</f>
        <v> </v>
      </c>
      <c r="CQ243" s="312" t="str">
        <f aca="false">IF($A243="N/A"," ",IF(VolType=1,CP243,CO243))</f>
        <v> </v>
      </c>
      <c r="CR243" s="312" t="str">
        <f aca="false">IF($A243="N/A"," ",(VLOOKUP($A243,GasVolTable,(IF(VolBMO=2,6,IF(VolBMO=1,7,5))),FALSE())))</f>
        <v> </v>
      </c>
      <c r="CS243" s="312" t="str">
        <f aca="false">IF($A243="N/A"," ",(VLOOKUP($A243,OmicronVol,(IF(VolBMO=2,3,IF(VolBMO=1,4,2))),FALSE())))</f>
        <v> </v>
      </c>
      <c r="CT243" s="312" t="str">
        <f aca="false">IF($A243="N/A"," ",(IF(DateToday&gt;$A243,$CS243,IF(VolType=1,((($CR243^2)*((($A243-1)-DateToday)/((EOMONTH($A243,0)+1)-DateToday-15)))+((($CS243)^2)*((15)/((EOMONTH($A243,0)+1)-DateToday-15))))^0.5,CR243))))</f>
        <v> </v>
      </c>
      <c r="CU243" s="312" t="str">
        <f aca="false">IF($A243="N/A"," ",IF('Pricing Inputs'!$AR$23=TRUE(),Inputs!$S$22,VLOOKUP($A243,CorrelationTable,2,FALSE())))</f>
        <v> </v>
      </c>
      <c r="CV243" s="313" t="str">
        <f aca="false">IF($A243="N/A"," ",F243+G243+(D243*('Pricing Inputs'!X278)))</f>
        <v> </v>
      </c>
      <c r="CW243" s="314" t="str">
        <f aca="false">IF($A243="N/A"," ",IF(PV=1,0,'Pricing Inputs'!Y278))</f>
        <v> </v>
      </c>
      <c r="CX243" s="315" t="str">
        <f aca="false">IF($A243="N/A"," ",(1+CW243/2)^(-2*((EOMONTH(A243,0)+20)-DateToday)/365.25))</f>
        <v> </v>
      </c>
      <c r="CY243" s="316" t="str">
        <f aca="false">IF($A243="N/A"," ",(IF(MONTH(A243)&gt;=4,IF(MONTH(A243)&lt;=10,Inputs!$S$26,Inputs!$S$27),Inputs!$S$27))*$CX243)</f>
        <v> </v>
      </c>
      <c r="CZ243" s="317" t="str">
        <f aca="false">IF($A243="N/A"," ",BK243+BL243+BN243+BO243+BQ243+BR243)</f>
        <v> </v>
      </c>
      <c r="DA243" s="318" t="str">
        <f aca="false">IF($A243="N/A"," ",BM243+BP243+BS243)</f>
        <v> </v>
      </c>
      <c r="DB243" s="319" t="str">
        <f aca="false">IF($A243="N/A"," ",BT243+BU243+BW243+BX243+BZ243+CA243)</f>
        <v> </v>
      </c>
      <c r="DC243" s="319" t="str">
        <f aca="false">IF($A243="N/A"," ",BV243+BY243+CB243)</f>
        <v> </v>
      </c>
      <c r="DD243" s="320" t="str">
        <f aca="false">IF($A243="N/A"," ",SUM(CC243:CK243))</f>
        <v> </v>
      </c>
      <c r="DE243" s="321" t="str">
        <f aca="false">IF($A243="N/A"," ",VLOOKUP($A243,NumberofDaysTable,2)*Availability)</f>
        <v> </v>
      </c>
      <c r="DF243" s="94" t="str">
        <f aca="false">IF($A243="N/A"," ",VLOOKUP($A243,NumberofDaysTable,3)*Availability)</f>
        <v> </v>
      </c>
      <c r="DG243" s="322" t="str">
        <f aca="false">IF($A243="N/A"," ",VLOOKUP($A243,NumberofDaysTable,4)*Availability)</f>
        <v> </v>
      </c>
      <c r="DH243" s="323" t="str">
        <f aca="false">IF($A243="N/A"," ",IF(Option=1,$D243*Inputs!$S$15*SUM(AS243:BA243),0))</f>
        <v> </v>
      </c>
      <c r="DI243" s="324" t="str">
        <f aca="false">IF($A243="N/A"," ",IF(Option=1,$D243*Inputs!$S$16*SUM(AS243:BA243),0))</f>
        <v> </v>
      </c>
      <c r="DJ243" s="325" t="str">
        <f aca="false">IF($A243="N/A"," ",SUM(AS243:AT243))</f>
        <v> </v>
      </c>
      <c r="DK243" s="325" t="str">
        <f aca="false">IF($A243="N/A"," ",SUM(AU243:BA243))</f>
        <v> </v>
      </c>
      <c r="DL243" s="325" t="str">
        <f aca="false">IF($A243="N/A"," ",SUM(BB243:BC243))</f>
        <v> </v>
      </c>
      <c r="DM243" s="325" t="str">
        <f aca="false">IF($A243="N/A"," ",SUM(BD243:BJ243))</f>
        <v> </v>
      </c>
    </row>
    <row r="244" customFormat="false" ht="12.75" hidden="false" customHeight="false" outlineLevel="0" collapsed="false">
      <c r="A244" s="282" t="str">
        <f aca="false">IF(A243="N/A","N/A",IF(EDATE(A243,1)&gt;Inputs!$S$5,"N/A",EDATE(A243,1)))</f>
        <v>N/A</v>
      </c>
      <c r="B244" s="283" t="str">
        <f aca="false">IF(A244="N/A"," ",YEAR(A244))</f>
        <v> </v>
      </c>
      <c r="C244" s="284" t="str">
        <f aca="false">IF(A244="N/A"," ",VLOOKUP(A244,ScaledPrice,14))</f>
        <v> </v>
      </c>
      <c r="D244" s="285" t="str">
        <f aca="false">IF(A244="N/A"," ",(VLOOKUP(MONTH($A244),Hrtable,2))/1000)</f>
        <v> </v>
      </c>
      <c r="E244" s="286" t="str">
        <f aca="false">IF($A244="N/A"," ",(C244)*D244)</f>
        <v> </v>
      </c>
      <c r="F244" s="287" t="str">
        <f aca="false">IF(A244="N/A"," ",VOM*(1+VOMesc)^(YEAR(A244)-YEAR(Today)))</f>
        <v> </v>
      </c>
      <c r="G244" s="287" t="str">
        <f aca="false">IF(A244="N/A"," ",Perstart/VLOOKUP(Dayrun,'Pricing Inputs'!$AQ$4:$AS$14,3)/(CY244/CX244))</f>
        <v> </v>
      </c>
      <c r="H244" s="288" t="str">
        <f aca="false">IF(A244="N/A"," ",SUM(E244:G244))</f>
        <v> </v>
      </c>
      <c r="I244" s="289" t="str">
        <f aca="false">VLOOKUP($A244,ScaledPrice,6)</f>
        <v> </v>
      </c>
      <c r="J244" s="290" t="str">
        <f aca="false">VLOOKUP($A244,ScaledPrice,10)</f>
        <v> </v>
      </c>
      <c r="K244" s="290" t="str">
        <f aca="false">VLOOKUP($A244,ScaledPrice,13)</f>
        <v> </v>
      </c>
      <c r="L244" s="290" t="str">
        <f aca="false">VLOOKUP($A244,ScaledPrice,7)</f>
        <v> </v>
      </c>
      <c r="M244" s="290" t="str">
        <f aca="false">VLOOKUP($A244,ScaledPrice,11)</f>
        <v> </v>
      </c>
      <c r="N244" s="290" t="str">
        <f aca="false">VLOOKUP($A244,ScaledPrice,13)</f>
        <v> </v>
      </c>
      <c r="O244" s="290" t="str">
        <f aca="false">VLOOKUP($A244,ScaledPrice,8)</f>
        <v> </v>
      </c>
      <c r="P244" s="290" t="str">
        <f aca="false">VLOOKUP($A244,ScaledPrice,12)</f>
        <v> </v>
      </c>
      <c r="Q244" s="291" t="str">
        <f aca="false">VLOOKUP($A244,ScaledPrice,13)</f>
        <v> </v>
      </c>
      <c r="R244" s="292" t="str">
        <f aca="false">IF($A244="N/A"," ",IF(Dayrun&gt;=3,IF(Option=1,MAX($I244-$H244,0),IF(Option=2,MAX($H244-$I244,0),0)),0))</f>
        <v> </v>
      </c>
      <c r="S244" s="286" t="str">
        <f aca="false">IF($A244="N/A"," ",IF(Dayrun&gt;=6,IF(Option=1,MAX($J244-H244,0),IF(Option=2,MAX(H244-$J244,0),0)),0))</f>
        <v> </v>
      </c>
      <c r="T244" s="286" t="str">
        <f aca="false">IF($A244="N/A"," ",IF(OR(Dayrun&lt;=2,Dayrun&gt;=9),IF(Option=1,MAX($K244-$H244,0),IF(Option=2,MAX($H244-$K244,0),0)),0))</f>
        <v> </v>
      </c>
      <c r="U244" s="286" t="str">
        <f aca="false">IF($A244="N/A"," ",IF(OR(Dayrun=1,Dayrun=4,Dayrun=5,Dayrun=7,Dayrun=8,Dayrun=10,Dayrun=11),IF(Option=1,MAX($L244-H244,0),IF(Option=2,MAX(H244-$L244,0),0)),0))</f>
        <v> </v>
      </c>
      <c r="V244" s="286" t="str">
        <f aca="false">IF($A244="N/A"," ",IF(OR(Dayrun=1,Dayrun=7,Dayrun=8,Dayrun=10,Dayrun=11),IF(Option=1,MAX($M244-H244,0),IF(Option=2,MAX(H244-$M244,0),0)),0))</f>
        <v> </v>
      </c>
      <c r="W244" s="286" t="str">
        <f aca="false">IF($A244="N/A"," ",IF(OR(Dayrun&lt;=2,Dayrun&gt;=10),IF(Option=1,MAX($N244-$H244,0),IF(Option=2,MAX($H244-$N244,0),0)),0))</f>
        <v> </v>
      </c>
      <c r="X244" s="286" t="str">
        <f aca="false">IF($A244="N/A"," ",IF(OR(Dayrun=1,Dayrun=5,Dayrun=8,Dayrun=11),IF(Option=1,MAX($O244-H244,0),IF(Option=2,MAX(H244-$O244,0),0)),0))</f>
        <v> </v>
      </c>
      <c r="Y244" s="286" t="str">
        <f aca="false">IF($A244="N/A"," ",IF(OR(Dayrun=1,Dayrun=8,Dayrun=11),IF(Option=1,MAX($P244-H244,0),IF(Option=2,MAX(H244-$P244,0),0)),0))</f>
        <v> </v>
      </c>
      <c r="Z244" s="293" t="str">
        <f aca="false">IF($A244="N/A"," ",IF(OR(Dayrun&lt;=2,Dayrun&gt;=11),IF(Option=1,MAX($Q244-$H244,0),IF(Option=2,MAX($H244-$Q244,0),0)),0))</f>
        <v> </v>
      </c>
      <c r="AA244" s="289" t="str">
        <f aca="false">IF($A244="N/A"," ",IF(Dayrun&gt;=3,(MAX(0,(xSPRDOPT(I244,($E244-'Pricing Inputs'!$X279*$D244),$CV244,0,($CN244+IF(Smile=TRUE(),VLOOKUP(MAX(-5,$H244-I244),Volsmile,2),0)),$CT244,$CU244,($A244-DateToday)+15,ABS(Option-2),0)-R244))),0))</f>
        <v> </v>
      </c>
      <c r="AB244" s="290" t="str">
        <f aca="false">IF($A244="N/A"," ",IF(Dayrun&gt;=6,MAX(0,(xSPRDOPT(J244,($E244-'Pricing Inputs'!$X279*$D244),$CV244,0,($CN244+IF(Smile=TRUE(),VLOOKUP(MAX(-5,$H244-J244),Volsmile,2),0)),$CT244,$CU244,($A244-DateToday)+15,ABS(Option-2),0)-S244)),0))</f>
        <v> </v>
      </c>
      <c r="AC244" s="290" t="str">
        <f aca="false">IF($A244="N/A"," ",IF(OR(Dayrun&lt;=2,Dayrun&gt;=9),IF(OffPeakEx=TRUE(),MAX(0,(xSPRDOPT(K244,($E244-'Pricing Inputs'!$X279*$D244),$CV244,0,($CQ244+IF(Smile=TRUE(),VLOOKUP(MAX(-5,$H244-K244),Volsmile,2),0)),$CT244,$CU244,($A244-DateToday)+15,ABS(Option-2),0)-T244)),0),0))</f>
        <v> </v>
      </c>
      <c r="AD244" s="290" t="str">
        <f aca="false">IF($A244="N/A"," ",IF(OR(Dayrun=1,Dayrun=4,Dayrun=5,Dayrun=7,Dayrun=8,Dayrun=10,Dayrun=11),MAX(0,(xSPRDOPT(L244,($E244-'Pricing Inputs'!$X279*$D244),$CV244,0,($CQ244+IF(Smile=TRUE(),VLOOKUP(MAX(-5,$H244-L244),Volsmile,2),0)),$CT244,$CU244,($A244-DateToday)+15,ABS(Option-2),0)-U244)),0))</f>
        <v> </v>
      </c>
      <c r="AE244" s="290" t="str">
        <f aca="false">IF($A244="N/A"," ",IF(OR(Dayrun=1,Dayrun=7,Dayrun=8,Dayrun=10,Dayrun=11),MAX(0,(xSPRDOPT(M244,($E244-'Pricing Inputs'!$X279*$D244),$CV244,0,($CQ244+IF(Smile=TRUE(),VLOOKUP(MAX(-5,$H244-M244),Volsmile,2),0)),$CT244,$CU244,($A244-DateToday)+15,ABS(Option-2),0)-V244)),0))</f>
        <v> </v>
      </c>
      <c r="AF244" s="290" t="str">
        <f aca="false">IF($A244="N/A"," ",IF(OR(Dayrun&lt;=2,Dayrun&gt;=10),IF(OffPeakEx=TRUE(),MAX(0,(xSPRDOPT(N244,($E244-'Pricing Inputs'!$X279*$D244),$CV244,0,($CQ244+IF(Smile=TRUE(),VLOOKUP(MAX(-5,$H244-N244),Volsmile,2),0)),$CT244,$CU244,($A244-DateToday)+15,ABS(Option-2),0)-W244)),0),0))</f>
        <v> </v>
      </c>
      <c r="AG244" s="290" t="str">
        <f aca="false">IF($A244="N/A"," ",IF(OR(Dayrun=1,Dayrun=5,Dayrun=8,Dayrun=11),MAX(0,(xSPRDOPT(O244,($E244-'Pricing Inputs'!$X279*$D244),$CV244,0,($CQ244+IF(Smile=TRUE(),VLOOKUP(MAX(-5,$H244-O244),Volsmile,2),0)),$CT244,$CU244,($A244-DateToday)+15,ABS(Option-2),0)-X244)),0))</f>
        <v> </v>
      </c>
      <c r="AH244" s="290" t="str">
        <f aca="false">IF($A244="N/A"," ",IF(OR(Dayrun=1,Dayrun=8,Dayrun=11),MAX(0,(xSPRDOPT(P244,($E244-'Pricing Inputs'!$X279*$D244),$CV244,0,($CQ244+IF(Smile=TRUE(),VLOOKUP(MAX(-5,$H244-P244),Volsmile,2),0)),$CT244,$CU244,($A244-DateToday)+15,ABS(Option-2),0)-Y244)),0))</f>
        <v> </v>
      </c>
      <c r="AI244" s="290" t="str">
        <f aca="false">IF($A244="N/A"," ",IF(OR(Dayrun&lt;=2,Dayrun&gt;=11),IF(OffPeakEx=TRUE(),MAX(0,(xSPRDOPT(Q244,($E244-'Pricing Inputs'!$X279*$D244),$CV244,0,($CQ244+IF(Smile=TRUE(),VLOOKUP(MAX(-5,$H244-Q244),Volsmile,2),0)),$CT244,$CU244,($A244-DateToday)+15,ABS(Option-2),0)-Z244)),0),0))</f>
        <v> </v>
      </c>
      <c r="AJ244" s="294" t="str">
        <f aca="false">IF($A244="N/A"," ",IF(Dayrun&gt;=3,IF(Option=1,$I244-$H244,IF(Option=2,$H244-$I244)),0))</f>
        <v> </v>
      </c>
      <c r="AK244" s="295" t="str">
        <f aca="false">IF($A244="N/A"," ",IF(Dayrun&gt;=6,IF(Option=1,$J244-H244,IF(Option=2,H244-$J244)),0))</f>
        <v> </v>
      </c>
      <c r="AL244" s="295" t="str">
        <f aca="false">IF($A244="N/A"," ",IF(OR(Dayrun&lt;=2,Dayrun&gt;=9),IF(Option=1,$K244-$H244,IF(Option=2,$H244-$K244)),0))</f>
        <v> </v>
      </c>
      <c r="AM244" s="295" t="str">
        <f aca="false">IF($A244="N/A"," ",IF(OR(Dayrun=1,Dayrun=4,Dayrun=5,Dayrun=7,Dayrun=8,Dayrun=10,Dayrun=11),IF(Option=1,$L244-H244,IF(Option=2,H244-$L244)),0))</f>
        <v> </v>
      </c>
      <c r="AN244" s="295" t="str">
        <f aca="false">IF($A244="N/A"," ",IF(OR(Dayrun=1,Dayrun=7,Dayrun=8,Dayrun=10,Dayrun=11),IF(Option=1,$M244-H244,IF(Option=2,H244-$M244)),0))</f>
        <v> </v>
      </c>
      <c r="AO244" s="295" t="str">
        <f aca="false">IF($A244="N/A"," ",IF(OR(Dayrun&lt;=2,Dayrun&gt;=9),IF(Option=1,$N244-$H244,IF(Option=2,$H244-$N244)),0))</f>
        <v> </v>
      </c>
      <c r="AP244" s="295" t="str">
        <f aca="false">IF($A244="N/A"," ",IF(OR(Dayrun=1,Dayrun=5,Dayrun=8,Dayrun=11),IF(Option=1,$O244-H244,IF(Option=2,H244-$O244)),0))</f>
        <v> </v>
      </c>
      <c r="AQ244" s="295" t="str">
        <f aca="false">IF($A244="N/A"," ",IF(OR(Dayrun=1,Dayrun=8,Dayrun=11),IF(Option=1,$P244-H244,IF(Option=2,H244-$P244)),0))</f>
        <v> </v>
      </c>
      <c r="AR244" s="296" t="str">
        <f aca="false">IF($A244="N/A"," ",IF(OR(Dayrun&lt;=2,Dayrun&gt;=9),IF(Option=1,$Q244-H244,IF(Option=2,H244-$Q244)),0))</f>
        <v> </v>
      </c>
      <c r="AS244" s="297" t="str">
        <f aca="false">IF($A244="N/A"," ",IF(VLOOKUP(MONTH($A244),ManualTable,2)=1,IF(Dayrun&gt;=3,$DE244*8*$CY244,0),0))</f>
        <v> </v>
      </c>
      <c r="AT244" s="297" t="str">
        <f aca="false">IF($A244="N/A"," ",IF(VLOOKUP(MONTH($A244),ManualTable,3)=1,IF(Dayrun&gt;=6,$DE244*8*$CY244,0),0))</f>
        <v> </v>
      </c>
      <c r="AU244" s="297" t="str">
        <f aca="false">IF($A244="N/A"," ",IF(VLOOKUP(MONTH($A244),ManualTable,4)=1,IF(OR(Dayrun&lt;=2,Dayrun&gt;=9),$DE244*8*$CY244,0),0))</f>
        <v> </v>
      </c>
      <c r="AV244" s="297" t="str">
        <f aca="false">IF($A244="N/A"," ",IF(VLOOKUP(MONTH($A244),ManualTable,5)=1,IF(OR(Dayrun=1,Dayrun=4,Dayrun=5,Dayrun=7,Dayrun=8,Dayrun=10,Dayrun=11),$DF244*8*$CY244,0),0))</f>
        <v> </v>
      </c>
      <c r="AW244" s="297" t="str">
        <f aca="false">IF($A244="N/A"," ",IF(VLOOKUP(MONTH($A244),ManualTable,6)=1,IF(OR(Dayrun=1,Dayrun=7,Dayrun=8,Dayrun=10,Dayrun=11),$DF244*8*$CY244,0),0))</f>
        <v> </v>
      </c>
      <c r="AX244" s="297" t="str">
        <f aca="false">IF($A244="N/A"," ",IF(VLOOKUP(MONTH($A244),ManualTable,7)=1,IF(OR(Dayrun&lt;=2,Dayrun&gt;=9),$DF244*8*$CY244,0),0))</f>
        <v> </v>
      </c>
      <c r="AY244" s="297" t="str">
        <f aca="false">IF($A244="N/A"," ",IF(VLOOKUP(MONTH($A244),ManualTable,8)=1,IF(OR(Dayrun=1,Dayrun=5,Dayrun=8,Dayrun=11),$DG244*8*$CY244,0),0))</f>
        <v> </v>
      </c>
      <c r="AZ244" s="297" t="str">
        <f aca="false">IF($A244="N/A"," ",IF(VLOOKUP(MONTH($A244),ManualTable,9)=1,IF(OR(Dayrun=1,Dayrun=8,Dayrun=11),$DG244*8*$CY244,0),0))</f>
        <v> </v>
      </c>
      <c r="BA244" s="298" t="str">
        <f aca="false">IF($A244="N/A"," ",IF(VLOOKUP(MONTH($A244),ManualTable,10)=1,IF(OR(Dayrun&lt;=2,Dayrun&gt;=9),$DG244*8*$CY244,0),0))</f>
        <v> </v>
      </c>
      <c r="BB244" s="299" t="str">
        <f aca="false">IF($A244="N/A"," ",IF(Dayrun&gt;=3,(MAX(0,(xSPRDOPT(I244,($E244-'Pricing Inputs'!$X279*$D244),$CV244,0,($CN244+IF(Smile=TRUE(),VLOOKUP(MAX(-5,$H244-I244),Volsmile,2),0)),$CT244,$CU244,($A244-DateToday)+15,ABS(Option-2),1)*DE244*8))),0))</f>
        <v> </v>
      </c>
      <c r="BC244" s="300" t="str">
        <f aca="false">IF($A244="N/A"," ",IF(Dayrun&gt;=6,MAX(0,(xSPRDOPT(J244,($E244-'Pricing Inputs'!$X279*$D244),$CV244,0,($CN244+IF(Smile=TRUE(),VLOOKUP(MAX(-5,$H244-J244),Volsmile,2),0)),$CT244,$CU244,($A244-DateToday)+15,ABS(Option-2),1)*DE244*8)),0))</f>
        <v> </v>
      </c>
      <c r="BD244" s="300" t="str">
        <f aca="false">IF($A244="N/A"," ",IF(OR(Dayrun&lt;=2,Dayrun&gt;=9),IF(OffPeakEx=TRUE(),MAX(0,(xSPRDOPT(K244,($E244-'Pricing Inputs'!$X279*$D244),$CV244,0,($CQ244+IF(Smile=TRUE(),VLOOKUP(MAX(-5,$H244-K244),Volsmile,2),0)),$CT244,$CU244,($A244-DateToday)+15,ABS(Option-2),1)*DE244*8)),0),0))</f>
        <v> </v>
      </c>
      <c r="BE244" s="300" t="str">
        <f aca="false">IF($A244="N/A"," ",IF(OR(Dayrun=1,Dayrun=4,Dayrun=5,Dayrun=7,Dayrun=8,Dayrun=10,Dayrun=11),MAX(0,(xSPRDOPT(L244,($E244-'Pricing Inputs'!$X279*$D244),$CV244,0,($CQ244+IF(Smile=TRUE(),VLOOKUP(MAX(-5,$H244-L244),Volsmile,2),0)),$CT244,$CU244,($A244-DateToday)+15,ABS(Option-2),1)*DF244*8)),0))</f>
        <v> </v>
      </c>
      <c r="BF244" s="300" t="str">
        <f aca="false">IF($A244="N/A"," ",IF(OR(Dayrun=1,Dayrun=7,Dayrun=8,Dayrun=10,Dayrun=11),MAX(0,(xSPRDOPT(M244,($E244-'Pricing Inputs'!$X279*$D244),$CV244,0,($CQ244+IF(Smile=TRUE(),VLOOKUP(MAX(-5,$H244-M244),Volsmile,2),0)),$CT244,$CU244,($A244-DateToday)+15,ABS(Option-2),1)*DF244*8)),0))</f>
        <v> </v>
      </c>
      <c r="BG244" s="300" t="str">
        <f aca="false">IF($A244="N/A"," ",IF(OR(Dayrun&lt;=2,Dayrun&gt;=10),IF(OffPeakEx=TRUE(),MAX(0,(xSPRDOPT(N244,($E244-'Pricing Inputs'!$X279*$D244),$CV244,0,($CQ244+IF(Smile=TRUE(),VLOOKUP(MAX(-5,$H244-N244),Volsmile,2),0)),$CT244,$CU244,($A244-DateToday)+15,ABS(Option-2),1)*DF244*8)),0),0))</f>
        <v> </v>
      </c>
      <c r="BH244" s="300" t="str">
        <f aca="false">IF($A244="N/A"," ",IF(OR(Dayrun=1,Dayrun=5,Dayrun=8,Dayrun=11),MAX(0,(xSPRDOPT(O244,($E244-'Pricing Inputs'!$X279*$D244),$CV244,0,($CQ244+IF(Smile=TRUE(),VLOOKUP(MAX(-5,$H244-O244),Volsmile,2),0)),$CT244,$CU244,($A244-DateToday)+15,ABS(Option-2),1)*DG244*8)),0))</f>
        <v> </v>
      </c>
      <c r="BI244" s="300" t="str">
        <f aca="false">IF($A244="N/A"," ",IF(OR(Dayrun=1,Dayrun=8,Dayrun=11),MAX(0,(xSPRDOPT(P244,($E244-'Pricing Inputs'!$X279*$D244),$CV244,0,($CQ244+IF(Smile=TRUE(),VLOOKUP(MAX(-5,$H244-P244),Volsmile,2),0)),$CT244,$CU244,($A244-DateToday)+15,ABS(Option-2),1)*DG244*8)),0))</f>
        <v> </v>
      </c>
      <c r="BJ244" s="301" t="str">
        <f aca="false">IF($A244="N/A"," ",IF(OR(Dayrun&lt;=2,Dayrun&gt;=11),IF(OffPeakEx=TRUE(),MAX(0,(xSPRDOPT(Q244,($E244-'Pricing Inputs'!$X279*$D244),$CV244,0,($CQ244+IF(Smile=TRUE(),VLOOKUP(MAX(-5,$H244-Q244),Volsmile,2),0)),$CT244,$CU244,($A244-DateToday)+15,ABS(Option-2),1)*DG244*8)),0),0))</f>
        <v> </v>
      </c>
      <c r="BK244" s="302" t="str">
        <f aca="false">IF($A244="N/A"," ",R244*$AS244)</f>
        <v> </v>
      </c>
      <c r="BL244" s="303" t="str">
        <f aca="false">IF($A244="N/A"," ",S244*$AT244)</f>
        <v> </v>
      </c>
      <c r="BM244" s="303" t="str">
        <f aca="false">IF($A244="N/A"," ",T244*$AU244)</f>
        <v> </v>
      </c>
      <c r="BN244" s="303" t="str">
        <f aca="false">IF($A244="N/A"," ",U244*$AV244)</f>
        <v> </v>
      </c>
      <c r="BO244" s="303" t="str">
        <f aca="false">IF($A244="N/A"," ",V244*$AW244)</f>
        <v> </v>
      </c>
      <c r="BP244" s="303" t="str">
        <f aca="false">IF($A244="N/A"," ",W244*$AX244)</f>
        <v> </v>
      </c>
      <c r="BQ244" s="303" t="str">
        <f aca="false">IF($A244="N/A"," ",X244*$AY244)</f>
        <v> </v>
      </c>
      <c r="BR244" s="303" t="str">
        <f aca="false">IF($A244="N/A"," ",Y244*$AZ244)</f>
        <v> </v>
      </c>
      <c r="BS244" s="304" t="str">
        <f aca="false">IF($A244="N/A"," ",Z244*$BA244)</f>
        <v> </v>
      </c>
      <c r="BT244" s="305" t="str">
        <f aca="false">IF($A244="N/A"," ",AA244*$AS244)</f>
        <v> </v>
      </c>
      <c r="BU244" s="306" t="str">
        <f aca="false">IF($A244="N/A"," ",AB244*$AT244)</f>
        <v> </v>
      </c>
      <c r="BV244" s="306" t="str">
        <f aca="false">IF($A244="N/A"," ",AC244*$AU244)</f>
        <v> </v>
      </c>
      <c r="BW244" s="306" t="str">
        <f aca="false">IF($A244="N/A"," ",AD244*$AV244)</f>
        <v> </v>
      </c>
      <c r="BX244" s="306" t="str">
        <f aca="false">IF($A244="N/A"," ",AE244*$AW244)</f>
        <v> </v>
      </c>
      <c r="BY244" s="306" t="str">
        <f aca="false">IF($A244="N/A"," ",AF244*$AX244)</f>
        <v> </v>
      </c>
      <c r="BZ244" s="306" t="str">
        <f aca="false">IF($A244="N/A"," ",AG244*$AY244)</f>
        <v> </v>
      </c>
      <c r="CA244" s="306" t="str">
        <f aca="false">IF($A244="N/A"," ",AH244*$AZ244)</f>
        <v> </v>
      </c>
      <c r="CB244" s="307" t="str">
        <f aca="false">IF($A244="N/A"," ",AI244*$BA244)</f>
        <v> </v>
      </c>
      <c r="CC244" s="308" t="str">
        <f aca="false">IF($A244="N/A"," ",AJ244*$AS244)</f>
        <v> </v>
      </c>
      <c r="CD244" s="309" t="str">
        <f aca="false">IF($A244="N/A"," ",AK244*$AT244)</f>
        <v> </v>
      </c>
      <c r="CE244" s="309" t="str">
        <f aca="false">IF($A244="N/A"," ",AL244*$AU244)</f>
        <v> </v>
      </c>
      <c r="CF244" s="309" t="str">
        <f aca="false">IF($A244="N/A"," ",AM244*$AV244)</f>
        <v> </v>
      </c>
      <c r="CG244" s="309" t="str">
        <f aca="false">IF($A244="N/A"," ",AN244*$AW244)</f>
        <v> </v>
      </c>
      <c r="CH244" s="309" t="str">
        <f aca="false">IF($A244="N/A"," ",AO244*$AX244)</f>
        <v> </v>
      </c>
      <c r="CI244" s="309" t="str">
        <f aca="false">IF($A244="N/A"," ",AP244*$AY244)</f>
        <v> </v>
      </c>
      <c r="CJ244" s="309" t="str">
        <f aca="false">IF($A244="N/A"," ",AQ244*$AZ244)</f>
        <v> </v>
      </c>
      <c r="CK244" s="310" t="str">
        <f aca="false">IF($A244="N/A"," ",AR244*$BA244)</f>
        <v> </v>
      </c>
      <c r="CL244" s="311" t="str">
        <f aca="false">IF(A244="N/A"," ",(VLOOKUP(A244,PowerVolTable,(IF(VolBMO=2,7,IF(VolBMO=1,6,8))),FALSE())))</f>
        <v> </v>
      </c>
      <c r="CM244" s="312" t="str">
        <f aca="false">IF(A244="N/A"," ",(VLOOKUP(A244,IntraPowerVol,(IF(VolBMO=2,3,IF(VolBMO=1,2,4))),FALSE())*VLOOKUP(MONTH($A244),Volscale,2)))</f>
        <v> </v>
      </c>
      <c r="CN244" s="312" t="str">
        <f aca="false">IF($A244="N/A"," ",IF(VolType=1,CM244,CL244))</f>
        <v> </v>
      </c>
      <c r="CO244" s="312" t="str">
        <f aca="false">IF($A244="N/A"," ",(VLOOKUP($A244,OffPeakVol,(IF(VolBMO=2,7,IF(VolBMO=1,6,8))),FALSE())))</f>
        <v> </v>
      </c>
      <c r="CP244" s="312" t="str">
        <f aca="false">IF($A244="N/A"," ",(VLOOKUP($A244,OffPeakVol,(IF(VolBMO=2,3,IF(VolBMO=1,2,4))),FALSE())*VLOOKUP(MONTH($A244),Volscale,2)))</f>
        <v> </v>
      </c>
      <c r="CQ244" s="312" t="str">
        <f aca="false">IF($A244="N/A"," ",IF(VolType=1,CP244,CO244))</f>
        <v> </v>
      </c>
      <c r="CR244" s="312" t="str">
        <f aca="false">IF($A244="N/A"," ",(VLOOKUP($A244,GasVolTable,(IF(VolBMO=2,6,IF(VolBMO=1,7,5))),FALSE())))</f>
        <v> </v>
      </c>
      <c r="CS244" s="312" t="str">
        <f aca="false">IF($A244="N/A"," ",(VLOOKUP($A244,OmicronVol,(IF(VolBMO=2,3,IF(VolBMO=1,4,2))),FALSE())))</f>
        <v> </v>
      </c>
      <c r="CT244" s="312" t="str">
        <f aca="false">IF($A244="N/A"," ",(IF(DateToday&gt;$A244,$CS244,IF(VolType=1,((($CR244^2)*((($A244-1)-DateToday)/((EOMONTH($A244,0)+1)-DateToday-15)))+((($CS244)^2)*((15)/((EOMONTH($A244,0)+1)-DateToday-15))))^0.5,CR244))))</f>
        <v> </v>
      </c>
      <c r="CU244" s="312" t="str">
        <f aca="false">IF($A244="N/A"," ",IF('Pricing Inputs'!$AR$23=TRUE(),Inputs!$S$22,VLOOKUP($A244,CorrelationTable,2,FALSE())))</f>
        <v> </v>
      </c>
      <c r="CV244" s="313" t="str">
        <f aca="false">IF($A244="N/A"," ",F244+G244+(D244*('Pricing Inputs'!X279)))</f>
        <v> </v>
      </c>
      <c r="CW244" s="314" t="str">
        <f aca="false">IF($A244="N/A"," ",IF(PV=1,0,'Pricing Inputs'!Y279))</f>
        <v> </v>
      </c>
      <c r="CX244" s="315" t="str">
        <f aca="false">IF($A244="N/A"," ",(1+CW244/2)^(-2*((EOMONTH(A244,0)+20)-DateToday)/365.25))</f>
        <v> </v>
      </c>
      <c r="CY244" s="316" t="str">
        <f aca="false">IF($A244="N/A"," ",(IF(MONTH(A244)&gt;=4,IF(MONTH(A244)&lt;=10,Inputs!$S$26,Inputs!$S$27),Inputs!$S$27))*$CX244)</f>
        <v> </v>
      </c>
      <c r="CZ244" s="317" t="str">
        <f aca="false">IF($A244="N/A"," ",BK244+BL244+BN244+BO244+BQ244+BR244)</f>
        <v> </v>
      </c>
      <c r="DA244" s="318" t="str">
        <f aca="false">IF($A244="N/A"," ",BM244+BP244+BS244)</f>
        <v> </v>
      </c>
      <c r="DB244" s="319" t="str">
        <f aca="false">IF($A244="N/A"," ",BT244+BU244+BW244+BX244+BZ244+CA244)</f>
        <v> </v>
      </c>
      <c r="DC244" s="319" t="str">
        <f aca="false">IF($A244="N/A"," ",BV244+BY244+CB244)</f>
        <v> </v>
      </c>
      <c r="DD244" s="320" t="str">
        <f aca="false">IF($A244="N/A"," ",SUM(CC244:CK244))</f>
        <v> </v>
      </c>
      <c r="DE244" s="321" t="str">
        <f aca="false">IF($A244="N/A"," ",VLOOKUP($A244,NumberofDaysTable,2)*Availability)</f>
        <v> </v>
      </c>
      <c r="DF244" s="94" t="str">
        <f aca="false">IF($A244="N/A"," ",VLOOKUP($A244,NumberofDaysTable,3)*Availability)</f>
        <v> </v>
      </c>
      <c r="DG244" s="322" t="str">
        <f aca="false">IF($A244="N/A"," ",VLOOKUP($A244,NumberofDaysTable,4)*Availability)</f>
        <v> </v>
      </c>
      <c r="DH244" s="323" t="str">
        <f aca="false">IF($A244="N/A"," ",IF(Option=1,$D244*Inputs!$S$15*SUM(AS244:BA244),0))</f>
        <v> </v>
      </c>
      <c r="DI244" s="324" t="str">
        <f aca="false">IF($A244="N/A"," ",IF(Option=1,$D244*Inputs!$S$16*SUM(AS244:BA244),0))</f>
        <v> </v>
      </c>
      <c r="DJ244" s="325" t="str">
        <f aca="false">IF($A244="N/A"," ",SUM(AS244:AT244))</f>
        <v> </v>
      </c>
      <c r="DK244" s="325" t="str">
        <f aca="false">IF($A244="N/A"," ",SUM(AU244:BA244))</f>
        <v> </v>
      </c>
      <c r="DL244" s="325" t="str">
        <f aca="false">IF($A244="N/A"," ",SUM(BB244:BC244))</f>
        <v> </v>
      </c>
      <c r="DM244" s="325" t="str">
        <f aca="false">IF($A244="N/A"," ",SUM(BD244:BJ244))</f>
        <v> </v>
      </c>
    </row>
    <row r="245" customFormat="false" ht="12.75" hidden="false" customHeight="false" outlineLevel="0" collapsed="false">
      <c r="A245" s="282" t="str">
        <f aca="false">IF(A244="N/A","N/A",IF(EDATE(A244,1)&gt;Inputs!$S$5,"N/A",EDATE(A244,1)))</f>
        <v>N/A</v>
      </c>
      <c r="B245" s="283" t="str">
        <f aca="false">IF(A245="N/A"," ",YEAR(A245))</f>
        <v> </v>
      </c>
      <c r="C245" s="284" t="str">
        <f aca="false">IF(A245="N/A"," ",VLOOKUP(A245,ScaledPrice,14))</f>
        <v> </v>
      </c>
      <c r="D245" s="285" t="str">
        <f aca="false">IF(A245="N/A"," ",(VLOOKUP(MONTH($A245),Hrtable,2))/1000)</f>
        <v> </v>
      </c>
      <c r="E245" s="286" t="str">
        <f aca="false">IF($A245="N/A"," ",(C245)*D245)</f>
        <v> </v>
      </c>
      <c r="F245" s="287" t="str">
        <f aca="false">IF(A245="N/A"," ",VOM*(1+VOMesc)^(YEAR(A245)-YEAR(Today)))</f>
        <v> </v>
      </c>
      <c r="G245" s="287" t="str">
        <f aca="false">IF(A245="N/A"," ",Perstart/VLOOKUP(Dayrun,'Pricing Inputs'!$AQ$4:$AS$14,3)/(CY245/CX245))</f>
        <v> </v>
      </c>
      <c r="H245" s="288" t="str">
        <f aca="false">IF(A245="N/A"," ",SUM(E245:G245))</f>
        <v> </v>
      </c>
      <c r="I245" s="289" t="str">
        <f aca="false">VLOOKUP($A245,ScaledPrice,6)</f>
        <v> </v>
      </c>
      <c r="J245" s="290" t="str">
        <f aca="false">VLOOKUP($A245,ScaledPrice,10)</f>
        <v> </v>
      </c>
      <c r="K245" s="290" t="str">
        <f aca="false">VLOOKUP($A245,ScaledPrice,13)</f>
        <v> </v>
      </c>
      <c r="L245" s="290" t="str">
        <f aca="false">VLOOKUP($A245,ScaledPrice,7)</f>
        <v> </v>
      </c>
      <c r="M245" s="290" t="str">
        <f aca="false">VLOOKUP($A245,ScaledPrice,11)</f>
        <v> </v>
      </c>
      <c r="N245" s="290" t="str">
        <f aca="false">VLOOKUP($A245,ScaledPrice,13)</f>
        <v> </v>
      </c>
      <c r="O245" s="290" t="str">
        <f aca="false">VLOOKUP($A245,ScaledPrice,8)</f>
        <v> </v>
      </c>
      <c r="P245" s="290" t="str">
        <f aca="false">VLOOKUP($A245,ScaledPrice,12)</f>
        <v> </v>
      </c>
      <c r="Q245" s="291" t="str">
        <f aca="false">VLOOKUP($A245,ScaledPrice,13)</f>
        <v> </v>
      </c>
      <c r="R245" s="292" t="str">
        <f aca="false">IF($A245="N/A"," ",IF(Dayrun&gt;=3,IF(Option=1,MAX($I245-$H245,0),IF(Option=2,MAX($H245-$I245,0),0)),0))</f>
        <v> </v>
      </c>
      <c r="S245" s="286" t="str">
        <f aca="false">IF($A245="N/A"," ",IF(Dayrun&gt;=6,IF(Option=1,MAX($J245-H245,0),IF(Option=2,MAX(H245-$J245,0),0)),0))</f>
        <v> </v>
      </c>
      <c r="T245" s="286" t="str">
        <f aca="false">IF($A245="N/A"," ",IF(OR(Dayrun&lt;=2,Dayrun&gt;=9),IF(Option=1,MAX($K245-$H245,0),IF(Option=2,MAX($H245-$K245,0),0)),0))</f>
        <v> </v>
      </c>
      <c r="U245" s="286" t="str">
        <f aca="false">IF($A245="N/A"," ",IF(OR(Dayrun=1,Dayrun=4,Dayrun=5,Dayrun=7,Dayrun=8,Dayrun=10,Dayrun=11),IF(Option=1,MAX($L245-H245,0),IF(Option=2,MAX(H245-$L245,0),0)),0))</f>
        <v> </v>
      </c>
      <c r="V245" s="286" t="str">
        <f aca="false">IF($A245="N/A"," ",IF(OR(Dayrun=1,Dayrun=7,Dayrun=8,Dayrun=10,Dayrun=11),IF(Option=1,MAX($M245-H245,0),IF(Option=2,MAX(H245-$M245,0),0)),0))</f>
        <v> </v>
      </c>
      <c r="W245" s="286" t="str">
        <f aca="false">IF($A245="N/A"," ",IF(OR(Dayrun&lt;=2,Dayrun&gt;=10),IF(Option=1,MAX($N245-$H245,0),IF(Option=2,MAX($H245-$N245,0),0)),0))</f>
        <v> </v>
      </c>
      <c r="X245" s="286" t="str">
        <f aca="false">IF($A245="N/A"," ",IF(OR(Dayrun=1,Dayrun=5,Dayrun=8,Dayrun=11),IF(Option=1,MAX($O245-H245,0),IF(Option=2,MAX(H245-$O245,0),0)),0))</f>
        <v> </v>
      </c>
      <c r="Y245" s="286" t="str">
        <f aca="false">IF($A245="N/A"," ",IF(OR(Dayrun=1,Dayrun=8,Dayrun=11),IF(Option=1,MAX($P245-H245,0),IF(Option=2,MAX(H245-$P245,0),0)),0))</f>
        <v> </v>
      </c>
      <c r="Z245" s="293" t="str">
        <f aca="false">IF($A245="N/A"," ",IF(OR(Dayrun&lt;=2,Dayrun&gt;=11),IF(Option=1,MAX($Q245-$H245,0),IF(Option=2,MAX($H245-$Q245,0),0)),0))</f>
        <v> </v>
      </c>
      <c r="AA245" s="289" t="str">
        <f aca="false">IF($A245="N/A"," ",IF(Dayrun&gt;=3,(MAX(0,(xSPRDOPT(I245,($E245-'Pricing Inputs'!$X280*$D245),$CV245,0,($CN245+IF(Smile=TRUE(),VLOOKUP(MAX(-5,$H245-I245),Volsmile,2),0)),$CT245,$CU245,($A245-DateToday)+15,ABS(Option-2),0)-R245))),0))</f>
        <v> </v>
      </c>
      <c r="AB245" s="290" t="str">
        <f aca="false">IF($A245="N/A"," ",IF(Dayrun&gt;=6,MAX(0,(xSPRDOPT(J245,($E245-'Pricing Inputs'!$X280*$D245),$CV245,0,($CN245+IF(Smile=TRUE(),VLOOKUP(MAX(-5,$H245-J245),Volsmile,2),0)),$CT245,$CU245,($A245-DateToday)+15,ABS(Option-2),0)-S245)),0))</f>
        <v> </v>
      </c>
      <c r="AC245" s="290" t="str">
        <f aca="false">IF($A245="N/A"," ",IF(OR(Dayrun&lt;=2,Dayrun&gt;=9),IF(OffPeakEx=TRUE(),MAX(0,(xSPRDOPT(K245,($E245-'Pricing Inputs'!$X280*$D245),$CV245,0,($CQ245+IF(Smile=TRUE(),VLOOKUP(MAX(-5,$H245-K245),Volsmile,2),0)),$CT245,$CU245,($A245-DateToday)+15,ABS(Option-2),0)-T245)),0),0))</f>
        <v> </v>
      </c>
      <c r="AD245" s="290" t="str">
        <f aca="false">IF($A245="N/A"," ",IF(OR(Dayrun=1,Dayrun=4,Dayrun=5,Dayrun=7,Dayrun=8,Dayrun=10,Dayrun=11),MAX(0,(xSPRDOPT(L245,($E245-'Pricing Inputs'!$X280*$D245),$CV245,0,($CQ245+IF(Smile=TRUE(),VLOOKUP(MAX(-5,$H245-L245),Volsmile,2),0)),$CT245,$CU245,($A245-DateToday)+15,ABS(Option-2),0)-U245)),0))</f>
        <v> </v>
      </c>
      <c r="AE245" s="290" t="str">
        <f aca="false">IF($A245="N/A"," ",IF(OR(Dayrun=1,Dayrun=7,Dayrun=8,Dayrun=10,Dayrun=11),MAX(0,(xSPRDOPT(M245,($E245-'Pricing Inputs'!$X280*$D245),$CV245,0,($CQ245+IF(Smile=TRUE(),VLOOKUP(MAX(-5,$H245-M245),Volsmile,2),0)),$CT245,$CU245,($A245-DateToday)+15,ABS(Option-2),0)-V245)),0))</f>
        <v> </v>
      </c>
      <c r="AF245" s="290" t="str">
        <f aca="false">IF($A245="N/A"," ",IF(OR(Dayrun&lt;=2,Dayrun&gt;=10),IF(OffPeakEx=TRUE(),MAX(0,(xSPRDOPT(N245,($E245-'Pricing Inputs'!$X280*$D245),$CV245,0,($CQ245+IF(Smile=TRUE(),VLOOKUP(MAX(-5,$H245-N245),Volsmile,2),0)),$CT245,$CU245,($A245-DateToday)+15,ABS(Option-2),0)-W245)),0),0))</f>
        <v> </v>
      </c>
      <c r="AG245" s="290" t="str">
        <f aca="false">IF($A245="N/A"," ",IF(OR(Dayrun=1,Dayrun=5,Dayrun=8,Dayrun=11),MAX(0,(xSPRDOPT(O245,($E245-'Pricing Inputs'!$X280*$D245),$CV245,0,($CQ245+IF(Smile=TRUE(),VLOOKUP(MAX(-5,$H245-O245),Volsmile,2),0)),$CT245,$CU245,($A245-DateToday)+15,ABS(Option-2),0)-X245)),0))</f>
        <v> </v>
      </c>
      <c r="AH245" s="290" t="str">
        <f aca="false">IF($A245="N/A"," ",IF(OR(Dayrun=1,Dayrun=8,Dayrun=11),MAX(0,(xSPRDOPT(P245,($E245-'Pricing Inputs'!$X280*$D245),$CV245,0,($CQ245+IF(Smile=TRUE(),VLOOKUP(MAX(-5,$H245-P245),Volsmile,2),0)),$CT245,$CU245,($A245-DateToday)+15,ABS(Option-2),0)-Y245)),0))</f>
        <v> </v>
      </c>
      <c r="AI245" s="290" t="str">
        <f aca="false">IF($A245="N/A"," ",IF(OR(Dayrun&lt;=2,Dayrun&gt;=11),IF(OffPeakEx=TRUE(),MAX(0,(xSPRDOPT(Q245,($E245-'Pricing Inputs'!$X280*$D245),$CV245,0,($CQ245+IF(Smile=TRUE(),VLOOKUP(MAX(-5,$H245-Q245),Volsmile,2),0)),$CT245,$CU245,($A245-DateToday)+15,ABS(Option-2),0)-Z245)),0),0))</f>
        <v> </v>
      </c>
      <c r="AJ245" s="294" t="str">
        <f aca="false">IF($A245="N/A"," ",IF(Dayrun&gt;=3,IF(Option=1,$I245-$H245,IF(Option=2,$H245-$I245)),0))</f>
        <v> </v>
      </c>
      <c r="AK245" s="295" t="str">
        <f aca="false">IF($A245="N/A"," ",IF(Dayrun&gt;=6,IF(Option=1,$J245-H245,IF(Option=2,H245-$J245)),0))</f>
        <v> </v>
      </c>
      <c r="AL245" s="295" t="str">
        <f aca="false">IF($A245="N/A"," ",IF(OR(Dayrun&lt;=2,Dayrun&gt;=9),IF(Option=1,$K245-$H245,IF(Option=2,$H245-$K245)),0))</f>
        <v> </v>
      </c>
      <c r="AM245" s="295" t="str">
        <f aca="false">IF($A245="N/A"," ",IF(OR(Dayrun=1,Dayrun=4,Dayrun=5,Dayrun=7,Dayrun=8,Dayrun=10,Dayrun=11),IF(Option=1,$L245-H245,IF(Option=2,H245-$L245)),0))</f>
        <v> </v>
      </c>
      <c r="AN245" s="295" t="str">
        <f aca="false">IF($A245="N/A"," ",IF(OR(Dayrun=1,Dayrun=7,Dayrun=8,Dayrun=10,Dayrun=11),IF(Option=1,$M245-H245,IF(Option=2,H245-$M245)),0))</f>
        <v> </v>
      </c>
      <c r="AO245" s="295" t="str">
        <f aca="false">IF($A245="N/A"," ",IF(OR(Dayrun&lt;=2,Dayrun&gt;=9),IF(Option=1,$N245-$H245,IF(Option=2,$H245-$N245)),0))</f>
        <v> </v>
      </c>
      <c r="AP245" s="295" t="str">
        <f aca="false">IF($A245="N/A"," ",IF(OR(Dayrun=1,Dayrun=5,Dayrun=8,Dayrun=11),IF(Option=1,$O245-H245,IF(Option=2,H245-$O245)),0))</f>
        <v> </v>
      </c>
      <c r="AQ245" s="295" t="str">
        <f aca="false">IF($A245="N/A"," ",IF(OR(Dayrun=1,Dayrun=8,Dayrun=11),IF(Option=1,$P245-H245,IF(Option=2,H245-$P245)),0))</f>
        <v> </v>
      </c>
      <c r="AR245" s="296" t="str">
        <f aca="false">IF($A245="N/A"," ",IF(OR(Dayrun&lt;=2,Dayrun&gt;=9),IF(Option=1,$Q245-H245,IF(Option=2,H245-$Q245)),0))</f>
        <v> </v>
      </c>
      <c r="AS245" s="297" t="str">
        <f aca="false">IF($A245="N/A"," ",IF(VLOOKUP(MONTH($A245),ManualTable,2)=1,IF(Dayrun&gt;=3,$DE245*8*$CY245,0),0))</f>
        <v> </v>
      </c>
      <c r="AT245" s="297" t="str">
        <f aca="false">IF($A245="N/A"," ",IF(VLOOKUP(MONTH($A245),ManualTable,3)=1,IF(Dayrun&gt;=6,$DE245*8*$CY245,0),0))</f>
        <v> </v>
      </c>
      <c r="AU245" s="297" t="str">
        <f aca="false">IF($A245="N/A"," ",IF(VLOOKUP(MONTH($A245),ManualTable,4)=1,IF(OR(Dayrun&lt;=2,Dayrun&gt;=9),$DE245*8*$CY245,0),0))</f>
        <v> </v>
      </c>
      <c r="AV245" s="297" t="str">
        <f aca="false">IF($A245="N/A"," ",IF(VLOOKUP(MONTH($A245),ManualTable,5)=1,IF(OR(Dayrun=1,Dayrun=4,Dayrun=5,Dayrun=7,Dayrun=8,Dayrun=10,Dayrun=11),$DF245*8*$CY245,0),0))</f>
        <v> </v>
      </c>
      <c r="AW245" s="297" t="str">
        <f aca="false">IF($A245="N/A"," ",IF(VLOOKUP(MONTH($A245),ManualTable,6)=1,IF(OR(Dayrun=1,Dayrun=7,Dayrun=8,Dayrun=10,Dayrun=11),$DF245*8*$CY245,0),0))</f>
        <v> </v>
      </c>
      <c r="AX245" s="297" t="str">
        <f aca="false">IF($A245="N/A"," ",IF(VLOOKUP(MONTH($A245),ManualTable,7)=1,IF(OR(Dayrun&lt;=2,Dayrun&gt;=9),$DF245*8*$CY245,0),0))</f>
        <v> </v>
      </c>
      <c r="AY245" s="297" t="str">
        <f aca="false">IF($A245="N/A"," ",IF(VLOOKUP(MONTH($A245),ManualTable,8)=1,IF(OR(Dayrun=1,Dayrun=5,Dayrun=8,Dayrun=11),$DG245*8*$CY245,0),0))</f>
        <v> </v>
      </c>
      <c r="AZ245" s="297" t="str">
        <f aca="false">IF($A245="N/A"," ",IF(VLOOKUP(MONTH($A245),ManualTable,9)=1,IF(OR(Dayrun=1,Dayrun=8,Dayrun=11),$DG245*8*$CY245,0),0))</f>
        <v> </v>
      </c>
      <c r="BA245" s="298" t="str">
        <f aca="false">IF($A245="N/A"," ",IF(VLOOKUP(MONTH($A245),ManualTable,10)=1,IF(OR(Dayrun&lt;=2,Dayrun&gt;=9),$DG245*8*$CY245,0),0))</f>
        <v> </v>
      </c>
      <c r="BB245" s="299" t="str">
        <f aca="false">IF($A245="N/A"," ",IF(Dayrun&gt;=3,(MAX(0,(xSPRDOPT(I245,($E245-'Pricing Inputs'!$X280*$D245),$CV245,0,($CN245+IF(Smile=TRUE(),VLOOKUP(MAX(-5,$H245-I245),Volsmile,2),0)),$CT245,$CU245,($A245-DateToday)+15,ABS(Option-2),1)*DE245*8))),0))</f>
        <v> </v>
      </c>
      <c r="BC245" s="300" t="str">
        <f aca="false">IF($A245="N/A"," ",IF(Dayrun&gt;=6,MAX(0,(xSPRDOPT(J245,($E245-'Pricing Inputs'!$X280*$D245),$CV245,0,($CN245+IF(Smile=TRUE(),VLOOKUP(MAX(-5,$H245-J245),Volsmile,2),0)),$CT245,$CU245,($A245-DateToday)+15,ABS(Option-2),1)*DE245*8)),0))</f>
        <v> </v>
      </c>
      <c r="BD245" s="300" t="str">
        <f aca="false">IF($A245="N/A"," ",IF(OR(Dayrun&lt;=2,Dayrun&gt;=9),IF(OffPeakEx=TRUE(),MAX(0,(xSPRDOPT(K245,($E245-'Pricing Inputs'!$X280*$D245),$CV245,0,($CQ245+IF(Smile=TRUE(),VLOOKUP(MAX(-5,$H245-K245),Volsmile,2),0)),$CT245,$CU245,($A245-DateToday)+15,ABS(Option-2),1)*DE245*8)),0),0))</f>
        <v> </v>
      </c>
      <c r="BE245" s="300" t="str">
        <f aca="false">IF($A245="N/A"," ",IF(OR(Dayrun=1,Dayrun=4,Dayrun=5,Dayrun=7,Dayrun=8,Dayrun=10,Dayrun=11),MAX(0,(xSPRDOPT(L245,($E245-'Pricing Inputs'!$X280*$D245),$CV245,0,($CQ245+IF(Smile=TRUE(),VLOOKUP(MAX(-5,$H245-L245),Volsmile,2),0)),$CT245,$CU245,($A245-DateToday)+15,ABS(Option-2),1)*DF245*8)),0))</f>
        <v> </v>
      </c>
      <c r="BF245" s="300" t="str">
        <f aca="false">IF($A245="N/A"," ",IF(OR(Dayrun=1,Dayrun=7,Dayrun=8,Dayrun=10,Dayrun=11),MAX(0,(xSPRDOPT(M245,($E245-'Pricing Inputs'!$X280*$D245),$CV245,0,($CQ245+IF(Smile=TRUE(),VLOOKUP(MAX(-5,$H245-M245),Volsmile,2),0)),$CT245,$CU245,($A245-DateToday)+15,ABS(Option-2),1)*DF245*8)),0))</f>
        <v> </v>
      </c>
      <c r="BG245" s="300" t="str">
        <f aca="false">IF($A245="N/A"," ",IF(OR(Dayrun&lt;=2,Dayrun&gt;=10),IF(OffPeakEx=TRUE(),MAX(0,(xSPRDOPT(N245,($E245-'Pricing Inputs'!$X280*$D245),$CV245,0,($CQ245+IF(Smile=TRUE(),VLOOKUP(MAX(-5,$H245-N245),Volsmile,2),0)),$CT245,$CU245,($A245-DateToday)+15,ABS(Option-2),1)*DF245*8)),0),0))</f>
        <v> </v>
      </c>
      <c r="BH245" s="300" t="str">
        <f aca="false">IF($A245="N/A"," ",IF(OR(Dayrun=1,Dayrun=5,Dayrun=8,Dayrun=11),MAX(0,(xSPRDOPT(O245,($E245-'Pricing Inputs'!$X280*$D245),$CV245,0,($CQ245+IF(Smile=TRUE(),VLOOKUP(MAX(-5,$H245-O245),Volsmile,2),0)),$CT245,$CU245,($A245-DateToday)+15,ABS(Option-2),1)*DG245*8)),0))</f>
        <v> </v>
      </c>
      <c r="BI245" s="300" t="str">
        <f aca="false">IF($A245="N/A"," ",IF(OR(Dayrun=1,Dayrun=8,Dayrun=11),MAX(0,(xSPRDOPT(P245,($E245-'Pricing Inputs'!$X280*$D245),$CV245,0,($CQ245+IF(Smile=TRUE(),VLOOKUP(MAX(-5,$H245-P245),Volsmile,2),0)),$CT245,$CU245,($A245-DateToday)+15,ABS(Option-2),1)*DG245*8)),0))</f>
        <v> </v>
      </c>
      <c r="BJ245" s="301" t="str">
        <f aca="false">IF($A245="N/A"," ",IF(OR(Dayrun&lt;=2,Dayrun&gt;=11),IF(OffPeakEx=TRUE(),MAX(0,(xSPRDOPT(Q245,($E245-'Pricing Inputs'!$X280*$D245),$CV245,0,($CQ245+IF(Smile=TRUE(),VLOOKUP(MAX(-5,$H245-Q245),Volsmile,2),0)),$CT245,$CU245,($A245-DateToday)+15,ABS(Option-2),1)*DG245*8)),0),0))</f>
        <v> </v>
      </c>
      <c r="BK245" s="302" t="str">
        <f aca="false">IF($A245="N/A"," ",R245*$AS245)</f>
        <v> </v>
      </c>
      <c r="BL245" s="303" t="str">
        <f aca="false">IF($A245="N/A"," ",S245*$AT245)</f>
        <v> </v>
      </c>
      <c r="BM245" s="303" t="str">
        <f aca="false">IF($A245="N/A"," ",T245*$AU245)</f>
        <v> </v>
      </c>
      <c r="BN245" s="303" t="str">
        <f aca="false">IF($A245="N/A"," ",U245*$AV245)</f>
        <v> </v>
      </c>
      <c r="BO245" s="303" t="str">
        <f aca="false">IF($A245="N/A"," ",V245*$AW245)</f>
        <v> </v>
      </c>
      <c r="BP245" s="303" t="str">
        <f aca="false">IF($A245="N/A"," ",W245*$AX245)</f>
        <v> </v>
      </c>
      <c r="BQ245" s="303" t="str">
        <f aca="false">IF($A245="N/A"," ",X245*$AY245)</f>
        <v> </v>
      </c>
      <c r="BR245" s="303" t="str">
        <f aca="false">IF($A245="N/A"," ",Y245*$AZ245)</f>
        <v> </v>
      </c>
      <c r="BS245" s="304" t="str">
        <f aca="false">IF($A245="N/A"," ",Z245*$BA245)</f>
        <v> </v>
      </c>
      <c r="BT245" s="305" t="str">
        <f aca="false">IF($A245="N/A"," ",AA245*$AS245)</f>
        <v> </v>
      </c>
      <c r="BU245" s="306" t="str">
        <f aca="false">IF($A245="N/A"," ",AB245*$AT245)</f>
        <v> </v>
      </c>
      <c r="BV245" s="306" t="str">
        <f aca="false">IF($A245="N/A"," ",AC245*$AU245)</f>
        <v> </v>
      </c>
      <c r="BW245" s="306" t="str">
        <f aca="false">IF($A245="N/A"," ",AD245*$AV245)</f>
        <v> </v>
      </c>
      <c r="BX245" s="306" t="str">
        <f aca="false">IF($A245="N/A"," ",AE245*$AW245)</f>
        <v> </v>
      </c>
      <c r="BY245" s="306" t="str">
        <f aca="false">IF($A245="N/A"," ",AF245*$AX245)</f>
        <v> </v>
      </c>
      <c r="BZ245" s="306" t="str">
        <f aca="false">IF($A245="N/A"," ",AG245*$AY245)</f>
        <v> </v>
      </c>
      <c r="CA245" s="306" t="str">
        <f aca="false">IF($A245="N/A"," ",AH245*$AZ245)</f>
        <v> </v>
      </c>
      <c r="CB245" s="307" t="str">
        <f aca="false">IF($A245="N/A"," ",AI245*$BA245)</f>
        <v> </v>
      </c>
      <c r="CC245" s="308" t="str">
        <f aca="false">IF($A245="N/A"," ",AJ245*$AS245)</f>
        <v> </v>
      </c>
      <c r="CD245" s="309" t="str">
        <f aca="false">IF($A245="N/A"," ",AK245*$AT245)</f>
        <v> </v>
      </c>
      <c r="CE245" s="309" t="str">
        <f aca="false">IF($A245="N/A"," ",AL245*$AU245)</f>
        <v> </v>
      </c>
      <c r="CF245" s="309" t="str">
        <f aca="false">IF($A245="N/A"," ",AM245*$AV245)</f>
        <v> </v>
      </c>
      <c r="CG245" s="309" t="str">
        <f aca="false">IF($A245="N/A"," ",AN245*$AW245)</f>
        <v> </v>
      </c>
      <c r="CH245" s="309" t="str">
        <f aca="false">IF($A245="N/A"," ",AO245*$AX245)</f>
        <v> </v>
      </c>
      <c r="CI245" s="309" t="str">
        <f aca="false">IF($A245="N/A"," ",AP245*$AY245)</f>
        <v> </v>
      </c>
      <c r="CJ245" s="309" t="str">
        <f aca="false">IF($A245="N/A"," ",AQ245*$AZ245)</f>
        <v> </v>
      </c>
      <c r="CK245" s="310" t="str">
        <f aca="false">IF($A245="N/A"," ",AR245*$BA245)</f>
        <v> </v>
      </c>
      <c r="CL245" s="311" t="str">
        <f aca="false">IF(A245="N/A"," ",(VLOOKUP(A245,PowerVolTable,(IF(VolBMO=2,7,IF(VolBMO=1,6,8))),FALSE())))</f>
        <v> </v>
      </c>
      <c r="CM245" s="312" t="str">
        <f aca="false">IF(A245="N/A"," ",(VLOOKUP(A245,IntraPowerVol,(IF(VolBMO=2,3,IF(VolBMO=1,2,4))),FALSE())*VLOOKUP(MONTH($A245),Volscale,2)))</f>
        <v> </v>
      </c>
      <c r="CN245" s="312" t="str">
        <f aca="false">IF($A245="N/A"," ",IF(VolType=1,CM245,CL245))</f>
        <v> </v>
      </c>
      <c r="CO245" s="312" t="str">
        <f aca="false">IF($A245="N/A"," ",(VLOOKUP($A245,OffPeakVol,(IF(VolBMO=2,7,IF(VolBMO=1,6,8))),FALSE())))</f>
        <v> </v>
      </c>
      <c r="CP245" s="312" t="str">
        <f aca="false">IF($A245="N/A"," ",(VLOOKUP($A245,OffPeakVol,(IF(VolBMO=2,3,IF(VolBMO=1,2,4))),FALSE())*VLOOKUP(MONTH($A245),Volscale,2)))</f>
        <v> </v>
      </c>
      <c r="CQ245" s="312" t="str">
        <f aca="false">IF($A245="N/A"," ",IF(VolType=1,CP245,CO245))</f>
        <v> </v>
      </c>
      <c r="CR245" s="312" t="str">
        <f aca="false">IF($A245="N/A"," ",(VLOOKUP($A245,GasVolTable,(IF(VolBMO=2,6,IF(VolBMO=1,7,5))),FALSE())))</f>
        <v> </v>
      </c>
      <c r="CS245" s="312" t="str">
        <f aca="false">IF($A245="N/A"," ",(VLOOKUP($A245,OmicronVol,(IF(VolBMO=2,3,IF(VolBMO=1,4,2))),FALSE())))</f>
        <v> </v>
      </c>
      <c r="CT245" s="312" t="str">
        <f aca="false">IF($A245="N/A"," ",(IF(DateToday&gt;$A245,$CS245,IF(VolType=1,((($CR245^2)*((($A245-1)-DateToday)/((EOMONTH($A245,0)+1)-DateToday-15)))+((($CS245)^2)*((15)/((EOMONTH($A245,0)+1)-DateToday-15))))^0.5,CR245))))</f>
        <v> </v>
      </c>
      <c r="CU245" s="312" t="str">
        <f aca="false">IF($A245="N/A"," ",IF('Pricing Inputs'!$AR$23=TRUE(),Inputs!$S$22,VLOOKUP($A245,CorrelationTable,2,FALSE())))</f>
        <v> </v>
      </c>
      <c r="CV245" s="313" t="str">
        <f aca="false">IF($A245="N/A"," ",F245+G245+(D245*('Pricing Inputs'!X280)))</f>
        <v> </v>
      </c>
      <c r="CW245" s="314" t="str">
        <f aca="false">IF($A245="N/A"," ",IF(PV=1,0,'Pricing Inputs'!Y280))</f>
        <v> </v>
      </c>
      <c r="CX245" s="315" t="str">
        <f aca="false">IF($A245="N/A"," ",(1+CW245/2)^(-2*((EOMONTH(A245,0)+20)-DateToday)/365.25))</f>
        <v> </v>
      </c>
      <c r="CY245" s="316" t="str">
        <f aca="false">IF($A245="N/A"," ",(IF(MONTH(A245)&gt;=4,IF(MONTH(A245)&lt;=10,Inputs!$S$26,Inputs!$S$27),Inputs!$S$27))*$CX245)</f>
        <v> </v>
      </c>
      <c r="CZ245" s="317" t="str">
        <f aca="false">IF($A245="N/A"," ",BK245+BL245+BN245+BO245+BQ245+BR245)</f>
        <v> </v>
      </c>
      <c r="DA245" s="318" t="str">
        <f aca="false">IF($A245="N/A"," ",BM245+BP245+BS245)</f>
        <v> </v>
      </c>
      <c r="DB245" s="319" t="str">
        <f aca="false">IF($A245="N/A"," ",BT245+BU245+BW245+BX245+BZ245+CA245)</f>
        <v> </v>
      </c>
      <c r="DC245" s="319" t="str">
        <f aca="false">IF($A245="N/A"," ",BV245+BY245+CB245)</f>
        <v> </v>
      </c>
      <c r="DD245" s="320" t="str">
        <f aca="false">IF($A245="N/A"," ",SUM(CC245:CK245))</f>
        <v> </v>
      </c>
      <c r="DE245" s="321" t="str">
        <f aca="false">IF($A245="N/A"," ",VLOOKUP($A245,NumberofDaysTable,2)*Availability)</f>
        <v> </v>
      </c>
      <c r="DF245" s="94" t="str">
        <f aca="false">IF($A245="N/A"," ",VLOOKUP($A245,NumberofDaysTable,3)*Availability)</f>
        <v> </v>
      </c>
      <c r="DG245" s="322" t="str">
        <f aca="false">IF($A245="N/A"," ",VLOOKUP($A245,NumberofDaysTable,4)*Availability)</f>
        <v> </v>
      </c>
      <c r="DH245" s="323" t="str">
        <f aca="false">IF($A245="N/A"," ",IF(Option=1,$D245*Inputs!$S$15*SUM(AS245:BA245),0))</f>
        <v> </v>
      </c>
      <c r="DI245" s="324" t="str">
        <f aca="false">IF($A245="N/A"," ",IF(Option=1,$D245*Inputs!$S$16*SUM(AS245:BA245),0))</f>
        <v> </v>
      </c>
      <c r="DJ245" s="325" t="str">
        <f aca="false">IF($A245="N/A"," ",SUM(AS245:AT245))</f>
        <v> </v>
      </c>
      <c r="DK245" s="325" t="str">
        <f aca="false">IF($A245="N/A"," ",SUM(AU245:BA245))</f>
        <v> </v>
      </c>
      <c r="DL245" s="325" t="str">
        <f aca="false">IF($A245="N/A"," ",SUM(BB245:BC245))</f>
        <v> </v>
      </c>
      <c r="DM245" s="325" t="str">
        <f aca="false">IF($A245="N/A"," ",SUM(BD245:BJ245))</f>
        <v> </v>
      </c>
    </row>
    <row r="246" customFormat="false" ht="12.75" hidden="false" customHeight="false" outlineLevel="0" collapsed="false">
      <c r="A246" s="282" t="str">
        <f aca="false">IF(A245="N/A","N/A",IF(EDATE(A245,1)&gt;Inputs!$S$5,"N/A",EDATE(A245,1)))</f>
        <v>N/A</v>
      </c>
      <c r="B246" s="283" t="str">
        <f aca="false">IF(A246="N/A"," ",YEAR(A246))</f>
        <v> </v>
      </c>
      <c r="C246" s="284" t="str">
        <f aca="false">IF(A246="N/A"," ",VLOOKUP(A246,ScaledPrice,14))</f>
        <v> </v>
      </c>
      <c r="D246" s="285" t="str">
        <f aca="false">IF(A246="N/A"," ",(VLOOKUP(MONTH($A246),Hrtable,2))/1000)</f>
        <v> </v>
      </c>
      <c r="E246" s="286" t="str">
        <f aca="false">IF($A246="N/A"," ",(C246)*D246)</f>
        <v> </v>
      </c>
      <c r="F246" s="287" t="str">
        <f aca="false">IF(A246="N/A"," ",VOM*(1+VOMesc)^(YEAR(A246)-YEAR(Today)))</f>
        <v> </v>
      </c>
      <c r="G246" s="287" t="str">
        <f aca="false">IF(A246="N/A"," ",Perstart/VLOOKUP(Dayrun,'Pricing Inputs'!$AQ$4:$AS$14,3)/(CY246/CX246))</f>
        <v> </v>
      </c>
      <c r="H246" s="288" t="str">
        <f aca="false">IF(A246="N/A"," ",SUM(E246:G246))</f>
        <v> </v>
      </c>
      <c r="I246" s="289" t="str">
        <f aca="false">VLOOKUP($A246,ScaledPrice,6)</f>
        <v> </v>
      </c>
      <c r="J246" s="290" t="str">
        <f aca="false">VLOOKUP($A246,ScaledPrice,10)</f>
        <v> </v>
      </c>
      <c r="K246" s="290" t="str">
        <f aca="false">VLOOKUP($A246,ScaledPrice,13)</f>
        <v> </v>
      </c>
      <c r="L246" s="290" t="str">
        <f aca="false">VLOOKUP($A246,ScaledPrice,7)</f>
        <v> </v>
      </c>
      <c r="M246" s="290" t="str">
        <f aca="false">VLOOKUP($A246,ScaledPrice,11)</f>
        <v> </v>
      </c>
      <c r="N246" s="290" t="str">
        <f aca="false">VLOOKUP($A246,ScaledPrice,13)</f>
        <v> </v>
      </c>
      <c r="O246" s="290" t="str">
        <f aca="false">VLOOKUP($A246,ScaledPrice,8)</f>
        <v> </v>
      </c>
      <c r="P246" s="290" t="str">
        <f aca="false">VLOOKUP($A246,ScaledPrice,12)</f>
        <v> </v>
      </c>
      <c r="Q246" s="291" t="str">
        <f aca="false">VLOOKUP($A246,ScaledPrice,13)</f>
        <v> </v>
      </c>
      <c r="R246" s="292" t="str">
        <f aca="false">IF($A246="N/A"," ",IF(Dayrun&gt;=3,IF(Option=1,MAX($I246-$H246,0),IF(Option=2,MAX($H246-$I246,0),0)),0))</f>
        <v> </v>
      </c>
      <c r="S246" s="286" t="str">
        <f aca="false">IF($A246="N/A"," ",IF(Dayrun&gt;=6,IF(Option=1,MAX($J246-H246,0),IF(Option=2,MAX(H246-$J246,0),0)),0))</f>
        <v> </v>
      </c>
      <c r="T246" s="286" t="str">
        <f aca="false">IF($A246="N/A"," ",IF(OR(Dayrun&lt;=2,Dayrun&gt;=9),IF(Option=1,MAX($K246-$H246,0),IF(Option=2,MAX($H246-$K246,0),0)),0))</f>
        <v> </v>
      </c>
      <c r="U246" s="286" t="str">
        <f aca="false">IF($A246="N/A"," ",IF(OR(Dayrun=1,Dayrun=4,Dayrun=5,Dayrun=7,Dayrun=8,Dayrun=10,Dayrun=11),IF(Option=1,MAX($L246-H246,0),IF(Option=2,MAX(H246-$L246,0),0)),0))</f>
        <v> </v>
      </c>
      <c r="V246" s="286" t="str">
        <f aca="false">IF($A246="N/A"," ",IF(OR(Dayrun=1,Dayrun=7,Dayrun=8,Dayrun=10,Dayrun=11),IF(Option=1,MAX($M246-H246,0),IF(Option=2,MAX(H246-$M246,0),0)),0))</f>
        <v> </v>
      </c>
      <c r="W246" s="286" t="str">
        <f aca="false">IF($A246="N/A"," ",IF(OR(Dayrun&lt;=2,Dayrun&gt;=10),IF(Option=1,MAX($N246-$H246,0),IF(Option=2,MAX($H246-$N246,0),0)),0))</f>
        <v> </v>
      </c>
      <c r="X246" s="286" t="str">
        <f aca="false">IF($A246="N/A"," ",IF(OR(Dayrun=1,Dayrun=5,Dayrun=8,Dayrun=11),IF(Option=1,MAX($O246-H246,0),IF(Option=2,MAX(H246-$O246,0),0)),0))</f>
        <v> </v>
      </c>
      <c r="Y246" s="286" t="str">
        <f aca="false">IF($A246="N/A"," ",IF(OR(Dayrun=1,Dayrun=8,Dayrun=11),IF(Option=1,MAX($P246-H246,0),IF(Option=2,MAX(H246-$P246,0),0)),0))</f>
        <v> </v>
      </c>
      <c r="Z246" s="293" t="str">
        <f aca="false">IF($A246="N/A"," ",IF(OR(Dayrun&lt;=2,Dayrun&gt;=11),IF(Option=1,MAX($Q246-$H246,0),IF(Option=2,MAX($H246-$Q246,0),0)),0))</f>
        <v> </v>
      </c>
      <c r="AA246" s="289" t="str">
        <f aca="false">IF($A246="N/A"," ",IF(Dayrun&gt;=3,(MAX(0,(xSPRDOPT(I246,($E246-'Pricing Inputs'!$X281*$D246),$CV246,0,($CN246+IF(Smile=TRUE(),VLOOKUP(MAX(-5,$H246-I246),Volsmile,2),0)),$CT246,$CU246,($A246-DateToday)+15,ABS(Option-2),0)-R246))),0))</f>
        <v> </v>
      </c>
      <c r="AB246" s="290" t="str">
        <f aca="false">IF($A246="N/A"," ",IF(Dayrun&gt;=6,MAX(0,(xSPRDOPT(J246,($E246-'Pricing Inputs'!$X281*$D246),$CV246,0,($CN246+IF(Smile=TRUE(),VLOOKUP(MAX(-5,$H246-J246),Volsmile,2),0)),$CT246,$CU246,($A246-DateToday)+15,ABS(Option-2),0)-S246)),0))</f>
        <v> </v>
      </c>
      <c r="AC246" s="290" t="str">
        <f aca="false">IF($A246="N/A"," ",IF(OR(Dayrun&lt;=2,Dayrun&gt;=9),IF(OffPeakEx=TRUE(),MAX(0,(xSPRDOPT(K246,($E246-'Pricing Inputs'!$X281*$D246),$CV246,0,($CQ246+IF(Smile=TRUE(),VLOOKUP(MAX(-5,$H246-K246),Volsmile,2),0)),$CT246,$CU246,($A246-DateToday)+15,ABS(Option-2),0)-T246)),0),0))</f>
        <v> </v>
      </c>
      <c r="AD246" s="290" t="str">
        <f aca="false">IF($A246="N/A"," ",IF(OR(Dayrun=1,Dayrun=4,Dayrun=5,Dayrun=7,Dayrun=8,Dayrun=10,Dayrun=11),MAX(0,(xSPRDOPT(L246,($E246-'Pricing Inputs'!$X281*$D246),$CV246,0,($CQ246+IF(Smile=TRUE(),VLOOKUP(MAX(-5,$H246-L246),Volsmile,2),0)),$CT246,$CU246,($A246-DateToday)+15,ABS(Option-2),0)-U246)),0))</f>
        <v> </v>
      </c>
      <c r="AE246" s="290" t="str">
        <f aca="false">IF($A246="N/A"," ",IF(OR(Dayrun=1,Dayrun=7,Dayrun=8,Dayrun=10,Dayrun=11),MAX(0,(xSPRDOPT(M246,($E246-'Pricing Inputs'!$X281*$D246),$CV246,0,($CQ246+IF(Smile=TRUE(),VLOOKUP(MAX(-5,$H246-M246),Volsmile,2),0)),$CT246,$CU246,($A246-DateToday)+15,ABS(Option-2),0)-V246)),0))</f>
        <v> </v>
      </c>
      <c r="AF246" s="290" t="str">
        <f aca="false">IF($A246="N/A"," ",IF(OR(Dayrun&lt;=2,Dayrun&gt;=10),IF(OffPeakEx=TRUE(),MAX(0,(xSPRDOPT(N246,($E246-'Pricing Inputs'!$X281*$D246),$CV246,0,($CQ246+IF(Smile=TRUE(),VLOOKUP(MAX(-5,$H246-N246),Volsmile,2),0)),$CT246,$CU246,($A246-DateToday)+15,ABS(Option-2),0)-W246)),0),0))</f>
        <v> </v>
      </c>
      <c r="AG246" s="290" t="str">
        <f aca="false">IF($A246="N/A"," ",IF(OR(Dayrun=1,Dayrun=5,Dayrun=8,Dayrun=11),MAX(0,(xSPRDOPT(O246,($E246-'Pricing Inputs'!$X281*$D246),$CV246,0,($CQ246+IF(Smile=TRUE(),VLOOKUP(MAX(-5,$H246-O246),Volsmile,2),0)),$CT246,$CU246,($A246-DateToday)+15,ABS(Option-2),0)-X246)),0))</f>
        <v> </v>
      </c>
      <c r="AH246" s="290" t="str">
        <f aca="false">IF($A246="N/A"," ",IF(OR(Dayrun=1,Dayrun=8,Dayrun=11),MAX(0,(xSPRDOPT(P246,($E246-'Pricing Inputs'!$X281*$D246),$CV246,0,($CQ246+IF(Smile=TRUE(),VLOOKUP(MAX(-5,$H246-P246),Volsmile,2),0)),$CT246,$CU246,($A246-DateToday)+15,ABS(Option-2),0)-Y246)),0))</f>
        <v> </v>
      </c>
      <c r="AI246" s="290" t="str">
        <f aca="false">IF($A246="N/A"," ",IF(OR(Dayrun&lt;=2,Dayrun&gt;=11),IF(OffPeakEx=TRUE(),MAX(0,(xSPRDOPT(Q246,($E246-'Pricing Inputs'!$X281*$D246),$CV246,0,($CQ246+IF(Smile=TRUE(),VLOOKUP(MAX(-5,$H246-Q246),Volsmile,2),0)),$CT246,$CU246,($A246-DateToday)+15,ABS(Option-2),0)-Z246)),0),0))</f>
        <v> </v>
      </c>
      <c r="AJ246" s="294" t="str">
        <f aca="false">IF($A246="N/A"," ",IF(Dayrun&gt;=3,IF(Option=1,$I246-$H246,IF(Option=2,$H246-$I246)),0))</f>
        <v> </v>
      </c>
      <c r="AK246" s="295" t="str">
        <f aca="false">IF($A246="N/A"," ",IF(Dayrun&gt;=6,IF(Option=1,$J246-H246,IF(Option=2,H246-$J246)),0))</f>
        <v> </v>
      </c>
      <c r="AL246" s="295" t="str">
        <f aca="false">IF($A246="N/A"," ",IF(OR(Dayrun&lt;=2,Dayrun&gt;=9),IF(Option=1,$K246-$H246,IF(Option=2,$H246-$K246)),0))</f>
        <v> </v>
      </c>
      <c r="AM246" s="295" t="str">
        <f aca="false">IF($A246="N/A"," ",IF(OR(Dayrun=1,Dayrun=4,Dayrun=5,Dayrun=7,Dayrun=8,Dayrun=10,Dayrun=11),IF(Option=1,$L246-H246,IF(Option=2,H246-$L246)),0))</f>
        <v> </v>
      </c>
      <c r="AN246" s="295" t="str">
        <f aca="false">IF($A246="N/A"," ",IF(OR(Dayrun=1,Dayrun=7,Dayrun=8,Dayrun=10,Dayrun=11),IF(Option=1,$M246-H246,IF(Option=2,H246-$M246)),0))</f>
        <v> </v>
      </c>
      <c r="AO246" s="295" t="str">
        <f aca="false">IF($A246="N/A"," ",IF(OR(Dayrun&lt;=2,Dayrun&gt;=9),IF(Option=1,$N246-$H246,IF(Option=2,$H246-$N246)),0))</f>
        <v> </v>
      </c>
      <c r="AP246" s="295" t="str">
        <f aca="false">IF($A246="N/A"," ",IF(OR(Dayrun=1,Dayrun=5,Dayrun=8,Dayrun=11),IF(Option=1,$O246-H246,IF(Option=2,H246-$O246)),0))</f>
        <v> </v>
      </c>
      <c r="AQ246" s="295" t="str">
        <f aca="false">IF($A246="N/A"," ",IF(OR(Dayrun=1,Dayrun=8,Dayrun=11),IF(Option=1,$P246-H246,IF(Option=2,H246-$P246)),0))</f>
        <v> </v>
      </c>
      <c r="AR246" s="296" t="str">
        <f aca="false">IF($A246="N/A"," ",IF(OR(Dayrun&lt;=2,Dayrun&gt;=9),IF(Option=1,$Q246-H246,IF(Option=2,H246-$Q246)),0))</f>
        <v> </v>
      </c>
      <c r="AS246" s="297" t="str">
        <f aca="false">IF($A246="N/A"," ",IF(VLOOKUP(MONTH($A246),ManualTable,2)=1,IF(Dayrun&gt;=3,$DE246*8*$CY246,0),0))</f>
        <v> </v>
      </c>
      <c r="AT246" s="297" t="str">
        <f aca="false">IF($A246="N/A"," ",IF(VLOOKUP(MONTH($A246),ManualTable,3)=1,IF(Dayrun&gt;=6,$DE246*8*$CY246,0),0))</f>
        <v> </v>
      </c>
      <c r="AU246" s="297" t="str">
        <f aca="false">IF($A246="N/A"," ",IF(VLOOKUP(MONTH($A246),ManualTable,4)=1,IF(OR(Dayrun&lt;=2,Dayrun&gt;=9),$DE246*8*$CY246,0),0))</f>
        <v> </v>
      </c>
      <c r="AV246" s="297" t="str">
        <f aca="false">IF($A246="N/A"," ",IF(VLOOKUP(MONTH($A246),ManualTable,5)=1,IF(OR(Dayrun=1,Dayrun=4,Dayrun=5,Dayrun=7,Dayrun=8,Dayrun=10,Dayrun=11),$DF246*8*$CY246,0),0))</f>
        <v> </v>
      </c>
      <c r="AW246" s="297" t="str">
        <f aca="false">IF($A246="N/A"," ",IF(VLOOKUP(MONTH($A246),ManualTable,6)=1,IF(OR(Dayrun=1,Dayrun=7,Dayrun=8,Dayrun=10,Dayrun=11),$DF246*8*$CY246,0),0))</f>
        <v> </v>
      </c>
      <c r="AX246" s="297" t="str">
        <f aca="false">IF($A246="N/A"," ",IF(VLOOKUP(MONTH($A246),ManualTable,7)=1,IF(OR(Dayrun&lt;=2,Dayrun&gt;=9),$DF246*8*$CY246,0),0))</f>
        <v> </v>
      </c>
      <c r="AY246" s="297" t="str">
        <f aca="false">IF($A246="N/A"," ",IF(VLOOKUP(MONTH($A246),ManualTable,8)=1,IF(OR(Dayrun=1,Dayrun=5,Dayrun=8,Dayrun=11),$DG246*8*$CY246,0),0))</f>
        <v> </v>
      </c>
      <c r="AZ246" s="297" t="str">
        <f aca="false">IF($A246="N/A"," ",IF(VLOOKUP(MONTH($A246),ManualTable,9)=1,IF(OR(Dayrun=1,Dayrun=8,Dayrun=11),$DG246*8*$CY246,0),0))</f>
        <v> </v>
      </c>
      <c r="BA246" s="298" t="str">
        <f aca="false">IF($A246="N/A"," ",IF(VLOOKUP(MONTH($A246),ManualTable,10)=1,IF(OR(Dayrun&lt;=2,Dayrun&gt;=9),$DG246*8*$CY246,0),0))</f>
        <v> </v>
      </c>
      <c r="BB246" s="299" t="str">
        <f aca="false">IF($A246="N/A"," ",IF(Dayrun&gt;=3,(MAX(0,(xSPRDOPT(I246,($E246-'Pricing Inputs'!$X281*$D246),$CV246,0,($CN246+IF(Smile=TRUE(),VLOOKUP(MAX(-5,$H246-I246),Volsmile,2),0)),$CT246,$CU246,($A246-DateToday)+15,ABS(Option-2),1)*DE246*8))),0))</f>
        <v> </v>
      </c>
      <c r="BC246" s="300" t="str">
        <f aca="false">IF($A246="N/A"," ",IF(Dayrun&gt;=6,MAX(0,(xSPRDOPT(J246,($E246-'Pricing Inputs'!$X281*$D246),$CV246,0,($CN246+IF(Smile=TRUE(),VLOOKUP(MAX(-5,$H246-J246),Volsmile,2),0)),$CT246,$CU246,($A246-DateToday)+15,ABS(Option-2),1)*DE246*8)),0))</f>
        <v> </v>
      </c>
      <c r="BD246" s="300" t="str">
        <f aca="false">IF($A246="N/A"," ",IF(OR(Dayrun&lt;=2,Dayrun&gt;=9),IF(OffPeakEx=TRUE(),MAX(0,(xSPRDOPT(K246,($E246-'Pricing Inputs'!$X281*$D246),$CV246,0,($CQ246+IF(Smile=TRUE(),VLOOKUP(MAX(-5,$H246-K246),Volsmile,2),0)),$CT246,$CU246,($A246-DateToday)+15,ABS(Option-2),1)*DE246*8)),0),0))</f>
        <v> </v>
      </c>
      <c r="BE246" s="300" t="str">
        <f aca="false">IF($A246="N/A"," ",IF(OR(Dayrun=1,Dayrun=4,Dayrun=5,Dayrun=7,Dayrun=8,Dayrun=10,Dayrun=11),MAX(0,(xSPRDOPT(L246,($E246-'Pricing Inputs'!$X281*$D246),$CV246,0,($CQ246+IF(Smile=TRUE(),VLOOKUP(MAX(-5,$H246-L246),Volsmile,2),0)),$CT246,$CU246,($A246-DateToday)+15,ABS(Option-2),1)*DF246*8)),0))</f>
        <v> </v>
      </c>
      <c r="BF246" s="300" t="str">
        <f aca="false">IF($A246="N/A"," ",IF(OR(Dayrun=1,Dayrun=7,Dayrun=8,Dayrun=10,Dayrun=11),MAX(0,(xSPRDOPT(M246,($E246-'Pricing Inputs'!$X281*$D246),$CV246,0,($CQ246+IF(Smile=TRUE(),VLOOKUP(MAX(-5,$H246-M246),Volsmile,2),0)),$CT246,$CU246,($A246-DateToday)+15,ABS(Option-2),1)*DF246*8)),0))</f>
        <v> </v>
      </c>
      <c r="BG246" s="300" t="str">
        <f aca="false">IF($A246="N/A"," ",IF(OR(Dayrun&lt;=2,Dayrun&gt;=10),IF(OffPeakEx=TRUE(),MAX(0,(xSPRDOPT(N246,($E246-'Pricing Inputs'!$X281*$D246),$CV246,0,($CQ246+IF(Smile=TRUE(),VLOOKUP(MAX(-5,$H246-N246),Volsmile,2),0)),$CT246,$CU246,($A246-DateToday)+15,ABS(Option-2),1)*DF246*8)),0),0))</f>
        <v> </v>
      </c>
      <c r="BH246" s="300" t="str">
        <f aca="false">IF($A246="N/A"," ",IF(OR(Dayrun=1,Dayrun=5,Dayrun=8,Dayrun=11),MAX(0,(xSPRDOPT(O246,($E246-'Pricing Inputs'!$X281*$D246),$CV246,0,($CQ246+IF(Smile=TRUE(),VLOOKUP(MAX(-5,$H246-O246),Volsmile,2),0)),$CT246,$CU246,($A246-DateToday)+15,ABS(Option-2),1)*DG246*8)),0))</f>
        <v> </v>
      </c>
      <c r="BI246" s="300" t="str">
        <f aca="false">IF($A246="N/A"," ",IF(OR(Dayrun=1,Dayrun=8,Dayrun=11),MAX(0,(xSPRDOPT(P246,($E246-'Pricing Inputs'!$X281*$D246),$CV246,0,($CQ246+IF(Smile=TRUE(),VLOOKUP(MAX(-5,$H246-P246),Volsmile,2),0)),$CT246,$CU246,($A246-DateToday)+15,ABS(Option-2),1)*DG246*8)),0))</f>
        <v> </v>
      </c>
      <c r="BJ246" s="301" t="str">
        <f aca="false">IF($A246="N/A"," ",IF(OR(Dayrun&lt;=2,Dayrun&gt;=11),IF(OffPeakEx=TRUE(),MAX(0,(xSPRDOPT(Q246,($E246-'Pricing Inputs'!$X281*$D246),$CV246,0,($CQ246+IF(Smile=TRUE(),VLOOKUP(MAX(-5,$H246-Q246),Volsmile,2),0)),$CT246,$CU246,($A246-DateToday)+15,ABS(Option-2),1)*DG246*8)),0),0))</f>
        <v> </v>
      </c>
      <c r="BK246" s="302" t="str">
        <f aca="false">IF($A246="N/A"," ",R246*$AS246)</f>
        <v> </v>
      </c>
      <c r="BL246" s="303" t="str">
        <f aca="false">IF($A246="N/A"," ",S246*$AT246)</f>
        <v> </v>
      </c>
      <c r="BM246" s="303" t="str">
        <f aca="false">IF($A246="N/A"," ",T246*$AU246)</f>
        <v> </v>
      </c>
      <c r="BN246" s="303" t="str">
        <f aca="false">IF($A246="N/A"," ",U246*$AV246)</f>
        <v> </v>
      </c>
      <c r="BO246" s="303" t="str">
        <f aca="false">IF($A246="N/A"," ",V246*$AW246)</f>
        <v> </v>
      </c>
      <c r="BP246" s="303" t="str">
        <f aca="false">IF($A246="N/A"," ",W246*$AX246)</f>
        <v> </v>
      </c>
      <c r="BQ246" s="303" t="str">
        <f aca="false">IF($A246="N/A"," ",X246*$AY246)</f>
        <v> </v>
      </c>
      <c r="BR246" s="303" t="str">
        <f aca="false">IF($A246="N/A"," ",Y246*$AZ246)</f>
        <v> </v>
      </c>
      <c r="BS246" s="304" t="str">
        <f aca="false">IF($A246="N/A"," ",Z246*$BA246)</f>
        <v> </v>
      </c>
      <c r="BT246" s="305" t="str">
        <f aca="false">IF($A246="N/A"," ",AA246*$AS246)</f>
        <v> </v>
      </c>
      <c r="BU246" s="306" t="str">
        <f aca="false">IF($A246="N/A"," ",AB246*$AT246)</f>
        <v> </v>
      </c>
      <c r="BV246" s="306" t="str">
        <f aca="false">IF($A246="N/A"," ",AC246*$AU246)</f>
        <v> </v>
      </c>
      <c r="BW246" s="306" t="str">
        <f aca="false">IF($A246="N/A"," ",AD246*$AV246)</f>
        <v> </v>
      </c>
      <c r="BX246" s="306" t="str">
        <f aca="false">IF($A246="N/A"," ",AE246*$AW246)</f>
        <v> </v>
      </c>
      <c r="BY246" s="306" t="str">
        <f aca="false">IF($A246="N/A"," ",AF246*$AX246)</f>
        <v> </v>
      </c>
      <c r="BZ246" s="306" t="str">
        <f aca="false">IF($A246="N/A"," ",AG246*$AY246)</f>
        <v> </v>
      </c>
      <c r="CA246" s="306" t="str">
        <f aca="false">IF($A246="N/A"," ",AH246*$AZ246)</f>
        <v> </v>
      </c>
      <c r="CB246" s="307" t="str">
        <f aca="false">IF($A246="N/A"," ",AI246*$BA246)</f>
        <v> </v>
      </c>
      <c r="CC246" s="308" t="str">
        <f aca="false">IF($A246="N/A"," ",AJ246*$AS246)</f>
        <v> </v>
      </c>
      <c r="CD246" s="309" t="str">
        <f aca="false">IF($A246="N/A"," ",AK246*$AT246)</f>
        <v> </v>
      </c>
      <c r="CE246" s="309" t="str">
        <f aca="false">IF($A246="N/A"," ",AL246*$AU246)</f>
        <v> </v>
      </c>
      <c r="CF246" s="309" t="str">
        <f aca="false">IF($A246="N/A"," ",AM246*$AV246)</f>
        <v> </v>
      </c>
      <c r="CG246" s="309" t="str">
        <f aca="false">IF($A246="N/A"," ",AN246*$AW246)</f>
        <v> </v>
      </c>
      <c r="CH246" s="309" t="str">
        <f aca="false">IF($A246="N/A"," ",AO246*$AX246)</f>
        <v> </v>
      </c>
      <c r="CI246" s="309" t="str">
        <f aca="false">IF($A246="N/A"," ",AP246*$AY246)</f>
        <v> </v>
      </c>
      <c r="CJ246" s="309" t="str">
        <f aca="false">IF($A246="N/A"," ",AQ246*$AZ246)</f>
        <v> </v>
      </c>
      <c r="CK246" s="310" t="str">
        <f aca="false">IF($A246="N/A"," ",AR246*$BA246)</f>
        <v> </v>
      </c>
      <c r="CL246" s="311" t="str">
        <f aca="false">IF(A246="N/A"," ",(VLOOKUP(A246,PowerVolTable,(IF(VolBMO=2,7,IF(VolBMO=1,6,8))),FALSE())))</f>
        <v> </v>
      </c>
      <c r="CM246" s="312" t="str">
        <f aca="false">IF(A246="N/A"," ",(VLOOKUP(A246,IntraPowerVol,(IF(VolBMO=2,3,IF(VolBMO=1,2,4))),FALSE())*VLOOKUP(MONTH($A246),Volscale,2)))</f>
        <v> </v>
      </c>
      <c r="CN246" s="312" t="str">
        <f aca="false">IF($A246="N/A"," ",IF(VolType=1,CM246,CL246))</f>
        <v> </v>
      </c>
      <c r="CO246" s="312" t="str">
        <f aca="false">IF($A246="N/A"," ",(VLOOKUP($A246,OffPeakVol,(IF(VolBMO=2,7,IF(VolBMO=1,6,8))),FALSE())))</f>
        <v> </v>
      </c>
      <c r="CP246" s="312" t="str">
        <f aca="false">IF($A246="N/A"," ",(VLOOKUP($A246,OffPeakVol,(IF(VolBMO=2,3,IF(VolBMO=1,2,4))),FALSE())*VLOOKUP(MONTH($A246),Volscale,2)))</f>
        <v> </v>
      </c>
      <c r="CQ246" s="312" t="str">
        <f aca="false">IF($A246="N/A"," ",IF(VolType=1,CP246,CO246))</f>
        <v> </v>
      </c>
      <c r="CR246" s="312" t="str">
        <f aca="false">IF($A246="N/A"," ",(VLOOKUP($A246,GasVolTable,(IF(VolBMO=2,6,IF(VolBMO=1,7,5))),FALSE())))</f>
        <v> </v>
      </c>
      <c r="CS246" s="312" t="str">
        <f aca="false">IF($A246="N/A"," ",(VLOOKUP($A246,OmicronVol,(IF(VolBMO=2,3,IF(VolBMO=1,4,2))),FALSE())))</f>
        <v> </v>
      </c>
      <c r="CT246" s="312" t="str">
        <f aca="false">IF($A246="N/A"," ",(IF(DateToday&gt;$A246,$CS246,IF(VolType=1,((($CR246^2)*((($A246-1)-DateToday)/((EOMONTH($A246,0)+1)-DateToday-15)))+((($CS246)^2)*((15)/((EOMONTH($A246,0)+1)-DateToday-15))))^0.5,CR246))))</f>
        <v> </v>
      </c>
      <c r="CU246" s="312" t="str">
        <f aca="false">IF($A246="N/A"," ",IF('Pricing Inputs'!$AR$23=TRUE(),Inputs!$S$22,VLOOKUP($A246,CorrelationTable,2,FALSE())))</f>
        <v> </v>
      </c>
      <c r="CV246" s="313" t="str">
        <f aca="false">IF($A246="N/A"," ",F246+G246+(D246*('Pricing Inputs'!X281)))</f>
        <v> </v>
      </c>
      <c r="CW246" s="314" t="str">
        <f aca="false">IF($A246="N/A"," ",IF(PV=1,0,'Pricing Inputs'!Y281))</f>
        <v> </v>
      </c>
      <c r="CX246" s="315" t="str">
        <f aca="false">IF($A246="N/A"," ",(1+CW246/2)^(-2*((EOMONTH(A246,0)+20)-DateToday)/365.25))</f>
        <v> </v>
      </c>
      <c r="CY246" s="316" t="str">
        <f aca="false">IF($A246="N/A"," ",(IF(MONTH(A246)&gt;=4,IF(MONTH(A246)&lt;=10,Inputs!$S$26,Inputs!$S$27),Inputs!$S$27))*$CX246)</f>
        <v> </v>
      </c>
      <c r="CZ246" s="317" t="str">
        <f aca="false">IF($A246="N/A"," ",BK246+BL246+BN246+BO246+BQ246+BR246)</f>
        <v> </v>
      </c>
      <c r="DA246" s="318" t="str">
        <f aca="false">IF($A246="N/A"," ",BM246+BP246+BS246)</f>
        <v> </v>
      </c>
      <c r="DB246" s="319" t="str">
        <f aca="false">IF($A246="N/A"," ",BT246+BU246+BW246+BX246+BZ246+CA246)</f>
        <v> </v>
      </c>
      <c r="DC246" s="319" t="str">
        <f aca="false">IF($A246="N/A"," ",BV246+BY246+CB246)</f>
        <v> </v>
      </c>
      <c r="DD246" s="320" t="str">
        <f aca="false">IF($A246="N/A"," ",SUM(CC246:CK246))</f>
        <v> </v>
      </c>
      <c r="DE246" s="321" t="str">
        <f aca="false">IF($A246="N/A"," ",VLOOKUP($A246,NumberofDaysTable,2)*Availability)</f>
        <v> </v>
      </c>
      <c r="DF246" s="94" t="str">
        <f aca="false">IF($A246="N/A"," ",VLOOKUP($A246,NumberofDaysTable,3)*Availability)</f>
        <v> </v>
      </c>
      <c r="DG246" s="322" t="str">
        <f aca="false">IF($A246="N/A"," ",VLOOKUP($A246,NumberofDaysTable,4)*Availability)</f>
        <v> </v>
      </c>
      <c r="DH246" s="323" t="str">
        <f aca="false">IF($A246="N/A"," ",IF(Option=1,$D246*Inputs!$S$15*SUM(AS246:BA246),0))</f>
        <v> </v>
      </c>
      <c r="DI246" s="324" t="str">
        <f aca="false">IF($A246="N/A"," ",IF(Option=1,$D246*Inputs!$S$16*SUM(AS246:BA246),0))</f>
        <v> </v>
      </c>
      <c r="DJ246" s="325" t="str">
        <f aca="false">IF($A246="N/A"," ",SUM(AS246:AT246))</f>
        <v> </v>
      </c>
      <c r="DK246" s="325" t="str">
        <f aca="false">IF($A246="N/A"," ",SUM(AU246:BA246))</f>
        <v> </v>
      </c>
      <c r="DL246" s="325" t="str">
        <f aca="false">IF($A246="N/A"," ",SUM(BB246:BC246))</f>
        <v> </v>
      </c>
      <c r="DM246" s="325" t="str">
        <f aca="false">IF($A246="N/A"," ",SUM(BD246:BJ246))</f>
        <v> </v>
      </c>
    </row>
    <row r="247" customFormat="false" ht="12.75" hidden="false" customHeight="false" outlineLevel="0" collapsed="false">
      <c r="A247" s="282" t="str">
        <f aca="false">IF(A246="N/A","N/A",IF(EDATE(A246,1)&gt;Inputs!$S$5,"N/A",EDATE(A246,1)))</f>
        <v>N/A</v>
      </c>
      <c r="B247" s="283" t="str">
        <f aca="false">IF(A247="N/A"," ",YEAR(A247))</f>
        <v> </v>
      </c>
      <c r="C247" s="284" t="str">
        <f aca="false">IF(A247="N/A"," ",VLOOKUP(A247,ScaledPrice,14))</f>
        <v> </v>
      </c>
      <c r="D247" s="285" t="str">
        <f aca="false">IF(A247="N/A"," ",(VLOOKUP(MONTH($A247),Hrtable,2))/1000)</f>
        <v> </v>
      </c>
      <c r="E247" s="286" t="str">
        <f aca="false">IF($A247="N/A"," ",(C247)*D247)</f>
        <v> </v>
      </c>
      <c r="F247" s="287" t="str">
        <f aca="false">IF(A247="N/A"," ",VOM*(1+VOMesc)^(YEAR(A247)-YEAR(Today)))</f>
        <v> </v>
      </c>
      <c r="G247" s="287" t="str">
        <f aca="false">IF(A247="N/A"," ",Perstart/VLOOKUP(Dayrun,'Pricing Inputs'!$AQ$4:$AS$14,3)/(CY247/CX247))</f>
        <v> </v>
      </c>
      <c r="H247" s="288" t="str">
        <f aca="false">IF(A247="N/A"," ",SUM(E247:G247))</f>
        <v> </v>
      </c>
      <c r="I247" s="289" t="str">
        <f aca="false">VLOOKUP($A247,ScaledPrice,6)</f>
        <v> </v>
      </c>
      <c r="J247" s="290" t="str">
        <f aca="false">VLOOKUP($A247,ScaledPrice,10)</f>
        <v> </v>
      </c>
      <c r="K247" s="290" t="str">
        <f aca="false">VLOOKUP($A247,ScaledPrice,13)</f>
        <v> </v>
      </c>
      <c r="L247" s="290" t="str">
        <f aca="false">VLOOKUP($A247,ScaledPrice,7)</f>
        <v> </v>
      </c>
      <c r="M247" s="290" t="str">
        <f aca="false">VLOOKUP($A247,ScaledPrice,11)</f>
        <v> </v>
      </c>
      <c r="N247" s="290" t="str">
        <f aca="false">VLOOKUP($A247,ScaledPrice,13)</f>
        <v> </v>
      </c>
      <c r="O247" s="290" t="str">
        <f aca="false">VLOOKUP($A247,ScaledPrice,8)</f>
        <v> </v>
      </c>
      <c r="P247" s="290" t="str">
        <f aca="false">VLOOKUP($A247,ScaledPrice,12)</f>
        <v> </v>
      </c>
      <c r="Q247" s="291" t="str">
        <f aca="false">VLOOKUP($A247,ScaledPrice,13)</f>
        <v> </v>
      </c>
      <c r="R247" s="292" t="str">
        <f aca="false">IF($A247="N/A"," ",IF(Dayrun&gt;=3,IF(Option=1,MAX($I247-$H247,0),IF(Option=2,MAX($H247-$I247,0),0)),0))</f>
        <v> </v>
      </c>
      <c r="S247" s="286" t="str">
        <f aca="false">IF($A247="N/A"," ",IF(Dayrun&gt;=6,IF(Option=1,MAX($J247-H247,0),IF(Option=2,MAX(H247-$J247,0),0)),0))</f>
        <v> </v>
      </c>
      <c r="T247" s="286" t="str">
        <f aca="false">IF($A247="N/A"," ",IF(OR(Dayrun&lt;=2,Dayrun&gt;=9),IF(Option=1,MAX($K247-$H247,0),IF(Option=2,MAX($H247-$K247,0),0)),0))</f>
        <v> </v>
      </c>
      <c r="U247" s="286" t="str">
        <f aca="false">IF($A247="N/A"," ",IF(OR(Dayrun=1,Dayrun=4,Dayrun=5,Dayrun=7,Dayrun=8,Dayrun=10,Dayrun=11),IF(Option=1,MAX($L247-H247,0),IF(Option=2,MAX(H247-$L247,0),0)),0))</f>
        <v> </v>
      </c>
      <c r="V247" s="286" t="str">
        <f aca="false">IF($A247="N/A"," ",IF(OR(Dayrun=1,Dayrun=7,Dayrun=8,Dayrun=10,Dayrun=11),IF(Option=1,MAX($M247-H247,0),IF(Option=2,MAX(H247-$M247,0),0)),0))</f>
        <v> </v>
      </c>
      <c r="W247" s="286" t="str">
        <f aca="false">IF($A247="N/A"," ",IF(OR(Dayrun&lt;=2,Dayrun&gt;=10),IF(Option=1,MAX($N247-$H247,0),IF(Option=2,MAX($H247-$N247,0),0)),0))</f>
        <v> </v>
      </c>
      <c r="X247" s="286" t="str">
        <f aca="false">IF($A247="N/A"," ",IF(OR(Dayrun=1,Dayrun=5,Dayrun=8,Dayrun=11),IF(Option=1,MAX($O247-H247,0),IF(Option=2,MAX(H247-$O247,0),0)),0))</f>
        <v> </v>
      </c>
      <c r="Y247" s="286" t="str">
        <f aca="false">IF($A247="N/A"," ",IF(OR(Dayrun=1,Dayrun=8,Dayrun=11),IF(Option=1,MAX($P247-H247,0),IF(Option=2,MAX(H247-$P247,0),0)),0))</f>
        <v> </v>
      </c>
      <c r="Z247" s="293" t="str">
        <f aca="false">IF($A247="N/A"," ",IF(OR(Dayrun&lt;=2,Dayrun&gt;=11),IF(Option=1,MAX($Q247-$H247,0),IF(Option=2,MAX($H247-$Q247,0),0)),0))</f>
        <v> </v>
      </c>
      <c r="AA247" s="289" t="str">
        <f aca="false">IF($A247="N/A"," ",IF(Dayrun&gt;=3,(MAX(0,(xSPRDOPT(I247,($E247-'Pricing Inputs'!$X282*$D247),$CV247,0,($CN247+IF(Smile=TRUE(),VLOOKUP(MAX(-5,$H247-I247),Volsmile,2),0)),$CT247,$CU247,($A247-DateToday)+15,ABS(Option-2),0)-R247))),0))</f>
        <v> </v>
      </c>
      <c r="AB247" s="290" t="str">
        <f aca="false">IF($A247="N/A"," ",IF(Dayrun&gt;=6,MAX(0,(xSPRDOPT(J247,($E247-'Pricing Inputs'!$X282*$D247),$CV247,0,($CN247+IF(Smile=TRUE(),VLOOKUP(MAX(-5,$H247-J247),Volsmile,2),0)),$CT247,$CU247,($A247-DateToday)+15,ABS(Option-2),0)-S247)),0))</f>
        <v> </v>
      </c>
      <c r="AC247" s="290" t="str">
        <f aca="false">IF($A247="N/A"," ",IF(OR(Dayrun&lt;=2,Dayrun&gt;=9),IF(OffPeakEx=TRUE(),MAX(0,(xSPRDOPT(K247,($E247-'Pricing Inputs'!$X282*$D247),$CV247,0,($CQ247+IF(Smile=TRUE(),VLOOKUP(MAX(-5,$H247-K247),Volsmile,2),0)),$CT247,$CU247,($A247-DateToday)+15,ABS(Option-2),0)-T247)),0),0))</f>
        <v> </v>
      </c>
      <c r="AD247" s="290" t="str">
        <f aca="false">IF($A247="N/A"," ",IF(OR(Dayrun=1,Dayrun=4,Dayrun=5,Dayrun=7,Dayrun=8,Dayrun=10,Dayrun=11),MAX(0,(xSPRDOPT(L247,($E247-'Pricing Inputs'!$X282*$D247),$CV247,0,($CQ247+IF(Smile=TRUE(),VLOOKUP(MAX(-5,$H247-L247),Volsmile,2),0)),$CT247,$CU247,($A247-DateToday)+15,ABS(Option-2),0)-U247)),0))</f>
        <v> </v>
      </c>
      <c r="AE247" s="290" t="str">
        <f aca="false">IF($A247="N/A"," ",IF(OR(Dayrun=1,Dayrun=7,Dayrun=8,Dayrun=10,Dayrun=11),MAX(0,(xSPRDOPT(M247,($E247-'Pricing Inputs'!$X282*$D247),$CV247,0,($CQ247+IF(Smile=TRUE(),VLOOKUP(MAX(-5,$H247-M247),Volsmile,2),0)),$CT247,$CU247,($A247-DateToday)+15,ABS(Option-2),0)-V247)),0))</f>
        <v> </v>
      </c>
      <c r="AF247" s="290" t="str">
        <f aca="false">IF($A247="N/A"," ",IF(OR(Dayrun&lt;=2,Dayrun&gt;=10),IF(OffPeakEx=TRUE(),MAX(0,(xSPRDOPT(N247,($E247-'Pricing Inputs'!$X282*$D247),$CV247,0,($CQ247+IF(Smile=TRUE(),VLOOKUP(MAX(-5,$H247-N247),Volsmile,2),0)),$CT247,$CU247,($A247-DateToday)+15,ABS(Option-2),0)-W247)),0),0))</f>
        <v> </v>
      </c>
      <c r="AG247" s="290" t="str">
        <f aca="false">IF($A247="N/A"," ",IF(OR(Dayrun=1,Dayrun=5,Dayrun=8,Dayrun=11),MAX(0,(xSPRDOPT(O247,($E247-'Pricing Inputs'!$X282*$D247),$CV247,0,($CQ247+IF(Smile=TRUE(),VLOOKUP(MAX(-5,$H247-O247),Volsmile,2),0)),$CT247,$CU247,($A247-DateToday)+15,ABS(Option-2),0)-X247)),0))</f>
        <v> </v>
      </c>
      <c r="AH247" s="290" t="str">
        <f aca="false">IF($A247="N/A"," ",IF(OR(Dayrun=1,Dayrun=8,Dayrun=11),MAX(0,(xSPRDOPT(P247,($E247-'Pricing Inputs'!$X282*$D247),$CV247,0,($CQ247+IF(Smile=TRUE(),VLOOKUP(MAX(-5,$H247-P247),Volsmile,2),0)),$CT247,$CU247,($A247-DateToday)+15,ABS(Option-2),0)-Y247)),0))</f>
        <v> </v>
      </c>
      <c r="AI247" s="290" t="str">
        <f aca="false">IF($A247="N/A"," ",IF(OR(Dayrun&lt;=2,Dayrun&gt;=11),IF(OffPeakEx=TRUE(),MAX(0,(xSPRDOPT(Q247,($E247-'Pricing Inputs'!$X282*$D247),$CV247,0,($CQ247+IF(Smile=TRUE(),VLOOKUP(MAX(-5,$H247-Q247),Volsmile,2),0)),$CT247,$CU247,($A247-DateToday)+15,ABS(Option-2),0)-Z247)),0),0))</f>
        <v> </v>
      </c>
      <c r="AJ247" s="294" t="str">
        <f aca="false">IF($A247="N/A"," ",IF(Dayrun&gt;=3,IF(Option=1,$I247-$H247,IF(Option=2,$H247-$I247)),0))</f>
        <v> </v>
      </c>
      <c r="AK247" s="295" t="str">
        <f aca="false">IF($A247="N/A"," ",IF(Dayrun&gt;=6,IF(Option=1,$J247-H247,IF(Option=2,H247-$J247)),0))</f>
        <v> </v>
      </c>
      <c r="AL247" s="295" t="str">
        <f aca="false">IF($A247="N/A"," ",IF(OR(Dayrun&lt;=2,Dayrun&gt;=9),IF(Option=1,$K247-$H247,IF(Option=2,$H247-$K247)),0))</f>
        <v> </v>
      </c>
      <c r="AM247" s="295" t="str">
        <f aca="false">IF($A247="N/A"," ",IF(OR(Dayrun=1,Dayrun=4,Dayrun=5,Dayrun=7,Dayrun=8,Dayrun=10,Dayrun=11),IF(Option=1,$L247-H247,IF(Option=2,H247-$L247)),0))</f>
        <v> </v>
      </c>
      <c r="AN247" s="295" t="str">
        <f aca="false">IF($A247="N/A"," ",IF(OR(Dayrun=1,Dayrun=7,Dayrun=8,Dayrun=10,Dayrun=11),IF(Option=1,$M247-H247,IF(Option=2,H247-$M247)),0))</f>
        <v> </v>
      </c>
      <c r="AO247" s="295" t="str">
        <f aca="false">IF($A247="N/A"," ",IF(OR(Dayrun&lt;=2,Dayrun&gt;=9),IF(Option=1,$N247-$H247,IF(Option=2,$H247-$N247)),0))</f>
        <v> </v>
      </c>
      <c r="AP247" s="295" t="str">
        <f aca="false">IF($A247="N/A"," ",IF(OR(Dayrun=1,Dayrun=5,Dayrun=8,Dayrun=11),IF(Option=1,$O247-H247,IF(Option=2,H247-$O247)),0))</f>
        <v> </v>
      </c>
      <c r="AQ247" s="295" t="str">
        <f aca="false">IF($A247="N/A"," ",IF(OR(Dayrun=1,Dayrun=8,Dayrun=11),IF(Option=1,$P247-H247,IF(Option=2,H247-$P247)),0))</f>
        <v> </v>
      </c>
      <c r="AR247" s="296" t="str">
        <f aca="false">IF($A247="N/A"," ",IF(OR(Dayrun&lt;=2,Dayrun&gt;=9),IF(Option=1,$Q247-H247,IF(Option=2,H247-$Q247)),0))</f>
        <v> </v>
      </c>
      <c r="AS247" s="297" t="str">
        <f aca="false">IF($A247="N/A"," ",IF(VLOOKUP(MONTH($A247),ManualTable,2)=1,IF(Dayrun&gt;=3,$DE247*8*$CY247,0),0))</f>
        <v> </v>
      </c>
      <c r="AT247" s="297" t="str">
        <f aca="false">IF($A247="N/A"," ",IF(VLOOKUP(MONTH($A247),ManualTable,3)=1,IF(Dayrun&gt;=6,$DE247*8*$CY247,0),0))</f>
        <v> </v>
      </c>
      <c r="AU247" s="297" t="str">
        <f aca="false">IF($A247="N/A"," ",IF(VLOOKUP(MONTH($A247),ManualTable,4)=1,IF(OR(Dayrun&lt;=2,Dayrun&gt;=9),$DE247*8*$CY247,0),0))</f>
        <v> </v>
      </c>
      <c r="AV247" s="297" t="str">
        <f aca="false">IF($A247="N/A"," ",IF(VLOOKUP(MONTH($A247),ManualTable,5)=1,IF(OR(Dayrun=1,Dayrun=4,Dayrun=5,Dayrun=7,Dayrun=8,Dayrun=10,Dayrun=11),$DF247*8*$CY247,0),0))</f>
        <v> </v>
      </c>
      <c r="AW247" s="297" t="str">
        <f aca="false">IF($A247="N/A"," ",IF(VLOOKUP(MONTH($A247),ManualTable,6)=1,IF(OR(Dayrun=1,Dayrun=7,Dayrun=8,Dayrun=10,Dayrun=11),$DF247*8*$CY247,0),0))</f>
        <v> </v>
      </c>
      <c r="AX247" s="297" t="str">
        <f aca="false">IF($A247="N/A"," ",IF(VLOOKUP(MONTH($A247),ManualTable,7)=1,IF(OR(Dayrun&lt;=2,Dayrun&gt;=9),$DF247*8*$CY247,0),0))</f>
        <v> </v>
      </c>
      <c r="AY247" s="297" t="str">
        <f aca="false">IF($A247="N/A"," ",IF(VLOOKUP(MONTH($A247),ManualTable,8)=1,IF(OR(Dayrun=1,Dayrun=5,Dayrun=8,Dayrun=11),$DG247*8*$CY247,0),0))</f>
        <v> </v>
      </c>
      <c r="AZ247" s="297" t="str">
        <f aca="false">IF($A247="N/A"," ",IF(VLOOKUP(MONTH($A247),ManualTable,9)=1,IF(OR(Dayrun=1,Dayrun=8,Dayrun=11),$DG247*8*$CY247,0),0))</f>
        <v> </v>
      </c>
      <c r="BA247" s="298" t="str">
        <f aca="false">IF($A247="N/A"," ",IF(VLOOKUP(MONTH($A247),ManualTable,10)=1,IF(OR(Dayrun&lt;=2,Dayrun&gt;=9),$DG247*8*$CY247,0),0))</f>
        <v> </v>
      </c>
      <c r="BB247" s="299" t="str">
        <f aca="false">IF($A247="N/A"," ",IF(Dayrun&gt;=3,(MAX(0,(xSPRDOPT(I247,($E247-'Pricing Inputs'!$X282*$D247),$CV247,0,($CN247+IF(Smile=TRUE(),VLOOKUP(MAX(-5,$H247-I247),Volsmile,2),0)),$CT247,$CU247,($A247-DateToday)+15,ABS(Option-2),1)*DE247*8))),0))</f>
        <v> </v>
      </c>
      <c r="BC247" s="300" t="str">
        <f aca="false">IF($A247="N/A"," ",IF(Dayrun&gt;=6,MAX(0,(xSPRDOPT(J247,($E247-'Pricing Inputs'!$X282*$D247),$CV247,0,($CN247+IF(Smile=TRUE(),VLOOKUP(MAX(-5,$H247-J247),Volsmile,2),0)),$CT247,$CU247,($A247-DateToday)+15,ABS(Option-2),1)*DE247*8)),0))</f>
        <v> </v>
      </c>
      <c r="BD247" s="300" t="str">
        <f aca="false">IF($A247="N/A"," ",IF(OR(Dayrun&lt;=2,Dayrun&gt;=9),IF(OffPeakEx=TRUE(),MAX(0,(xSPRDOPT(K247,($E247-'Pricing Inputs'!$X282*$D247),$CV247,0,($CQ247+IF(Smile=TRUE(),VLOOKUP(MAX(-5,$H247-K247),Volsmile,2),0)),$CT247,$CU247,($A247-DateToday)+15,ABS(Option-2),1)*DE247*8)),0),0))</f>
        <v> </v>
      </c>
      <c r="BE247" s="300" t="str">
        <f aca="false">IF($A247="N/A"," ",IF(OR(Dayrun=1,Dayrun=4,Dayrun=5,Dayrun=7,Dayrun=8,Dayrun=10,Dayrun=11),MAX(0,(xSPRDOPT(L247,($E247-'Pricing Inputs'!$X282*$D247),$CV247,0,($CQ247+IF(Smile=TRUE(),VLOOKUP(MAX(-5,$H247-L247),Volsmile,2),0)),$CT247,$CU247,($A247-DateToday)+15,ABS(Option-2),1)*DF247*8)),0))</f>
        <v> </v>
      </c>
      <c r="BF247" s="300" t="str">
        <f aca="false">IF($A247="N/A"," ",IF(OR(Dayrun=1,Dayrun=7,Dayrun=8,Dayrun=10,Dayrun=11),MAX(0,(xSPRDOPT(M247,($E247-'Pricing Inputs'!$X282*$D247),$CV247,0,($CQ247+IF(Smile=TRUE(),VLOOKUP(MAX(-5,$H247-M247),Volsmile,2),0)),$CT247,$CU247,($A247-DateToday)+15,ABS(Option-2),1)*DF247*8)),0))</f>
        <v> </v>
      </c>
      <c r="BG247" s="300" t="str">
        <f aca="false">IF($A247="N/A"," ",IF(OR(Dayrun&lt;=2,Dayrun&gt;=10),IF(OffPeakEx=TRUE(),MAX(0,(xSPRDOPT(N247,($E247-'Pricing Inputs'!$X282*$D247),$CV247,0,($CQ247+IF(Smile=TRUE(),VLOOKUP(MAX(-5,$H247-N247),Volsmile,2),0)),$CT247,$CU247,($A247-DateToday)+15,ABS(Option-2),1)*DF247*8)),0),0))</f>
        <v> </v>
      </c>
      <c r="BH247" s="300" t="str">
        <f aca="false">IF($A247="N/A"," ",IF(OR(Dayrun=1,Dayrun=5,Dayrun=8,Dayrun=11),MAX(0,(xSPRDOPT(O247,($E247-'Pricing Inputs'!$X282*$D247),$CV247,0,($CQ247+IF(Smile=TRUE(),VLOOKUP(MAX(-5,$H247-O247),Volsmile,2),0)),$CT247,$CU247,($A247-DateToday)+15,ABS(Option-2),1)*DG247*8)),0))</f>
        <v> </v>
      </c>
      <c r="BI247" s="300" t="str">
        <f aca="false">IF($A247="N/A"," ",IF(OR(Dayrun=1,Dayrun=8,Dayrun=11),MAX(0,(xSPRDOPT(P247,($E247-'Pricing Inputs'!$X282*$D247),$CV247,0,($CQ247+IF(Smile=TRUE(),VLOOKUP(MAX(-5,$H247-P247),Volsmile,2),0)),$CT247,$CU247,($A247-DateToday)+15,ABS(Option-2),1)*DG247*8)),0))</f>
        <v> </v>
      </c>
      <c r="BJ247" s="301" t="str">
        <f aca="false">IF($A247="N/A"," ",IF(OR(Dayrun&lt;=2,Dayrun&gt;=11),IF(OffPeakEx=TRUE(),MAX(0,(xSPRDOPT(Q247,($E247-'Pricing Inputs'!$X282*$D247),$CV247,0,($CQ247+IF(Smile=TRUE(),VLOOKUP(MAX(-5,$H247-Q247),Volsmile,2),0)),$CT247,$CU247,($A247-DateToday)+15,ABS(Option-2),1)*DG247*8)),0),0))</f>
        <v> </v>
      </c>
      <c r="BK247" s="302" t="str">
        <f aca="false">IF($A247="N/A"," ",R247*$AS247)</f>
        <v> </v>
      </c>
      <c r="BL247" s="303" t="str">
        <f aca="false">IF($A247="N/A"," ",S247*$AT247)</f>
        <v> </v>
      </c>
      <c r="BM247" s="303" t="str">
        <f aca="false">IF($A247="N/A"," ",T247*$AU247)</f>
        <v> </v>
      </c>
      <c r="BN247" s="303" t="str">
        <f aca="false">IF($A247="N/A"," ",U247*$AV247)</f>
        <v> </v>
      </c>
      <c r="BO247" s="303" t="str">
        <f aca="false">IF($A247="N/A"," ",V247*$AW247)</f>
        <v> </v>
      </c>
      <c r="BP247" s="303" t="str">
        <f aca="false">IF($A247="N/A"," ",W247*$AX247)</f>
        <v> </v>
      </c>
      <c r="BQ247" s="303" t="str">
        <f aca="false">IF($A247="N/A"," ",X247*$AY247)</f>
        <v> </v>
      </c>
      <c r="BR247" s="303" t="str">
        <f aca="false">IF($A247="N/A"," ",Y247*$AZ247)</f>
        <v> </v>
      </c>
      <c r="BS247" s="304" t="str">
        <f aca="false">IF($A247="N/A"," ",Z247*$BA247)</f>
        <v> </v>
      </c>
      <c r="BT247" s="305" t="str">
        <f aca="false">IF($A247="N/A"," ",AA247*$AS247)</f>
        <v> </v>
      </c>
      <c r="BU247" s="306" t="str">
        <f aca="false">IF($A247="N/A"," ",AB247*$AT247)</f>
        <v> </v>
      </c>
      <c r="BV247" s="306" t="str">
        <f aca="false">IF($A247="N/A"," ",AC247*$AU247)</f>
        <v> </v>
      </c>
      <c r="BW247" s="306" t="str">
        <f aca="false">IF($A247="N/A"," ",AD247*$AV247)</f>
        <v> </v>
      </c>
      <c r="BX247" s="306" t="str">
        <f aca="false">IF($A247="N/A"," ",AE247*$AW247)</f>
        <v> </v>
      </c>
      <c r="BY247" s="306" t="str">
        <f aca="false">IF($A247="N/A"," ",AF247*$AX247)</f>
        <v> </v>
      </c>
      <c r="BZ247" s="306" t="str">
        <f aca="false">IF($A247="N/A"," ",AG247*$AY247)</f>
        <v> </v>
      </c>
      <c r="CA247" s="306" t="str">
        <f aca="false">IF($A247="N/A"," ",AH247*$AZ247)</f>
        <v> </v>
      </c>
      <c r="CB247" s="307" t="str">
        <f aca="false">IF($A247="N/A"," ",AI247*$BA247)</f>
        <v> </v>
      </c>
      <c r="CC247" s="308" t="str">
        <f aca="false">IF($A247="N/A"," ",AJ247*$AS247)</f>
        <v> </v>
      </c>
      <c r="CD247" s="309" t="str">
        <f aca="false">IF($A247="N/A"," ",AK247*$AT247)</f>
        <v> </v>
      </c>
      <c r="CE247" s="309" t="str">
        <f aca="false">IF($A247="N/A"," ",AL247*$AU247)</f>
        <v> </v>
      </c>
      <c r="CF247" s="309" t="str">
        <f aca="false">IF($A247="N/A"," ",AM247*$AV247)</f>
        <v> </v>
      </c>
      <c r="CG247" s="309" t="str">
        <f aca="false">IF($A247="N/A"," ",AN247*$AW247)</f>
        <v> </v>
      </c>
      <c r="CH247" s="309" t="str">
        <f aca="false">IF($A247="N/A"," ",AO247*$AX247)</f>
        <v> </v>
      </c>
      <c r="CI247" s="309" t="str">
        <f aca="false">IF($A247="N/A"," ",AP247*$AY247)</f>
        <v> </v>
      </c>
      <c r="CJ247" s="309" t="str">
        <f aca="false">IF($A247="N/A"," ",AQ247*$AZ247)</f>
        <v> </v>
      </c>
      <c r="CK247" s="310" t="str">
        <f aca="false">IF($A247="N/A"," ",AR247*$BA247)</f>
        <v> </v>
      </c>
      <c r="CL247" s="311" t="str">
        <f aca="false">IF(A247="N/A"," ",(VLOOKUP(A247,PowerVolTable,(IF(VolBMO=2,7,IF(VolBMO=1,6,8))),FALSE())))</f>
        <v> </v>
      </c>
      <c r="CM247" s="312" t="str">
        <f aca="false">IF(A247="N/A"," ",(VLOOKUP(A247,IntraPowerVol,(IF(VolBMO=2,3,IF(VolBMO=1,2,4))),FALSE())*VLOOKUP(MONTH($A247),Volscale,2)))</f>
        <v> </v>
      </c>
      <c r="CN247" s="312" t="str">
        <f aca="false">IF($A247="N/A"," ",IF(VolType=1,CM247,CL247))</f>
        <v> </v>
      </c>
      <c r="CO247" s="312" t="str">
        <f aca="false">IF($A247="N/A"," ",(VLOOKUP($A247,OffPeakVol,(IF(VolBMO=2,7,IF(VolBMO=1,6,8))),FALSE())))</f>
        <v> </v>
      </c>
      <c r="CP247" s="312" t="str">
        <f aca="false">IF($A247="N/A"," ",(VLOOKUP($A247,OffPeakVol,(IF(VolBMO=2,3,IF(VolBMO=1,2,4))),FALSE())*VLOOKUP(MONTH($A247),Volscale,2)))</f>
        <v> </v>
      </c>
      <c r="CQ247" s="312" t="str">
        <f aca="false">IF($A247="N/A"," ",IF(VolType=1,CP247,CO247))</f>
        <v> </v>
      </c>
      <c r="CR247" s="312" t="str">
        <f aca="false">IF($A247="N/A"," ",(VLOOKUP($A247,GasVolTable,(IF(VolBMO=2,6,IF(VolBMO=1,7,5))),FALSE())))</f>
        <v> </v>
      </c>
      <c r="CS247" s="312" t="str">
        <f aca="false">IF($A247="N/A"," ",(VLOOKUP($A247,OmicronVol,(IF(VolBMO=2,3,IF(VolBMO=1,4,2))),FALSE())))</f>
        <v> </v>
      </c>
      <c r="CT247" s="312" t="str">
        <f aca="false">IF($A247="N/A"," ",(IF(DateToday&gt;$A247,$CS247,IF(VolType=1,((($CR247^2)*((($A247-1)-DateToday)/((EOMONTH($A247,0)+1)-DateToday-15)))+((($CS247)^2)*((15)/((EOMONTH($A247,0)+1)-DateToday-15))))^0.5,CR247))))</f>
        <v> </v>
      </c>
      <c r="CU247" s="312" t="str">
        <f aca="false">IF($A247="N/A"," ",IF('Pricing Inputs'!$AR$23=TRUE(),Inputs!$S$22,VLOOKUP($A247,CorrelationTable,2,FALSE())))</f>
        <v> </v>
      </c>
      <c r="CV247" s="313" t="str">
        <f aca="false">IF($A247="N/A"," ",F247+G247+(D247*('Pricing Inputs'!X282)))</f>
        <v> </v>
      </c>
      <c r="CW247" s="314" t="str">
        <f aca="false">IF($A247="N/A"," ",IF(PV=1,0,'Pricing Inputs'!Y282))</f>
        <v> </v>
      </c>
      <c r="CX247" s="315" t="str">
        <f aca="false">IF($A247="N/A"," ",(1+CW247/2)^(-2*((EOMONTH(A247,0)+20)-DateToday)/365.25))</f>
        <v> </v>
      </c>
      <c r="CY247" s="316" t="str">
        <f aca="false">IF($A247="N/A"," ",(IF(MONTH(A247)&gt;=4,IF(MONTH(A247)&lt;=10,Inputs!$S$26,Inputs!$S$27),Inputs!$S$27))*$CX247)</f>
        <v> </v>
      </c>
      <c r="CZ247" s="317" t="str">
        <f aca="false">IF($A247="N/A"," ",BK247+BL247+BN247+BO247+BQ247+BR247)</f>
        <v> </v>
      </c>
      <c r="DA247" s="318" t="str">
        <f aca="false">IF($A247="N/A"," ",BM247+BP247+BS247)</f>
        <v> </v>
      </c>
      <c r="DB247" s="319" t="str">
        <f aca="false">IF($A247="N/A"," ",BT247+BU247+BW247+BX247+BZ247+CA247)</f>
        <v> </v>
      </c>
      <c r="DC247" s="319" t="str">
        <f aca="false">IF($A247="N/A"," ",BV247+BY247+CB247)</f>
        <v> </v>
      </c>
      <c r="DD247" s="320" t="str">
        <f aca="false">IF($A247="N/A"," ",SUM(CC247:CK247))</f>
        <v> </v>
      </c>
      <c r="DE247" s="321" t="str">
        <f aca="false">IF($A247="N/A"," ",VLOOKUP($A247,NumberofDaysTable,2)*Availability)</f>
        <v> </v>
      </c>
      <c r="DF247" s="94" t="str">
        <f aca="false">IF($A247="N/A"," ",VLOOKUP($A247,NumberofDaysTable,3)*Availability)</f>
        <v> </v>
      </c>
      <c r="DG247" s="322" t="str">
        <f aca="false">IF($A247="N/A"," ",VLOOKUP($A247,NumberofDaysTable,4)*Availability)</f>
        <v> </v>
      </c>
      <c r="DH247" s="323" t="str">
        <f aca="false">IF($A247="N/A"," ",IF(Option=1,$D247*Inputs!$S$15*SUM(AS247:BA247),0))</f>
        <v> </v>
      </c>
      <c r="DI247" s="324" t="str">
        <f aca="false">IF($A247="N/A"," ",IF(Option=1,$D247*Inputs!$S$16*SUM(AS247:BA247),0))</f>
        <v> </v>
      </c>
      <c r="DJ247" s="325" t="str">
        <f aca="false">IF($A247="N/A"," ",SUM(AS247:AT247))</f>
        <v> </v>
      </c>
      <c r="DK247" s="325" t="str">
        <f aca="false">IF($A247="N/A"," ",SUM(AU247:BA247))</f>
        <v> </v>
      </c>
      <c r="DL247" s="325" t="str">
        <f aca="false">IF($A247="N/A"," ",SUM(BB247:BC247))</f>
        <v> </v>
      </c>
      <c r="DM247" s="325" t="str">
        <f aca="false">IF($A247="N/A"," ",SUM(BD247:BJ247))</f>
        <v> </v>
      </c>
    </row>
    <row r="248" customFormat="false" ht="12.75" hidden="false" customHeight="false" outlineLevel="0" collapsed="false">
      <c r="A248" s="282" t="str">
        <f aca="false">IF(A247="N/A","N/A",IF(EDATE(A247,1)&gt;Inputs!$S$5,"N/A",EDATE(A247,1)))</f>
        <v>N/A</v>
      </c>
      <c r="B248" s="283" t="str">
        <f aca="false">IF(A248="N/A"," ",YEAR(A248))</f>
        <v> </v>
      </c>
      <c r="C248" s="284" t="str">
        <f aca="false">IF(A248="N/A"," ",VLOOKUP(A248,ScaledPrice,14))</f>
        <v> </v>
      </c>
      <c r="D248" s="285" t="str">
        <f aca="false">IF(A248="N/A"," ",(VLOOKUP(MONTH($A248),Hrtable,2))/1000)</f>
        <v> </v>
      </c>
      <c r="E248" s="286" t="str">
        <f aca="false">IF($A248="N/A"," ",(C248)*D248)</f>
        <v> </v>
      </c>
      <c r="F248" s="287" t="str">
        <f aca="false">IF(A248="N/A"," ",VOM*(1+VOMesc)^(YEAR(A248)-YEAR(Today)))</f>
        <v> </v>
      </c>
      <c r="G248" s="287" t="str">
        <f aca="false">IF(A248="N/A"," ",Perstart/VLOOKUP(Dayrun,'Pricing Inputs'!$AQ$4:$AS$14,3)/(CY248/CX248))</f>
        <v> </v>
      </c>
      <c r="H248" s="288" t="str">
        <f aca="false">IF(A248="N/A"," ",SUM(E248:G248))</f>
        <v> </v>
      </c>
      <c r="I248" s="289" t="str">
        <f aca="false">VLOOKUP($A248,ScaledPrice,6)</f>
        <v> </v>
      </c>
      <c r="J248" s="290" t="str">
        <f aca="false">VLOOKUP($A248,ScaledPrice,10)</f>
        <v> </v>
      </c>
      <c r="K248" s="290" t="str">
        <f aca="false">VLOOKUP($A248,ScaledPrice,13)</f>
        <v> </v>
      </c>
      <c r="L248" s="290" t="str">
        <f aca="false">VLOOKUP($A248,ScaledPrice,7)</f>
        <v> </v>
      </c>
      <c r="M248" s="290" t="str">
        <f aca="false">VLOOKUP($A248,ScaledPrice,11)</f>
        <v> </v>
      </c>
      <c r="N248" s="290" t="str">
        <f aca="false">VLOOKUP($A248,ScaledPrice,13)</f>
        <v> </v>
      </c>
      <c r="O248" s="290" t="str">
        <f aca="false">VLOOKUP($A248,ScaledPrice,8)</f>
        <v> </v>
      </c>
      <c r="P248" s="290" t="str">
        <f aca="false">VLOOKUP($A248,ScaledPrice,12)</f>
        <v> </v>
      </c>
      <c r="Q248" s="291" t="str">
        <f aca="false">VLOOKUP($A248,ScaledPrice,13)</f>
        <v> </v>
      </c>
      <c r="R248" s="292" t="str">
        <f aca="false">IF($A248="N/A"," ",IF(Dayrun&gt;=3,IF(Option=1,MAX($I248-$H248,0),IF(Option=2,MAX($H248-$I248,0),0)),0))</f>
        <v> </v>
      </c>
      <c r="S248" s="286" t="str">
        <f aca="false">IF($A248="N/A"," ",IF(Dayrun&gt;=6,IF(Option=1,MAX($J248-H248,0),IF(Option=2,MAX(H248-$J248,0),0)),0))</f>
        <v> </v>
      </c>
      <c r="T248" s="286" t="str">
        <f aca="false">IF($A248="N/A"," ",IF(OR(Dayrun&lt;=2,Dayrun&gt;=9),IF(Option=1,MAX($K248-$H248,0),IF(Option=2,MAX($H248-$K248,0),0)),0))</f>
        <v> </v>
      </c>
      <c r="U248" s="286" t="str">
        <f aca="false">IF($A248="N/A"," ",IF(OR(Dayrun=1,Dayrun=4,Dayrun=5,Dayrun=7,Dayrun=8,Dayrun=10,Dayrun=11),IF(Option=1,MAX($L248-H248,0),IF(Option=2,MAX(H248-$L248,0),0)),0))</f>
        <v> </v>
      </c>
      <c r="V248" s="286" t="str">
        <f aca="false">IF($A248="N/A"," ",IF(OR(Dayrun=1,Dayrun=7,Dayrun=8,Dayrun=10,Dayrun=11),IF(Option=1,MAX($M248-H248,0),IF(Option=2,MAX(H248-$M248,0),0)),0))</f>
        <v> </v>
      </c>
      <c r="W248" s="286" t="str">
        <f aca="false">IF($A248="N/A"," ",IF(OR(Dayrun&lt;=2,Dayrun&gt;=10),IF(Option=1,MAX($N248-$H248,0),IF(Option=2,MAX($H248-$N248,0),0)),0))</f>
        <v> </v>
      </c>
      <c r="X248" s="286" t="str">
        <f aca="false">IF($A248="N/A"," ",IF(OR(Dayrun=1,Dayrun=5,Dayrun=8,Dayrun=11),IF(Option=1,MAX($O248-H248,0),IF(Option=2,MAX(H248-$O248,0),0)),0))</f>
        <v> </v>
      </c>
      <c r="Y248" s="286" t="str">
        <f aca="false">IF($A248="N/A"," ",IF(OR(Dayrun=1,Dayrun=8,Dayrun=11),IF(Option=1,MAX($P248-H248,0),IF(Option=2,MAX(H248-$P248,0),0)),0))</f>
        <v> </v>
      </c>
      <c r="Z248" s="293" t="str">
        <f aca="false">IF($A248="N/A"," ",IF(OR(Dayrun&lt;=2,Dayrun&gt;=11),IF(Option=1,MAX($Q248-$H248,0),IF(Option=2,MAX($H248-$Q248,0),0)),0))</f>
        <v> </v>
      </c>
      <c r="AA248" s="289" t="str">
        <f aca="false">IF($A248="N/A"," ",IF(Dayrun&gt;=3,(MAX(0,(xSPRDOPT(I248,($E248-'Pricing Inputs'!$X283*$D248),$CV248,0,($CN248+IF(Smile=TRUE(),VLOOKUP(MAX(-5,$H248-I248),Volsmile,2),0)),$CT248,$CU248,($A248-DateToday)+15,ABS(Option-2),0)-R248))),0))</f>
        <v> </v>
      </c>
      <c r="AB248" s="290" t="str">
        <f aca="false">IF($A248="N/A"," ",IF(Dayrun&gt;=6,MAX(0,(xSPRDOPT(J248,($E248-'Pricing Inputs'!$X283*$D248),$CV248,0,($CN248+IF(Smile=TRUE(),VLOOKUP(MAX(-5,$H248-J248),Volsmile,2),0)),$CT248,$CU248,($A248-DateToday)+15,ABS(Option-2),0)-S248)),0))</f>
        <v> </v>
      </c>
      <c r="AC248" s="290" t="str">
        <f aca="false">IF($A248="N/A"," ",IF(OR(Dayrun&lt;=2,Dayrun&gt;=9),IF(OffPeakEx=TRUE(),MAX(0,(xSPRDOPT(K248,($E248-'Pricing Inputs'!$X283*$D248),$CV248,0,($CQ248+IF(Smile=TRUE(),VLOOKUP(MAX(-5,$H248-K248),Volsmile,2),0)),$CT248,$CU248,($A248-DateToday)+15,ABS(Option-2),0)-T248)),0),0))</f>
        <v> </v>
      </c>
      <c r="AD248" s="290" t="str">
        <f aca="false">IF($A248="N/A"," ",IF(OR(Dayrun=1,Dayrun=4,Dayrun=5,Dayrun=7,Dayrun=8,Dayrun=10,Dayrun=11),MAX(0,(xSPRDOPT(L248,($E248-'Pricing Inputs'!$X283*$D248),$CV248,0,($CQ248+IF(Smile=TRUE(),VLOOKUP(MAX(-5,$H248-L248),Volsmile,2),0)),$CT248,$CU248,($A248-DateToday)+15,ABS(Option-2),0)-U248)),0))</f>
        <v> </v>
      </c>
      <c r="AE248" s="290" t="str">
        <f aca="false">IF($A248="N/A"," ",IF(OR(Dayrun=1,Dayrun=7,Dayrun=8,Dayrun=10,Dayrun=11),MAX(0,(xSPRDOPT(M248,($E248-'Pricing Inputs'!$X283*$D248),$CV248,0,($CQ248+IF(Smile=TRUE(),VLOOKUP(MAX(-5,$H248-M248),Volsmile,2),0)),$CT248,$CU248,($A248-DateToday)+15,ABS(Option-2),0)-V248)),0))</f>
        <v> </v>
      </c>
      <c r="AF248" s="290" t="str">
        <f aca="false">IF($A248="N/A"," ",IF(OR(Dayrun&lt;=2,Dayrun&gt;=10),IF(OffPeakEx=TRUE(),MAX(0,(xSPRDOPT(N248,($E248-'Pricing Inputs'!$X283*$D248),$CV248,0,($CQ248+IF(Smile=TRUE(),VLOOKUP(MAX(-5,$H248-N248),Volsmile,2),0)),$CT248,$CU248,($A248-DateToday)+15,ABS(Option-2),0)-W248)),0),0))</f>
        <v> </v>
      </c>
      <c r="AG248" s="290" t="str">
        <f aca="false">IF($A248="N/A"," ",IF(OR(Dayrun=1,Dayrun=5,Dayrun=8,Dayrun=11),MAX(0,(xSPRDOPT(O248,($E248-'Pricing Inputs'!$X283*$D248),$CV248,0,($CQ248+IF(Smile=TRUE(),VLOOKUP(MAX(-5,$H248-O248),Volsmile,2),0)),$CT248,$CU248,($A248-DateToday)+15,ABS(Option-2),0)-X248)),0))</f>
        <v> </v>
      </c>
      <c r="AH248" s="290" t="str">
        <f aca="false">IF($A248="N/A"," ",IF(OR(Dayrun=1,Dayrun=8,Dayrun=11),MAX(0,(xSPRDOPT(P248,($E248-'Pricing Inputs'!$X283*$D248),$CV248,0,($CQ248+IF(Smile=TRUE(),VLOOKUP(MAX(-5,$H248-P248),Volsmile,2),0)),$CT248,$CU248,($A248-DateToday)+15,ABS(Option-2),0)-Y248)),0))</f>
        <v> </v>
      </c>
      <c r="AI248" s="290" t="str">
        <f aca="false">IF($A248="N/A"," ",IF(OR(Dayrun&lt;=2,Dayrun&gt;=11),IF(OffPeakEx=TRUE(),MAX(0,(xSPRDOPT(Q248,($E248-'Pricing Inputs'!$X283*$D248),$CV248,0,($CQ248+IF(Smile=TRUE(),VLOOKUP(MAX(-5,$H248-Q248),Volsmile,2),0)),$CT248,$CU248,($A248-DateToday)+15,ABS(Option-2),0)-Z248)),0),0))</f>
        <v> </v>
      </c>
      <c r="AJ248" s="294" t="str">
        <f aca="false">IF($A248="N/A"," ",IF(Dayrun&gt;=3,IF(Option=1,$I248-$H248,IF(Option=2,$H248-$I248)),0))</f>
        <v> </v>
      </c>
      <c r="AK248" s="295" t="str">
        <f aca="false">IF($A248="N/A"," ",IF(Dayrun&gt;=6,IF(Option=1,$J248-H248,IF(Option=2,H248-$J248)),0))</f>
        <v> </v>
      </c>
      <c r="AL248" s="295" t="str">
        <f aca="false">IF($A248="N/A"," ",IF(OR(Dayrun&lt;=2,Dayrun&gt;=9),IF(Option=1,$K248-$H248,IF(Option=2,$H248-$K248)),0))</f>
        <v> </v>
      </c>
      <c r="AM248" s="295" t="str">
        <f aca="false">IF($A248="N/A"," ",IF(OR(Dayrun=1,Dayrun=4,Dayrun=5,Dayrun=7,Dayrun=8,Dayrun=10,Dayrun=11),IF(Option=1,$L248-H248,IF(Option=2,H248-$L248)),0))</f>
        <v> </v>
      </c>
      <c r="AN248" s="295" t="str">
        <f aca="false">IF($A248="N/A"," ",IF(OR(Dayrun=1,Dayrun=7,Dayrun=8,Dayrun=10,Dayrun=11),IF(Option=1,$M248-H248,IF(Option=2,H248-$M248)),0))</f>
        <v> </v>
      </c>
      <c r="AO248" s="295" t="str">
        <f aca="false">IF($A248="N/A"," ",IF(OR(Dayrun&lt;=2,Dayrun&gt;=9),IF(Option=1,$N248-$H248,IF(Option=2,$H248-$N248)),0))</f>
        <v> </v>
      </c>
      <c r="AP248" s="295" t="str">
        <f aca="false">IF($A248="N/A"," ",IF(OR(Dayrun=1,Dayrun=5,Dayrun=8,Dayrun=11),IF(Option=1,$O248-H248,IF(Option=2,H248-$O248)),0))</f>
        <v> </v>
      </c>
      <c r="AQ248" s="295" t="str">
        <f aca="false">IF($A248="N/A"," ",IF(OR(Dayrun=1,Dayrun=8,Dayrun=11),IF(Option=1,$P248-H248,IF(Option=2,H248-$P248)),0))</f>
        <v> </v>
      </c>
      <c r="AR248" s="296" t="str">
        <f aca="false">IF($A248="N/A"," ",IF(OR(Dayrun&lt;=2,Dayrun&gt;=9),IF(Option=1,$Q248-H248,IF(Option=2,H248-$Q248)),0))</f>
        <v> </v>
      </c>
      <c r="AS248" s="297" t="str">
        <f aca="false">IF($A248="N/A"," ",IF(VLOOKUP(MONTH($A248),ManualTable,2)=1,IF(Dayrun&gt;=3,$DE248*8*$CY248,0),0))</f>
        <v> </v>
      </c>
      <c r="AT248" s="297" t="str">
        <f aca="false">IF($A248="N/A"," ",IF(VLOOKUP(MONTH($A248),ManualTable,3)=1,IF(Dayrun&gt;=6,$DE248*8*$CY248,0),0))</f>
        <v> </v>
      </c>
      <c r="AU248" s="297" t="str">
        <f aca="false">IF($A248="N/A"," ",IF(VLOOKUP(MONTH($A248),ManualTable,4)=1,IF(OR(Dayrun&lt;=2,Dayrun&gt;=9),$DE248*8*$CY248,0),0))</f>
        <v> </v>
      </c>
      <c r="AV248" s="297" t="str">
        <f aca="false">IF($A248="N/A"," ",IF(VLOOKUP(MONTH($A248),ManualTable,5)=1,IF(OR(Dayrun=1,Dayrun=4,Dayrun=5,Dayrun=7,Dayrun=8,Dayrun=10,Dayrun=11),$DF248*8*$CY248,0),0))</f>
        <v> </v>
      </c>
      <c r="AW248" s="297" t="str">
        <f aca="false">IF($A248="N/A"," ",IF(VLOOKUP(MONTH($A248),ManualTable,6)=1,IF(OR(Dayrun=1,Dayrun=7,Dayrun=8,Dayrun=10,Dayrun=11),$DF248*8*$CY248,0),0))</f>
        <v> </v>
      </c>
      <c r="AX248" s="297" t="str">
        <f aca="false">IF($A248="N/A"," ",IF(VLOOKUP(MONTH($A248),ManualTable,7)=1,IF(OR(Dayrun&lt;=2,Dayrun&gt;=9),$DF248*8*$CY248,0),0))</f>
        <v> </v>
      </c>
      <c r="AY248" s="297" t="str">
        <f aca="false">IF($A248="N/A"," ",IF(VLOOKUP(MONTH($A248),ManualTable,8)=1,IF(OR(Dayrun=1,Dayrun=5,Dayrun=8,Dayrun=11),$DG248*8*$CY248,0),0))</f>
        <v> </v>
      </c>
      <c r="AZ248" s="297" t="str">
        <f aca="false">IF($A248="N/A"," ",IF(VLOOKUP(MONTH($A248),ManualTable,9)=1,IF(OR(Dayrun=1,Dayrun=8,Dayrun=11),$DG248*8*$CY248,0),0))</f>
        <v> </v>
      </c>
      <c r="BA248" s="298" t="str">
        <f aca="false">IF($A248="N/A"," ",IF(VLOOKUP(MONTH($A248),ManualTable,10)=1,IF(OR(Dayrun&lt;=2,Dayrun&gt;=9),$DG248*8*$CY248,0),0))</f>
        <v> </v>
      </c>
      <c r="BB248" s="299" t="str">
        <f aca="false">IF($A248="N/A"," ",IF(Dayrun&gt;=3,(MAX(0,(xSPRDOPT(I248,($E248-'Pricing Inputs'!$X283*$D248),$CV248,0,($CN248+IF(Smile=TRUE(),VLOOKUP(MAX(-5,$H248-I248),Volsmile,2),0)),$CT248,$CU248,($A248-DateToday)+15,ABS(Option-2),1)*DE248*8))),0))</f>
        <v> </v>
      </c>
      <c r="BC248" s="300" t="str">
        <f aca="false">IF($A248="N/A"," ",IF(Dayrun&gt;=6,MAX(0,(xSPRDOPT(J248,($E248-'Pricing Inputs'!$X283*$D248),$CV248,0,($CN248+IF(Smile=TRUE(),VLOOKUP(MAX(-5,$H248-J248),Volsmile,2),0)),$CT248,$CU248,($A248-DateToday)+15,ABS(Option-2),1)*DE248*8)),0))</f>
        <v> </v>
      </c>
      <c r="BD248" s="300" t="str">
        <f aca="false">IF($A248="N/A"," ",IF(OR(Dayrun&lt;=2,Dayrun&gt;=9),IF(OffPeakEx=TRUE(),MAX(0,(xSPRDOPT(K248,($E248-'Pricing Inputs'!$X283*$D248),$CV248,0,($CQ248+IF(Smile=TRUE(),VLOOKUP(MAX(-5,$H248-K248),Volsmile,2),0)),$CT248,$CU248,($A248-DateToday)+15,ABS(Option-2),1)*DE248*8)),0),0))</f>
        <v> </v>
      </c>
      <c r="BE248" s="300" t="str">
        <f aca="false">IF($A248="N/A"," ",IF(OR(Dayrun=1,Dayrun=4,Dayrun=5,Dayrun=7,Dayrun=8,Dayrun=10,Dayrun=11),MAX(0,(xSPRDOPT(L248,($E248-'Pricing Inputs'!$X283*$D248),$CV248,0,($CQ248+IF(Smile=TRUE(),VLOOKUP(MAX(-5,$H248-L248),Volsmile,2),0)),$CT248,$CU248,($A248-DateToday)+15,ABS(Option-2),1)*DF248*8)),0))</f>
        <v> </v>
      </c>
      <c r="BF248" s="300" t="str">
        <f aca="false">IF($A248="N/A"," ",IF(OR(Dayrun=1,Dayrun=7,Dayrun=8,Dayrun=10,Dayrun=11),MAX(0,(xSPRDOPT(M248,($E248-'Pricing Inputs'!$X283*$D248),$CV248,0,($CQ248+IF(Smile=TRUE(),VLOOKUP(MAX(-5,$H248-M248),Volsmile,2),0)),$CT248,$CU248,($A248-DateToday)+15,ABS(Option-2),1)*DF248*8)),0))</f>
        <v> </v>
      </c>
      <c r="BG248" s="300" t="str">
        <f aca="false">IF($A248="N/A"," ",IF(OR(Dayrun&lt;=2,Dayrun&gt;=10),IF(OffPeakEx=TRUE(),MAX(0,(xSPRDOPT(N248,($E248-'Pricing Inputs'!$X283*$D248),$CV248,0,($CQ248+IF(Smile=TRUE(),VLOOKUP(MAX(-5,$H248-N248),Volsmile,2),0)),$CT248,$CU248,($A248-DateToday)+15,ABS(Option-2),1)*DF248*8)),0),0))</f>
        <v> </v>
      </c>
      <c r="BH248" s="300" t="str">
        <f aca="false">IF($A248="N/A"," ",IF(OR(Dayrun=1,Dayrun=5,Dayrun=8,Dayrun=11),MAX(0,(xSPRDOPT(O248,($E248-'Pricing Inputs'!$X283*$D248),$CV248,0,($CQ248+IF(Smile=TRUE(),VLOOKUP(MAX(-5,$H248-O248),Volsmile,2),0)),$CT248,$CU248,($A248-DateToday)+15,ABS(Option-2),1)*DG248*8)),0))</f>
        <v> </v>
      </c>
      <c r="BI248" s="300" t="str">
        <f aca="false">IF($A248="N/A"," ",IF(OR(Dayrun=1,Dayrun=8,Dayrun=11),MAX(0,(xSPRDOPT(P248,($E248-'Pricing Inputs'!$X283*$D248),$CV248,0,($CQ248+IF(Smile=TRUE(),VLOOKUP(MAX(-5,$H248-P248),Volsmile,2),0)),$CT248,$CU248,($A248-DateToday)+15,ABS(Option-2),1)*DG248*8)),0))</f>
        <v> </v>
      </c>
      <c r="BJ248" s="301" t="str">
        <f aca="false">IF($A248="N/A"," ",IF(OR(Dayrun&lt;=2,Dayrun&gt;=11),IF(OffPeakEx=TRUE(),MAX(0,(xSPRDOPT(Q248,($E248-'Pricing Inputs'!$X283*$D248),$CV248,0,($CQ248+IF(Smile=TRUE(),VLOOKUP(MAX(-5,$H248-Q248),Volsmile,2),0)),$CT248,$CU248,($A248-DateToday)+15,ABS(Option-2),1)*DG248*8)),0),0))</f>
        <v> </v>
      </c>
      <c r="BK248" s="302" t="str">
        <f aca="false">IF($A248="N/A"," ",R248*$AS248)</f>
        <v> </v>
      </c>
      <c r="BL248" s="303" t="str">
        <f aca="false">IF($A248="N/A"," ",S248*$AT248)</f>
        <v> </v>
      </c>
      <c r="BM248" s="303" t="str">
        <f aca="false">IF($A248="N/A"," ",T248*$AU248)</f>
        <v> </v>
      </c>
      <c r="BN248" s="303" t="str">
        <f aca="false">IF($A248="N/A"," ",U248*$AV248)</f>
        <v> </v>
      </c>
      <c r="BO248" s="303" t="str">
        <f aca="false">IF($A248="N/A"," ",V248*$AW248)</f>
        <v> </v>
      </c>
      <c r="BP248" s="303" t="str">
        <f aca="false">IF($A248="N/A"," ",W248*$AX248)</f>
        <v> </v>
      </c>
      <c r="BQ248" s="303" t="str">
        <f aca="false">IF($A248="N/A"," ",X248*$AY248)</f>
        <v> </v>
      </c>
      <c r="BR248" s="303" t="str">
        <f aca="false">IF($A248="N/A"," ",Y248*$AZ248)</f>
        <v> </v>
      </c>
      <c r="BS248" s="304" t="str">
        <f aca="false">IF($A248="N/A"," ",Z248*$BA248)</f>
        <v> </v>
      </c>
      <c r="BT248" s="305" t="str">
        <f aca="false">IF($A248="N/A"," ",AA248*$AS248)</f>
        <v> </v>
      </c>
      <c r="BU248" s="306" t="str">
        <f aca="false">IF($A248="N/A"," ",AB248*$AT248)</f>
        <v> </v>
      </c>
      <c r="BV248" s="306" t="str">
        <f aca="false">IF($A248="N/A"," ",AC248*$AU248)</f>
        <v> </v>
      </c>
      <c r="BW248" s="306" t="str">
        <f aca="false">IF($A248="N/A"," ",AD248*$AV248)</f>
        <v> </v>
      </c>
      <c r="BX248" s="306" t="str">
        <f aca="false">IF($A248="N/A"," ",AE248*$AW248)</f>
        <v> </v>
      </c>
      <c r="BY248" s="306" t="str">
        <f aca="false">IF($A248="N/A"," ",AF248*$AX248)</f>
        <v> </v>
      </c>
      <c r="BZ248" s="306" t="str">
        <f aca="false">IF($A248="N/A"," ",AG248*$AY248)</f>
        <v> </v>
      </c>
      <c r="CA248" s="306" t="str">
        <f aca="false">IF($A248="N/A"," ",AH248*$AZ248)</f>
        <v> </v>
      </c>
      <c r="CB248" s="307" t="str">
        <f aca="false">IF($A248="N/A"," ",AI248*$BA248)</f>
        <v> </v>
      </c>
      <c r="CC248" s="308" t="str">
        <f aca="false">IF($A248="N/A"," ",AJ248*$AS248)</f>
        <v> </v>
      </c>
      <c r="CD248" s="309" t="str">
        <f aca="false">IF($A248="N/A"," ",AK248*$AT248)</f>
        <v> </v>
      </c>
      <c r="CE248" s="309" t="str">
        <f aca="false">IF($A248="N/A"," ",AL248*$AU248)</f>
        <v> </v>
      </c>
      <c r="CF248" s="309" t="str">
        <f aca="false">IF($A248="N/A"," ",AM248*$AV248)</f>
        <v> </v>
      </c>
      <c r="CG248" s="309" t="str">
        <f aca="false">IF($A248="N/A"," ",AN248*$AW248)</f>
        <v> </v>
      </c>
      <c r="CH248" s="309" t="str">
        <f aca="false">IF($A248="N/A"," ",AO248*$AX248)</f>
        <v> </v>
      </c>
      <c r="CI248" s="309" t="str">
        <f aca="false">IF($A248="N/A"," ",AP248*$AY248)</f>
        <v> </v>
      </c>
      <c r="CJ248" s="309" t="str">
        <f aca="false">IF($A248="N/A"," ",AQ248*$AZ248)</f>
        <v> </v>
      </c>
      <c r="CK248" s="310" t="str">
        <f aca="false">IF($A248="N/A"," ",AR248*$BA248)</f>
        <v> </v>
      </c>
      <c r="CL248" s="311" t="str">
        <f aca="false">IF(A248="N/A"," ",(VLOOKUP(A248,PowerVolTable,(IF(VolBMO=2,7,IF(VolBMO=1,6,8))),FALSE())))</f>
        <v> </v>
      </c>
      <c r="CM248" s="312" t="str">
        <f aca="false">IF(A248="N/A"," ",(VLOOKUP(A248,IntraPowerVol,(IF(VolBMO=2,3,IF(VolBMO=1,2,4))),FALSE())*VLOOKUP(MONTH($A248),Volscale,2)))</f>
        <v> </v>
      </c>
      <c r="CN248" s="312" t="str">
        <f aca="false">IF($A248="N/A"," ",IF(VolType=1,CM248,CL248))</f>
        <v> </v>
      </c>
      <c r="CO248" s="312" t="str">
        <f aca="false">IF($A248="N/A"," ",(VLOOKUP($A248,OffPeakVol,(IF(VolBMO=2,7,IF(VolBMO=1,6,8))),FALSE())))</f>
        <v> </v>
      </c>
      <c r="CP248" s="312" t="str">
        <f aca="false">IF($A248="N/A"," ",(VLOOKUP($A248,OffPeakVol,(IF(VolBMO=2,3,IF(VolBMO=1,2,4))),FALSE())*VLOOKUP(MONTH($A248),Volscale,2)))</f>
        <v> </v>
      </c>
      <c r="CQ248" s="312" t="str">
        <f aca="false">IF($A248="N/A"," ",IF(VolType=1,CP248,CO248))</f>
        <v> </v>
      </c>
      <c r="CR248" s="312" t="str">
        <f aca="false">IF($A248="N/A"," ",(VLOOKUP($A248,GasVolTable,(IF(VolBMO=2,6,IF(VolBMO=1,7,5))),FALSE())))</f>
        <v> </v>
      </c>
      <c r="CS248" s="312" t="str">
        <f aca="false">IF($A248="N/A"," ",(VLOOKUP($A248,OmicronVol,(IF(VolBMO=2,3,IF(VolBMO=1,4,2))),FALSE())))</f>
        <v> </v>
      </c>
      <c r="CT248" s="312" t="str">
        <f aca="false">IF($A248="N/A"," ",(IF(DateToday&gt;$A248,$CS248,IF(VolType=1,((($CR248^2)*((($A248-1)-DateToday)/((EOMONTH($A248,0)+1)-DateToday-15)))+((($CS248)^2)*((15)/((EOMONTH($A248,0)+1)-DateToday-15))))^0.5,CR248))))</f>
        <v> </v>
      </c>
      <c r="CU248" s="312" t="str">
        <f aca="false">IF($A248="N/A"," ",IF('Pricing Inputs'!$AR$23=TRUE(),Inputs!$S$22,VLOOKUP($A248,CorrelationTable,2,FALSE())))</f>
        <v> </v>
      </c>
      <c r="CV248" s="313" t="str">
        <f aca="false">IF($A248="N/A"," ",F248+G248+(D248*('Pricing Inputs'!X283)))</f>
        <v> </v>
      </c>
      <c r="CW248" s="314" t="str">
        <f aca="false">IF($A248="N/A"," ",IF(PV=1,0,'Pricing Inputs'!Y283))</f>
        <v> </v>
      </c>
      <c r="CX248" s="315" t="str">
        <f aca="false">IF($A248="N/A"," ",(1+CW248/2)^(-2*((EOMONTH(A248,0)+20)-DateToday)/365.25))</f>
        <v> </v>
      </c>
      <c r="CY248" s="316" t="str">
        <f aca="false">IF($A248="N/A"," ",(IF(MONTH(A248)&gt;=4,IF(MONTH(A248)&lt;=10,Inputs!$S$26,Inputs!$S$27),Inputs!$S$27))*$CX248)</f>
        <v> </v>
      </c>
      <c r="CZ248" s="317" t="str">
        <f aca="false">IF($A248="N/A"," ",BK248+BL248+BN248+BO248+BQ248+BR248)</f>
        <v> </v>
      </c>
      <c r="DA248" s="318" t="str">
        <f aca="false">IF($A248="N/A"," ",BM248+BP248+BS248)</f>
        <v> </v>
      </c>
      <c r="DB248" s="319" t="str">
        <f aca="false">IF($A248="N/A"," ",BT248+BU248+BW248+BX248+BZ248+CA248)</f>
        <v> </v>
      </c>
      <c r="DC248" s="319" t="str">
        <f aca="false">IF($A248="N/A"," ",BV248+BY248+CB248)</f>
        <v> </v>
      </c>
      <c r="DD248" s="320" t="str">
        <f aca="false">IF($A248="N/A"," ",SUM(CC248:CK248))</f>
        <v> </v>
      </c>
      <c r="DE248" s="321" t="str">
        <f aca="false">IF($A248="N/A"," ",VLOOKUP($A248,NumberofDaysTable,2)*Availability)</f>
        <v> </v>
      </c>
      <c r="DF248" s="94" t="str">
        <f aca="false">IF($A248="N/A"," ",VLOOKUP($A248,NumberofDaysTable,3)*Availability)</f>
        <v> </v>
      </c>
      <c r="DG248" s="322" t="str">
        <f aca="false">IF($A248="N/A"," ",VLOOKUP($A248,NumberofDaysTable,4)*Availability)</f>
        <v> </v>
      </c>
      <c r="DH248" s="323" t="str">
        <f aca="false">IF($A248="N/A"," ",IF(Option=1,$D248*Inputs!$S$15*SUM(AS248:BA248),0))</f>
        <v> </v>
      </c>
      <c r="DI248" s="324" t="str">
        <f aca="false">IF($A248="N/A"," ",IF(Option=1,$D248*Inputs!$S$16*SUM(AS248:BA248),0))</f>
        <v> </v>
      </c>
      <c r="DJ248" s="325" t="str">
        <f aca="false">IF($A248="N/A"," ",SUM(AS248:AT248))</f>
        <v> </v>
      </c>
      <c r="DK248" s="325" t="str">
        <f aca="false">IF($A248="N/A"," ",SUM(AU248:BA248))</f>
        <v> </v>
      </c>
      <c r="DL248" s="325" t="str">
        <f aca="false">IF($A248="N/A"," ",SUM(BB248:BC248))</f>
        <v> </v>
      </c>
      <c r="DM248" s="325" t="str">
        <f aca="false">IF($A248="N/A"," ",SUM(BD248:BJ248))</f>
        <v> </v>
      </c>
    </row>
    <row r="249" customFormat="false" ht="12.75" hidden="false" customHeight="false" outlineLevel="0" collapsed="false">
      <c r="A249" s="282" t="str">
        <f aca="false">IF(A248="N/A","N/A",IF(EDATE(A248,1)&gt;Inputs!$S$5,"N/A",EDATE(A248,1)))</f>
        <v>N/A</v>
      </c>
      <c r="B249" s="283" t="str">
        <f aca="false">IF(A249="N/A"," ",YEAR(A249))</f>
        <v> </v>
      </c>
      <c r="C249" s="284" t="str">
        <f aca="false">IF(A249="N/A"," ",VLOOKUP(A249,ScaledPrice,14))</f>
        <v> </v>
      </c>
      <c r="D249" s="285" t="str">
        <f aca="false">IF(A249="N/A"," ",(VLOOKUP(MONTH($A249),Hrtable,2))/1000)</f>
        <v> </v>
      </c>
      <c r="E249" s="286" t="str">
        <f aca="false">IF($A249="N/A"," ",(C249)*D249)</f>
        <v> </v>
      </c>
      <c r="F249" s="287" t="str">
        <f aca="false">IF(A249="N/A"," ",VOM*(1+VOMesc)^(YEAR(A249)-YEAR(Today)))</f>
        <v> </v>
      </c>
      <c r="G249" s="287" t="str">
        <f aca="false">IF(A249="N/A"," ",Perstart/VLOOKUP(Dayrun,'Pricing Inputs'!$AQ$4:$AS$14,3)/(CY249/CX249))</f>
        <v> </v>
      </c>
      <c r="H249" s="288" t="str">
        <f aca="false">IF(A249="N/A"," ",SUM(E249:G249))</f>
        <v> </v>
      </c>
      <c r="I249" s="289" t="str">
        <f aca="false">VLOOKUP($A249,ScaledPrice,6)</f>
        <v> </v>
      </c>
      <c r="J249" s="290" t="str">
        <f aca="false">VLOOKUP($A249,ScaledPrice,10)</f>
        <v> </v>
      </c>
      <c r="K249" s="290" t="str">
        <f aca="false">VLOOKUP($A249,ScaledPrice,13)</f>
        <v> </v>
      </c>
      <c r="L249" s="290" t="str">
        <f aca="false">VLOOKUP($A249,ScaledPrice,7)</f>
        <v> </v>
      </c>
      <c r="M249" s="290" t="str">
        <f aca="false">VLOOKUP($A249,ScaledPrice,11)</f>
        <v> </v>
      </c>
      <c r="N249" s="290" t="str">
        <f aca="false">VLOOKUP($A249,ScaledPrice,13)</f>
        <v> </v>
      </c>
      <c r="O249" s="290" t="str">
        <f aca="false">VLOOKUP($A249,ScaledPrice,8)</f>
        <v> </v>
      </c>
      <c r="P249" s="290" t="str">
        <f aca="false">VLOOKUP($A249,ScaledPrice,12)</f>
        <v> </v>
      </c>
      <c r="Q249" s="291" t="str">
        <f aca="false">VLOOKUP($A249,ScaledPrice,13)</f>
        <v> </v>
      </c>
      <c r="R249" s="292" t="str">
        <f aca="false">IF($A249="N/A"," ",IF(Dayrun&gt;=3,IF(Option=1,MAX($I249-$H249,0),IF(Option=2,MAX($H249-$I249,0),0)),0))</f>
        <v> </v>
      </c>
      <c r="S249" s="286" t="str">
        <f aca="false">IF($A249="N/A"," ",IF(Dayrun&gt;=6,IF(Option=1,MAX($J249-H249,0),IF(Option=2,MAX(H249-$J249,0),0)),0))</f>
        <v> </v>
      </c>
      <c r="T249" s="286" t="str">
        <f aca="false">IF($A249="N/A"," ",IF(OR(Dayrun&lt;=2,Dayrun&gt;=9),IF(Option=1,MAX($K249-$H249,0),IF(Option=2,MAX($H249-$K249,0),0)),0))</f>
        <v> </v>
      </c>
      <c r="U249" s="286" t="str">
        <f aca="false">IF($A249="N/A"," ",IF(OR(Dayrun=1,Dayrun=4,Dayrun=5,Dayrun=7,Dayrun=8,Dayrun=10,Dayrun=11),IF(Option=1,MAX($L249-H249,0),IF(Option=2,MAX(H249-$L249,0),0)),0))</f>
        <v> </v>
      </c>
      <c r="V249" s="286" t="str">
        <f aca="false">IF($A249="N/A"," ",IF(OR(Dayrun=1,Dayrun=7,Dayrun=8,Dayrun=10,Dayrun=11),IF(Option=1,MAX($M249-H249,0),IF(Option=2,MAX(H249-$M249,0),0)),0))</f>
        <v> </v>
      </c>
      <c r="W249" s="286" t="str">
        <f aca="false">IF($A249="N/A"," ",IF(OR(Dayrun&lt;=2,Dayrun&gt;=10),IF(Option=1,MAX($N249-$H249,0),IF(Option=2,MAX($H249-$N249,0),0)),0))</f>
        <v> </v>
      </c>
      <c r="X249" s="286" t="str">
        <f aca="false">IF($A249="N/A"," ",IF(OR(Dayrun=1,Dayrun=5,Dayrun=8,Dayrun=11),IF(Option=1,MAX($O249-H249,0),IF(Option=2,MAX(H249-$O249,0),0)),0))</f>
        <v> </v>
      </c>
      <c r="Y249" s="286" t="str">
        <f aca="false">IF($A249="N/A"," ",IF(OR(Dayrun=1,Dayrun=8,Dayrun=11),IF(Option=1,MAX($P249-H249,0),IF(Option=2,MAX(H249-$P249,0),0)),0))</f>
        <v> </v>
      </c>
      <c r="Z249" s="293" t="str">
        <f aca="false">IF($A249="N/A"," ",IF(OR(Dayrun&lt;=2,Dayrun&gt;=11),IF(Option=1,MAX($Q249-$H249,0),IF(Option=2,MAX($H249-$Q249,0),0)),0))</f>
        <v> </v>
      </c>
      <c r="AA249" s="289" t="str">
        <f aca="false">IF($A249="N/A"," ",IF(Dayrun&gt;=3,(MAX(0,(xSPRDOPT(I249,($E249-'Pricing Inputs'!$X284*$D249),$CV249,0,($CN249+IF(Smile=TRUE(),VLOOKUP(MAX(-5,$H249-I249),Volsmile,2),0)),$CT249,$CU249,($A249-DateToday)+15,ABS(Option-2),0)-R249))),0))</f>
        <v> </v>
      </c>
      <c r="AB249" s="290" t="str">
        <f aca="false">IF($A249="N/A"," ",IF(Dayrun&gt;=6,MAX(0,(xSPRDOPT(J249,($E249-'Pricing Inputs'!$X284*$D249),$CV249,0,($CN249+IF(Smile=TRUE(),VLOOKUP(MAX(-5,$H249-J249),Volsmile,2),0)),$CT249,$CU249,($A249-DateToday)+15,ABS(Option-2),0)-S249)),0))</f>
        <v> </v>
      </c>
      <c r="AC249" s="290" t="str">
        <f aca="false">IF($A249="N/A"," ",IF(OR(Dayrun&lt;=2,Dayrun&gt;=9),IF(OffPeakEx=TRUE(),MAX(0,(xSPRDOPT(K249,($E249-'Pricing Inputs'!$X284*$D249),$CV249,0,($CQ249+IF(Smile=TRUE(),VLOOKUP(MAX(-5,$H249-K249),Volsmile,2),0)),$CT249,$CU249,($A249-DateToday)+15,ABS(Option-2),0)-T249)),0),0))</f>
        <v> </v>
      </c>
      <c r="AD249" s="290" t="str">
        <f aca="false">IF($A249="N/A"," ",IF(OR(Dayrun=1,Dayrun=4,Dayrun=5,Dayrun=7,Dayrun=8,Dayrun=10,Dayrun=11),MAX(0,(xSPRDOPT(L249,($E249-'Pricing Inputs'!$X284*$D249),$CV249,0,($CQ249+IF(Smile=TRUE(),VLOOKUP(MAX(-5,$H249-L249),Volsmile,2),0)),$CT249,$CU249,($A249-DateToday)+15,ABS(Option-2),0)-U249)),0))</f>
        <v> </v>
      </c>
      <c r="AE249" s="290" t="str">
        <f aca="false">IF($A249="N/A"," ",IF(OR(Dayrun=1,Dayrun=7,Dayrun=8,Dayrun=10,Dayrun=11),MAX(0,(xSPRDOPT(M249,($E249-'Pricing Inputs'!$X284*$D249),$CV249,0,($CQ249+IF(Smile=TRUE(),VLOOKUP(MAX(-5,$H249-M249),Volsmile,2),0)),$CT249,$CU249,($A249-DateToday)+15,ABS(Option-2),0)-V249)),0))</f>
        <v> </v>
      </c>
      <c r="AF249" s="290" t="str">
        <f aca="false">IF($A249="N/A"," ",IF(OR(Dayrun&lt;=2,Dayrun&gt;=10),IF(OffPeakEx=TRUE(),MAX(0,(xSPRDOPT(N249,($E249-'Pricing Inputs'!$X284*$D249),$CV249,0,($CQ249+IF(Smile=TRUE(),VLOOKUP(MAX(-5,$H249-N249),Volsmile,2),0)),$CT249,$CU249,($A249-DateToday)+15,ABS(Option-2),0)-W249)),0),0))</f>
        <v> </v>
      </c>
      <c r="AG249" s="290" t="str">
        <f aca="false">IF($A249="N/A"," ",IF(OR(Dayrun=1,Dayrun=5,Dayrun=8,Dayrun=11),MAX(0,(xSPRDOPT(O249,($E249-'Pricing Inputs'!$X284*$D249),$CV249,0,($CQ249+IF(Smile=TRUE(),VLOOKUP(MAX(-5,$H249-O249),Volsmile,2),0)),$CT249,$CU249,($A249-DateToday)+15,ABS(Option-2),0)-X249)),0))</f>
        <v> </v>
      </c>
      <c r="AH249" s="290" t="str">
        <f aca="false">IF($A249="N/A"," ",IF(OR(Dayrun=1,Dayrun=8,Dayrun=11),MAX(0,(xSPRDOPT(P249,($E249-'Pricing Inputs'!$X284*$D249),$CV249,0,($CQ249+IF(Smile=TRUE(),VLOOKUP(MAX(-5,$H249-P249),Volsmile,2),0)),$CT249,$CU249,($A249-DateToday)+15,ABS(Option-2),0)-Y249)),0))</f>
        <v> </v>
      </c>
      <c r="AI249" s="290" t="str">
        <f aca="false">IF($A249="N/A"," ",IF(OR(Dayrun&lt;=2,Dayrun&gt;=11),IF(OffPeakEx=TRUE(),MAX(0,(xSPRDOPT(Q249,($E249-'Pricing Inputs'!$X284*$D249),$CV249,0,($CQ249+IF(Smile=TRUE(),VLOOKUP(MAX(-5,$H249-Q249),Volsmile,2),0)),$CT249,$CU249,($A249-DateToday)+15,ABS(Option-2),0)-Z249)),0),0))</f>
        <v> </v>
      </c>
      <c r="AJ249" s="294" t="str">
        <f aca="false">IF($A249="N/A"," ",IF(Dayrun&gt;=3,IF(Option=1,$I249-$H249,IF(Option=2,$H249-$I249)),0))</f>
        <v> </v>
      </c>
      <c r="AK249" s="295" t="str">
        <f aca="false">IF($A249="N/A"," ",IF(Dayrun&gt;=6,IF(Option=1,$J249-H249,IF(Option=2,H249-$J249)),0))</f>
        <v> </v>
      </c>
      <c r="AL249" s="295" t="str">
        <f aca="false">IF($A249="N/A"," ",IF(OR(Dayrun&lt;=2,Dayrun&gt;=9),IF(Option=1,$K249-$H249,IF(Option=2,$H249-$K249)),0))</f>
        <v> </v>
      </c>
      <c r="AM249" s="295" t="str">
        <f aca="false">IF($A249="N/A"," ",IF(OR(Dayrun=1,Dayrun=4,Dayrun=5,Dayrun=7,Dayrun=8,Dayrun=10,Dayrun=11),IF(Option=1,$L249-H249,IF(Option=2,H249-$L249)),0))</f>
        <v> </v>
      </c>
      <c r="AN249" s="295" t="str">
        <f aca="false">IF($A249="N/A"," ",IF(OR(Dayrun=1,Dayrun=7,Dayrun=8,Dayrun=10,Dayrun=11),IF(Option=1,$M249-H249,IF(Option=2,H249-$M249)),0))</f>
        <v> </v>
      </c>
      <c r="AO249" s="295" t="str">
        <f aca="false">IF($A249="N/A"," ",IF(OR(Dayrun&lt;=2,Dayrun&gt;=9),IF(Option=1,$N249-$H249,IF(Option=2,$H249-$N249)),0))</f>
        <v> </v>
      </c>
      <c r="AP249" s="295" t="str">
        <f aca="false">IF($A249="N/A"," ",IF(OR(Dayrun=1,Dayrun=5,Dayrun=8,Dayrun=11),IF(Option=1,$O249-H249,IF(Option=2,H249-$O249)),0))</f>
        <v> </v>
      </c>
      <c r="AQ249" s="295" t="str">
        <f aca="false">IF($A249="N/A"," ",IF(OR(Dayrun=1,Dayrun=8,Dayrun=11),IF(Option=1,$P249-H249,IF(Option=2,H249-$P249)),0))</f>
        <v> </v>
      </c>
      <c r="AR249" s="296" t="str">
        <f aca="false">IF($A249="N/A"," ",IF(OR(Dayrun&lt;=2,Dayrun&gt;=9),IF(Option=1,$Q249-H249,IF(Option=2,H249-$Q249)),0))</f>
        <v> </v>
      </c>
      <c r="AS249" s="297" t="str">
        <f aca="false">IF($A249="N/A"," ",IF(VLOOKUP(MONTH($A249),ManualTable,2)=1,IF(Dayrun&gt;=3,$DE249*8*$CY249,0),0))</f>
        <v> </v>
      </c>
      <c r="AT249" s="297" t="str">
        <f aca="false">IF($A249="N/A"," ",IF(VLOOKUP(MONTH($A249),ManualTable,3)=1,IF(Dayrun&gt;=6,$DE249*8*$CY249,0),0))</f>
        <v> </v>
      </c>
      <c r="AU249" s="297" t="str">
        <f aca="false">IF($A249="N/A"," ",IF(VLOOKUP(MONTH($A249),ManualTable,4)=1,IF(OR(Dayrun&lt;=2,Dayrun&gt;=9),$DE249*8*$CY249,0),0))</f>
        <v> </v>
      </c>
      <c r="AV249" s="297" t="str">
        <f aca="false">IF($A249="N/A"," ",IF(VLOOKUP(MONTH($A249),ManualTable,5)=1,IF(OR(Dayrun=1,Dayrun=4,Dayrun=5,Dayrun=7,Dayrun=8,Dayrun=10,Dayrun=11),$DF249*8*$CY249,0),0))</f>
        <v> </v>
      </c>
      <c r="AW249" s="297" t="str">
        <f aca="false">IF($A249="N/A"," ",IF(VLOOKUP(MONTH($A249),ManualTable,6)=1,IF(OR(Dayrun=1,Dayrun=7,Dayrun=8,Dayrun=10,Dayrun=11),$DF249*8*$CY249,0),0))</f>
        <v> </v>
      </c>
      <c r="AX249" s="297" t="str">
        <f aca="false">IF($A249="N/A"," ",IF(VLOOKUP(MONTH($A249),ManualTable,7)=1,IF(OR(Dayrun&lt;=2,Dayrun&gt;=9),$DF249*8*$CY249,0),0))</f>
        <v> </v>
      </c>
      <c r="AY249" s="297" t="str">
        <f aca="false">IF($A249="N/A"," ",IF(VLOOKUP(MONTH($A249),ManualTable,8)=1,IF(OR(Dayrun=1,Dayrun=5,Dayrun=8,Dayrun=11),$DG249*8*$CY249,0),0))</f>
        <v> </v>
      </c>
      <c r="AZ249" s="297" t="str">
        <f aca="false">IF($A249="N/A"," ",IF(VLOOKUP(MONTH($A249),ManualTable,9)=1,IF(OR(Dayrun=1,Dayrun=8,Dayrun=11),$DG249*8*$CY249,0),0))</f>
        <v> </v>
      </c>
      <c r="BA249" s="298" t="str">
        <f aca="false">IF($A249="N/A"," ",IF(VLOOKUP(MONTH($A249),ManualTable,10)=1,IF(OR(Dayrun&lt;=2,Dayrun&gt;=9),$DG249*8*$CY249,0),0))</f>
        <v> </v>
      </c>
      <c r="BB249" s="299" t="str">
        <f aca="false">IF($A249="N/A"," ",IF(Dayrun&gt;=3,(MAX(0,(xSPRDOPT(I249,($E249-'Pricing Inputs'!$X284*$D249),$CV249,0,($CN249+IF(Smile=TRUE(),VLOOKUP(MAX(-5,$H249-I249),Volsmile,2),0)),$CT249,$CU249,($A249-DateToday)+15,ABS(Option-2),1)*DE249*8))),0))</f>
        <v> </v>
      </c>
      <c r="BC249" s="300" t="str">
        <f aca="false">IF($A249="N/A"," ",IF(Dayrun&gt;=6,MAX(0,(xSPRDOPT(J249,($E249-'Pricing Inputs'!$X284*$D249),$CV249,0,($CN249+IF(Smile=TRUE(),VLOOKUP(MAX(-5,$H249-J249),Volsmile,2),0)),$CT249,$CU249,($A249-DateToday)+15,ABS(Option-2),1)*DE249*8)),0))</f>
        <v> </v>
      </c>
      <c r="BD249" s="300" t="str">
        <f aca="false">IF($A249="N/A"," ",IF(OR(Dayrun&lt;=2,Dayrun&gt;=9),IF(OffPeakEx=TRUE(),MAX(0,(xSPRDOPT(K249,($E249-'Pricing Inputs'!$X284*$D249),$CV249,0,($CQ249+IF(Smile=TRUE(),VLOOKUP(MAX(-5,$H249-K249),Volsmile,2),0)),$CT249,$CU249,($A249-DateToday)+15,ABS(Option-2),1)*DE249*8)),0),0))</f>
        <v> </v>
      </c>
      <c r="BE249" s="300" t="str">
        <f aca="false">IF($A249="N/A"," ",IF(OR(Dayrun=1,Dayrun=4,Dayrun=5,Dayrun=7,Dayrun=8,Dayrun=10,Dayrun=11),MAX(0,(xSPRDOPT(L249,($E249-'Pricing Inputs'!$X284*$D249),$CV249,0,($CQ249+IF(Smile=TRUE(),VLOOKUP(MAX(-5,$H249-L249),Volsmile,2),0)),$CT249,$CU249,($A249-DateToday)+15,ABS(Option-2),1)*DF249*8)),0))</f>
        <v> </v>
      </c>
      <c r="BF249" s="300" t="str">
        <f aca="false">IF($A249="N/A"," ",IF(OR(Dayrun=1,Dayrun=7,Dayrun=8,Dayrun=10,Dayrun=11),MAX(0,(xSPRDOPT(M249,($E249-'Pricing Inputs'!$X284*$D249),$CV249,0,($CQ249+IF(Smile=TRUE(),VLOOKUP(MAX(-5,$H249-M249),Volsmile,2),0)),$CT249,$CU249,($A249-DateToday)+15,ABS(Option-2),1)*DF249*8)),0))</f>
        <v> </v>
      </c>
      <c r="BG249" s="300" t="str">
        <f aca="false">IF($A249="N/A"," ",IF(OR(Dayrun&lt;=2,Dayrun&gt;=10),IF(OffPeakEx=TRUE(),MAX(0,(xSPRDOPT(N249,($E249-'Pricing Inputs'!$X284*$D249),$CV249,0,($CQ249+IF(Smile=TRUE(),VLOOKUP(MAX(-5,$H249-N249),Volsmile,2),0)),$CT249,$CU249,($A249-DateToday)+15,ABS(Option-2),1)*DF249*8)),0),0))</f>
        <v> </v>
      </c>
      <c r="BH249" s="300" t="str">
        <f aca="false">IF($A249="N/A"," ",IF(OR(Dayrun=1,Dayrun=5,Dayrun=8,Dayrun=11),MAX(0,(xSPRDOPT(O249,($E249-'Pricing Inputs'!$X284*$D249),$CV249,0,($CQ249+IF(Smile=TRUE(),VLOOKUP(MAX(-5,$H249-O249),Volsmile,2),0)),$CT249,$CU249,($A249-DateToday)+15,ABS(Option-2),1)*DG249*8)),0))</f>
        <v> </v>
      </c>
      <c r="BI249" s="300" t="str">
        <f aca="false">IF($A249="N/A"," ",IF(OR(Dayrun=1,Dayrun=8,Dayrun=11),MAX(0,(xSPRDOPT(P249,($E249-'Pricing Inputs'!$X284*$D249),$CV249,0,($CQ249+IF(Smile=TRUE(),VLOOKUP(MAX(-5,$H249-P249),Volsmile,2),0)),$CT249,$CU249,($A249-DateToday)+15,ABS(Option-2),1)*DG249*8)),0))</f>
        <v> </v>
      </c>
      <c r="BJ249" s="301" t="str">
        <f aca="false">IF($A249="N/A"," ",IF(OR(Dayrun&lt;=2,Dayrun&gt;=11),IF(OffPeakEx=TRUE(),MAX(0,(xSPRDOPT(Q249,($E249-'Pricing Inputs'!$X284*$D249),$CV249,0,($CQ249+IF(Smile=TRUE(),VLOOKUP(MAX(-5,$H249-Q249),Volsmile,2),0)),$CT249,$CU249,($A249-DateToday)+15,ABS(Option-2),1)*DG249*8)),0),0))</f>
        <v> </v>
      </c>
      <c r="BK249" s="302" t="str">
        <f aca="false">IF($A249="N/A"," ",R249*$AS249)</f>
        <v> </v>
      </c>
      <c r="BL249" s="303" t="str">
        <f aca="false">IF($A249="N/A"," ",S249*$AT249)</f>
        <v> </v>
      </c>
      <c r="BM249" s="303" t="str">
        <f aca="false">IF($A249="N/A"," ",T249*$AU249)</f>
        <v> </v>
      </c>
      <c r="BN249" s="303" t="str">
        <f aca="false">IF($A249="N/A"," ",U249*$AV249)</f>
        <v> </v>
      </c>
      <c r="BO249" s="303" t="str">
        <f aca="false">IF($A249="N/A"," ",V249*$AW249)</f>
        <v> </v>
      </c>
      <c r="BP249" s="303" t="str">
        <f aca="false">IF($A249="N/A"," ",W249*$AX249)</f>
        <v> </v>
      </c>
      <c r="BQ249" s="303" t="str">
        <f aca="false">IF($A249="N/A"," ",X249*$AY249)</f>
        <v> </v>
      </c>
      <c r="BR249" s="303" t="str">
        <f aca="false">IF($A249="N/A"," ",Y249*$AZ249)</f>
        <v> </v>
      </c>
      <c r="BS249" s="304" t="str">
        <f aca="false">IF($A249="N/A"," ",Z249*$BA249)</f>
        <v> </v>
      </c>
      <c r="BT249" s="305" t="str">
        <f aca="false">IF($A249="N/A"," ",AA249*$AS249)</f>
        <v> </v>
      </c>
      <c r="BU249" s="306" t="str">
        <f aca="false">IF($A249="N/A"," ",AB249*$AT249)</f>
        <v> </v>
      </c>
      <c r="BV249" s="306" t="str">
        <f aca="false">IF($A249="N/A"," ",AC249*$AU249)</f>
        <v> </v>
      </c>
      <c r="BW249" s="306" t="str">
        <f aca="false">IF($A249="N/A"," ",AD249*$AV249)</f>
        <v> </v>
      </c>
      <c r="BX249" s="306" t="str">
        <f aca="false">IF($A249="N/A"," ",AE249*$AW249)</f>
        <v> </v>
      </c>
      <c r="BY249" s="306" t="str">
        <f aca="false">IF($A249="N/A"," ",AF249*$AX249)</f>
        <v> </v>
      </c>
      <c r="BZ249" s="306" t="str">
        <f aca="false">IF($A249="N/A"," ",AG249*$AY249)</f>
        <v> </v>
      </c>
      <c r="CA249" s="306" t="str">
        <f aca="false">IF($A249="N/A"," ",AH249*$AZ249)</f>
        <v> </v>
      </c>
      <c r="CB249" s="307" t="str">
        <f aca="false">IF($A249="N/A"," ",AI249*$BA249)</f>
        <v> </v>
      </c>
      <c r="CC249" s="308" t="str">
        <f aca="false">IF($A249="N/A"," ",AJ249*$AS249)</f>
        <v> </v>
      </c>
      <c r="CD249" s="309" t="str">
        <f aca="false">IF($A249="N/A"," ",AK249*$AT249)</f>
        <v> </v>
      </c>
      <c r="CE249" s="309" t="str">
        <f aca="false">IF($A249="N/A"," ",AL249*$AU249)</f>
        <v> </v>
      </c>
      <c r="CF249" s="309" t="str">
        <f aca="false">IF($A249="N/A"," ",AM249*$AV249)</f>
        <v> </v>
      </c>
      <c r="CG249" s="309" t="str">
        <f aca="false">IF($A249="N/A"," ",AN249*$AW249)</f>
        <v> </v>
      </c>
      <c r="CH249" s="309" t="str">
        <f aca="false">IF($A249="N/A"," ",AO249*$AX249)</f>
        <v> </v>
      </c>
      <c r="CI249" s="309" t="str">
        <f aca="false">IF($A249="N/A"," ",AP249*$AY249)</f>
        <v> </v>
      </c>
      <c r="CJ249" s="309" t="str">
        <f aca="false">IF($A249="N/A"," ",AQ249*$AZ249)</f>
        <v> </v>
      </c>
      <c r="CK249" s="310" t="str">
        <f aca="false">IF($A249="N/A"," ",AR249*$BA249)</f>
        <v> </v>
      </c>
      <c r="CL249" s="311" t="str">
        <f aca="false">IF(A249="N/A"," ",(VLOOKUP(A249,PowerVolTable,(IF(VolBMO=2,7,IF(VolBMO=1,6,8))),FALSE())))</f>
        <v> </v>
      </c>
      <c r="CM249" s="312" t="str">
        <f aca="false">IF(A249="N/A"," ",(VLOOKUP(A249,IntraPowerVol,(IF(VolBMO=2,3,IF(VolBMO=1,2,4))),FALSE())*VLOOKUP(MONTH($A249),Volscale,2)))</f>
        <v> </v>
      </c>
      <c r="CN249" s="312" t="str">
        <f aca="false">IF($A249="N/A"," ",IF(VolType=1,CM249,CL249))</f>
        <v> </v>
      </c>
      <c r="CO249" s="312" t="str">
        <f aca="false">IF($A249="N/A"," ",(VLOOKUP($A249,OffPeakVol,(IF(VolBMO=2,7,IF(VolBMO=1,6,8))),FALSE())))</f>
        <v> </v>
      </c>
      <c r="CP249" s="312" t="str">
        <f aca="false">IF($A249="N/A"," ",(VLOOKUP($A249,OffPeakVol,(IF(VolBMO=2,3,IF(VolBMO=1,2,4))),FALSE())*VLOOKUP(MONTH($A249),Volscale,2)))</f>
        <v> </v>
      </c>
      <c r="CQ249" s="312" t="str">
        <f aca="false">IF($A249="N/A"," ",IF(VolType=1,CP249,CO249))</f>
        <v> </v>
      </c>
      <c r="CR249" s="312" t="str">
        <f aca="false">IF($A249="N/A"," ",(VLOOKUP($A249,GasVolTable,(IF(VolBMO=2,6,IF(VolBMO=1,7,5))),FALSE())))</f>
        <v> </v>
      </c>
      <c r="CS249" s="312" t="str">
        <f aca="false">IF($A249="N/A"," ",(VLOOKUP($A249,OmicronVol,(IF(VolBMO=2,3,IF(VolBMO=1,4,2))),FALSE())))</f>
        <v> </v>
      </c>
      <c r="CT249" s="312" t="str">
        <f aca="false">IF($A249="N/A"," ",(IF(DateToday&gt;$A249,$CS249,IF(VolType=1,((($CR249^2)*((($A249-1)-DateToday)/((EOMONTH($A249,0)+1)-DateToday-15)))+((($CS249)^2)*((15)/((EOMONTH($A249,0)+1)-DateToday-15))))^0.5,CR249))))</f>
        <v> </v>
      </c>
      <c r="CU249" s="312" t="str">
        <f aca="false">IF($A249="N/A"," ",IF('Pricing Inputs'!$AR$23=TRUE(),Inputs!$S$22,VLOOKUP($A249,CorrelationTable,2,FALSE())))</f>
        <v> </v>
      </c>
      <c r="CV249" s="313" t="str">
        <f aca="false">IF($A249="N/A"," ",F249+G249+(D249*('Pricing Inputs'!X284)))</f>
        <v> </v>
      </c>
      <c r="CW249" s="314" t="str">
        <f aca="false">IF($A249="N/A"," ",IF(PV=1,0,'Pricing Inputs'!Y284))</f>
        <v> </v>
      </c>
      <c r="CX249" s="315" t="str">
        <f aca="false">IF($A249="N/A"," ",(1+CW249/2)^(-2*((EOMONTH(A249,0)+20)-DateToday)/365.25))</f>
        <v> </v>
      </c>
      <c r="CY249" s="316" t="str">
        <f aca="false">IF($A249="N/A"," ",(IF(MONTH(A249)&gt;=4,IF(MONTH(A249)&lt;=10,Inputs!$S$26,Inputs!$S$27),Inputs!$S$27))*$CX249)</f>
        <v> </v>
      </c>
      <c r="CZ249" s="317" t="str">
        <f aca="false">IF($A249="N/A"," ",BK249+BL249+BN249+BO249+BQ249+BR249)</f>
        <v> </v>
      </c>
      <c r="DA249" s="318" t="str">
        <f aca="false">IF($A249="N/A"," ",BM249+BP249+BS249)</f>
        <v> </v>
      </c>
      <c r="DB249" s="319" t="str">
        <f aca="false">IF($A249="N/A"," ",BT249+BU249+BW249+BX249+BZ249+CA249)</f>
        <v> </v>
      </c>
      <c r="DC249" s="319" t="str">
        <f aca="false">IF($A249="N/A"," ",BV249+BY249+CB249)</f>
        <v> </v>
      </c>
      <c r="DD249" s="320" t="str">
        <f aca="false">IF($A249="N/A"," ",SUM(CC249:CK249))</f>
        <v> </v>
      </c>
      <c r="DE249" s="321" t="str">
        <f aca="false">IF($A249="N/A"," ",VLOOKUP($A249,NumberofDaysTable,2)*Availability)</f>
        <v> </v>
      </c>
      <c r="DF249" s="94" t="str">
        <f aca="false">IF($A249="N/A"," ",VLOOKUP($A249,NumberofDaysTable,3)*Availability)</f>
        <v> </v>
      </c>
      <c r="DG249" s="322" t="str">
        <f aca="false">IF($A249="N/A"," ",VLOOKUP($A249,NumberofDaysTable,4)*Availability)</f>
        <v> </v>
      </c>
      <c r="DH249" s="323" t="str">
        <f aca="false">IF($A249="N/A"," ",IF(Option=1,$D249*Inputs!$S$15*SUM(AS249:BA249),0))</f>
        <v> </v>
      </c>
      <c r="DI249" s="324" t="str">
        <f aca="false">IF($A249="N/A"," ",IF(Option=1,$D249*Inputs!$S$16*SUM(AS249:BA249),0))</f>
        <v> </v>
      </c>
      <c r="DJ249" s="325" t="str">
        <f aca="false">IF($A249="N/A"," ",SUM(AS249:AT249))</f>
        <v> </v>
      </c>
      <c r="DK249" s="325" t="str">
        <f aca="false">IF($A249="N/A"," ",SUM(AU249:BA249))</f>
        <v> </v>
      </c>
      <c r="DL249" s="325" t="str">
        <f aca="false">IF($A249="N/A"," ",SUM(BB249:BC249))</f>
        <v> </v>
      </c>
      <c r="DM249" s="325" t="str">
        <f aca="false">IF($A249="N/A"," ",SUM(BD249:BJ249))</f>
        <v> </v>
      </c>
    </row>
    <row r="250" customFormat="false" ht="12.75" hidden="false" customHeight="false" outlineLevel="0" collapsed="false">
      <c r="A250" s="282" t="str">
        <f aca="false">IF(A249="N/A","N/A",IF(EDATE(A249,1)&gt;Inputs!$S$5,"N/A",EDATE(A249,1)))</f>
        <v>N/A</v>
      </c>
      <c r="B250" s="283" t="str">
        <f aca="false">IF(A250="N/A"," ",YEAR(A250))</f>
        <v> </v>
      </c>
      <c r="C250" s="284" t="str">
        <f aca="false">IF(A250="N/A"," ",VLOOKUP(A250,ScaledPrice,14))</f>
        <v> </v>
      </c>
      <c r="D250" s="285" t="str">
        <f aca="false">IF(A250="N/A"," ",(VLOOKUP(MONTH($A250),Hrtable,2))/1000)</f>
        <v> </v>
      </c>
      <c r="E250" s="286" t="str">
        <f aca="false">IF($A250="N/A"," ",(C250)*D250)</f>
        <v> </v>
      </c>
      <c r="F250" s="287" t="str">
        <f aca="false">IF(A250="N/A"," ",VOM*(1+VOMesc)^(YEAR(A250)-YEAR(Today)))</f>
        <v> </v>
      </c>
      <c r="G250" s="287" t="str">
        <f aca="false">IF(A250="N/A"," ",Perstart/VLOOKUP(Dayrun,'Pricing Inputs'!$AQ$4:$AS$14,3)/(CY250/CX250))</f>
        <v> </v>
      </c>
      <c r="H250" s="288" t="str">
        <f aca="false">IF(A250="N/A"," ",SUM(E250:G250))</f>
        <v> </v>
      </c>
      <c r="I250" s="289" t="str">
        <f aca="false">VLOOKUP($A250,ScaledPrice,6)</f>
        <v> </v>
      </c>
      <c r="J250" s="290" t="str">
        <f aca="false">VLOOKUP($A250,ScaledPrice,10)</f>
        <v> </v>
      </c>
      <c r="K250" s="290" t="str">
        <f aca="false">VLOOKUP($A250,ScaledPrice,13)</f>
        <v> </v>
      </c>
      <c r="L250" s="290" t="str">
        <f aca="false">VLOOKUP($A250,ScaledPrice,7)</f>
        <v> </v>
      </c>
      <c r="M250" s="290" t="str">
        <f aca="false">VLOOKUP($A250,ScaledPrice,11)</f>
        <v> </v>
      </c>
      <c r="N250" s="290" t="str">
        <f aca="false">VLOOKUP($A250,ScaledPrice,13)</f>
        <v> </v>
      </c>
      <c r="O250" s="290" t="str">
        <f aca="false">VLOOKUP($A250,ScaledPrice,8)</f>
        <v> </v>
      </c>
      <c r="P250" s="290" t="str">
        <f aca="false">VLOOKUP($A250,ScaledPrice,12)</f>
        <v> </v>
      </c>
      <c r="Q250" s="291" t="str">
        <f aca="false">VLOOKUP($A250,ScaledPrice,13)</f>
        <v> </v>
      </c>
      <c r="R250" s="292" t="str">
        <f aca="false">IF($A250="N/A"," ",IF(Dayrun&gt;=3,IF(Option=1,MAX($I250-$H250,0),IF(Option=2,MAX($H250-$I250,0),0)),0))</f>
        <v> </v>
      </c>
      <c r="S250" s="286" t="str">
        <f aca="false">IF($A250="N/A"," ",IF(Dayrun&gt;=6,IF(Option=1,MAX($J250-H250,0),IF(Option=2,MAX(H250-$J250,0),0)),0))</f>
        <v> </v>
      </c>
      <c r="T250" s="286" t="str">
        <f aca="false">IF($A250="N/A"," ",IF(OR(Dayrun&lt;=2,Dayrun&gt;=9),IF(Option=1,MAX($K250-$H250,0),IF(Option=2,MAX($H250-$K250,0),0)),0))</f>
        <v> </v>
      </c>
      <c r="U250" s="286" t="str">
        <f aca="false">IF($A250="N/A"," ",IF(OR(Dayrun=1,Dayrun=4,Dayrun=5,Dayrun=7,Dayrun=8,Dayrun=10,Dayrun=11),IF(Option=1,MAX($L250-H250,0),IF(Option=2,MAX(H250-$L250,0),0)),0))</f>
        <v> </v>
      </c>
      <c r="V250" s="286" t="str">
        <f aca="false">IF($A250="N/A"," ",IF(OR(Dayrun=1,Dayrun=7,Dayrun=8,Dayrun=10,Dayrun=11),IF(Option=1,MAX($M250-H250,0),IF(Option=2,MAX(H250-$M250,0),0)),0))</f>
        <v> </v>
      </c>
      <c r="W250" s="286" t="str">
        <f aca="false">IF($A250="N/A"," ",IF(OR(Dayrun&lt;=2,Dayrun&gt;=10),IF(Option=1,MAX($N250-$H250,0),IF(Option=2,MAX($H250-$N250,0),0)),0))</f>
        <v> </v>
      </c>
      <c r="X250" s="286" t="str">
        <f aca="false">IF($A250="N/A"," ",IF(OR(Dayrun=1,Dayrun=5,Dayrun=8,Dayrun=11),IF(Option=1,MAX($O250-H250,0),IF(Option=2,MAX(H250-$O250,0),0)),0))</f>
        <v> </v>
      </c>
      <c r="Y250" s="286" t="str">
        <f aca="false">IF($A250="N/A"," ",IF(OR(Dayrun=1,Dayrun=8,Dayrun=11),IF(Option=1,MAX($P250-H250,0),IF(Option=2,MAX(H250-$P250,0),0)),0))</f>
        <v> </v>
      </c>
      <c r="Z250" s="293" t="str">
        <f aca="false">IF($A250="N/A"," ",IF(OR(Dayrun&lt;=2,Dayrun&gt;=11),IF(Option=1,MAX($Q250-$H250,0),IF(Option=2,MAX($H250-$Q250,0),0)),0))</f>
        <v> </v>
      </c>
      <c r="AA250" s="289" t="str">
        <f aca="false">IF($A250="N/A"," ",IF(Dayrun&gt;=3,(MAX(0,(xSPRDOPT(I250,($E250-'Pricing Inputs'!$X285*$D250),$CV250,0,($CN250+IF(Smile=TRUE(),VLOOKUP(MAX(-5,$H250-I250),Volsmile,2),0)),$CT250,$CU250,($A250-DateToday)+15,ABS(Option-2),0)-R250))),0))</f>
        <v> </v>
      </c>
      <c r="AB250" s="290" t="str">
        <f aca="false">IF($A250="N/A"," ",IF(Dayrun&gt;=6,MAX(0,(xSPRDOPT(J250,($E250-'Pricing Inputs'!$X285*$D250),$CV250,0,($CN250+IF(Smile=TRUE(),VLOOKUP(MAX(-5,$H250-J250),Volsmile,2),0)),$CT250,$CU250,($A250-DateToday)+15,ABS(Option-2),0)-S250)),0))</f>
        <v> </v>
      </c>
      <c r="AC250" s="290" t="str">
        <f aca="false">IF($A250="N/A"," ",IF(OR(Dayrun&lt;=2,Dayrun&gt;=9),IF(OffPeakEx=TRUE(),MAX(0,(xSPRDOPT(K250,($E250-'Pricing Inputs'!$X285*$D250),$CV250,0,($CQ250+IF(Smile=TRUE(),VLOOKUP(MAX(-5,$H250-K250),Volsmile,2),0)),$CT250,$CU250,($A250-DateToday)+15,ABS(Option-2),0)-T250)),0),0))</f>
        <v> </v>
      </c>
      <c r="AD250" s="290" t="str">
        <f aca="false">IF($A250="N/A"," ",IF(OR(Dayrun=1,Dayrun=4,Dayrun=5,Dayrun=7,Dayrun=8,Dayrun=10,Dayrun=11),MAX(0,(xSPRDOPT(L250,($E250-'Pricing Inputs'!$X285*$D250),$CV250,0,($CQ250+IF(Smile=TRUE(),VLOOKUP(MAX(-5,$H250-L250),Volsmile,2),0)),$CT250,$CU250,($A250-DateToday)+15,ABS(Option-2),0)-U250)),0))</f>
        <v> </v>
      </c>
      <c r="AE250" s="290" t="str">
        <f aca="false">IF($A250="N/A"," ",IF(OR(Dayrun=1,Dayrun=7,Dayrun=8,Dayrun=10,Dayrun=11),MAX(0,(xSPRDOPT(M250,($E250-'Pricing Inputs'!$X285*$D250),$CV250,0,($CQ250+IF(Smile=TRUE(),VLOOKUP(MAX(-5,$H250-M250),Volsmile,2),0)),$CT250,$CU250,($A250-DateToday)+15,ABS(Option-2),0)-V250)),0))</f>
        <v> </v>
      </c>
      <c r="AF250" s="290" t="str">
        <f aca="false">IF($A250="N/A"," ",IF(OR(Dayrun&lt;=2,Dayrun&gt;=10),IF(OffPeakEx=TRUE(),MAX(0,(xSPRDOPT(N250,($E250-'Pricing Inputs'!$X285*$D250),$CV250,0,($CQ250+IF(Smile=TRUE(),VLOOKUP(MAX(-5,$H250-N250),Volsmile,2),0)),$CT250,$CU250,($A250-DateToday)+15,ABS(Option-2),0)-W250)),0),0))</f>
        <v> </v>
      </c>
      <c r="AG250" s="290" t="str">
        <f aca="false">IF($A250="N/A"," ",IF(OR(Dayrun=1,Dayrun=5,Dayrun=8,Dayrun=11),MAX(0,(xSPRDOPT(O250,($E250-'Pricing Inputs'!$X285*$D250),$CV250,0,($CQ250+IF(Smile=TRUE(),VLOOKUP(MAX(-5,$H250-O250),Volsmile,2),0)),$CT250,$CU250,($A250-DateToday)+15,ABS(Option-2),0)-X250)),0))</f>
        <v> </v>
      </c>
      <c r="AH250" s="290" t="str">
        <f aca="false">IF($A250="N/A"," ",IF(OR(Dayrun=1,Dayrun=8,Dayrun=11),MAX(0,(xSPRDOPT(P250,($E250-'Pricing Inputs'!$X285*$D250),$CV250,0,($CQ250+IF(Smile=TRUE(),VLOOKUP(MAX(-5,$H250-P250),Volsmile,2),0)),$CT250,$CU250,($A250-DateToday)+15,ABS(Option-2),0)-Y250)),0))</f>
        <v> </v>
      </c>
      <c r="AI250" s="290" t="str">
        <f aca="false">IF($A250="N/A"," ",IF(OR(Dayrun&lt;=2,Dayrun&gt;=11),IF(OffPeakEx=TRUE(),MAX(0,(xSPRDOPT(Q250,($E250-'Pricing Inputs'!$X285*$D250),$CV250,0,($CQ250+IF(Smile=TRUE(),VLOOKUP(MAX(-5,$H250-Q250),Volsmile,2),0)),$CT250,$CU250,($A250-DateToday)+15,ABS(Option-2),0)-Z250)),0),0))</f>
        <v> </v>
      </c>
      <c r="AJ250" s="294" t="str">
        <f aca="false">IF($A250="N/A"," ",IF(Dayrun&gt;=3,IF(Option=1,$I250-$H250,IF(Option=2,$H250-$I250)),0))</f>
        <v> </v>
      </c>
      <c r="AK250" s="295" t="str">
        <f aca="false">IF($A250="N/A"," ",IF(Dayrun&gt;=6,IF(Option=1,$J250-H250,IF(Option=2,H250-$J250)),0))</f>
        <v> </v>
      </c>
      <c r="AL250" s="295" t="str">
        <f aca="false">IF($A250="N/A"," ",IF(OR(Dayrun&lt;=2,Dayrun&gt;=9),IF(Option=1,$K250-$H250,IF(Option=2,$H250-$K250)),0))</f>
        <v> </v>
      </c>
      <c r="AM250" s="295" t="str">
        <f aca="false">IF($A250="N/A"," ",IF(OR(Dayrun=1,Dayrun=4,Dayrun=5,Dayrun=7,Dayrun=8,Dayrun=10,Dayrun=11),IF(Option=1,$L250-H250,IF(Option=2,H250-$L250)),0))</f>
        <v> </v>
      </c>
      <c r="AN250" s="295" t="str">
        <f aca="false">IF($A250="N/A"," ",IF(OR(Dayrun=1,Dayrun=7,Dayrun=8,Dayrun=10,Dayrun=11),IF(Option=1,$M250-H250,IF(Option=2,H250-$M250)),0))</f>
        <v> </v>
      </c>
      <c r="AO250" s="295" t="str">
        <f aca="false">IF($A250="N/A"," ",IF(OR(Dayrun&lt;=2,Dayrun&gt;=9),IF(Option=1,$N250-$H250,IF(Option=2,$H250-$N250)),0))</f>
        <v> </v>
      </c>
      <c r="AP250" s="295" t="str">
        <f aca="false">IF($A250="N/A"," ",IF(OR(Dayrun=1,Dayrun=5,Dayrun=8,Dayrun=11),IF(Option=1,$O250-H250,IF(Option=2,H250-$O250)),0))</f>
        <v> </v>
      </c>
      <c r="AQ250" s="295" t="str">
        <f aca="false">IF($A250="N/A"," ",IF(OR(Dayrun=1,Dayrun=8,Dayrun=11),IF(Option=1,$P250-H250,IF(Option=2,H250-$P250)),0))</f>
        <v> </v>
      </c>
      <c r="AR250" s="296" t="str">
        <f aca="false">IF($A250="N/A"," ",IF(OR(Dayrun&lt;=2,Dayrun&gt;=9),IF(Option=1,$Q250-H250,IF(Option=2,H250-$Q250)),0))</f>
        <v> </v>
      </c>
      <c r="AS250" s="297" t="str">
        <f aca="false">IF($A250="N/A"," ",IF(VLOOKUP(MONTH($A250),ManualTable,2)=1,IF(Dayrun&gt;=3,$DE250*8*$CY250,0),0))</f>
        <v> </v>
      </c>
      <c r="AT250" s="297" t="str">
        <f aca="false">IF($A250="N/A"," ",IF(VLOOKUP(MONTH($A250),ManualTable,3)=1,IF(Dayrun&gt;=6,$DE250*8*$CY250,0),0))</f>
        <v> </v>
      </c>
      <c r="AU250" s="297" t="str">
        <f aca="false">IF($A250="N/A"," ",IF(VLOOKUP(MONTH($A250),ManualTable,4)=1,IF(OR(Dayrun&lt;=2,Dayrun&gt;=9),$DE250*8*$CY250,0),0))</f>
        <v> </v>
      </c>
      <c r="AV250" s="297" t="str">
        <f aca="false">IF($A250="N/A"," ",IF(VLOOKUP(MONTH($A250),ManualTable,5)=1,IF(OR(Dayrun=1,Dayrun=4,Dayrun=5,Dayrun=7,Dayrun=8,Dayrun=10,Dayrun=11),$DF250*8*$CY250,0),0))</f>
        <v> </v>
      </c>
      <c r="AW250" s="297" t="str">
        <f aca="false">IF($A250="N/A"," ",IF(VLOOKUP(MONTH($A250),ManualTable,6)=1,IF(OR(Dayrun=1,Dayrun=7,Dayrun=8,Dayrun=10,Dayrun=11),$DF250*8*$CY250,0),0))</f>
        <v> </v>
      </c>
      <c r="AX250" s="297" t="str">
        <f aca="false">IF($A250="N/A"," ",IF(VLOOKUP(MONTH($A250),ManualTable,7)=1,IF(OR(Dayrun&lt;=2,Dayrun&gt;=9),$DF250*8*$CY250,0),0))</f>
        <v> </v>
      </c>
      <c r="AY250" s="297" t="str">
        <f aca="false">IF($A250="N/A"," ",IF(VLOOKUP(MONTH($A250),ManualTable,8)=1,IF(OR(Dayrun=1,Dayrun=5,Dayrun=8,Dayrun=11),$DG250*8*$CY250,0),0))</f>
        <v> </v>
      </c>
      <c r="AZ250" s="297" t="str">
        <f aca="false">IF($A250="N/A"," ",IF(VLOOKUP(MONTH($A250),ManualTable,9)=1,IF(OR(Dayrun=1,Dayrun=8,Dayrun=11),$DG250*8*$CY250,0),0))</f>
        <v> </v>
      </c>
      <c r="BA250" s="298" t="str">
        <f aca="false">IF($A250="N/A"," ",IF(VLOOKUP(MONTH($A250),ManualTable,10)=1,IF(OR(Dayrun&lt;=2,Dayrun&gt;=9),$DG250*8*$CY250,0),0))</f>
        <v> </v>
      </c>
      <c r="BB250" s="299" t="str">
        <f aca="false">IF($A250="N/A"," ",IF(Dayrun&gt;=3,(MAX(0,(xSPRDOPT(I250,($E250-'Pricing Inputs'!$X285*$D250),$CV250,0,($CN250+IF(Smile=TRUE(),VLOOKUP(MAX(-5,$H250-I250),Volsmile,2),0)),$CT250,$CU250,($A250-DateToday)+15,ABS(Option-2),1)*DE250*8))),0))</f>
        <v> </v>
      </c>
      <c r="BC250" s="300" t="str">
        <f aca="false">IF($A250="N/A"," ",IF(Dayrun&gt;=6,MAX(0,(xSPRDOPT(J250,($E250-'Pricing Inputs'!$X285*$D250),$CV250,0,($CN250+IF(Smile=TRUE(),VLOOKUP(MAX(-5,$H250-J250),Volsmile,2),0)),$CT250,$CU250,($A250-DateToday)+15,ABS(Option-2),1)*DE250*8)),0))</f>
        <v> </v>
      </c>
      <c r="BD250" s="300" t="str">
        <f aca="false">IF($A250="N/A"," ",IF(OR(Dayrun&lt;=2,Dayrun&gt;=9),IF(OffPeakEx=TRUE(),MAX(0,(xSPRDOPT(K250,($E250-'Pricing Inputs'!$X285*$D250),$CV250,0,($CQ250+IF(Smile=TRUE(),VLOOKUP(MAX(-5,$H250-K250),Volsmile,2),0)),$CT250,$CU250,($A250-DateToday)+15,ABS(Option-2),1)*DE250*8)),0),0))</f>
        <v> </v>
      </c>
      <c r="BE250" s="300" t="str">
        <f aca="false">IF($A250="N/A"," ",IF(OR(Dayrun=1,Dayrun=4,Dayrun=5,Dayrun=7,Dayrun=8,Dayrun=10,Dayrun=11),MAX(0,(xSPRDOPT(L250,($E250-'Pricing Inputs'!$X285*$D250),$CV250,0,($CQ250+IF(Smile=TRUE(),VLOOKUP(MAX(-5,$H250-L250),Volsmile,2),0)),$CT250,$CU250,($A250-DateToday)+15,ABS(Option-2),1)*DF250*8)),0))</f>
        <v> </v>
      </c>
      <c r="BF250" s="300" t="str">
        <f aca="false">IF($A250="N/A"," ",IF(OR(Dayrun=1,Dayrun=7,Dayrun=8,Dayrun=10,Dayrun=11),MAX(0,(xSPRDOPT(M250,($E250-'Pricing Inputs'!$X285*$D250),$CV250,0,($CQ250+IF(Smile=TRUE(),VLOOKUP(MAX(-5,$H250-M250),Volsmile,2),0)),$CT250,$CU250,($A250-DateToday)+15,ABS(Option-2),1)*DF250*8)),0))</f>
        <v> </v>
      </c>
      <c r="BG250" s="300" t="str">
        <f aca="false">IF($A250="N/A"," ",IF(OR(Dayrun&lt;=2,Dayrun&gt;=10),IF(OffPeakEx=TRUE(),MAX(0,(xSPRDOPT(N250,($E250-'Pricing Inputs'!$X285*$D250),$CV250,0,($CQ250+IF(Smile=TRUE(),VLOOKUP(MAX(-5,$H250-N250),Volsmile,2),0)),$CT250,$CU250,($A250-DateToday)+15,ABS(Option-2),1)*DF250*8)),0),0))</f>
        <v> </v>
      </c>
      <c r="BH250" s="300" t="str">
        <f aca="false">IF($A250="N/A"," ",IF(OR(Dayrun=1,Dayrun=5,Dayrun=8,Dayrun=11),MAX(0,(xSPRDOPT(O250,($E250-'Pricing Inputs'!$X285*$D250),$CV250,0,($CQ250+IF(Smile=TRUE(),VLOOKUP(MAX(-5,$H250-O250),Volsmile,2),0)),$CT250,$CU250,($A250-DateToday)+15,ABS(Option-2),1)*DG250*8)),0))</f>
        <v> </v>
      </c>
      <c r="BI250" s="300" t="str">
        <f aca="false">IF($A250="N/A"," ",IF(OR(Dayrun=1,Dayrun=8,Dayrun=11),MAX(0,(xSPRDOPT(P250,($E250-'Pricing Inputs'!$X285*$D250),$CV250,0,($CQ250+IF(Smile=TRUE(),VLOOKUP(MAX(-5,$H250-P250),Volsmile,2),0)),$CT250,$CU250,($A250-DateToday)+15,ABS(Option-2),1)*DG250*8)),0))</f>
        <v> </v>
      </c>
      <c r="BJ250" s="301" t="str">
        <f aca="false">IF($A250="N/A"," ",IF(OR(Dayrun&lt;=2,Dayrun&gt;=11),IF(OffPeakEx=TRUE(),MAX(0,(xSPRDOPT(Q250,($E250-'Pricing Inputs'!$X285*$D250),$CV250,0,($CQ250+IF(Smile=TRUE(),VLOOKUP(MAX(-5,$H250-Q250),Volsmile,2),0)),$CT250,$CU250,($A250-DateToday)+15,ABS(Option-2),1)*DG250*8)),0),0))</f>
        <v> </v>
      </c>
      <c r="BK250" s="302" t="str">
        <f aca="false">IF($A250="N/A"," ",R250*$AS250)</f>
        <v> </v>
      </c>
      <c r="BL250" s="303" t="str">
        <f aca="false">IF($A250="N/A"," ",S250*$AT250)</f>
        <v> </v>
      </c>
      <c r="BM250" s="303" t="str">
        <f aca="false">IF($A250="N/A"," ",T250*$AU250)</f>
        <v> </v>
      </c>
      <c r="BN250" s="303" t="str">
        <f aca="false">IF($A250="N/A"," ",U250*$AV250)</f>
        <v> </v>
      </c>
      <c r="BO250" s="303" t="str">
        <f aca="false">IF($A250="N/A"," ",V250*$AW250)</f>
        <v> </v>
      </c>
      <c r="BP250" s="303" t="str">
        <f aca="false">IF($A250="N/A"," ",W250*$AX250)</f>
        <v> </v>
      </c>
      <c r="BQ250" s="303" t="str">
        <f aca="false">IF($A250="N/A"," ",X250*$AY250)</f>
        <v> </v>
      </c>
      <c r="BR250" s="303" t="str">
        <f aca="false">IF($A250="N/A"," ",Y250*$AZ250)</f>
        <v> </v>
      </c>
      <c r="BS250" s="304" t="str">
        <f aca="false">IF($A250="N/A"," ",Z250*$BA250)</f>
        <v> </v>
      </c>
      <c r="BT250" s="305" t="str">
        <f aca="false">IF($A250="N/A"," ",AA250*$AS250)</f>
        <v> </v>
      </c>
      <c r="BU250" s="306" t="str">
        <f aca="false">IF($A250="N/A"," ",AB250*$AT250)</f>
        <v> </v>
      </c>
      <c r="BV250" s="306" t="str">
        <f aca="false">IF($A250="N/A"," ",AC250*$AU250)</f>
        <v> </v>
      </c>
      <c r="BW250" s="306" t="str">
        <f aca="false">IF($A250="N/A"," ",AD250*$AV250)</f>
        <v> </v>
      </c>
      <c r="BX250" s="306" t="str">
        <f aca="false">IF($A250="N/A"," ",AE250*$AW250)</f>
        <v> </v>
      </c>
      <c r="BY250" s="306" t="str">
        <f aca="false">IF($A250="N/A"," ",AF250*$AX250)</f>
        <v> </v>
      </c>
      <c r="BZ250" s="306" t="str">
        <f aca="false">IF($A250="N/A"," ",AG250*$AY250)</f>
        <v> </v>
      </c>
      <c r="CA250" s="306" t="str">
        <f aca="false">IF($A250="N/A"," ",AH250*$AZ250)</f>
        <v> </v>
      </c>
      <c r="CB250" s="307" t="str">
        <f aca="false">IF($A250="N/A"," ",AI250*$BA250)</f>
        <v> </v>
      </c>
      <c r="CC250" s="308" t="str">
        <f aca="false">IF($A250="N/A"," ",AJ250*$AS250)</f>
        <v> </v>
      </c>
      <c r="CD250" s="309" t="str">
        <f aca="false">IF($A250="N/A"," ",AK250*$AT250)</f>
        <v> </v>
      </c>
      <c r="CE250" s="309" t="str">
        <f aca="false">IF($A250="N/A"," ",AL250*$AU250)</f>
        <v> </v>
      </c>
      <c r="CF250" s="309" t="str">
        <f aca="false">IF($A250="N/A"," ",AM250*$AV250)</f>
        <v> </v>
      </c>
      <c r="CG250" s="309" t="str">
        <f aca="false">IF($A250="N/A"," ",AN250*$AW250)</f>
        <v> </v>
      </c>
      <c r="CH250" s="309" t="str">
        <f aca="false">IF($A250="N/A"," ",AO250*$AX250)</f>
        <v> </v>
      </c>
      <c r="CI250" s="309" t="str">
        <f aca="false">IF($A250="N/A"," ",AP250*$AY250)</f>
        <v> </v>
      </c>
      <c r="CJ250" s="309" t="str">
        <f aca="false">IF($A250="N/A"," ",AQ250*$AZ250)</f>
        <v> </v>
      </c>
      <c r="CK250" s="310" t="str">
        <f aca="false">IF($A250="N/A"," ",AR250*$BA250)</f>
        <v> </v>
      </c>
      <c r="CL250" s="311" t="str">
        <f aca="false">IF(A250="N/A"," ",(VLOOKUP(A250,PowerVolTable,(IF(VolBMO=2,7,IF(VolBMO=1,6,8))),FALSE())))</f>
        <v> </v>
      </c>
      <c r="CM250" s="312" t="str">
        <f aca="false">IF(A250="N/A"," ",(VLOOKUP(A250,IntraPowerVol,(IF(VolBMO=2,3,IF(VolBMO=1,2,4))),FALSE())*VLOOKUP(MONTH($A250),Volscale,2)))</f>
        <v> </v>
      </c>
      <c r="CN250" s="312" t="str">
        <f aca="false">IF($A250="N/A"," ",IF(VolType=1,CM250,CL250))</f>
        <v> </v>
      </c>
      <c r="CO250" s="312" t="str">
        <f aca="false">IF($A250="N/A"," ",(VLOOKUP($A250,OffPeakVol,(IF(VolBMO=2,7,IF(VolBMO=1,6,8))),FALSE())))</f>
        <v> </v>
      </c>
      <c r="CP250" s="312" t="str">
        <f aca="false">IF($A250="N/A"," ",(VLOOKUP($A250,OffPeakVol,(IF(VolBMO=2,3,IF(VolBMO=1,2,4))),FALSE())*VLOOKUP(MONTH($A250),Volscale,2)))</f>
        <v> </v>
      </c>
      <c r="CQ250" s="312" t="str">
        <f aca="false">IF($A250="N/A"," ",IF(VolType=1,CP250,CO250))</f>
        <v> </v>
      </c>
      <c r="CR250" s="312" t="str">
        <f aca="false">IF($A250="N/A"," ",(VLOOKUP($A250,GasVolTable,(IF(VolBMO=2,6,IF(VolBMO=1,7,5))),FALSE())))</f>
        <v> </v>
      </c>
      <c r="CS250" s="312" t="str">
        <f aca="false">IF($A250="N/A"," ",(VLOOKUP($A250,OmicronVol,(IF(VolBMO=2,3,IF(VolBMO=1,4,2))),FALSE())))</f>
        <v> </v>
      </c>
      <c r="CT250" s="312" t="str">
        <f aca="false">IF($A250="N/A"," ",(IF(DateToday&gt;$A250,$CS250,IF(VolType=1,((($CR250^2)*((($A250-1)-DateToday)/((EOMONTH($A250,0)+1)-DateToday-15)))+((($CS250)^2)*((15)/((EOMONTH($A250,0)+1)-DateToday-15))))^0.5,CR250))))</f>
        <v> </v>
      </c>
      <c r="CU250" s="312" t="str">
        <f aca="false">IF($A250="N/A"," ",IF('Pricing Inputs'!$AR$23=TRUE(),Inputs!$S$22,VLOOKUP($A250,CorrelationTable,2,FALSE())))</f>
        <v> </v>
      </c>
      <c r="CV250" s="313" t="str">
        <f aca="false">IF($A250="N/A"," ",F250+G250+(D250*('Pricing Inputs'!X285)))</f>
        <v> </v>
      </c>
      <c r="CW250" s="314" t="str">
        <f aca="false">IF($A250="N/A"," ",IF(PV=1,0,'Pricing Inputs'!Y285))</f>
        <v> </v>
      </c>
      <c r="CX250" s="315" t="str">
        <f aca="false">IF($A250="N/A"," ",(1+CW250/2)^(-2*((EOMONTH(A250,0)+20)-DateToday)/365.25))</f>
        <v> </v>
      </c>
      <c r="CY250" s="316" t="str">
        <f aca="false">IF($A250="N/A"," ",(IF(MONTH(A250)&gt;=4,IF(MONTH(A250)&lt;=10,Inputs!$S$26,Inputs!$S$27),Inputs!$S$27))*$CX250)</f>
        <v> </v>
      </c>
      <c r="CZ250" s="317" t="str">
        <f aca="false">IF($A250="N/A"," ",BK250+BL250+BN250+BO250+BQ250+BR250)</f>
        <v> </v>
      </c>
      <c r="DA250" s="318" t="str">
        <f aca="false">IF($A250="N/A"," ",BM250+BP250+BS250)</f>
        <v> </v>
      </c>
      <c r="DB250" s="319" t="str">
        <f aca="false">IF($A250="N/A"," ",BT250+BU250+BW250+BX250+BZ250+CA250)</f>
        <v> </v>
      </c>
      <c r="DC250" s="319" t="str">
        <f aca="false">IF($A250="N/A"," ",BV250+BY250+CB250)</f>
        <v> </v>
      </c>
      <c r="DD250" s="320" t="str">
        <f aca="false">IF($A250="N/A"," ",SUM(CC250:CK250))</f>
        <v> </v>
      </c>
      <c r="DE250" s="321" t="str">
        <f aca="false">IF($A250="N/A"," ",VLOOKUP($A250,NumberofDaysTable,2)*Availability)</f>
        <v> </v>
      </c>
      <c r="DF250" s="94" t="str">
        <f aca="false">IF($A250="N/A"," ",VLOOKUP($A250,NumberofDaysTable,3)*Availability)</f>
        <v> </v>
      </c>
      <c r="DG250" s="322" t="str">
        <f aca="false">IF($A250="N/A"," ",VLOOKUP($A250,NumberofDaysTable,4)*Availability)</f>
        <v> </v>
      </c>
      <c r="DH250" s="323" t="str">
        <f aca="false">IF($A250="N/A"," ",IF(Option=1,$D250*Inputs!$S$15*SUM(AS250:BA250),0))</f>
        <v> </v>
      </c>
      <c r="DI250" s="324" t="str">
        <f aca="false">IF($A250="N/A"," ",IF(Option=1,$D250*Inputs!$S$16*SUM(AS250:BA250),0))</f>
        <v> </v>
      </c>
      <c r="DJ250" s="325" t="str">
        <f aca="false">IF($A250="N/A"," ",SUM(AS250:AT250))</f>
        <v> </v>
      </c>
      <c r="DK250" s="325" t="str">
        <f aca="false">IF($A250="N/A"," ",SUM(AU250:BA250))</f>
        <v> </v>
      </c>
      <c r="DL250" s="325" t="str">
        <f aca="false">IF($A250="N/A"," ",SUM(BB250:BC250))</f>
        <v> </v>
      </c>
      <c r="DM250" s="325" t="str">
        <f aca="false">IF($A250="N/A"," ",SUM(BD250:BJ250))</f>
        <v> </v>
      </c>
    </row>
    <row r="251" customFormat="false" ht="12.75" hidden="false" customHeight="false" outlineLevel="0" collapsed="false">
      <c r="A251" s="282" t="str">
        <f aca="false">IF(A250="N/A","N/A",IF(EDATE(A250,1)&gt;Inputs!$S$5,"N/A",EDATE(A250,1)))</f>
        <v>N/A</v>
      </c>
      <c r="B251" s="283" t="str">
        <f aca="false">IF(A251="N/A"," ",YEAR(A251))</f>
        <v> </v>
      </c>
      <c r="C251" s="284" t="str">
        <f aca="false">IF(A251="N/A"," ",VLOOKUP(A251,ScaledPrice,14))</f>
        <v> </v>
      </c>
      <c r="D251" s="285" t="str">
        <f aca="false">IF(A251="N/A"," ",(VLOOKUP(MONTH($A251),Hrtable,2))/1000)</f>
        <v> </v>
      </c>
      <c r="E251" s="286" t="str">
        <f aca="false">IF($A251="N/A"," ",(C251)*D251)</f>
        <v> </v>
      </c>
      <c r="F251" s="287" t="str">
        <f aca="false">IF(A251="N/A"," ",VOM*(1+VOMesc)^(YEAR(A251)-YEAR(Today)))</f>
        <v> </v>
      </c>
      <c r="G251" s="287" t="str">
        <f aca="false">IF(A251="N/A"," ",Perstart/VLOOKUP(Dayrun,'Pricing Inputs'!$AQ$4:$AS$14,3)/(CY251/CX251))</f>
        <v> </v>
      </c>
      <c r="H251" s="288" t="str">
        <f aca="false">IF(A251="N/A"," ",SUM(E251:G251))</f>
        <v> </v>
      </c>
      <c r="I251" s="289" t="str">
        <f aca="false">VLOOKUP($A251,ScaledPrice,6)</f>
        <v> </v>
      </c>
      <c r="J251" s="290" t="str">
        <f aca="false">VLOOKUP($A251,ScaledPrice,10)</f>
        <v> </v>
      </c>
      <c r="K251" s="290" t="str">
        <f aca="false">VLOOKUP($A251,ScaledPrice,13)</f>
        <v> </v>
      </c>
      <c r="L251" s="290" t="str">
        <f aca="false">VLOOKUP($A251,ScaledPrice,7)</f>
        <v> </v>
      </c>
      <c r="M251" s="290" t="str">
        <f aca="false">VLOOKUP($A251,ScaledPrice,11)</f>
        <v> </v>
      </c>
      <c r="N251" s="290" t="str">
        <f aca="false">VLOOKUP($A251,ScaledPrice,13)</f>
        <v> </v>
      </c>
      <c r="O251" s="290" t="str">
        <f aca="false">VLOOKUP($A251,ScaledPrice,8)</f>
        <v> </v>
      </c>
      <c r="P251" s="290" t="str">
        <f aca="false">VLOOKUP($A251,ScaledPrice,12)</f>
        <v> </v>
      </c>
      <c r="Q251" s="291" t="str">
        <f aca="false">VLOOKUP($A251,ScaledPrice,13)</f>
        <v> </v>
      </c>
      <c r="R251" s="292" t="str">
        <f aca="false">IF($A251="N/A"," ",IF(Dayrun&gt;=3,IF(Option=1,MAX($I251-$H251,0),IF(Option=2,MAX($H251-$I251,0),0)),0))</f>
        <v> </v>
      </c>
      <c r="S251" s="286" t="str">
        <f aca="false">IF($A251="N/A"," ",IF(Dayrun&gt;=6,IF(Option=1,MAX($J251-H251,0),IF(Option=2,MAX(H251-$J251,0),0)),0))</f>
        <v> </v>
      </c>
      <c r="T251" s="286" t="str">
        <f aca="false">IF($A251="N/A"," ",IF(OR(Dayrun&lt;=2,Dayrun&gt;=9),IF(Option=1,MAX($K251-$H251,0),IF(Option=2,MAX($H251-$K251,0),0)),0))</f>
        <v> </v>
      </c>
      <c r="U251" s="286" t="str">
        <f aca="false">IF($A251="N/A"," ",IF(OR(Dayrun=1,Dayrun=4,Dayrun=5,Dayrun=7,Dayrun=8,Dayrun=10,Dayrun=11),IF(Option=1,MAX($L251-H251,0),IF(Option=2,MAX(H251-$L251,0),0)),0))</f>
        <v> </v>
      </c>
      <c r="V251" s="286" t="str">
        <f aca="false">IF($A251="N/A"," ",IF(OR(Dayrun=1,Dayrun=7,Dayrun=8,Dayrun=10,Dayrun=11),IF(Option=1,MAX($M251-H251,0),IF(Option=2,MAX(H251-$M251,0),0)),0))</f>
        <v> </v>
      </c>
      <c r="W251" s="286" t="str">
        <f aca="false">IF($A251="N/A"," ",IF(OR(Dayrun&lt;=2,Dayrun&gt;=10),IF(Option=1,MAX($N251-$H251,0),IF(Option=2,MAX($H251-$N251,0),0)),0))</f>
        <v> </v>
      </c>
      <c r="X251" s="286" t="str">
        <f aca="false">IF($A251="N/A"," ",IF(OR(Dayrun=1,Dayrun=5,Dayrun=8,Dayrun=11),IF(Option=1,MAX($O251-H251,0),IF(Option=2,MAX(H251-$O251,0),0)),0))</f>
        <v> </v>
      </c>
      <c r="Y251" s="286" t="str">
        <f aca="false">IF($A251="N/A"," ",IF(OR(Dayrun=1,Dayrun=8,Dayrun=11),IF(Option=1,MAX($P251-H251,0),IF(Option=2,MAX(H251-$P251,0),0)),0))</f>
        <v> </v>
      </c>
      <c r="Z251" s="293" t="str">
        <f aca="false">IF($A251="N/A"," ",IF(OR(Dayrun&lt;=2,Dayrun&gt;=11),IF(Option=1,MAX($Q251-$H251,0),IF(Option=2,MAX($H251-$Q251,0),0)),0))</f>
        <v> </v>
      </c>
      <c r="AA251" s="289" t="str">
        <f aca="false">IF($A251="N/A"," ",IF(Dayrun&gt;=3,(MAX(0,(xSPRDOPT(I251,($E251-'Pricing Inputs'!$X286*$D251),$CV251,0,($CN251+IF(Smile=TRUE(),VLOOKUP(MAX(-5,$H251-I251),Volsmile,2),0)),$CT251,$CU251,($A251-DateToday)+15,ABS(Option-2),0)-R251))),0))</f>
        <v> </v>
      </c>
      <c r="AB251" s="290" t="str">
        <f aca="false">IF($A251="N/A"," ",IF(Dayrun&gt;=6,MAX(0,(xSPRDOPT(J251,($E251-'Pricing Inputs'!$X286*$D251),$CV251,0,($CN251+IF(Smile=TRUE(),VLOOKUP(MAX(-5,$H251-J251),Volsmile,2),0)),$CT251,$CU251,($A251-DateToday)+15,ABS(Option-2),0)-S251)),0))</f>
        <v> </v>
      </c>
      <c r="AC251" s="290" t="str">
        <f aca="false">IF($A251="N/A"," ",IF(OR(Dayrun&lt;=2,Dayrun&gt;=9),IF(OffPeakEx=TRUE(),MAX(0,(xSPRDOPT(K251,($E251-'Pricing Inputs'!$X286*$D251),$CV251,0,($CQ251+IF(Smile=TRUE(),VLOOKUP(MAX(-5,$H251-K251),Volsmile,2),0)),$CT251,$CU251,($A251-DateToday)+15,ABS(Option-2),0)-T251)),0),0))</f>
        <v> </v>
      </c>
      <c r="AD251" s="290" t="str">
        <f aca="false">IF($A251="N/A"," ",IF(OR(Dayrun=1,Dayrun=4,Dayrun=5,Dayrun=7,Dayrun=8,Dayrun=10,Dayrun=11),MAX(0,(xSPRDOPT(L251,($E251-'Pricing Inputs'!$X286*$D251),$CV251,0,($CQ251+IF(Smile=TRUE(),VLOOKUP(MAX(-5,$H251-L251),Volsmile,2),0)),$CT251,$CU251,($A251-DateToday)+15,ABS(Option-2),0)-U251)),0))</f>
        <v> </v>
      </c>
      <c r="AE251" s="290" t="str">
        <f aca="false">IF($A251="N/A"," ",IF(OR(Dayrun=1,Dayrun=7,Dayrun=8,Dayrun=10,Dayrun=11),MAX(0,(xSPRDOPT(M251,($E251-'Pricing Inputs'!$X286*$D251),$CV251,0,($CQ251+IF(Smile=TRUE(),VLOOKUP(MAX(-5,$H251-M251),Volsmile,2),0)),$CT251,$CU251,($A251-DateToday)+15,ABS(Option-2),0)-V251)),0))</f>
        <v> </v>
      </c>
      <c r="AF251" s="290" t="str">
        <f aca="false">IF($A251="N/A"," ",IF(OR(Dayrun&lt;=2,Dayrun&gt;=10),IF(OffPeakEx=TRUE(),MAX(0,(xSPRDOPT(N251,($E251-'Pricing Inputs'!$X286*$D251),$CV251,0,($CQ251+IF(Smile=TRUE(),VLOOKUP(MAX(-5,$H251-N251),Volsmile,2),0)),$CT251,$CU251,($A251-DateToday)+15,ABS(Option-2),0)-W251)),0),0))</f>
        <v> </v>
      </c>
      <c r="AG251" s="290" t="str">
        <f aca="false">IF($A251="N/A"," ",IF(OR(Dayrun=1,Dayrun=5,Dayrun=8,Dayrun=11),MAX(0,(xSPRDOPT(O251,($E251-'Pricing Inputs'!$X286*$D251),$CV251,0,($CQ251+IF(Smile=TRUE(),VLOOKUP(MAX(-5,$H251-O251),Volsmile,2),0)),$CT251,$CU251,($A251-DateToday)+15,ABS(Option-2),0)-X251)),0))</f>
        <v> </v>
      </c>
      <c r="AH251" s="290" t="str">
        <f aca="false">IF($A251="N/A"," ",IF(OR(Dayrun=1,Dayrun=8,Dayrun=11),MAX(0,(xSPRDOPT(P251,($E251-'Pricing Inputs'!$X286*$D251),$CV251,0,($CQ251+IF(Smile=TRUE(),VLOOKUP(MAX(-5,$H251-P251),Volsmile,2),0)),$CT251,$CU251,($A251-DateToday)+15,ABS(Option-2),0)-Y251)),0))</f>
        <v> </v>
      </c>
      <c r="AI251" s="290" t="str">
        <f aca="false">IF($A251="N/A"," ",IF(OR(Dayrun&lt;=2,Dayrun&gt;=11),IF(OffPeakEx=TRUE(),MAX(0,(xSPRDOPT(Q251,($E251-'Pricing Inputs'!$X286*$D251),$CV251,0,($CQ251+IF(Smile=TRUE(),VLOOKUP(MAX(-5,$H251-Q251),Volsmile,2),0)),$CT251,$CU251,($A251-DateToday)+15,ABS(Option-2),0)-Z251)),0),0))</f>
        <v> </v>
      </c>
      <c r="AJ251" s="294" t="str">
        <f aca="false">IF($A251="N/A"," ",IF(Dayrun&gt;=3,IF(Option=1,$I251-$H251,IF(Option=2,$H251-$I251)),0))</f>
        <v> </v>
      </c>
      <c r="AK251" s="295" t="str">
        <f aca="false">IF($A251="N/A"," ",IF(Dayrun&gt;=6,IF(Option=1,$J251-H251,IF(Option=2,H251-$J251)),0))</f>
        <v> </v>
      </c>
      <c r="AL251" s="295" t="str">
        <f aca="false">IF($A251="N/A"," ",IF(OR(Dayrun&lt;=2,Dayrun&gt;=9),IF(Option=1,$K251-$H251,IF(Option=2,$H251-$K251)),0))</f>
        <v> </v>
      </c>
      <c r="AM251" s="295" t="str">
        <f aca="false">IF($A251="N/A"," ",IF(OR(Dayrun=1,Dayrun=4,Dayrun=5,Dayrun=7,Dayrun=8,Dayrun=10,Dayrun=11),IF(Option=1,$L251-H251,IF(Option=2,H251-$L251)),0))</f>
        <v> </v>
      </c>
      <c r="AN251" s="295" t="str">
        <f aca="false">IF($A251="N/A"," ",IF(OR(Dayrun=1,Dayrun=7,Dayrun=8,Dayrun=10,Dayrun=11),IF(Option=1,$M251-H251,IF(Option=2,H251-$M251)),0))</f>
        <v> </v>
      </c>
      <c r="AO251" s="295" t="str">
        <f aca="false">IF($A251="N/A"," ",IF(OR(Dayrun&lt;=2,Dayrun&gt;=9),IF(Option=1,$N251-$H251,IF(Option=2,$H251-$N251)),0))</f>
        <v> </v>
      </c>
      <c r="AP251" s="295" t="str">
        <f aca="false">IF($A251="N/A"," ",IF(OR(Dayrun=1,Dayrun=5,Dayrun=8,Dayrun=11),IF(Option=1,$O251-H251,IF(Option=2,H251-$O251)),0))</f>
        <v> </v>
      </c>
      <c r="AQ251" s="295" t="str">
        <f aca="false">IF($A251="N/A"," ",IF(OR(Dayrun=1,Dayrun=8,Dayrun=11),IF(Option=1,$P251-H251,IF(Option=2,H251-$P251)),0))</f>
        <v> </v>
      </c>
      <c r="AR251" s="296" t="str">
        <f aca="false">IF($A251="N/A"," ",IF(OR(Dayrun&lt;=2,Dayrun&gt;=9),IF(Option=1,$Q251-H251,IF(Option=2,H251-$Q251)),0))</f>
        <v> </v>
      </c>
      <c r="AS251" s="297" t="str">
        <f aca="false">IF($A251="N/A"," ",IF(VLOOKUP(MONTH($A251),ManualTable,2)=1,IF(Dayrun&gt;=3,$DE251*8*$CY251,0),0))</f>
        <v> </v>
      </c>
      <c r="AT251" s="297" t="str">
        <f aca="false">IF($A251="N/A"," ",IF(VLOOKUP(MONTH($A251),ManualTable,3)=1,IF(Dayrun&gt;=6,$DE251*8*$CY251,0),0))</f>
        <v> </v>
      </c>
      <c r="AU251" s="297" t="str">
        <f aca="false">IF($A251="N/A"," ",IF(VLOOKUP(MONTH($A251),ManualTable,4)=1,IF(OR(Dayrun&lt;=2,Dayrun&gt;=9),$DE251*8*$CY251,0),0))</f>
        <v> </v>
      </c>
      <c r="AV251" s="297" t="str">
        <f aca="false">IF($A251="N/A"," ",IF(VLOOKUP(MONTH($A251),ManualTable,5)=1,IF(OR(Dayrun=1,Dayrun=4,Dayrun=5,Dayrun=7,Dayrun=8,Dayrun=10,Dayrun=11),$DF251*8*$CY251,0),0))</f>
        <v> </v>
      </c>
      <c r="AW251" s="297" t="str">
        <f aca="false">IF($A251="N/A"," ",IF(VLOOKUP(MONTH($A251),ManualTable,6)=1,IF(OR(Dayrun=1,Dayrun=7,Dayrun=8,Dayrun=10,Dayrun=11),$DF251*8*$CY251,0),0))</f>
        <v> </v>
      </c>
      <c r="AX251" s="297" t="str">
        <f aca="false">IF($A251="N/A"," ",IF(VLOOKUP(MONTH($A251),ManualTable,7)=1,IF(OR(Dayrun&lt;=2,Dayrun&gt;=9),$DF251*8*$CY251,0),0))</f>
        <v> </v>
      </c>
      <c r="AY251" s="297" t="str">
        <f aca="false">IF($A251="N/A"," ",IF(VLOOKUP(MONTH($A251),ManualTable,8)=1,IF(OR(Dayrun=1,Dayrun=5,Dayrun=8,Dayrun=11),$DG251*8*$CY251,0),0))</f>
        <v> </v>
      </c>
      <c r="AZ251" s="297" t="str">
        <f aca="false">IF($A251="N/A"," ",IF(VLOOKUP(MONTH($A251),ManualTable,9)=1,IF(OR(Dayrun=1,Dayrun=8,Dayrun=11),$DG251*8*$CY251,0),0))</f>
        <v> </v>
      </c>
      <c r="BA251" s="298" t="str">
        <f aca="false">IF($A251="N/A"," ",IF(VLOOKUP(MONTH($A251),ManualTable,10)=1,IF(OR(Dayrun&lt;=2,Dayrun&gt;=9),$DG251*8*$CY251,0),0))</f>
        <v> </v>
      </c>
      <c r="BB251" s="299" t="str">
        <f aca="false">IF($A251="N/A"," ",IF(Dayrun&gt;=3,(MAX(0,(xSPRDOPT(I251,($E251-'Pricing Inputs'!$X286*$D251),$CV251,0,($CN251+IF(Smile=TRUE(),VLOOKUP(MAX(-5,$H251-I251),Volsmile,2),0)),$CT251,$CU251,($A251-DateToday)+15,ABS(Option-2),1)*DE251*8))),0))</f>
        <v> </v>
      </c>
      <c r="BC251" s="300" t="str">
        <f aca="false">IF($A251="N/A"," ",IF(Dayrun&gt;=6,MAX(0,(xSPRDOPT(J251,($E251-'Pricing Inputs'!$X286*$D251),$CV251,0,($CN251+IF(Smile=TRUE(),VLOOKUP(MAX(-5,$H251-J251),Volsmile,2),0)),$CT251,$CU251,($A251-DateToday)+15,ABS(Option-2),1)*DE251*8)),0))</f>
        <v> </v>
      </c>
      <c r="BD251" s="300" t="str">
        <f aca="false">IF($A251="N/A"," ",IF(OR(Dayrun&lt;=2,Dayrun&gt;=9),IF(OffPeakEx=TRUE(),MAX(0,(xSPRDOPT(K251,($E251-'Pricing Inputs'!$X286*$D251),$CV251,0,($CQ251+IF(Smile=TRUE(),VLOOKUP(MAX(-5,$H251-K251),Volsmile,2),0)),$CT251,$CU251,($A251-DateToday)+15,ABS(Option-2),1)*DE251*8)),0),0))</f>
        <v> </v>
      </c>
      <c r="BE251" s="300" t="str">
        <f aca="false">IF($A251="N/A"," ",IF(OR(Dayrun=1,Dayrun=4,Dayrun=5,Dayrun=7,Dayrun=8,Dayrun=10,Dayrun=11),MAX(0,(xSPRDOPT(L251,($E251-'Pricing Inputs'!$X286*$D251),$CV251,0,($CQ251+IF(Smile=TRUE(),VLOOKUP(MAX(-5,$H251-L251),Volsmile,2),0)),$CT251,$CU251,($A251-DateToday)+15,ABS(Option-2),1)*DF251*8)),0))</f>
        <v> </v>
      </c>
      <c r="BF251" s="300" t="str">
        <f aca="false">IF($A251="N/A"," ",IF(OR(Dayrun=1,Dayrun=7,Dayrun=8,Dayrun=10,Dayrun=11),MAX(0,(xSPRDOPT(M251,($E251-'Pricing Inputs'!$X286*$D251),$CV251,0,($CQ251+IF(Smile=TRUE(),VLOOKUP(MAX(-5,$H251-M251),Volsmile,2),0)),$CT251,$CU251,($A251-DateToday)+15,ABS(Option-2),1)*DF251*8)),0))</f>
        <v> </v>
      </c>
      <c r="BG251" s="300" t="str">
        <f aca="false">IF($A251="N/A"," ",IF(OR(Dayrun&lt;=2,Dayrun&gt;=10),IF(OffPeakEx=TRUE(),MAX(0,(xSPRDOPT(N251,($E251-'Pricing Inputs'!$X286*$D251),$CV251,0,($CQ251+IF(Smile=TRUE(),VLOOKUP(MAX(-5,$H251-N251),Volsmile,2),0)),$CT251,$CU251,($A251-DateToday)+15,ABS(Option-2),1)*DF251*8)),0),0))</f>
        <v> </v>
      </c>
      <c r="BH251" s="300" t="str">
        <f aca="false">IF($A251="N/A"," ",IF(OR(Dayrun=1,Dayrun=5,Dayrun=8,Dayrun=11),MAX(0,(xSPRDOPT(O251,($E251-'Pricing Inputs'!$X286*$D251),$CV251,0,($CQ251+IF(Smile=TRUE(),VLOOKUP(MAX(-5,$H251-O251),Volsmile,2),0)),$CT251,$CU251,($A251-DateToday)+15,ABS(Option-2),1)*DG251*8)),0))</f>
        <v> </v>
      </c>
      <c r="BI251" s="300" t="str">
        <f aca="false">IF($A251="N/A"," ",IF(OR(Dayrun=1,Dayrun=8,Dayrun=11),MAX(0,(xSPRDOPT(P251,($E251-'Pricing Inputs'!$X286*$D251),$CV251,0,($CQ251+IF(Smile=TRUE(),VLOOKUP(MAX(-5,$H251-P251),Volsmile,2),0)),$CT251,$CU251,($A251-DateToday)+15,ABS(Option-2),1)*DG251*8)),0))</f>
        <v> </v>
      </c>
      <c r="BJ251" s="301" t="str">
        <f aca="false">IF($A251="N/A"," ",IF(OR(Dayrun&lt;=2,Dayrun&gt;=11),IF(OffPeakEx=TRUE(),MAX(0,(xSPRDOPT(Q251,($E251-'Pricing Inputs'!$X286*$D251),$CV251,0,($CQ251+IF(Smile=TRUE(),VLOOKUP(MAX(-5,$H251-Q251),Volsmile,2),0)),$CT251,$CU251,($A251-DateToday)+15,ABS(Option-2),1)*DG251*8)),0),0))</f>
        <v> </v>
      </c>
      <c r="BK251" s="302" t="str">
        <f aca="false">IF($A251="N/A"," ",R251*$AS251)</f>
        <v> </v>
      </c>
      <c r="BL251" s="303" t="str">
        <f aca="false">IF($A251="N/A"," ",S251*$AT251)</f>
        <v> </v>
      </c>
      <c r="BM251" s="303" t="str">
        <f aca="false">IF($A251="N/A"," ",T251*$AU251)</f>
        <v> </v>
      </c>
      <c r="BN251" s="303" t="str">
        <f aca="false">IF($A251="N/A"," ",U251*$AV251)</f>
        <v> </v>
      </c>
      <c r="BO251" s="303" t="str">
        <f aca="false">IF($A251="N/A"," ",V251*$AW251)</f>
        <v> </v>
      </c>
      <c r="BP251" s="303" t="str">
        <f aca="false">IF($A251="N/A"," ",W251*$AX251)</f>
        <v> </v>
      </c>
      <c r="BQ251" s="303" t="str">
        <f aca="false">IF($A251="N/A"," ",X251*$AY251)</f>
        <v> </v>
      </c>
      <c r="BR251" s="303" t="str">
        <f aca="false">IF($A251="N/A"," ",Y251*$AZ251)</f>
        <v> </v>
      </c>
      <c r="BS251" s="304" t="str">
        <f aca="false">IF($A251="N/A"," ",Z251*$BA251)</f>
        <v> </v>
      </c>
      <c r="BT251" s="305" t="str">
        <f aca="false">IF($A251="N/A"," ",AA251*$AS251)</f>
        <v> </v>
      </c>
      <c r="BU251" s="306" t="str">
        <f aca="false">IF($A251="N/A"," ",AB251*$AT251)</f>
        <v> </v>
      </c>
      <c r="BV251" s="306" t="str">
        <f aca="false">IF($A251="N/A"," ",AC251*$AU251)</f>
        <v> </v>
      </c>
      <c r="BW251" s="306" t="str">
        <f aca="false">IF($A251="N/A"," ",AD251*$AV251)</f>
        <v> </v>
      </c>
      <c r="BX251" s="306" t="str">
        <f aca="false">IF($A251="N/A"," ",AE251*$AW251)</f>
        <v> </v>
      </c>
      <c r="BY251" s="306" t="str">
        <f aca="false">IF($A251="N/A"," ",AF251*$AX251)</f>
        <v> </v>
      </c>
      <c r="BZ251" s="306" t="str">
        <f aca="false">IF($A251="N/A"," ",AG251*$AY251)</f>
        <v> </v>
      </c>
      <c r="CA251" s="306" t="str">
        <f aca="false">IF($A251="N/A"," ",AH251*$AZ251)</f>
        <v> </v>
      </c>
      <c r="CB251" s="307" t="str">
        <f aca="false">IF($A251="N/A"," ",AI251*$BA251)</f>
        <v> </v>
      </c>
      <c r="CC251" s="308" t="str">
        <f aca="false">IF($A251="N/A"," ",AJ251*$AS251)</f>
        <v> </v>
      </c>
      <c r="CD251" s="309" t="str">
        <f aca="false">IF($A251="N/A"," ",AK251*$AT251)</f>
        <v> </v>
      </c>
      <c r="CE251" s="309" t="str">
        <f aca="false">IF($A251="N/A"," ",AL251*$AU251)</f>
        <v> </v>
      </c>
      <c r="CF251" s="309" t="str">
        <f aca="false">IF($A251="N/A"," ",AM251*$AV251)</f>
        <v> </v>
      </c>
      <c r="CG251" s="309" t="str">
        <f aca="false">IF($A251="N/A"," ",AN251*$AW251)</f>
        <v> </v>
      </c>
      <c r="CH251" s="309" t="str">
        <f aca="false">IF($A251="N/A"," ",AO251*$AX251)</f>
        <v> </v>
      </c>
      <c r="CI251" s="309" t="str">
        <f aca="false">IF($A251="N/A"," ",AP251*$AY251)</f>
        <v> </v>
      </c>
      <c r="CJ251" s="309" t="str">
        <f aca="false">IF($A251="N/A"," ",AQ251*$AZ251)</f>
        <v> </v>
      </c>
      <c r="CK251" s="310" t="str">
        <f aca="false">IF($A251="N/A"," ",AR251*$BA251)</f>
        <v> </v>
      </c>
      <c r="CL251" s="311" t="str">
        <f aca="false">IF(A251="N/A"," ",(VLOOKUP(A251,PowerVolTable,(IF(VolBMO=2,7,IF(VolBMO=1,6,8))),FALSE())))</f>
        <v> </v>
      </c>
      <c r="CM251" s="312" t="str">
        <f aca="false">IF(A251="N/A"," ",(VLOOKUP(A251,IntraPowerVol,(IF(VolBMO=2,3,IF(VolBMO=1,2,4))),FALSE())*VLOOKUP(MONTH($A251),Volscale,2)))</f>
        <v> </v>
      </c>
      <c r="CN251" s="312" t="str">
        <f aca="false">IF($A251="N/A"," ",IF(VolType=1,CM251,CL251))</f>
        <v> </v>
      </c>
      <c r="CO251" s="312" t="str">
        <f aca="false">IF($A251="N/A"," ",(VLOOKUP($A251,OffPeakVol,(IF(VolBMO=2,7,IF(VolBMO=1,6,8))),FALSE())))</f>
        <v> </v>
      </c>
      <c r="CP251" s="312" t="str">
        <f aca="false">IF($A251="N/A"," ",(VLOOKUP($A251,OffPeakVol,(IF(VolBMO=2,3,IF(VolBMO=1,2,4))),FALSE())*VLOOKUP(MONTH($A251),Volscale,2)))</f>
        <v> </v>
      </c>
      <c r="CQ251" s="312" t="str">
        <f aca="false">IF($A251="N/A"," ",IF(VolType=1,CP251,CO251))</f>
        <v> </v>
      </c>
      <c r="CR251" s="312" t="str">
        <f aca="false">IF($A251="N/A"," ",(VLOOKUP($A251,GasVolTable,(IF(VolBMO=2,6,IF(VolBMO=1,7,5))),FALSE())))</f>
        <v> </v>
      </c>
      <c r="CS251" s="312" t="str">
        <f aca="false">IF($A251="N/A"," ",(VLOOKUP($A251,OmicronVol,(IF(VolBMO=2,3,IF(VolBMO=1,4,2))),FALSE())))</f>
        <v> </v>
      </c>
      <c r="CT251" s="312" t="str">
        <f aca="false">IF($A251="N/A"," ",(IF(DateToday&gt;$A251,$CS251,IF(VolType=1,((($CR251^2)*((($A251-1)-DateToday)/((EOMONTH($A251,0)+1)-DateToday-15)))+((($CS251)^2)*((15)/((EOMONTH($A251,0)+1)-DateToday-15))))^0.5,CR251))))</f>
        <v> </v>
      </c>
      <c r="CU251" s="312" t="str">
        <f aca="false">IF($A251="N/A"," ",IF('Pricing Inputs'!$AR$23=TRUE(),Inputs!$S$22,VLOOKUP($A251,CorrelationTable,2,FALSE())))</f>
        <v> </v>
      </c>
      <c r="CV251" s="313" t="str">
        <f aca="false">IF($A251="N/A"," ",F251+G251+(D251*('Pricing Inputs'!X286)))</f>
        <v> </v>
      </c>
      <c r="CW251" s="314" t="str">
        <f aca="false">IF($A251="N/A"," ",IF(PV=1,0,'Pricing Inputs'!Y286))</f>
        <v> </v>
      </c>
      <c r="CX251" s="315" t="str">
        <f aca="false">IF($A251="N/A"," ",(1+CW251/2)^(-2*((EOMONTH(A251,0)+20)-DateToday)/365.25))</f>
        <v> </v>
      </c>
      <c r="CY251" s="316" t="str">
        <f aca="false">IF($A251="N/A"," ",(IF(MONTH(A251)&gt;=4,IF(MONTH(A251)&lt;=10,Inputs!$S$26,Inputs!$S$27),Inputs!$S$27))*$CX251)</f>
        <v> </v>
      </c>
      <c r="CZ251" s="317" t="str">
        <f aca="false">IF($A251="N/A"," ",BK251+BL251+BN251+BO251+BQ251+BR251)</f>
        <v> </v>
      </c>
      <c r="DA251" s="318" t="str">
        <f aca="false">IF($A251="N/A"," ",BM251+BP251+BS251)</f>
        <v> </v>
      </c>
      <c r="DB251" s="319" t="str">
        <f aca="false">IF($A251="N/A"," ",BT251+BU251+BW251+BX251+BZ251+CA251)</f>
        <v> </v>
      </c>
      <c r="DC251" s="319" t="str">
        <f aca="false">IF($A251="N/A"," ",BV251+BY251+CB251)</f>
        <v> </v>
      </c>
      <c r="DD251" s="320" t="str">
        <f aca="false">IF($A251="N/A"," ",SUM(CC251:CK251))</f>
        <v> </v>
      </c>
      <c r="DE251" s="321" t="str">
        <f aca="false">IF($A251="N/A"," ",VLOOKUP($A251,NumberofDaysTable,2)*Availability)</f>
        <v> </v>
      </c>
      <c r="DF251" s="94" t="str">
        <f aca="false">IF($A251="N/A"," ",VLOOKUP($A251,NumberofDaysTable,3)*Availability)</f>
        <v> </v>
      </c>
      <c r="DG251" s="322" t="str">
        <f aca="false">IF($A251="N/A"," ",VLOOKUP($A251,NumberofDaysTable,4)*Availability)</f>
        <v> </v>
      </c>
      <c r="DH251" s="323" t="str">
        <f aca="false">IF($A251="N/A"," ",IF(Option=1,$D251*Inputs!$S$15*SUM(AS251:BA251),0))</f>
        <v> </v>
      </c>
      <c r="DI251" s="324" t="str">
        <f aca="false">IF($A251="N/A"," ",IF(Option=1,$D251*Inputs!$S$16*SUM(AS251:BA251),0))</f>
        <v> </v>
      </c>
      <c r="DJ251" s="325" t="str">
        <f aca="false">IF($A251="N/A"," ",SUM(AS251:AT251))</f>
        <v> </v>
      </c>
      <c r="DK251" s="325" t="str">
        <f aca="false">IF($A251="N/A"," ",SUM(AU251:BA251))</f>
        <v> </v>
      </c>
      <c r="DL251" s="325" t="str">
        <f aca="false">IF($A251="N/A"," ",SUM(BB251:BC251))</f>
        <v> </v>
      </c>
      <c r="DM251" s="325" t="str">
        <f aca="false">IF($A251="N/A"," ",SUM(BD251:BJ251))</f>
        <v> </v>
      </c>
    </row>
    <row r="252" customFormat="false" ht="12.75" hidden="false" customHeight="false" outlineLevel="0" collapsed="false">
      <c r="A252" s="282" t="str">
        <f aca="false">IF(A251="N/A","N/A",IF(EDATE(A251,1)&gt;Inputs!$S$5,"N/A",EDATE(A251,1)))</f>
        <v>N/A</v>
      </c>
      <c r="B252" s="283" t="str">
        <f aca="false">IF(A252="N/A"," ",YEAR(A252))</f>
        <v> </v>
      </c>
      <c r="C252" s="284" t="str">
        <f aca="false">IF(A252="N/A"," ",VLOOKUP(A252,ScaledPrice,14))</f>
        <v> </v>
      </c>
      <c r="D252" s="285" t="str">
        <f aca="false">IF(A252="N/A"," ",(VLOOKUP(MONTH($A252),Hrtable,2))/1000)</f>
        <v> </v>
      </c>
      <c r="E252" s="286" t="str">
        <f aca="false">IF($A252="N/A"," ",(C252)*D252)</f>
        <v> </v>
      </c>
      <c r="F252" s="287" t="str">
        <f aca="false">IF(A252="N/A"," ",VOM*(1+VOMesc)^(YEAR(A252)-YEAR(Today)))</f>
        <v> </v>
      </c>
      <c r="G252" s="287" t="str">
        <f aca="false">IF(A252="N/A"," ",Perstart/VLOOKUP(Dayrun,'Pricing Inputs'!$AQ$4:$AS$14,3)/(CY252/CX252))</f>
        <v> </v>
      </c>
      <c r="H252" s="288" t="str">
        <f aca="false">IF(A252="N/A"," ",SUM(E252:G252))</f>
        <v> </v>
      </c>
      <c r="I252" s="289" t="str">
        <f aca="false">VLOOKUP($A252,ScaledPrice,6)</f>
        <v> </v>
      </c>
      <c r="J252" s="290" t="str">
        <f aca="false">VLOOKUP($A252,ScaledPrice,10)</f>
        <v> </v>
      </c>
      <c r="K252" s="290" t="str">
        <f aca="false">VLOOKUP($A252,ScaledPrice,13)</f>
        <v> </v>
      </c>
      <c r="L252" s="290" t="str">
        <f aca="false">VLOOKUP($A252,ScaledPrice,7)</f>
        <v> </v>
      </c>
      <c r="M252" s="290" t="str">
        <f aca="false">VLOOKUP($A252,ScaledPrice,11)</f>
        <v> </v>
      </c>
      <c r="N252" s="290" t="str">
        <f aca="false">VLOOKUP($A252,ScaledPrice,13)</f>
        <v> </v>
      </c>
      <c r="O252" s="290" t="str">
        <f aca="false">VLOOKUP($A252,ScaledPrice,8)</f>
        <v> </v>
      </c>
      <c r="P252" s="290" t="str">
        <f aca="false">VLOOKUP($A252,ScaledPrice,12)</f>
        <v> </v>
      </c>
      <c r="Q252" s="291" t="str">
        <f aca="false">VLOOKUP($A252,ScaledPrice,13)</f>
        <v> </v>
      </c>
      <c r="R252" s="292" t="str">
        <f aca="false">IF($A252="N/A"," ",IF(Dayrun&gt;=3,IF(Option=1,MAX($I252-$H252,0),IF(Option=2,MAX($H252-$I252,0),0)),0))</f>
        <v> </v>
      </c>
      <c r="S252" s="286" t="str">
        <f aca="false">IF($A252="N/A"," ",IF(Dayrun&gt;=6,IF(Option=1,MAX($J252-H252,0),IF(Option=2,MAX(H252-$J252,0),0)),0))</f>
        <v> </v>
      </c>
      <c r="T252" s="286" t="str">
        <f aca="false">IF($A252="N/A"," ",IF(OR(Dayrun&lt;=2,Dayrun&gt;=9),IF(Option=1,MAX($K252-$H252,0),IF(Option=2,MAX($H252-$K252,0),0)),0))</f>
        <v> </v>
      </c>
      <c r="U252" s="286" t="str">
        <f aca="false">IF($A252="N/A"," ",IF(OR(Dayrun=1,Dayrun=4,Dayrun=5,Dayrun=7,Dayrun=8,Dayrun=10,Dayrun=11),IF(Option=1,MAX($L252-H252,0),IF(Option=2,MAX(H252-$L252,0),0)),0))</f>
        <v> </v>
      </c>
      <c r="V252" s="286" t="str">
        <f aca="false">IF($A252="N/A"," ",IF(OR(Dayrun=1,Dayrun=7,Dayrun=8,Dayrun=10,Dayrun=11),IF(Option=1,MAX($M252-H252,0),IF(Option=2,MAX(H252-$M252,0),0)),0))</f>
        <v> </v>
      </c>
      <c r="W252" s="286" t="str">
        <f aca="false">IF($A252="N/A"," ",IF(OR(Dayrun&lt;=2,Dayrun&gt;=10),IF(Option=1,MAX($N252-$H252,0),IF(Option=2,MAX($H252-$N252,0),0)),0))</f>
        <v> </v>
      </c>
      <c r="X252" s="286" t="str">
        <f aca="false">IF($A252="N/A"," ",IF(OR(Dayrun=1,Dayrun=5,Dayrun=8,Dayrun=11),IF(Option=1,MAX($O252-H252,0),IF(Option=2,MAX(H252-$O252,0),0)),0))</f>
        <v> </v>
      </c>
      <c r="Y252" s="286" t="str">
        <f aca="false">IF($A252="N/A"," ",IF(OR(Dayrun=1,Dayrun=8,Dayrun=11),IF(Option=1,MAX($P252-H252,0),IF(Option=2,MAX(H252-$P252,0),0)),0))</f>
        <v> </v>
      </c>
      <c r="Z252" s="293" t="str">
        <f aca="false">IF($A252="N/A"," ",IF(OR(Dayrun&lt;=2,Dayrun&gt;=11),IF(Option=1,MAX($Q252-$H252,0),IF(Option=2,MAX($H252-$Q252,0),0)),0))</f>
        <v> </v>
      </c>
      <c r="AA252" s="289" t="str">
        <f aca="false">IF($A252="N/A"," ",IF(Dayrun&gt;=3,(MAX(0,(xSPRDOPT(I252,($E252-'Pricing Inputs'!$X287*$D252),$CV252,0,($CN252+IF(Smile=TRUE(),VLOOKUP(MAX(-5,$H252-I252),Volsmile,2),0)),$CT252,$CU252,($A252-DateToday)+15,ABS(Option-2),0)-R252))),0))</f>
        <v> </v>
      </c>
      <c r="AB252" s="290" t="str">
        <f aca="false">IF($A252="N/A"," ",IF(Dayrun&gt;=6,MAX(0,(xSPRDOPT(J252,($E252-'Pricing Inputs'!$X287*$D252),$CV252,0,($CN252+IF(Smile=TRUE(),VLOOKUP(MAX(-5,$H252-J252),Volsmile,2),0)),$CT252,$CU252,($A252-DateToday)+15,ABS(Option-2),0)-S252)),0))</f>
        <v> </v>
      </c>
      <c r="AC252" s="290" t="str">
        <f aca="false">IF($A252="N/A"," ",IF(OR(Dayrun&lt;=2,Dayrun&gt;=9),IF(OffPeakEx=TRUE(),MAX(0,(xSPRDOPT(K252,($E252-'Pricing Inputs'!$X287*$D252),$CV252,0,($CQ252+IF(Smile=TRUE(),VLOOKUP(MAX(-5,$H252-K252),Volsmile,2),0)),$CT252,$CU252,($A252-DateToday)+15,ABS(Option-2),0)-T252)),0),0))</f>
        <v> </v>
      </c>
      <c r="AD252" s="290" t="str">
        <f aca="false">IF($A252="N/A"," ",IF(OR(Dayrun=1,Dayrun=4,Dayrun=5,Dayrun=7,Dayrun=8,Dayrun=10,Dayrun=11),MAX(0,(xSPRDOPT(L252,($E252-'Pricing Inputs'!$X287*$D252),$CV252,0,($CQ252+IF(Smile=TRUE(),VLOOKUP(MAX(-5,$H252-L252),Volsmile,2),0)),$CT252,$CU252,($A252-DateToday)+15,ABS(Option-2),0)-U252)),0))</f>
        <v> </v>
      </c>
      <c r="AE252" s="290" t="str">
        <f aca="false">IF($A252="N/A"," ",IF(OR(Dayrun=1,Dayrun=7,Dayrun=8,Dayrun=10,Dayrun=11),MAX(0,(xSPRDOPT(M252,($E252-'Pricing Inputs'!$X287*$D252),$CV252,0,($CQ252+IF(Smile=TRUE(),VLOOKUP(MAX(-5,$H252-M252),Volsmile,2),0)),$CT252,$CU252,($A252-DateToday)+15,ABS(Option-2),0)-V252)),0))</f>
        <v> </v>
      </c>
      <c r="AF252" s="290" t="str">
        <f aca="false">IF($A252="N/A"," ",IF(OR(Dayrun&lt;=2,Dayrun&gt;=10),IF(OffPeakEx=TRUE(),MAX(0,(xSPRDOPT(N252,($E252-'Pricing Inputs'!$X287*$D252),$CV252,0,($CQ252+IF(Smile=TRUE(),VLOOKUP(MAX(-5,$H252-N252),Volsmile,2),0)),$CT252,$CU252,($A252-DateToday)+15,ABS(Option-2),0)-W252)),0),0))</f>
        <v> </v>
      </c>
      <c r="AG252" s="290" t="str">
        <f aca="false">IF($A252="N/A"," ",IF(OR(Dayrun=1,Dayrun=5,Dayrun=8,Dayrun=11),MAX(0,(xSPRDOPT(O252,($E252-'Pricing Inputs'!$X287*$D252),$CV252,0,($CQ252+IF(Smile=TRUE(),VLOOKUP(MAX(-5,$H252-O252),Volsmile,2),0)),$CT252,$CU252,($A252-DateToday)+15,ABS(Option-2),0)-X252)),0))</f>
        <v> </v>
      </c>
      <c r="AH252" s="290" t="str">
        <f aca="false">IF($A252="N/A"," ",IF(OR(Dayrun=1,Dayrun=8,Dayrun=11),MAX(0,(xSPRDOPT(P252,($E252-'Pricing Inputs'!$X287*$D252),$CV252,0,($CQ252+IF(Smile=TRUE(),VLOOKUP(MAX(-5,$H252-P252),Volsmile,2),0)),$CT252,$CU252,($A252-DateToday)+15,ABS(Option-2),0)-Y252)),0))</f>
        <v> </v>
      </c>
      <c r="AI252" s="290" t="str">
        <f aca="false">IF($A252="N/A"," ",IF(OR(Dayrun&lt;=2,Dayrun&gt;=11),IF(OffPeakEx=TRUE(),MAX(0,(xSPRDOPT(Q252,($E252-'Pricing Inputs'!$X287*$D252),$CV252,0,($CQ252+IF(Smile=TRUE(),VLOOKUP(MAX(-5,$H252-Q252),Volsmile,2),0)),$CT252,$CU252,($A252-DateToday)+15,ABS(Option-2),0)-Z252)),0),0))</f>
        <v> </v>
      </c>
      <c r="AJ252" s="294" t="str">
        <f aca="false">IF($A252="N/A"," ",IF(Dayrun&gt;=3,IF(Option=1,$I252-$H252,IF(Option=2,$H252-$I252)),0))</f>
        <v> </v>
      </c>
      <c r="AK252" s="295" t="str">
        <f aca="false">IF($A252="N/A"," ",IF(Dayrun&gt;=6,IF(Option=1,$J252-H252,IF(Option=2,H252-$J252)),0))</f>
        <v> </v>
      </c>
      <c r="AL252" s="295" t="str">
        <f aca="false">IF($A252="N/A"," ",IF(OR(Dayrun&lt;=2,Dayrun&gt;=9),IF(Option=1,$K252-$H252,IF(Option=2,$H252-$K252)),0))</f>
        <v> </v>
      </c>
      <c r="AM252" s="295" t="str">
        <f aca="false">IF($A252="N/A"," ",IF(OR(Dayrun=1,Dayrun=4,Dayrun=5,Dayrun=7,Dayrun=8,Dayrun=10,Dayrun=11),IF(Option=1,$L252-H252,IF(Option=2,H252-$L252)),0))</f>
        <v> </v>
      </c>
      <c r="AN252" s="295" t="str">
        <f aca="false">IF($A252="N/A"," ",IF(OR(Dayrun=1,Dayrun=7,Dayrun=8,Dayrun=10,Dayrun=11),IF(Option=1,$M252-H252,IF(Option=2,H252-$M252)),0))</f>
        <v> </v>
      </c>
      <c r="AO252" s="295" t="str">
        <f aca="false">IF($A252="N/A"," ",IF(OR(Dayrun&lt;=2,Dayrun&gt;=9),IF(Option=1,$N252-$H252,IF(Option=2,$H252-$N252)),0))</f>
        <v> </v>
      </c>
      <c r="AP252" s="295" t="str">
        <f aca="false">IF($A252="N/A"," ",IF(OR(Dayrun=1,Dayrun=5,Dayrun=8,Dayrun=11),IF(Option=1,$O252-H252,IF(Option=2,H252-$O252)),0))</f>
        <v> </v>
      </c>
      <c r="AQ252" s="295" t="str">
        <f aca="false">IF($A252="N/A"," ",IF(OR(Dayrun=1,Dayrun=8,Dayrun=11),IF(Option=1,$P252-H252,IF(Option=2,H252-$P252)),0))</f>
        <v> </v>
      </c>
      <c r="AR252" s="296" t="str">
        <f aca="false">IF($A252="N/A"," ",IF(OR(Dayrun&lt;=2,Dayrun&gt;=9),IF(Option=1,$Q252-H252,IF(Option=2,H252-$Q252)),0))</f>
        <v> </v>
      </c>
      <c r="AS252" s="297" t="str">
        <f aca="false">IF($A252="N/A"," ",IF(VLOOKUP(MONTH($A252),ManualTable,2)=1,IF(Dayrun&gt;=3,$DE252*8*$CY252,0),0))</f>
        <v> </v>
      </c>
      <c r="AT252" s="297" t="str">
        <f aca="false">IF($A252="N/A"," ",IF(VLOOKUP(MONTH($A252),ManualTable,3)=1,IF(Dayrun&gt;=6,$DE252*8*$CY252,0),0))</f>
        <v> </v>
      </c>
      <c r="AU252" s="297" t="str">
        <f aca="false">IF($A252="N/A"," ",IF(VLOOKUP(MONTH($A252),ManualTable,4)=1,IF(OR(Dayrun&lt;=2,Dayrun&gt;=9),$DE252*8*$CY252,0),0))</f>
        <v> </v>
      </c>
      <c r="AV252" s="297" t="str">
        <f aca="false">IF($A252="N/A"," ",IF(VLOOKUP(MONTH($A252),ManualTable,5)=1,IF(OR(Dayrun=1,Dayrun=4,Dayrun=5,Dayrun=7,Dayrun=8,Dayrun=10,Dayrun=11),$DF252*8*$CY252,0),0))</f>
        <v> </v>
      </c>
      <c r="AW252" s="297" t="str">
        <f aca="false">IF($A252="N/A"," ",IF(VLOOKUP(MONTH($A252),ManualTable,6)=1,IF(OR(Dayrun=1,Dayrun=7,Dayrun=8,Dayrun=10,Dayrun=11),$DF252*8*$CY252,0),0))</f>
        <v> </v>
      </c>
      <c r="AX252" s="297" t="str">
        <f aca="false">IF($A252="N/A"," ",IF(VLOOKUP(MONTH($A252),ManualTable,7)=1,IF(OR(Dayrun&lt;=2,Dayrun&gt;=9),$DF252*8*$CY252,0),0))</f>
        <v> </v>
      </c>
      <c r="AY252" s="297" t="str">
        <f aca="false">IF($A252="N/A"," ",IF(VLOOKUP(MONTH($A252),ManualTable,8)=1,IF(OR(Dayrun=1,Dayrun=5,Dayrun=8,Dayrun=11),$DG252*8*$CY252,0),0))</f>
        <v> </v>
      </c>
      <c r="AZ252" s="297" t="str">
        <f aca="false">IF($A252="N/A"," ",IF(VLOOKUP(MONTH($A252),ManualTable,9)=1,IF(OR(Dayrun=1,Dayrun=8,Dayrun=11),$DG252*8*$CY252,0),0))</f>
        <v> </v>
      </c>
      <c r="BA252" s="298" t="str">
        <f aca="false">IF($A252="N/A"," ",IF(VLOOKUP(MONTH($A252),ManualTable,10)=1,IF(OR(Dayrun&lt;=2,Dayrun&gt;=9),$DG252*8*$CY252,0),0))</f>
        <v> </v>
      </c>
      <c r="BB252" s="299" t="str">
        <f aca="false">IF($A252="N/A"," ",IF(Dayrun&gt;=3,(MAX(0,(xSPRDOPT(I252,($E252-'Pricing Inputs'!$X287*$D252),$CV252,0,($CN252+IF(Smile=TRUE(),VLOOKUP(MAX(-5,$H252-I252),Volsmile,2),0)),$CT252,$CU252,($A252-DateToday)+15,ABS(Option-2),1)*DE252*8))),0))</f>
        <v> </v>
      </c>
      <c r="BC252" s="300" t="str">
        <f aca="false">IF($A252="N/A"," ",IF(Dayrun&gt;=6,MAX(0,(xSPRDOPT(J252,($E252-'Pricing Inputs'!$X287*$D252),$CV252,0,($CN252+IF(Smile=TRUE(),VLOOKUP(MAX(-5,$H252-J252),Volsmile,2),0)),$CT252,$CU252,($A252-DateToday)+15,ABS(Option-2),1)*DE252*8)),0))</f>
        <v> </v>
      </c>
      <c r="BD252" s="300" t="str">
        <f aca="false">IF($A252="N/A"," ",IF(OR(Dayrun&lt;=2,Dayrun&gt;=9),IF(OffPeakEx=TRUE(),MAX(0,(xSPRDOPT(K252,($E252-'Pricing Inputs'!$X287*$D252),$CV252,0,($CQ252+IF(Smile=TRUE(),VLOOKUP(MAX(-5,$H252-K252),Volsmile,2),0)),$CT252,$CU252,($A252-DateToday)+15,ABS(Option-2),1)*DE252*8)),0),0))</f>
        <v> </v>
      </c>
      <c r="BE252" s="300" t="str">
        <f aca="false">IF($A252="N/A"," ",IF(OR(Dayrun=1,Dayrun=4,Dayrun=5,Dayrun=7,Dayrun=8,Dayrun=10,Dayrun=11),MAX(0,(xSPRDOPT(L252,($E252-'Pricing Inputs'!$X287*$D252),$CV252,0,($CQ252+IF(Smile=TRUE(),VLOOKUP(MAX(-5,$H252-L252),Volsmile,2),0)),$CT252,$CU252,($A252-DateToday)+15,ABS(Option-2),1)*DF252*8)),0))</f>
        <v> </v>
      </c>
      <c r="BF252" s="300" t="str">
        <f aca="false">IF($A252="N/A"," ",IF(OR(Dayrun=1,Dayrun=7,Dayrun=8,Dayrun=10,Dayrun=11),MAX(0,(xSPRDOPT(M252,($E252-'Pricing Inputs'!$X287*$D252),$CV252,0,($CQ252+IF(Smile=TRUE(),VLOOKUP(MAX(-5,$H252-M252),Volsmile,2),0)),$CT252,$CU252,($A252-DateToday)+15,ABS(Option-2),1)*DF252*8)),0))</f>
        <v> </v>
      </c>
      <c r="BG252" s="300" t="str">
        <f aca="false">IF($A252="N/A"," ",IF(OR(Dayrun&lt;=2,Dayrun&gt;=10),IF(OffPeakEx=TRUE(),MAX(0,(xSPRDOPT(N252,($E252-'Pricing Inputs'!$X287*$D252),$CV252,0,($CQ252+IF(Smile=TRUE(),VLOOKUP(MAX(-5,$H252-N252),Volsmile,2),0)),$CT252,$CU252,($A252-DateToday)+15,ABS(Option-2),1)*DF252*8)),0),0))</f>
        <v> </v>
      </c>
      <c r="BH252" s="300" t="str">
        <f aca="false">IF($A252="N/A"," ",IF(OR(Dayrun=1,Dayrun=5,Dayrun=8,Dayrun=11),MAX(0,(xSPRDOPT(O252,($E252-'Pricing Inputs'!$X287*$D252),$CV252,0,($CQ252+IF(Smile=TRUE(),VLOOKUP(MAX(-5,$H252-O252),Volsmile,2),0)),$CT252,$CU252,($A252-DateToday)+15,ABS(Option-2),1)*DG252*8)),0))</f>
        <v> </v>
      </c>
      <c r="BI252" s="300" t="str">
        <f aca="false">IF($A252="N/A"," ",IF(OR(Dayrun=1,Dayrun=8,Dayrun=11),MAX(0,(xSPRDOPT(P252,($E252-'Pricing Inputs'!$X287*$D252),$CV252,0,($CQ252+IF(Smile=TRUE(),VLOOKUP(MAX(-5,$H252-P252),Volsmile,2),0)),$CT252,$CU252,($A252-DateToday)+15,ABS(Option-2),1)*DG252*8)),0))</f>
        <v> </v>
      </c>
      <c r="BJ252" s="301" t="str">
        <f aca="false">IF($A252="N/A"," ",IF(OR(Dayrun&lt;=2,Dayrun&gt;=11),IF(OffPeakEx=TRUE(),MAX(0,(xSPRDOPT(Q252,($E252-'Pricing Inputs'!$X287*$D252),$CV252,0,($CQ252+IF(Smile=TRUE(),VLOOKUP(MAX(-5,$H252-Q252),Volsmile,2),0)),$CT252,$CU252,($A252-DateToday)+15,ABS(Option-2),1)*DG252*8)),0),0))</f>
        <v> </v>
      </c>
      <c r="BK252" s="302" t="str">
        <f aca="false">IF($A252="N/A"," ",R252*$AS252)</f>
        <v> </v>
      </c>
      <c r="BL252" s="303" t="str">
        <f aca="false">IF($A252="N/A"," ",S252*$AT252)</f>
        <v> </v>
      </c>
      <c r="BM252" s="303" t="str">
        <f aca="false">IF($A252="N/A"," ",T252*$AU252)</f>
        <v> </v>
      </c>
      <c r="BN252" s="303" t="str">
        <f aca="false">IF($A252="N/A"," ",U252*$AV252)</f>
        <v> </v>
      </c>
      <c r="BO252" s="303" t="str">
        <f aca="false">IF($A252="N/A"," ",V252*$AW252)</f>
        <v> </v>
      </c>
      <c r="BP252" s="303" t="str">
        <f aca="false">IF($A252="N/A"," ",W252*$AX252)</f>
        <v> </v>
      </c>
      <c r="BQ252" s="303" t="str">
        <f aca="false">IF($A252="N/A"," ",X252*$AY252)</f>
        <v> </v>
      </c>
      <c r="BR252" s="303" t="str">
        <f aca="false">IF($A252="N/A"," ",Y252*$AZ252)</f>
        <v> </v>
      </c>
      <c r="BS252" s="304" t="str">
        <f aca="false">IF($A252="N/A"," ",Z252*$BA252)</f>
        <v> </v>
      </c>
      <c r="BT252" s="305" t="str">
        <f aca="false">IF($A252="N/A"," ",AA252*$AS252)</f>
        <v> </v>
      </c>
      <c r="BU252" s="306" t="str">
        <f aca="false">IF($A252="N/A"," ",AB252*$AT252)</f>
        <v> </v>
      </c>
      <c r="BV252" s="306" t="str">
        <f aca="false">IF($A252="N/A"," ",AC252*$AU252)</f>
        <v> </v>
      </c>
      <c r="BW252" s="306" t="str">
        <f aca="false">IF($A252="N/A"," ",AD252*$AV252)</f>
        <v> </v>
      </c>
      <c r="BX252" s="306" t="str">
        <f aca="false">IF($A252="N/A"," ",AE252*$AW252)</f>
        <v> </v>
      </c>
      <c r="BY252" s="306" t="str">
        <f aca="false">IF($A252="N/A"," ",AF252*$AX252)</f>
        <v> </v>
      </c>
      <c r="BZ252" s="306" t="str">
        <f aca="false">IF($A252="N/A"," ",AG252*$AY252)</f>
        <v> </v>
      </c>
      <c r="CA252" s="306" t="str">
        <f aca="false">IF($A252="N/A"," ",AH252*$AZ252)</f>
        <v> </v>
      </c>
      <c r="CB252" s="307" t="str">
        <f aca="false">IF($A252="N/A"," ",AI252*$BA252)</f>
        <v> </v>
      </c>
      <c r="CC252" s="308" t="str">
        <f aca="false">IF($A252="N/A"," ",AJ252*$AS252)</f>
        <v> </v>
      </c>
      <c r="CD252" s="309" t="str">
        <f aca="false">IF($A252="N/A"," ",AK252*$AT252)</f>
        <v> </v>
      </c>
      <c r="CE252" s="309" t="str">
        <f aca="false">IF($A252="N/A"," ",AL252*$AU252)</f>
        <v> </v>
      </c>
      <c r="CF252" s="309" t="str">
        <f aca="false">IF($A252="N/A"," ",AM252*$AV252)</f>
        <v> </v>
      </c>
      <c r="CG252" s="309" t="str">
        <f aca="false">IF($A252="N/A"," ",AN252*$AW252)</f>
        <v> </v>
      </c>
      <c r="CH252" s="309" t="str">
        <f aca="false">IF($A252="N/A"," ",AO252*$AX252)</f>
        <v> </v>
      </c>
      <c r="CI252" s="309" t="str">
        <f aca="false">IF($A252="N/A"," ",AP252*$AY252)</f>
        <v> </v>
      </c>
      <c r="CJ252" s="309" t="str">
        <f aca="false">IF($A252="N/A"," ",AQ252*$AZ252)</f>
        <v> </v>
      </c>
      <c r="CK252" s="310" t="str">
        <f aca="false">IF($A252="N/A"," ",AR252*$BA252)</f>
        <v> </v>
      </c>
      <c r="CL252" s="311" t="str">
        <f aca="false">IF(A252="N/A"," ",(VLOOKUP(A252,PowerVolTable,(IF(VolBMO=2,7,IF(VolBMO=1,6,8))),FALSE())))</f>
        <v> </v>
      </c>
      <c r="CM252" s="312" t="str">
        <f aca="false">IF(A252="N/A"," ",(VLOOKUP(A252,IntraPowerVol,(IF(VolBMO=2,3,IF(VolBMO=1,2,4))),FALSE())*VLOOKUP(MONTH($A252),Volscale,2)))</f>
        <v> </v>
      </c>
      <c r="CN252" s="312" t="str">
        <f aca="false">IF($A252="N/A"," ",IF(VolType=1,CM252,CL252))</f>
        <v> </v>
      </c>
      <c r="CO252" s="312" t="str">
        <f aca="false">IF($A252="N/A"," ",(VLOOKUP($A252,OffPeakVol,(IF(VolBMO=2,7,IF(VolBMO=1,6,8))),FALSE())))</f>
        <v> </v>
      </c>
      <c r="CP252" s="312" t="str">
        <f aca="false">IF($A252="N/A"," ",(VLOOKUP($A252,OffPeakVol,(IF(VolBMO=2,3,IF(VolBMO=1,2,4))),FALSE())*VLOOKUP(MONTH($A252),Volscale,2)))</f>
        <v> </v>
      </c>
      <c r="CQ252" s="312" t="str">
        <f aca="false">IF($A252="N/A"," ",IF(VolType=1,CP252,CO252))</f>
        <v> </v>
      </c>
      <c r="CR252" s="312" t="str">
        <f aca="false">IF($A252="N/A"," ",(VLOOKUP($A252,GasVolTable,(IF(VolBMO=2,6,IF(VolBMO=1,7,5))),FALSE())))</f>
        <v> </v>
      </c>
      <c r="CS252" s="312" t="str">
        <f aca="false">IF($A252="N/A"," ",(VLOOKUP($A252,OmicronVol,(IF(VolBMO=2,3,IF(VolBMO=1,4,2))),FALSE())))</f>
        <v> </v>
      </c>
      <c r="CT252" s="312" t="str">
        <f aca="false">IF($A252="N/A"," ",(IF(DateToday&gt;$A252,$CS252,IF(VolType=1,((($CR252^2)*((($A252-1)-DateToday)/((EOMONTH($A252,0)+1)-DateToday-15)))+((($CS252)^2)*((15)/((EOMONTH($A252,0)+1)-DateToday-15))))^0.5,CR252))))</f>
        <v> </v>
      </c>
      <c r="CU252" s="312" t="str">
        <f aca="false">IF($A252="N/A"," ",IF('Pricing Inputs'!$AR$23=TRUE(),Inputs!$S$22,VLOOKUP($A252,CorrelationTable,2,FALSE())))</f>
        <v> </v>
      </c>
      <c r="CV252" s="313" t="str">
        <f aca="false">IF($A252="N/A"," ",F252+G252+(D252*('Pricing Inputs'!X287)))</f>
        <v> </v>
      </c>
      <c r="CW252" s="314" t="str">
        <f aca="false">IF($A252="N/A"," ",IF(PV=1,0,'Pricing Inputs'!Y287))</f>
        <v> </v>
      </c>
      <c r="CX252" s="315" t="str">
        <f aca="false">IF($A252="N/A"," ",(1+CW252/2)^(-2*((EOMONTH(A252,0)+20)-DateToday)/365.25))</f>
        <v> </v>
      </c>
      <c r="CY252" s="316" t="str">
        <f aca="false">IF($A252="N/A"," ",(IF(MONTH(A252)&gt;=4,IF(MONTH(A252)&lt;=10,Inputs!$S$26,Inputs!$S$27),Inputs!$S$27))*$CX252)</f>
        <v> </v>
      </c>
      <c r="CZ252" s="317" t="str">
        <f aca="false">IF($A252="N/A"," ",BK252+BL252+BN252+BO252+BQ252+BR252)</f>
        <v> </v>
      </c>
      <c r="DA252" s="318" t="str">
        <f aca="false">IF($A252="N/A"," ",BM252+BP252+BS252)</f>
        <v> </v>
      </c>
      <c r="DB252" s="319" t="str">
        <f aca="false">IF($A252="N/A"," ",BT252+BU252+BW252+BX252+BZ252+CA252)</f>
        <v> </v>
      </c>
      <c r="DC252" s="319" t="str">
        <f aca="false">IF($A252="N/A"," ",BV252+BY252+CB252)</f>
        <v> </v>
      </c>
      <c r="DD252" s="320" t="str">
        <f aca="false">IF($A252="N/A"," ",SUM(CC252:CK252))</f>
        <v> </v>
      </c>
      <c r="DE252" s="321" t="str">
        <f aca="false">IF($A252="N/A"," ",VLOOKUP($A252,NumberofDaysTable,2)*Availability)</f>
        <v> </v>
      </c>
      <c r="DF252" s="94" t="str">
        <f aca="false">IF($A252="N/A"," ",VLOOKUP($A252,NumberofDaysTable,3)*Availability)</f>
        <v> </v>
      </c>
      <c r="DG252" s="322" t="str">
        <f aca="false">IF($A252="N/A"," ",VLOOKUP($A252,NumberofDaysTable,4)*Availability)</f>
        <v> </v>
      </c>
      <c r="DH252" s="323" t="str">
        <f aca="false">IF($A252="N/A"," ",IF(Option=1,$D252*Inputs!$S$15*SUM(AS252:BA252),0))</f>
        <v> </v>
      </c>
      <c r="DI252" s="324" t="str">
        <f aca="false">IF($A252="N/A"," ",IF(Option=1,$D252*Inputs!$S$16*SUM(AS252:BA252),0))</f>
        <v> </v>
      </c>
      <c r="DJ252" s="325" t="str">
        <f aca="false">IF($A252="N/A"," ",SUM(AS252:AT252))</f>
        <v> </v>
      </c>
      <c r="DK252" s="325" t="str">
        <f aca="false">IF($A252="N/A"," ",SUM(AU252:BA252))</f>
        <v> </v>
      </c>
      <c r="DL252" s="325" t="str">
        <f aca="false">IF($A252="N/A"," ",SUM(BB252:BC252))</f>
        <v> </v>
      </c>
      <c r="DM252" s="325" t="str">
        <f aca="false">IF($A252="N/A"," ",SUM(BD252:BJ252))</f>
        <v> </v>
      </c>
    </row>
    <row r="253" customFormat="false" ht="12.75" hidden="false" customHeight="false" outlineLevel="0" collapsed="false">
      <c r="A253" s="282" t="str">
        <f aca="false">IF(A252="N/A","N/A",IF(EDATE(A252,1)&gt;Inputs!$S$5,"N/A",EDATE(A252,1)))</f>
        <v>N/A</v>
      </c>
      <c r="B253" s="283" t="str">
        <f aca="false">IF(A253="N/A"," ",YEAR(A253))</f>
        <v> </v>
      </c>
      <c r="C253" s="284" t="str">
        <f aca="false">IF(A253="N/A"," ",VLOOKUP(A253,ScaledPrice,14))</f>
        <v> </v>
      </c>
      <c r="D253" s="285" t="str">
        <f aca="false">IF(A253="N/A"," ",(VLOOKUP(MONTH($A253),Hrtable,2))/1000)</f>
        <v> </v>
      </c>
      <c r="E253" s="286" t="str">
        <f aca="false">IF($A253="N/A"," ",(C253)*D253)</f>
        <v> </v>
      </c>
      <c r="F253" s="287" t="str">
        <f aca="false">IF(A253="N/A"," ",VOM*(1+VOMesc)^(YEAR(A253)-YEAR(Today)))</f>
        <v> </v>
      </c>
      <c r="G253" s="287" t="str">
        <f aca="false">IF(A253="N/A"," ",Perstart/VLOOKUP(Dayrun,'Pricing Inputs'!$AQ$4:$AS$14,3)/(CY253/CX253))</f>
        <v> </v>
      </c>
      <c r="H253" s="288" t="str">
        <f aca="false">IF(A253="N/A"," ",SUM(E253:G253))</f>
        <v> </v>
      </c>
      <c r="I253" s="289" t="str">
        <f aca="false">VLOOKUP($A253,ScaledPrice,6)</f>
        <v> </v>
      </c>
      <c r="J253" s="290" t="str">
        <f aca="false">VLOOKUP($A253,ScaledPrice,10)</f>
        <v> </v>
      </c>
      <c r="K253" s="290" t="str">
        <f aca="false">VLOOKUP($A253,ScaledPrice,13)</f>
        <v> </v>
      </c>
      <c r="L253" s="290" t="str">
        <f aca="false">VLOOKUP($A253,ScaledPrice,7)</f>
        <v> </v>
      </c>
      <c r="M253" s="290" t="str">
        <f aca="false">VLOOKUP($A253,ScaledPrice,11)</f>
        <v> </v>
      </c>
      <c r="N253" s="290" t="str">
        <f aca="false">VLOOKUP($A253,ScaledPrice,13)</f>
        <v> </v>
      </c>
      <c r="O253" s="290" t="str">
        <f aca="false">VLOOKUP($A253,ScaledPrice,8)</f>
        <v> </v>
      </c>
      <c r="P253" s="290" t="str">
        <f aca="false">VLOOKUP($A253,ScaledPrice,12)</f>
        <v> </v>
      </c>
      <c r="Q253" s="291" t="str">
        <f aca="false">VLOOKUP($A253,ScaledPrice,13)</f>
        <v> </v>
      </c>
      <c r="R253" s="292" t="str">
        <f aca="false">IF($A253="N/A"," ",IF(Dayrun&gt;=3,IF(Option=1,MAX($I253-$H253,0),IF(Option=2,MAX($H253-$I253,0),0)),0))</f>
        <v> </v>
      </c>
      <c r="S253" s="286" t="str">
        <f aca="false">IF($A253="N/A"," ",IF(Dayrun&gt;=6,IF(Option=1,MAX($J253-H253,0),IF(Option=2,MAX(H253-$J253,0),0)),0))</f>
        <v> </v>
      </c>
      <c r="T253" s="286" t="str">
        <f aca="false">IF($A253="N/A"," ",IF(OR(Dayrun&lt;=2,Dayrun&gt;=9),IF(Option=1,MAX($K253-$H253,0),IF(Option=2,MAX($H253-$K253,0),0)),0))</f>
        <v> </v>
      </c>
      <c r="U253" s="286" t="str">
        <f aca="false">IF($A253="N/A"," ",IF(OR(Dayrun=1,Dayrun=4,Dayrun=5,Dayrun=7,Dayrun=8,Dayrun=10,Dayrun=11),IF(Option=1,MAX($L253-H253,0),IF(Option=2,MAX(H253-$L253,0),0)),0))</f>
        <v> </v>
      </c>
      <c r="V253" s="286" t="str">
        <f aca="false">IF($A253="N/A"," ",IF(OR(Dayrun=1,Dayrun=7,Dayrun=8,Dayrun=10,Dayrun=11),IF(Option=1,MAX($M253-H253,0),IF(Option=2,MAX(H253-$M253,0),0)),0))</f>
        <v> </v>
      </c>
      <c r="W253" s="286" t="str">
        <f aca="false">IF($A253="N/A"," ",IF(OR(Dayrun&lt;=2,Dayrun&gt;=10),IF(Option=1,MAX($N253-$H253,0),IF(Option=2,MAX($H253-$N253,0),0)),0))</f>
        <v> </v>
      </c>
      <c r="X253" s="286" t="str">
        <f aca="false">IF($A253="N/A"," ",IF(OR(Dayrun=1,Dayrun=5,Dayrun=8,Dayrun=11),IF(Option=1,MAX($O253-H253,0),IF(Option=2,MAX(H253-$O253,0),0)),0))</f>
        <v> </v>
      </c>
      <c r="Y253" s="286" t="str">
        <f aca="false">IF($A253="N/A"," ",IF(OR(Dayrun=1,Dayrun=8,Dayrun=11),IF(Option=1,MAX($P253-H253,0),IF(Option=2,MAX(H253-$P253,0),0)),0))</f>
        <v> </v>
      </c>
      <c r="Z253" s="293" t="str">
        <f aca="false">IF($A253="N/A"," ",IF(OR(Dayrun&lt;=2,Dayrun&gt;=11),IF(Option=1,MAX($Q253-$H253,0),IF(Option=2,MAX($H253-$Q253,0),0)),0))</f>
        <v> </v>
      </c>
      <c r="AA253" s="289" t="str">
        <f aca="false">IF($A253="N/A"," ",IF(Dayrun&gt;=3,(MAX(0,(xSPRDOPT(I253,($E253-'Pricing Inputs'!$X288*$D253),$CV253,0,($CN253+IF(Smile=TRUE(),VLOOKUP(MAX(-5,$H253-I253),Volsmile,2),0)),$CT253,$CU253,($A253-DateToday)+15,ABS(Option-2),0)-R253))),0))</f>
        <v> </v>
      </c>
      <c r="AB253" s="290" t="str">
        <f aca="false">IF($A253="N/A"," ",IF(Dayrun&gt;=6,MAX(0,(xSPRDOPT(J253,($E253-'Pricing Inputs'!$X288*$D253),$CV253,0,($CN253+IF(Smile=TRUE(),VLOOKUP(MAX(-5,$H253-J253),Volsmile,2),0)),$CT253,$CU253,($A253-DateToday)+15,ABS(Option-2),0)-S253)),0))</f>
        <v> </v>
      </c>
      <c r="AC253" s="290" t="str">
        <f aca="false">IF($A253="N/A"," ",IF(OR(Dayrun&lt;=2,Dayrun&gt;=9),IF(OffPeakEx=TRUE(),MAX(0,(xSPRDOPT(K253,($E253-'Pricing Inputs'!$X288*$D253),$CV253,0,($CQ253+IF(Smile=TRUE(),VLOOKUP(MAX(-5,$H253-K253),Volsmile,2),0)),$CT253,$CU253,($A253-DateToday)+15,ABS(Option-2),0)-T253)),0),0))</f>
        <v> </v>
      </c>
      <c r="AD253" s="290" t="str">
        <f aca="false">IF($A253="N/A"," ",IF(OR(Dayrun=1,Dayrun=4,Dayrun=5,Dayrun=7,Dayrun=8,Dayrun=10,Dayrun=11),MAX(0,(xSPRDOPT(L253,($E253-'Pricing Inputs'!$X288*$D253),$CV253,0,($CQ253+IF(Smile=TRUE(),VLOOKUP(MAX(-5,$H253-L253),Volsmile,2),0)),$CT253,$CU253,($A253-DateToday)+15,ABS(Option-2),0)-U253)),0))</f>
        <v> </v>
      </c>
      <c r="AE253" s="290" t="str">
        <f aca="false">IF($A253="N/A"," ",IF(OR(Dayrun=1,Dayrun=7,Dayrun=8,Dayrun=10,Dayrun=11),MAX(0,(xSPRDOPT(M253,($E253-'Pricing Inputs'!$X288*$D253),$CV253,0,($CQ253+IF(Smile=TRUE(),VLOOKUP(MAX(-5,$H253-M253),Volsmile,2),0)),$CT253,$CU253,($A253-DateToday)+15,ABS(Option-2),0)-V253)),0))</f>
        <v> </v>
      </c>
      <c r="AF253" s="290" t="str">
        <f aca="false">IF($A253="N/A"," ",IF(OR(Dayrun&lt;=2,Dayrun&gt;=10),IF(OffPeakEx=TRUE(),MAX(0,(xSPRDOPT(N253,($E253-'Pricing Inputs'!$X288*$D253),$CV253,0,($CQ253+IF(Smile=TRUE(),VLOOKUP(MAX(-5,$H253-N253),Volsmile,2),0)),$CT253,$CU253,($A253-DateToday)+15,ABS(Option-2),0)-W253)),0),0))</f>
        <v> </v>
      </c>
      <c r="AG253" s="290" t="str">
        <f aca="false">IF($A253="N/A"," ",IF(OR(Dayrun=1,Dayrun=5,Dayrun=8,Dayrun=11),MAX(0,(xSPRDOPT(O253,($E253-'Pricing Inputs'!$X288*$D253),$CV253,0,($CQ253+IF(Smile=TRUE(),VLOOKUP(MAX(-5,$H253-O253),Volsmile,2),0)),$CT253,$CU253,($A253-DateToday)+15,ABS(Option-2),0)-X253)),0))</f>
        <v> </v>
      </c>
      <c r="AH253" s="290" t="str">
        <f aca="false">IF($A253="N/A"," ",IF(OR(Dayrun=1,Dayrun=8,Dayrun=11),MAX(0,(xSPRDOPT(P253,($E253-'Pricing Inputs'!$X288*$D253),$CV253,0,($CQ253+IF(Smile=TRUE(),VLOOKUP(MAX(-5,$H253-P253),Volsmile,2),0)),$CT253,$CU253,($A253-DateToday)+15,ABS(Option-2),0)-Y253)),0))</f>
        <v> </v>
      </c>
      <c r="AI253" s="290" t="str">
        <f aca="false">IF($A253="N/A"," ",IF(OR(Dayrun&lt;=2,Dayrun&gt;=11),IF(OffPeakEx=TRUE(),MAX(0,(xSPRDOPT(Q253,($E253-'Pricing Inputs'!$X288*$D253),$CV253,0,($CQ253+IF(Smile=TRUE(),VLOOKUP(MAX(-5,$H253-Q253),Volsmile,2),0)),$CT253,$CU253,($A253-DateToday)+15,ABS(Option-2),0)-Z253)),0),0))</f>
        <v> </v>
      </c>
      <c r="AJ253" s="294" t="str">
        <f aca="false">IF($A253="N/A"," ",IF(Dayrun&gt;=3,IF(Option=1,$I253-$H253,IF(Option=2,$H253-$I253)),0))</f>
        <v> </v>
      </c>
      <c r="AK253" s="295" t="str">
        <f aca="false">IF($A253="N/A"," ",IF(Dayrun&gt;=6,IF(Option=1,$J253-H253,IF(Option=2,H253-$J253)),0))</f>
        <v> </v>
      </c>
      <c r="AL253" s="295" t="str">
        <f aca="false">IF($A253="N/A"," ",IF(OR(Dayrun&lt;=2,Dayrun&gt;=9),IF(Option=1,$K253-$H253,IF(Option=2,$H253-$K253)),0))</f>
        <v> </v>
      </c>
      <c r="AM253" s="295" t="str">
        <f aca="false">IF($A253="N/A"," ",IF(OR(Dayrun=1,Dayrun=4,Dayrun=5,Dayrun=7,Dayrun=8,Dayrun=10,Dayrun=11),IF(Option=1,$L253-H253,IF(Option=2,H253-$L253)),0))</f>
        <v> </v>
      </c>
      <c r="AN253" s="295" t="str">
        <f aca="false">IF($A253="N/A"," ",IF(OR(Dayrun=1,Dayrun=7,Dayrun=8,Dayrun=10,Dayrun=11),IF(Option=1,$M253-H253,IF(Option=2,H253-$M253)),0))</f>
        <v> </v>
      </c>
      <c r="AO253" s="295" t="str">
        <f aca="false">IF($A253="N/A"," ",IF(OR(Dayrun&lt;=2,Dayrun&gt;=9),IF(Option=1,$N253-$H253,IF(Option=2,$H253-$N253)),0))</f>
        <v> </v>
      </c>
      <c r="AP253" s="295" t="str">
        <f aca="false">IF($A253="N/A"," ",IF(OR(Dayrun=1,Dayrun=5,Dayrun=8,Dayrun=11),IF(Option=1,$O253-H253,IF(Option=2,H253-$O253)),0))</f>
        <v> </v>
      </c>
      <c r="AQ253" s="295" t="str">
        <f aca="false">IF($A253="N/A"," ",IF(OR(Dayrun=1,Dayrun=8,Dayrun=11),IF(Option=1,$P253-H253,IF(Option=2,H253-$P253)),0))</f>
        <v> </v>
      </c>
      <c r="AR253" s="296" t="str">
        <f aca="false">IF($A253="N/A"," ",IF(OR(Dayrun&lt;=2,Dayrun&gt;=9),IF(Option=1,$Q253-H253,IF(Option=2,H253-$Q253)),0))</f>
        <v> </v>
      </c>
      <c r="AS253" s="297" t="str">
        <f aca="false">IF($A253="N/A"," ",IF(VLOOKUP(MONTH($A253),ManualTable,2)=1,IF(Dayrun&gt;=3,$DE253*8*$CY253,0),0))</f>
        <v> </v>
      </c>
      <c r="AT253" s="297" t="str">
        <f aca="false">IF($A253="N/A"," ",IF(VLOOKUP(MONTH($A253),ManualTable,3)=1,IF(Dayrun&gt;=6,$DE253*8*$CY253,0),0))</f>
        <v> </v>
      </c>
      <c r="AU253" s="297" t="str">
        <f aca="false">IF($A253="N/A"," ",IF(VLOOKUP(MONTH($A253),ManualTable,4)=1,IF(OR(Dayrun&lt;=2,Dayrun&gt;=9),$DE253*8*$CY253,0),0))</f>
        <v> </v>
      </c>
      <c r="AV253" s="297" t="str">
        <f aca="false">IF($A253="N/A"," ",IF(VLOOKUP(MONTH($A253),ManualTable,5)=1,IF(OR(Dayrun=1,Dayrun=4,Dayrun=5,Dayrun=7,Dayrun=8,Dayrun=10,Dayrun=11),$DF253*8*$CY253,0),0))</f>
        <v> </v>
      </c>
      <c r="AW253" s="297" t="str">
        <f aca="false">IF($A253="N/A"," ",IF(VLOOKUP(MONTH($A253),ManualTable,6)=1,IF(OR(Dayrun=1,Dayrun=7,Dayrun=8,Dayrun=10,Dayrun=11),$DF253*8*$CY253,0),0))</f>
        <v> </v>
      </c>
      <c r="AX253" s="297" t="str">
        <f aca="false">IF($A253="N/A"," ",IF(VLOOKUP(MONTH($A253),ManualTable,7)=1,IF(OR(Dayrun&lt;=2,Dayrun&gt;=9),$DF253*8*$CY253,0),0))</f>
        <v> </v>
      </c>
      <c r="AY253" s="297" t="str">
        <f aca="false">IF($A253="N/A"," ",IF(VLOOKUP(MONTH($A253),ManualTable,8)=1,IF(OR(Dayrun=1,Dayrun=5,Dayrun=8,Dayrun=11),$DG253*8*$CY253,0),0))</f>
        <v> </v>
      </c>
      <c r="AZ253" s="297" t="str">
        <f aca="false">IF($A253="N/A"," ",IF(VLOOKUP(MONTH($A253),ManualTable,9)=1,IF(OR(Dayrun=1,Dayrun=8,Dayrun=11),$DG253*8*$CY253,0),0))</f>
        <v> </v>
      </c>
      <c r="BA253" s="298" t="str">
        <f aca="false">IF($A253="N/A"," ",IF(VLOOKUP(MONTH($A253),ManualTable,10)=1,IF(OR(Dayrun&lt;=2,Dayrun&gt;=9),$DG253*8*$CY253,0),0))</f>
        <v> </v>
      </c>
      <c r="BB253" s="299" t="str">
        <f aca="false">IF($A253="N/A"," ",IF(Dayrun&gt;=3,(MAX(0,(xSPRDOPT(I253,($E253-'Pricing Inputs'!$X288*$D253),$CV253,0,($CN253+IF(Smile=TRUE(),VLOOKUP(MAX(-5,$H253-I253),Volsmile,2),0)),$CT253,$CU253,($A253-DateToday)+15,ABS(Option-2),1)*DE253*8))),0))</f>
        <v> </v>
      </c>
      <c r="BC253" s="300" t="str">
        <f aca="false">IF($A253="N/A"," ",IF(Dayrun&gt;=6,MAX(0,(xSPRDOPT(J253,($E253-'Pricing Inputs'!$X288*$D253),$CV253,0,($CN253+IF(Smile=TRUE(),VLOOKUP(MAX(-5,$H253-J253),Volsmile,2),0)),$CT253,$CU253,($A253-DateToday)+15,ABS(Option-2),1)*DE253*8)),0))</f>
        <v> </v>
      </c>
      <c r="BD253" s="300" t="str">
        <f aca="false">IF($A253="N/A"," ",IF(OR(Dayrun&lt;=2,Dayrun&gt;=9),IF(OffPeakEx=TRUE(),MAX(0,(xSPRDOPT(K253,($E253-'Pricing Inputs'!$X288*$D253),$CV253,0,($CQ253+IF(Smile=TRUE(),VLOOKUP(MAX(-5,$H253-K253),Volsmile,2),0)),$CT253,$CU253,($A253-DateToday)+15,ABS(Option-2),1)*DE253*8)),0),0))</f>
        <v> </v>
      </c>
      <c r="BE253" s="300" t="str">
        <f aca="false">IF($A253="N/A"," ",IF(OR(Dayrun=1,Dayrun=4,Dayrun=5,Dayrun=7,Dayrun=8,Dayrun=10,Dayrun=11),MAX(0,(xSPRDOPT(L253,($E253-'Pricing Inputs'!$X288*$D253),$CV253,0,($CQ253+IF(Smile=TRUE(),VLOOKUP(MAX(-5,$H253-L253),Volsmile,2),0)),$CT253,$CU253,($A253-DateToday)+15,ABS(Option-2),1)*DF253*8)),0))</f>
        <v> </v>
      </c>
      <c r="BF253" s="300" t="str">
        <f aca="false">IF($A253="N/A"," ",IF(OR(Dayrun=1,Dayrun=7,Dayrun=8,Dayrun=10,Dayrun=11),MAX(0,(xSPRDOPT(M253,($E253-'Pricing Inputs'!$X288*$D253),$CV253,0,($CQ253+IF(Smile=TRUE(),VLOOKUP(MAX(-5,$H253-M253),Volsmile,2),0)),$CT253,$CU253,($A253-DateToday)+15,ABS(Option-2),1)*DF253*8)),0))</f>
        <v> </v>
      </c>
      <c r="BG253" s="300" t="str">
        <f aca="false">IF($A253="N/A"," ",IF(OR(Dayrun&lt;=2,Dayrun&gt;=10),IF(OffPeakEx=TRUE(),MAX(0,(xSPRDOPT(N253,($E253-'Pricing Inputs'!$X288*$D253),$CV253,0,($CQ253+IF(Smile=TRUE(),VLOOKUP(MAX(-5,$H253-N253),Volsmile,2),0)),$CT253,$CU253,($A253-DateToday)+15,ABS(Option-2),1)*DF253*8)),0),0))</f>
        <v> </v>
      </c>
      <c r="BH253" s="300" t="str">
        <f aca="false">IF($A253="N/A"," ",IF(OR(Dayrun=1,Dayrun=5,Dayrun=8,Dayrun=11),MAX(0,(xSPRDOPT(O253,($E253-'Pricing Inputs'!$X288*$D253),$CV253,0,($CQ253+IF(Smile=TRUE(),VLOOKUP(MAX(-5,$H253-O253),Volsmile,2),0)),$CT253,$CU253,($A253-DateToday)+15,ABS(Option-2),1)*DG253*8)),0))</f>
        <v> </v>
      </c>
      <c r="BI253" s="300" t="str">
        <f aca="false">IF($A253="N/A"," ",IF(OR(Dayrun=1,Dayrun=8,Dayrun=11),MAX(0,(xSPRDOPT(P253,($E253-'Pricing Inputs'!$X288*$D253),$CV253,0,($CQ253+IF(Smile=TRUE(),VLOOKUP(MAX(-5,$H253-P253),Volsmile,2),0)),$CT253,$CU253,($A253-DateToday)+15,ABS(Option-2),1)*DG253*8)),0))</f>
        <v> </v>
      </c>
      <c r="BJ253" s="301" t="str">
        <f aca="false">IF($A253="N/A"," ",IF(OR(Dayrun&lt;=2,Dayrun&gt;=11),IF(OffPeakEx=TRUE(),MAX(0,(xSPRDOPT(Q253,($E253-'Pricing Inputs'!$X288*$D253),$CV253,0,($CQ253+IF(Smile=TRUE(),VLOOKUP(MAX(-5,$H253-Q253),Volsmile,2),0)),$CT253,$CU253,($A253-DateToday)+15,ABS(Option-2),1)*DG253*8)),0),0))</f>
        <v> </v>
      </c>
      <c r="BK253" s="302" t="str">
        <f aca="false">IF($A253="N/A"," ",R253*$AS253)</f>
        <v> </v>
      </c>
      <c r="BL253" s="303" t="str">
        <f aca="false">IF($A253="N/A"," ",S253*$AT253)</f>
        <v> </v>
      </c>
      <c r="BM253" s="303" t="str">
        <f aca="false">IF($A253="N/A"," ",T253*$AU253)</f>
        <v> </v>
      </c>
      <c r="BN253" s="303" t="str">
        <f aca="false">IF($A253="N/A"," ",U253*$AV253)</f>
        <v> </v>
      </c>
      <c r="BO253" s="303" t="str">
        <f aca="false">IF($A253="N/A"," ",V253*$AW253)</f>
        <v> </v>
      </c>
      <c r="BP253" s="303" t="str">
        <f aca="false">IF($A253="N/A"," ",W253*$AX253)</f>
        <v> </v>
      </c>
      <c r="BQ253" s="303" t="str">
        <f aca="false">IF($A253="N/A"," ",X253*$AY253)</f>
        <v> </v>
      </c>
      <c r="BR253" s="303" t="str">
        <f aca="false">IF($A253="N/A"," ",Y253*$AZ253)</f>
        <v> </v>
      </c>
      <c r="BS253" s="304" t="str">
        <f aca="false">IF($A253="N/A"," ",Z253*$BA253)</f>
        <v> </v>
      </c>
      <c r="BT253" s="305" t="str">
        <f aca="false">IF($A253="N/A"," ",AA253*$AS253)</f>
        <v> </v>
      </c>
      <c r="BU253" s="306" t="str">
        <f aca="false">IF($A253="N/A"," ",AB253*$AT253)</f>
        <v> </v>
      </c>
      <c r="BV253" s="306" t="str">
        <f aca="false">IF($A253="N/A"," ",AC253*$AU253)</f>
        <v> </v>
      </c>
      <c r="BW253" s="306" t="str">
        <f aca="false">IF($A253="N/A"," ",AD253*$AV253)</f>
        <v> </v>
      </c>
      <c r="BX253" s="306" t="str">
        <f aca="false">IF($A253="N/A"," ",AE253*$AW253)</f>
        <v> </v>
      </c>
      <c r="BY253" s="306" t="str">
        <f aca="false">IF($A253="N/A"," ",AF253*$AX253)</f>
        <v> </v>
      </c>
      <c r="BZ253" s="306" t="str">
        <f aca="false">IF($A253="N/A"," ",AG253*$AY253)</f>
        <v> </v>
      </c>
      <c r="CA253" s="306" t="str">
        <f aca="false">IF($A253="N/A"," ",AH253*$AZ253)</f>
        <v> </v>
      </c>
      <c r="CB253" s="307" t="str">
        <f aca="false">IF($A253="N/A"," ",AI253*$BA253)</f>
        <v> </v>
      </c>
      <c r="CC253" s="308" t="str">
        <f aca="false">IF($A253="N/A"," ",AJ253*$AS253)</f>
        <v> </v>
      </c>
      <c r="CD253" s="309" t="str">
        <f aca="false">IF($A253="N/A"," ",AK253*$AT253)</f>
        <v> </v>
      </c>
      <c r="CE253" s="309" t="str">
        <f aca="false">IF($A253="N/A"," ",AL253*$AU253)</f>
        <v> </v>
      </c>
      <c r="CF253" s="309" t="str">
        <f aca="false">IF($A253="N/A"," ",AM253*$AV253)</f>
        <v> </v>
      </c>
      <c r="CG253" s="309" t="str">
        <f aca="false">IF($A253="N/A"," ",AN253*$AW253)</f>
        <v> </v>
      </c>
      <c r="CH253" s="309" t="str">
        <f aca="false">IF($A253="N/A"," ",AO253*$AX253)</f>
        <v> </v>
      </c>
      <c r="CI253" s="309" t="str">
        <f aca="false">IF($A253="N/A"," ",AP253*$AY253)</f>
        <v> </v>
      </c>
      <c r="CJ253" s="309" t="str">
        <f aca="false">IF($A253="N/A"," ",AQ253*$AZ253)</f>
        <v> </v>
      </c>
      <c r="CK253" s="310" t="str">
        <f aca="false">IF($A253="N/A"," ",AR253*$BA253)</f>
        <v> </v>
      </c>
      <c r="CL253" s="311" t="str">
        <f aca="false">IF(A253="N/A"," ",(VLOOKUP(A253,PowerVolTable,(IF(VolBMO=2,7,IF(VolBMO=1,6,8))),FALSE())))</f>
        <v> </v>
      </c>
      <c r="CM253" s="312" t="str">
        <f aca="false">IF(A253="N/A"," ",(VLOOKUP(A253,IntraPowerVol,(IF(VolBMO=2,3,IF(VolBMO=1,2,4))),FALSE())*VLOOKUP(MONTH($A253),Volscale,2)))</f>
        <v> </v>
      </c>
      <c r="CN253" s="312" t="str">
        <f aca="false">IF($A253="N/A"," ",IF(VolType=1,CM253,CL253))</f>
        <v> </v>
      </c>
      <c r="CO253" s="312" t="str">
        <f aca="false">IF($A253="N/A"," ",(VLOOKUP($A253,OffPeakVol,(IF(VolBMO=2,7,IF(VolBMO=1,6,8))),FALSE())))</f>
        <v> </v>
      </c>
      <c r="CP253" s="312" t="str">
        <f aca="false">IF($A253="N/A"," ",(VLOOKUP($A253,OffPeakVol,(IF(VolBMO=2,3,IF(VolBMO=1,2,4))),FALSE())*VLOOKUP(MONTH($A253),Volscale,2)))</f>
        <v> </v>
      </c>
      <c r="CQ253" s="312" t="str">
        <f aca="false">IF($A253="N/A"," ",IF(VolType=1,CP253,CO253))</f>
        <v> </v>
      </c>
      <c r="CR253" s="312" t="str">
        <f aca="false">IF($A253="N/A"," ",(VLOOKUP($A253,GasVolTable,(IF(VolBMO=2,6,IF(VolBMO=1,7,5))),FALSE())))</f>
        <v> </v>
      </c>
      <c r="CS253" s="312" t="str">
        <f aca="false">IF($A253="N/A"," ",(VLOOKUP($A253,OmicronVol,(IF(VolBMO=2,3,IF(VolBMO=1,4,2))),FALSE())))</f>
        <v> </v>
      </c>
      <c r="CT253" s="312" t="str">
        <f aca="false">IF($A253="N/A"," ",(IF(DateToday&gt;$A253,$CS253,IF(VolType=1,((($CR253^2)*((($A253-1)-DateToday)/((EOMONTH($A253,0)+1)-DateToday-15)))+((($CS253)^2)*((15)/((EOMONTH($A253,0)+1)-DateToday-15))))^0.5,CR253))))</f>
        <v> </v>
      </c>
      <c r="CU253" s="312" t="str">
        <f aca="false">IF($A253="N/A"," ",IF('Pricing Inputs'!$AR$23=TRUE(),Inputs!$S$22,VLOOKUP($A253,CorrelationTable,2,FALSE())))</f>
        <v> </v>
      </c>
      <c r="CV253" s="313" t="str">
        <f aca="false">IF($A253="N/A"," ",F253+G253+(D253*('Pricing Inputs'!X288)))</f>
        <v> </v>
      </c>
      <c r="CW253" s="314" t="str">
        <f aca="false">IF($A253="N/A"," ",IF(PV=1,0,'Pricing Inputs'!Y288))</f>
        <v> </v>
      </c>
      <c r="CX253" s="326" t="str">
        <f aca="false">IF($A253="N/A"," ",(1+CW253/2)^(-2*((EOMONTH(A253,0)+20)-DateToday)/365.25))</f>
        <v> </v>
      </c>
      <c r="CY253" s="316" t="str">
        <f aca="false">IF($A253="N/A"," ",(IF(MONTH(A253)&gt;=4,IF(MONTH(A253)&lt;=10,Inputs!$S$26,Inputs!$S$27),Inputs!$S$27))*$CX253)</f>
        <v> </v>
      </c>
      <c r="CZ253" s="317" t="str">
        <f aca="false">IF($A253="N/A"," ",BK253+BL253+BN253+BO253+BQ253+BR253)</f>
        <v> </v>
      </c>
      <c r="DA253" s="318" t="str">
        <f aca="false">IF($A253="N/A"," ",BM253+BP253+BS253)</f>
        <v> </v>
      </c>
      <c r="DB253" s="319" t="str">
        <f aca="false">IF($A253="N/A"," ",BT253+BU253+BW253+BX253+BZ253+CA253)</f>
        <v> </v>
      </c>
      <c r="DC253" s="319" t="str">
        <f aca="false">IF($A253="N/A"," ",BV253+BY253+CB253)</f>
        <v> </v>
      </c>
      <c r="DD253" s="320" t="str">
        <f aca="false">IF($A253="N/A"," ",SUM(CC253:CK253))</f>
        <v> </v>
      </c>
      <c r="DE253" s="321" t="str">
        <f aca="false">IF($A253="N/A"," ",VLOOKUP($A253,NumberofDaysTable,2)*Availability)</f>
        <v> </v>
      </c>
      <c r="DF253" s="94" t="str">
        <f aca="false">IF($A253="N/A"," ",VLOOKUP($A253,NumberofDaysTable,3)*Availability)</f>
        <v> </v>
      </c>
      <c r="DG253" s="322" t="str">
        <f aca="false">IF($A253="N/A"," ",VLOOKUP($A253,NumberofDaysTable,4)*Availability)</f>
        <v> </v>
      </c>
      <c r="DH253" s="323" t="str">
        <f aca="false">IF($A253="N/A"," ",IF(Option=1,$D253*Inputs!$S$15*SUM(AS253:BA253),0))</f>
        <v> </v>
      </c>
      <c r="DI253" s="324" t="str">
        <f aca="false">IF($A253="N/A"," ",IF(Option=1,$D253*Inputs!$S$16*SUM(AS253:BA253),0))</f>
        <v> </v>
      </c>
      <c r="DJ253" s="325" t="str">
        <f aca="false">IF($A253="N/A"," ",SUM(AS253:AT253))</f>
        <v> </v>
      </c>
      <c r="DK253" s="325" t="str">
        <f aca="false">IF($A253="N/A"," ",SUM(AU253:BA253))</f>
        <v> </v>
      </c>
      <c r="DL253" s="325" t="str">
        <f aca="false">IF($A253="N/A"," ",SUM(BB253:BC253))</f>
        <v> </v>
      </c>
      <c r="DM253" s="325" t="str">
        <f aca="false">IF($A253="N/A"," ",SUM(BD253:BJ253))</f>
        <v> </v>
      </c>
    </row>
    <row r="254" customFormat="false" ht="12.75" hidden="false" customHeight="false" outlineLevel="0" collapsed="false">
      <c r="A254" s="282" t="str">
        <f aca="false">IF(A253="N/A","N/A",IF(EDATE(A253,1)&gt;Inputs!$S$5,"N/A",EDATE(A253,1)))</f>
        <v>N/A</v>
      </c>
      <c r="B254" s="283" t="str">
        <f aca="false">IF(A254="N/A"," ",YEAR(A254))</f>
        <v> </v>
      </c>
      <c r="C254" s="284" t="str">
        <f aca="false">IF(A254="N/A"," ",VLOOKUP(A254,ScaledPrice,14))</f>
        <v> </v>
      </c>
      <c r="D254" s="285" t="str">
        <f aca="false">IF(A254="N/A"," ",(VLOOKUP(MONTH($A254),Hrtable,2))/1000)</f>
        <v> </v>
      </c>
      <c r="E254" s="286" t="str">
        <f aca="false">IF($A254="N/A"," ",(C254)*D254)</f>
        <v> </v>
      </c>
      <c r="F254" s="287" t="str">
        <f aca="false">IF(A254="N/A"," ",VOM*(1+VOMesc)^(YEAR(A254)-YEAR(Today)))</f>
        <v> </v>
      </c>
      <c r="G254" s="287" t="str">
        <f aca="false">IF(A254="N/A"," ",Perstart/VLOOKUP(Dayrun,'Pricing Inputs'!$AQ$4:$AS$14,3)/(CY254/CX254))</f>
        <v> </v>
      </c>
      <c r="H254" s="288" t="str">
        <f aca="false">IF(A254="N/A"," ",SUM(E254:G254))</f>
        <v> </v>
      </c>
      <c r="I254" s="289" t="str">
        <f aca="false">VLOOKUP($A254,ScaledPrice,6)</f>
        <v> </v>
      </c>
      <c r="J254" s="290" t="str">
        <f aca="false">VLOOKUP($A254,ScaledPrice,10)</f>
        <v> </v>
      </c>
      <c r="K254" s="290" t="str">
        <f aca="false">VLOOKUP($A254,ScaledPrice,13)</f>
        <v> </v>
      </c>
      <c r="L254" s="290" t="str">
        <f aca="false">VLOOKUP($A254,ScaledPrice,7)</f>
        <v> </v>
      </c>
      <c r="M254" s="290" t="str">
        <f aca="false">VLOOKUP($A254,ScaledPrice,11)</f>
        <v> </v>
      </c>
      <c r="N254" s="290" t="str">
        <f aca="false">VLOOKUP($A254,ScaledPrice,13)</f>
        <v> </v>
      </c>
      <c r="O254" s="290" t="str">
        <f aca="false">VLOOKUP($A254,ScaledPrice,8)</f>
        <v> </v>
      </c>
      <c r="P254" s="290" t="str">
        <f aca="false">VLOOKUP($A254,ScaledPrice,12)</f>
        <v> </v>
      </c>
      <c r="Q254" s="291" t="str">
        <f aca="false">VLOOKUP($A254,ScaledPrice,13)</f>
        <v> </v>
      </c>
      <c r="R254" s="292" t="str">
        <f aca="false">IF($A254="N/A"," ",IF(Dayrun&gt;=3,IF(Option=1,MAX($I254-$H254,0),IF(Option=2,MAX($H254-$I254,0),0)),0))</f>
        <v> </v>
      </c>
      <c r="S254" s="286" t="str">
        <f aca="false">IF($A254="N/A"," ",IF(Dayrun&gt;=6,IF(Option=1,MAX($J254-H254,0),IF(Option=2,MAX(H254-$J254,0),0)),0))</f>
        <v> </v>
      </c>
      <c r="T254" s="286" t="str">
        <f aca="false">IF($A254="N/A"," ",IF(OR(Dayrun&lt;=2,Dayrun&gt;=9),IF(Option=1,MAX($K254-$H254,0),IF(Option=2,MAX($H254-$K254,0),0)),0))</f>
        <v> </v>
      </c>
      <c r="U254" s="286" t="str">
        <f aca="false">IF($A254="N/A"," ",IF(OR(Dayrun=1,Dayrun=4,Dayrun=5,Dayrun=7,Dayrun=8,Dayrun=10,Dayrun=11),IF(Option=1,MAX($L254-H254,0),IF(Option=2,MAX(H254-$L254,0),0)),0))</f>
        <v> </v>
      </c>
      <c r="V254" s="286" t="str">
        <f aca="false">IF($A254="N/A"," ",IF(OR(Dayrun=1,Dayrun=7,Dayrun=8,Dayrun=10,Dayrun=11),IF(Option=1,MAX($M254-H254,0),IF(Option=2,MAX(H254-$M254,0),0)),0))</f>
        <v> </v>
      </c>
      <c r="W254" s="286" t="str">
        <f aca="false">IF($A254="N/A"," ",IF(OR(Dayrun&lt;=2,Dayrun&gt;=10),IF(Option=1,MAX($N254-$H254,0),IF(Option=2,MAX($H254-$N254,0),0)),0))</f>
        <v> </v>
      </c>
      <c r="X254" s="286" t="str">
        <f aca="false">IF($A254="N/A"," ",IF(OR(Dayrun=1,Dayrun=5,Dayrun=8,Dayrun=11),IF(Option=1,MAX($O254-H254,0),IF(Option=2,MAX(H254-$O254,0),0)),0))</f>
        <v> </v>
      </c>
      <c r="Y254" s="286" t="str">
        <f aca="false">IF($A254="N/A"," ",IF(OR(Dayrun=1,Dayrun=8,Dayrun=11),IF(Option=1,MAX($P254-H254,0),IF(Option=2,MAX(H254-$P254,0),0)),0))</f>
        <v> </v>
      </c>
      <c r="Z254" s="293" t="str">
        <f aca="false">IF($A254="N/A"," ",IF(OR(Dayrun&lt;=2,Dayrun&gt;=11),IF(Option=1,MAX($Q254-$H254,0),IF(Option=2,MAX($H254-$Q254,0),0)),0))</f>
        <v> </v>
      </c>
      <c r="AA254" s="289" t="str">
        <f aca="false">IF($A254="N/A"," ",IF(Dayrun&gt;=3,(MAX(0,(xSPRDOPT(I254,($E254-'Pricing Inputs'!$X289*$D254),$CV254,0,($CN254+IF(Smile=TRUE(),VLOOKUP(MAX(-5,$H254-I254),Volsmile,2),0)),$CT254,$CU254,($A254-DateToday)+15,ABS(Option-2),0)-R254))),0))</f>
        <v> </v>
      </c>
      <c r="AB254" s="290" t="str">
        <f aca="false">IF($A254="N/A"," ",IF(Dayrun&gt;=6,MAX(0,(xSPRDOPT(J254,($E254-'Pricing Inputs'!$X289*$D254),$CV254,0,($CN254+IF(Smile=TRUE(),VLOOKUP(MAX(-5,$H254-J254),Volsmile,2),0)),$CT254,$CU254,($A254-DateToday)+15,ABS(Option-2),0)-S254)),0))</f>
        <v> </v>
      </c>
      <c r="AC254" s="290" t="str">
        <f aca="false">IF($A254="N/A"," ",IF(OR(Dayrun&lt;=2,Dayrun&gt;=9),IF(OffPeakEx=TRUE(),MAX(0,(xSPRDOPT(K254,($E254-'Pricing Inputs'!$X289*$D254),$CV254,0,($CQ254+IF(Smile=TRUE(),VLOOKUP(MAX(-5,$H254-K254),Volsmile,2),0)),$CT254,$CU254,($A254-DateToday)+15,ABS(Option-2),0)-T254)),0),0))</f>
        <v> </v>
      </c>
      <c r="AD254" s="290" t="str">
        <f aca="false">IF($A254="N/A"," ",IF(OR(Dayrun=1,Dayrun=4,Dayrun=5,Dayrun=7,Dayrun=8,Dayrun=10,Dayrun=11),MAX(0,(xSPRDOPT(L254,($E254-'Pricing Inputs'!$X289*$D254),$CV254,0,($CQ254+IF(Smile=TRUE(),VLOOKUP(MAX(-5,$H254-L254),Volsmile,2),0)),$CT254,$CU254,($A254-DateToday)+15,ABS(Option-2),0)-U254)),0))</f>
        <v> </v>
      </c>
      <c r="AE254" s="290" t="str">
        <f aca="false">IF($A254="N/A"," ",IF(OR(Dayrun=1,Dayrun=7,Dayrun=8,Dayrun=10,Dayrun=11),MAX(0,(xSPRDOPT(M254,($E254-'Pricing Inputs'!$X289*$D254),$CV254,0,($CQ254+IF(Smile=TRUE(),VLOOKUP(MAX(-5,$H254-M254),Volsmile,2),0)),$CT254,$CU254,($A254-DateToday)+15,ABS(Option-2),0)-V254)),0))</f>
        <v> </v>
      </c>
      <c r="AF254" s="290" t="str">
        <f aca="false">IF($A254="N/A"," ",IF(OR(Dayrun&lt;=2,Dayrun&gt;=10),IF(OffPeakEx=TRUE(),MAX(0,(xSPRDOPT(N254,($E254-'Pricing Inputs'!$X289*$D254),$CV254,0,($CQ254+IF(Smile=TRUE(),VLOOKUP(MAX(-5,$H254-N254),Volsmile,2),0)),$CT254,$CU254,($A254-DateToday)+15,ABS(Option-2),0)-W254)),0),0))</f>
        <v> </v>
      </c>
      <c r="AG254" s="290" t="str">
        <f aca="false">IF($A254="N/A"," ",IF(OR(Dayrun=1,Dayrun=5,Dayrun=8,Dayrun=11),MAX(0,(xSPRDOPT(O254,($E254-'Pricing Inputs'!$X289*$D254),$CV254,0,($CQ254+IF(Smile=TRUE(),VLOOKUP(MAX(-5,$H254-O254),Volsmile,2),0)),$CT254,$CU254,($A254-DateToday)+15,ABS(Option-2),0)-X254)),0))</f>
        <v> </v>
      </c>
      <c r="AH254" s="290" t="str">
        <f aca="false">IF($A254="N/A"," ",IF(OR(Dayrun=1,Dayrun=8,Dayrun=11),MAX(0,(xSPRDOPT(P254,($E254-'Pricing Inputs'!$X289*$D254),$CV254,0,($CQ254+IF(Smile=TRUE(),VLOOKUP(MAX(-5,$H254-P254),Volsmile,2),0)),$CT254,$CU254,($A254-DateToday)+15,ABS(Option-2),0)-Y254)),0))</f>
        <v> </v>
      </c>
      <c r="AI254" s="290" t="str">
        <f aca="false">IF($A254="N/A"," ",IF(OR(Dayrun&lt;=2,Dayrun&gt;=11),IF(OffPeakEx=TRUE(),MAX(0,(xSPRDOPT(Q254,($E254-'Pricing Inputs'!$X289*$D254),$CV254,0,($CQ254+IF(Smile=TRUE(),VLOOKUP(MAX(-5,$H254-Q254),Volsmile,2),0)),$CT254,$CU254,($A254-DateToday)+15,ABS(Option-2),0)-Z254)),0),0))</f>
        <v> </v>
      </c>
      <c r="AJ254" s="294" t="str">
        <f aca="false">IF($A254="N/A"," ",IF(Dayrun&gt;=3,IF(Option=1,$I254-$H254,IF(Option=2,$H254-$I254)),0))</f>
        <v> </v>
      </c>
      <c r="AK254" s="295" t="str">
        <f aca="false">IF($A254="N/A"," ",IF(Dayrun&gt;=6,IF(Option=1,$J254-H254,IF(Option=2,H254-$J254)),0))</f>
        <v> </v>
      </c>
      <c r="AL254" s="295" t="str">
        <f aca="false">IF($A254="N/A"," ",IF(OR(Dayrun&lt;=2,Dayrun&gt;=9),IF(Option=1,$K254-$H254,IF(Option=2,$H254-$K254)),0))</f>
        <v> </v>
      </c>
      <c r="AM254" s="295" t="str">
        <f aca="false">IF($A254="N/A"," ",IF(OR(Dayrun=1,Dayrun=4,Dayrun=5,Dayrun=7,Dayrun=8,Dayrun=10,Dayrun=11),IF(Option=1,$L254-H254,IF(Option=2,H254-$L254)),0))</f>
        <v> </v>
      </c>
      <c r="AN254" s="295" t="str">
        <f aca="false">IF($A254="N/A"," ",IF(OR(Dayrun=1,Dayrun=7,Dayrun=8,Dayrun=10,Dayrun=11),IF(Option=1,$M254-H254,IF(Option=2,H254-$M254)),0))</f>
        <v> </v>
      </c>
      <c r="AO254" s="295" t="str">
        <f aca="false">IF($A254="N/A"," ",IF(OR(Dayrun&lt;=2,Dayrun&gt;=9),IF(Option=1,$N254-$H254,IF(Option=2,$H254-$N254)),0))</f>
        <v> </v>
      </c>
      <c r="AP254" s="295" t="str">
        <f aca="false">IF($A254="N/A"," ",IF(OR(Dayrun=1,Dayrun=5,Dayrun=8,Dayrun=11),IF(Option=1,$O254-H254,IF(Option=2,H254-$O254)),0))</f>
        <v> </v>
      </c>
      <c r="AQ254" s="295" t="str">
        <f aca="false">IF($A254="N/A"," ",IF(OR(Dayrun=1,Dayrun=8,Dayrun=11),IF(Option=1,$P254-H254,IF(Option=2,H254-$P254)),0))</f>
        <v> </v>
      </c>
      <c r="AR254" s="296" t="str">
        <f aca="false">IF($A254="N/A"," ",IF(OR(Dayrun&lt;=2,Dayrun&gt;=9),IF(Option=1,$Q254-H254,IF(Option=2,H254-$Q254)),0))</f>
        <v> </v>
      </c>
      <c r="AS254" s="297" t="str">
        <f aca="false">IF($A254="N/A"," ",IF(VLOOKUP(MONTH($A254),ManualTable,2)=1,IF(Dayrun&gt;=3,$DE254*8*$CY254,0),0))</f>
        <v> </v>
      </c>
      <c r="AT254" s="297" t="str">
        <f aca="false">IF($A254="N/A"," ",IF(VLOOKUP(MONTH($A254),ManualTable,3)=1,IF(Dayrun&gt;=6,$DE254*8*$CY254,0),0))</f>
        <v> </v>
      </c>
      <c r="AU254" s="297" t="str">
        <f aca="false">IF($A254="N/A"," ",IF(VLOOKUP(MONTH($A254),ManualTable,4)=1,IF(OR(Dayrun&lt;=2,Dayrun&gt;=9),$DE254*8*$CY254,0),0))</f>
        <v> </v>
      </c>
      <c r="AV254" s="297" t="str">
        <f aca="false">IF($A254="N/A"," ",IF(VLOOKUP(MONTH($A254),ManualTable,5)=1,IF(OR(Dayrun=1,Dayrun=4,Dayrun=5,Dayrun=7,Dayrun=8,Dayrun=10,Dayrun=11),$DF254*8*$CY254,0),0))</f>
        <v> </v>
      </c>
      <c r="AW254" s="297" t="str">
        <f aca="false">IF($A254="N/A"," ",IF(VLOOKUP(MONTH($A254),ManualTable,6)=1,IF(OR(Dayrun=1,Dayrun=7,Dayrun=8,Dayrun=10,Dayrun=11),$DF254*8*$CY254,0),0))</f>
        <v> </v>
      </c>
      <c r="AX254" s="297" t="str">
        <f aca="false">IF($A254="N/A"," ",IF(VLOOKUP(MONTH($A254),ManualTable,7)=1,IF(OR(Dayrun&lt;=2,Dayrun&gt;=9),$DF254*8*$CY254,0),0))</f>
        <v> </v>
      </c>
      <c r="AY254" s="297" t="str">
        <f aca="false">IF($A254="N/A"," ",IF(VLOOKUP(MONTH($A254),ManualTable,8)=1,IF(OR(Dayrun=1,Dayrun=5,Dayrun=8,Dayrun=11),$DG254*8*$CY254,0),0))</f>
        <v> </v>
      </c>
      <c r="AZ254" s="297" t="str">
        <f aca="false">IF($A254="N/A"," ",IF(VLOOKUP(MONTH($A254),ManualTable,9)=1,IF(OR(Dayrun=1,Dayrun=8,Dayrun=11),$DG254*8*$CY254,0),0))</f>
        <v> </v>
      </c>
      <c r="BA254" s="298" t="str">
        <f aca="false">IF($A254="N/A"," ",IF(VLOOKUP(MONTH($A254),ManualTable,10)=1,IF(OR(Dayrun&lt;=2,Dayrun&gt;=9),$DG254*8*$CY254,0),0))</f>
        <v> </v>
      </c>
      <c r="BB254" s="299" t="str">
        <f aca="false">IF($A254="N/A"," ",IF(Dayrun&gt;=3,(MAX(0,(xSPRDOPT(I254,($E254-'Pricing Inputs'!$X289*$D254),$CV254,0,($CN254+IF(Smile=TRUE(),VLOOKUP(MAX(-5,$H254-I254),Volsmile,2),0)),$CT254,$CU254,($A254-DateToday)+15,ABS(Option-2),1)*DE254*8))),0))</f>
        <v> </v>
      </c>
      <c r="BC254" s="300" t="str">
        <f aca="false">IF($A254="N/A"," ",IF(Dayrun&gt;=6,MAX(0,(xSPRDOPT(J254,($E254-'Pricing Inputs'!$X289*$D254),$CV254,0,($CN254+IF(Smile=TRUE(),VLOOKUP(MAX(-5,$H254-J254),Volsmile,2),0)),$CT254,$CU254,($A254-DateToday)+15,ABS(Option-2),1)*DE254*8)),0))</f>
        <v> </v>
      </c>
      <c r="BD254" s="300" t="str">
        <f aca="false">IF($A254="N/A"," ",IF(OR(Dayrun&lt;=2,Dayrun&gt;=9),IF(OffPeakEx=TRUE(),MAX(0,(xSPRDOPT(K254,($E254-'Pricing Inputs'!$X289*$D254),$CV254,0,($CQ254+IF(Smile=TRUE(),VLOOKUP(MAX(-5,$H254-K254),Volsmile,2),0)),$CT254,$CU254,($A254-DateToday)+15,ABS(Option-2),1)*DE254*8)),0),0))</f>
        <v> </v>
      </c>
      <c r="BE254" s="300" t="str">
        <f aca="false">IF($A254="N/A"," ",IF(OR(Dayrun=1,Dayrun=4,Dayrun=5,Dayrun=7,Dayrun=8,Dayrun=10,Dayrun=11),MAX(0,(xSPRDOPT(L254,($E254-'Pricing Inputs'!$X289*$D254),$CV254,0,($CQ254+IF(Smile=TRUE(),VLOOKUP(MAX(-5,$H254-L254),Volsmile,2),0)),$CT254,$CU254,($A254-DateToday)+15,ABS(Option-2),1)*DF254*8)),0))</f>
        <v> </v>
      </c>
      <c r="BF254" s="300" t="str">
        <f aca="false">IF($A254="N/A"," ",IF(OR(Dayrun=1,Dayrun=7,Dayrun=8,Dayrun=10,Dayrun=11),MAX(0,(xSPRDOPT(M254,($E254-'Pricing Inputs'!$X289*$D254),$CV254,0,($CQ254+IF(Smile=TRUE(),VLOOKUP(MAX(-5,$H254-M254),Volsmile,2),0)),$CT254,$CU254,($A254-DateToday)+15,ABS(Option-2),1)*DF254*8)),0))</f>
        <v> </v>
      </c>
      <c r="BG254" s="300" t="str">
        <f aca="false">IF($A254="N/A"," ",IF(OR(Dayrun&lt;=2,Dayrun&gt;=10),IF(OffPeakEx=TRUE(),MAX(0,(xSPRDOPT(N254,($E254-'Pricing Inputs'!$X289*$D254),$CV254,0,($CQ254+IF(Smile=TRUE(),VLOOKUP(MAX(-5,$H254-N254),Volsmile,2),0)),$CT254,$CU254,($A254-DateToday)+15,ABS(Option-2),1)*DF254*8)),0),0))</f>
        <v> </v>
      </c>
      <c r="BH254" s="300" t="str">
        <f aca="false">IF($A254="N/A"," ",IF(OR(Dayrun=1,Dayrun=5,Dayrun=8,Dayrun=11),MAX(0,(xSPRDOPT(O254,($E254-'Pricing Inputs'!$X289*$D254),$CV254,0,($CQ254+IF(Smile=TRUE(),VLOOKUP(MAX(-5,$H254-O254),Volsmile,2),0)),$CT254,$CU254,($A254-DateToday)+15,ABS(Option-2),1)*DG254*8)),0))</f>
        <v> </v>
      </c>
      <c r="BI254" s="300" t="str">
        <f aca="false">IF($A254="N/A"," ",IF(OR(Dayrun=1,Dayrun=8,Dayrun=11),MAX(0,(xSPRDOPT(P254,($E254-'Pricing Inputs'!$X289*$D254),$CV254,0,($CQ254+IF(Smile=TRUE(),VLOOKUP(MAX(-5,$H254-P254),Volsmile,2),0)),$CT254,$CU254,($A254-DateToday)+15,ABS(Option-2),1)*DG254*8)),0))</f>
        <v> </v>
      </c>
      <c r="BJ254" s="301" t="str">
        <f aca="false">IF($A254="N/A"," ",IF(OR(Dayrun&lt;=2,Dayrun&gt;=11),IF(OffPeakEx=TRUE(),MAX(0,(xSPRDOPT(Q254,($E254-'Pricing Inputs'!$X289*$D254),$CV254,0,($CQ254+IF(Smile=TRUE(),VLOOKUP(MAX(-5,$H254-Q254),Volsmile,2),0)),$CT254,$CU254,($A254-DateToday)+15,ABS(Option-2),1)*DG254*8)),0),0))</f>
        <v> </v>
      </c>
      <c r="BK254" s="302" t="str">
        <f aca="false">IF($A254="N/A"," ",R254*$AS254)</f>
        <v> </v>
      </c>
      <c r="BL254" s="303" t="str">
        <f aca="false">IF($A254="N/A"," ",S254*$AT254)</f>
        <v> </v>
      </c>
      <c r="BM254" s="303" t="str">
        <f aca="false">IF($A254="N/A"," ",T254*$AU254)</f>
        <v> </v>
      </c>
      <c r="BN254" s="303" t="str">
        <f aca="false">IF($A254="N/A"," ",U254*$AV254)</f>
        <v> </v>
      </c>
      <c r="BO254" s="303" t="str">
        <f aca="false">IF($A254="N/A"," ",V254*$AW254)</f>
        <v> </v>
      </c>
      <c r="BP254" s="303" t="str">
        <f aca="false">IF($A254="N/A"," ",W254*$AX254)</f>
        <v> </v>
      </c>
      <c r="BQ254" s="303" t="str">
        <f aca="false">IF($A254="N/A"," ",X254*$AY254)</f>
        <v> </v>
      </c>
      <c r="BR254" s="303" t="str">
        <f aca="false">IF($A254="N/A"," ",Y254*$AZ254)</f>
        <v> </v>
      </c>
      <c r="BS254" s="304" t="str">
        <f aca="false">IF($A254="N/A"," ",Z254*$BA254)</f>
        <v> </v>
      </c>
      <c r="BT254" s="305" t="str">
        <f aca="false">IF($A254="N/A"," ",AA254*$AS254)</f>
        <v> </v>
      </c>
      <c r="BU254" s="306" t="str">
        <f aca="false">IF($A254="N/A"," ",AB254*$AT254)</f>
        <v> </v>
      </c>
      <c r="BV254" s="306" t="str">
        <f aca="false">IF($A254="N/A"," ",AC254*$AU254)</f>
        <v> </v>
      </c>
      <c r="BW254" s="306" t="str">
        <f aca="false">IF($A254="N/A"," ",AD254*$AV254)</f>
        <v> </v>
      </c>
      <c r="BX254" s="306" t="str">
        <f aca="false">IF($A254="N/A"," ",AE254*$AW254)</f>
        <v> </v>
      </c>
      <c r="BY254" s="306" t="str">
        <f aca="false">IF($A254="N/A"," ",AF254*$AX254)</f>
        <v> </v>
      </c>
      <c r="BZ254" s="306" t="str">
        <f aca="false">IF($A254="N/A"," ",AG254*$AY254)</f>
        <v> </v>
      </c>
      <c r="CA254" s="306" t="str">
        <f aca="false">IF($A254="N/A"," ",AH254*$AZ254)</f>
        <v> </v>
      </c>
      <c r="CB254" s="307" t="str">
        <f aca="false">IF($A254="N/A"," ",AI254*$BA254)</f>
        <v> </v>
      </c>
      <c r="CC254" s="308" t="str">
        <f aca="false">IF($A254="N/A"," ",AJ254*$AS254)</f>
        <v> </v>
      </c>
      <c r="CD254" s="309" t="str">
        <f aca="false">IF($A254="N/A"," ",AK254*$AT254)</f>
        <v> </v>
      </c>
      <c r="CE254" s="309" t="str">
        <f aca="false">IF($A254="N/A"," ",AL254*$AU254)</f>
        <v> </v>
      </c>
      <c r="CF254" s="309" t="str">
        <f aca="false">IF($A254="N/A"," ",AM254*$AV254)</f>
        <v> </v>
      </c>
      <c r="CG254" s="309" t="str">
        <f aca="false">IF($A254="N/A"," ",AN254*$AW254)</f>
        <v> </v>
      </c>
      <c r="CH254" s="309" t="str">
        <f aca="false">IF($A254="N/A"," ",AO254*$AX254)</f>
        <v> </v>
      </c>
      <c r="CI254" s="309" t="str">
        <f aca="false">IF($A254="N/A"," ",AP254*$AY254)</f>
        <v> </v>
      </c>
      <c r="CJ254" s="309" t="str">
        <f aca="false">IF($A254="N/A"," ",AQ254*$AZ254)</f>
        <v> </v>
      </c>
      <c r="CK254" s="310" t="str">
        <f aca="false">IF($A254="N/A"," ",AR254*$BA254)</f>
        <v> </v>
      </c>
      <c r="CL254" s="311" t="str">
        <f aca="false">IF(A254="N/A"," ",(VLOOKUP(A254,PowerVolTable,(IF(VolBMO=2,7,IF(VolBMO=1,6,8))),FALSE())))</f>
        <v> </v>
      </c>
      <c r="CM254" s="312" t="str">
        <f aca="false">IF(A254="N/A"," ",(VLOOKUP(A254,IntraPowerVol,(IF(VolBMO=2,3,IF(VolBMO=1,2,4))),FALSE())*VLOOKUP(MONTH($A254),Volscale,2)))</f>
        <v> </v>
      </c>
      <c r="CN254" s="312" t="str">
        <f aca="false">IF($A254="N/A"," ",IF(VolType=1,CM254,CL254))</f>
        <v> </v>
      </c>
      <c r="CO254" s="312" t="str">
        <f aca="false">IF($A254="N/A"," ",(VLOOKUP($A254,OffPeakVol,(IF(VolBMO=2,7,IF(VolBMO=1,6,8))),FALSE())))</f>
        <v> </v>
      </c>
      <c r="CP254" s="312" t="str">
        <f aca="false">IF($A254="N/A"," ",(VLOOKUP($A254,OffPeakVol,(IF(VolBMO=2,3,IF(VolBMO=1,2,4))),FALSE())*VLOOKUP(MONTH($A254),Volscale,2)))</f>
        <v> </v>
      </c>
      <c r="CQ254" s="312" t="str">
        <f aca="false">IF($A254="N/A"," ",IF(VolType=1,CP254,CO254))</f>
        <v> </v>
      </c>
      <c r="CR254" s="312" t="str">
        <f aca="false">IF($A254="N/A"," ",(VLOOKUP($A254,GasVolTable,(IF(VolBMO=2,6,IF(VolBMO=1,7,5))),FALSE())))</f>
        <v> </v>
      </c>
      <c r="CS254" s="312" t="str">
        <f aca="false">IF($A254="N/A"," ",(VLOOKUP($A254,OmicronVol,(IF(VolBMO=2,3,IF(VolBMO=1,4,2))),FALSE())))</f>
        <v> </v>
      </c>
      <c r="CT254" s="312" t="str">
        <f aca="false">IF($A254="N/A"," ",(IF(DateToday&gt;$A254,$CS254,IF(VolType=1,((($CR254^2)*((($A254-1)-DateToday)/((EOMONTH($A254,0)+1)-DateToday-15)))+((($CS254)^2)*((15)/((EOMONTH($A254,0)+1)-DateToday-15))))^0.5,CR254))))</f>
        <v> </v>
      </c>
      <c r="CU254" s="312" t="str">
        <f aca="false">IF($A254="N/A"," ",IF('Pricing Inputs'!$AR$23=TRUE(),Inputs!$S$22,VLOOKUP($A254,CorrelationTable,2,FALSE())))</f>
        <v> </v>
      </c>
      <c r="CV254" s="313" t="str">
        <f aca="false">IF($A254="N/A"," ",F254+G254+(D254*('Pricing Inputs'!X289)))</f>
        <v> </v>
      </c>
      <c r="CW254" s="314" t="str">
        <f aca="false">IF($A254="N/A"," ",IF(PV=1,0,'Pricing Inputs'!Y289))</f>
        <v> </v>
      </c>
      <c r="CX254" s="326" t="str">
        <f aca="false">IF($A254="N/A"," ",(1+CW254/2)^(-2*((EOMONTH(A254,0)+20)-DateToday)/365.25))</f>
        <v> </v>
      </c>
      <c r="CY254" s="316" t="str">
        <f aca="false">IF($A254="N/A"," ",(IF(MONTH(A254)&gt;=4,IF(MONTH(A254)&lt;=10,Inputs!$S$26,Inputs!$S$27),Inputs!$S$27))*$CX254)</f>
        <v> </v>
      </c>
      <c r="CZ254" s="317" t="str">
        <f aca="false">IF($A254="N/A"," ",BK254+BL254+BN254+BO254+BQ254+BR254)</f>
        <v> </v>
      </c>
      <c r="DA254" s="318" t="str">
        <f aca="false">IF($A254="N/A"," ",BM254+BP254+BS254)</f>
        <v> </v>
      </c>
      <c r="DB254" s="319" t="str">
        <f aca="false">IF($A254="N/A"," ",BT254+BU254+BW254+BX254+BZ254+CA254)</f>
        <v> </v>
      </c>
      <c r="DC254" s="319" t="str">
        <f aca="false">IF($A254="N/A"," ",BV254+BY254+CB254)</f>
        <v> </v>
      </c>
      <c r="DD254" s="320" t="str">
        <f aca="false">IF($A254="N/A"," ",SUM(CC254:CK254))</f>
        <v> </v>
      </c>
      <c r="DE254" s="321" t="str">
        <f aca="false">IF($A254="N/A"," ",VLOOKUP($A254,NumberofDaysTable,2)*Availability)</f>
        <v> </v>
      </c>
      <c r="DF254" s="94" t="str">
        <f aca="false">IF($A254="N/A"," ",VLOOKUP($A254,NumberofDaysTable,3)*Availability)</f>
        <v> </v>
      </c>
      <c r="DG254" s="322" t="str">
        <f aca="false">IF($A254="N/A"," ",VLOOKUP($A254,NumberofDaysTable,4)*Availability)</f>
        <v> </v>
      </c>
      <c r="DH254" s="323" t="str">
        <f aca="false">IF($A254="N/A"," ",IF(Option=1,$D254*Inputs!$S$15*SUM(AS254:BA254),0))</f>
        <v> </v>
      </c>
      <c r="DI254" s="324" t="str">
        <f aca="false">IF($A254="N/A"," ",IF(Option=1,$D254*Inputs!$S$16*SUM(AS254:BA254),0))</f>
        <v> </v>
      </c>
      <c r="DJ254" s="325" t="str">
        <f aca="false">IF($A254="N/A"," ",SUM(AS254:AT254))</f>
        <v> </v>
      </c>
      <c r="DK254" s="325" t="str">
        <f aca="false">IF($A254="N/A"," ",SUM(AU254:BA254))</f>
        <v> </v>
      </c>
      <c r="DL254" s="325" t="str">
        <f aca="false">IF($A254="N/A"," ",SUM(BB254:BC254))</f>
        <v> </v>
      </c>
      <c r="DM254" s="325" t="str">
        <f aca="false">IF($A254="N/A"," ",SUM(BD254:BJ254))</f>
        <v> </v>
      </c>
    </row>
    <row r="255" customFormat="false" ht="12.75" hidden="false" customHeight="false" outlineLevel="0" collapsed="false">
      <c r="A255" s="327" t="str">
        <f aca="false">IF(A254="N/A","N/A",IF(EDATE(A254,1)&gt;Inputs!$S$5,"N/A",EDATE(A254,1)))</f>
        <v>N/A</v>
      </c>
      <c r="B255" s="328" t="str">
        <f aca="false">IF(A255="N/A"," ",YEAR(A255))</f>
        <v> </v>
      </c>
      <c r="C255" s="329" t="str">
        <f aca="false">IF(A255="N/A"," ",VLOOKUP(A255,ScaledPrice,14))</f>
        <v> </v>
      </c>
      <c r="D255" s="330" t="str">
        <f aca="false">IF(A255="N/A"," ",(VLOOKUP(MONTH($A255),Hrtable,2))/1000)</f>
        <v> </v>
      </c>
      <c r="E255" s="331" t="str">
        <f aca="false">IF($A255="N/A"," ",(C255)*D255)</f>
        <v> </v>
      </c>
      <c r="F255" s="332" t="str">
        <f aca="false">IF(A255="N/A"," ",VOM*(1+VOMesc)^(YEAR(A255)-YEAR(Today)))</f>
        <v> </v>
      </c>
      <c r="G255" s="332" t="str">
        <f aca="false">IF(A255="N/A"," ",Perstart/VLOOKUP(Dayrun,'Pricing Inputs'!$AQ$4:$AS$14,3)/(CY255/CX255))</f>
        <v> </v>
      </c>
      <c r="H255" s="333" t="str">
        <f aca="false">IF(A255="N/A"," ",SUM(E255:G255))</f>
        <v> </v>
      </c>
      <c r="I255" s="334" t="str">
        <f aca="false">VLOOKUP($A255,ScaledPrice,6)</f>
        <v> </v>
      </c>
      <c r="J255" s="335" t="str">
        <f aca="false">VLOOKUP($A255,ScaledPrice,10)</f>
        <v> </v>
      </c>
      <c r="K255" s="335" t="str">
        <f aca="false">VLOOKUP($A255,ScaledPrice,13)</f>
        <v> </v>
      </c>
      <c r="L255" s="335" t="str">
        <f aca="false">VLOOKUP($A255,ScaledPrice,7)</f>
        <v> </v>
      </c>
      <c r="M255" s="335" t="str">
        <f aca="false">VLOOKUP($A255,ScaledPrice,11)</f>
        <v> </v>
      </c>
      <c r="N255" s="335" t="str">
        <f aca="false">VLOOKUP($A255,ScaledPrice,13)</f>
        <v> </v>
      </c>
      <c r="O255" s="335" t="str">
        <f aca="false">VLOOKUP($A255,ScaledPrice,8)</f>
        <v> </v>
      </c>
      <c r="P255" s="335" t="str">
        <f aca="false">VLOOKUP($A255,ScaledPrice,12)</f>
        <v> </v>
      </c>
      <c r="Q255" s="336" t="str">
        <f aca="false">VLOOKUP($A255,ScaledPrice,13)</f>
        <v> </v>
      </c>
      <c r="R255" s="337" t="str">
        <f aca="false">IF($A255="N/A"," ",IF(Dayrun&gt;=3,IF(Option=1,MAX($I255-$H255,0),IF(Option=2,MAX($H255-$I255,0),0)),0))</f>
        <v> </v>
      </c>
      <c r="S255" s="331" t="str">
        <f aca="false">IF($A255="N/A"," ",IF(Dayrun&gt;=6,IF(Option=1,MAX($J255-H255,0),IF(Option=2,MAX(H255-$J255,0),0)),0))</f>
        <v> </v>
      </c>
      <c r="T255" s="331" t="str">
        <f aca="false">IF($A255="N/A"," ",IF(OR(Dayrun&lt;=2,Dayrun&gt;=9),IF(Option=1,MAX($K255-$H255,0),IF(Option=2,MAX($H255-$K255,0),0)),0))</f>
        <v> </v>
      </c>
      <c r="U255" s="331" t="str">
        <f aca="false">IF($A255="N/A"," ",IF(OR(Dayrun=1,Dayrun=4,Dayrun=5,Dayrun=7,Dayrun=8,Dayrun=10,Dayrun=11),IF(Option=1,MAX($L255-H255,0),IF(Option=2,MAX(H255-$L255,0),0)),0))</f>
        <v> </v>
      </c>
      <c r="V255" s="331" t="str">
        <f aca="false">IF($A255="N/A"," ",IF(OR(Dayrun=1,Dayrun=7,Dayrun=8,Dayrun=10,Dayrun=11),IF(Option=1,MAX($M255-H255,0),IF(Option=2,MAX(H255-$M255,0),0)),0))</f>
        <v> </v>
      </c>
      <c r="W255" s="331" t="str">
        <f aca="false">IF($A255="N/A"," ",IF(OR(Dayrun&lt;=2,Dayrun&gt;=10),IF(Option=1,MAX($N255-$H255,0),IF(Option=2,MAX($H255-$N255,0),0)),0))</f>
        <v> </v>
      </c>
      <c r="X255" s="331" t="str">
        <f aca="false">IF($A255="N/A"," ",IF(OR(Dayrun=1,Dayrun=5,Dayrun=8,Dayrun=11),IF(Option=1,MAX($O255-H255,0),IF(Option=2,MAX(H255-$O255,0),0)),0))</f>
        <v> </v>
      </c>
      <c r="Y255" s="331" t="str">
        <f aca="false">IF($A255="N/A"," ",IF(OR(Dayrun=1,Dayrun=8,Dayrun=11),IF(Option=1,MAX($P255-H255,0),IF(Option=2,MAX(H255-$P255,0),0)),0))</f>
        <v> </v>
      </c>
      <c r="Z255" s="338" t="str">
        <f aca="false">IF($A255="N/A"," ",IF(OR(Dayrun&lt;=2,Dayrun&gt;=11),IF(Option=1,MAX($Q255-$H255,0),IF(Option=2,MAX($H255-$Q255,0),0)),0))</f>
        <v> </v>
      </c>
      <c r="AA255" s="334" t="str">
        <f aca="false">IF($A255="N/A"," ",IF(Dayrun&gt;=3,(MAX(0,(xSPRDOPT(I255,($E255-'Pricing Inputs'!$X290*$D255),$CV255,0,($CN255+IF(Smile=TRUE(),VLOOKUP(MAX(-5,$H255-I255),Volsmile,2),0)),$CT255,$CU255,($A255-DateToday)+15,ABS(Option-2),0)-R255))),0))</f>
        <v> </v>
      </c>
      <c r="AB255" s="335" t="str">
        <f aca="false">IF($A255="N/A"," ",IF(Dayrun&gt;=6,MAX(0,(xSPRDOPT(J255,($E255-'Pricing Inputs'!$X290*$D255),$CV255,0,($CN255+IF(Smile=TRUE(),VLOOKUP(MAX(-5,$H255-J255),Volsmile,2),0)),$CT255,$CU255,($A255-DateToday)+15,ABS(Option-2),0)-S255)),0))</f>
        <v> </v>
      </c>
      <c r="AC255" s="335" t="str">
        <f aca="false">IF($A255="N/A"," ",IF(OR(Dayrun&lt;=2,Dayrun&gt;=9),IF(OffPeakEx=TRUE(),MAX(0,(xSPRDOPT(K255,($E255-'Pricing Inputs'!$X290*$D255),$CV255,0,($CQ255+IF(Smile=TRUE(),VLOOKUP(MAX(-5,$H255-K255),Volsmile,2),0)),$CT255,$CU255,($A255-DateToday)+15,ABS(Option-2),0)-T255)),0),0))</f>
        <v> </v>
      </c>
      <c r="AD255" s="335" t="str">
        <f aca="false">IF($A255="N/A"," ",IF(OR(Dayrun=1,Dayrun=4,Dayrun=5,Dayrun=7,Dayrun=8,Dayrun=10,Dayrun=11),MAX(0,(xSPRDOPT(L255,($E255-'Pricing Inputs'!$X290*$D255),$CV255,0,($CQ255+IF(Smile=TRUE(),VLOOKUP(MAX(-5,$H255-L255),Volsmile,2),0)),$CT255,$CU255,($A255-DateToday)+15,ABS(Option-2),0)-U255)),0))</f>
        <v> </v>
      </c>
      <c r="AE255" s="335" t="str">
        <f aca="false">IF($A255="N/A"," ",IF(OR(Dayrun=1,Dayrun=7,Dayrun=8,Dayrun=10,Dayrun=11),MAX(0,(xSPRDOPT(M255,($E255-'Pricing Inputs'!$X290*$D255),$CV255,0,($CQ255+IF(Smile=TRUE(),VLOOKUP(MAX(-5,$H255-M255),Volsmile,2),0)),$CT255,$CU255,($A255-DateToday)+15,ABS(Option-2),0)-V255)),0))</f>
        <v> </v>
      </c>
      <c r="AF255" s="335" t="str">
        <f aca="false">IF($A255="N/A"," ",IF(OR(Dayrun&lt;=2,Dayrun&gt;=10),IF(OffPeakEx=TRUE(),MAX(0,(xSPRDOPT(N255,($E255-'Pricing Inputs'!$X290*$D255),$CV255,0,($CQ255+IF(Smile=TRUE(),VLOOKUP(MAX(-5,$H255-N255),Volsmile,2),0)),$CT255,$CU255,($A255-DateToday)+15,ABS(Option-2),0)-W255)),0),0))</f>
        <v> </v>
      </c>
      <c r="AG255" s="335" t="str">
        <f aca="false">IF($A255="N/A"," ",IF(OR(Dayrun=1,Dayrun=5,Dayrun=8,Dayrun=11),MAX(0,(xSPRDOPT(O255,($E255-'Pricing Inputs'!$X290*$D255),$CV255,0,($CQ255+IF(Smile=TRUE(),VLOOKUP(MAX(-5,$H255-O255),Volsmile,2),0)),$CT255,$CU255,($A255-DateToday)+15,ABS(Option-2),0)-X255)),0))</f>
        <v> </v>
      </c>
      <c r="AH255" s="335" t="str">
        <f aca="false">IF($A255="N/A"," ",IF(OR(Dayrun=1,Dayrun=8,Dayrun=11),MAX(0,(xSPRDOPT(P255,($E255-'Pricing Inputs'!$X290*$D255),$CV255,0,($CQ255+IF(Smile=TRUE(),VLOOKUP(MAX(-5,$H255-P255),Volsmile,2),0)),$CT255,$CU255,($A255-DateToday)+15,ABS(Option-2),0)-Y255)),0))</f>
        <v> </v>
      </c>
      <c r="AI255" s="336" t="str">
        <f aca="false">IF($A255="N/A"," ",IF(OR(Dayrun&lt;=2,Dayrun&gt;=11),IF(OffPeakEx=TRUE(),MAX(0,(xSPRDOPT(Q255,($E255-'Pricing Inputs'!$X290*$D255),$CV255,0,($CQ255+IF(Smile=TRUE(),VLOOKUP(MAX(-5,$H255-Q255),Volsmile,2),0)),$CT255,$CU255,($A255-DateToday)+15,ABS(Option-2),0)-Z255)),0),0))</f>
        <v> </v>
      </c>
      <c r="AJ255" s="339" t="str">
        <f aca="false">IF($A255="N/A"," ",IF(Dayrun&gt;=3,IF(Option=1,$I255-$H255,IF(Option=2,$H255-$I255)),0))</f>
        <v> </v>
      </c>
      <c r="AK255" s="340" t="str">
        <f aca="false">IF($A255="N/A"," ",IF(Dayrun&gt;=6,IF(Option=1,$J255-H255,IF(Option=2,H255-$J255)),0))</f>
        <v> </v>
      </c>
      <c r="AL255" s="340" t="str">
        <f aca="false">IF($A255="N/A"," ",IF(OR(Dayrun&lt;=2,Dayrun&gt;=9),IF(Option=1,$K255-$H255,IF(Option=2,$H255-$K255)),0))</f>
        <v> </v>
      </c>
      <c r="AM255" s="340" t="str">
        <f aca="false">IF($A255="N/A"," ",IF(OR(Dayrun=1,Dayrun=4,Dayrun=5,Dayrun=7,Dayrun=8,Dayrun=10,Dayrun=11),IF(Option=1,$L255-H255,IF(Option=2,H255-$L255)),0))</f>
        <v> </v>
      </c>
      <c r="AN255" s="340" t="str">
        <f aca="false">IF($A255="N/A"," ",IF(OR(Dayrun=1,Dayrun=7,Dayrun=8,Dayrun=10,Dayrun=11),IF(Option=1,$M255-H255,IF(Option=2,H255-$M255)),0))</f>
        <v> </v>
      </c>
      <c r="AO255" s="340" t="str">
        <f aca="false">IF($A255="N/A"," ",IF(OR(Dayrun&lt;=2,Dayrun&gt;=9),IF(Option=1,$N255-$H255,IF(Option=2,$H255-$N255)),0))</f>
        <v> </v>
      </c>
      <c r="AP255" s="340" t="str">
        <f aca="false">IF($A255="N/A"," ",IF(OR(Dayrun=1,Dayrun=5,Dayrun=8,Dayrun=11),IF(Option=1,$O255-H255,IF(Option=2,H255-$O255)),0))</f>
        <v> </v>
      </c>
      <c r="AQ255" s="340" t="str">
        <f aca="false">IF($A255="N/A"," ",IF(OR(Dayrun=1,Dayrun=8,Dayrun=11),IF(Option=1,$P255-H255,IF(Option=2,H255-$P255)),0))</f>
        <v> </v>
      </c>
      <c r="AR255" s="341" t="str">
        <f aca="false">IF($A255="N/A"," ",IF(OR(Dayrun&lt;=2,Dayrun&gt;=9),IF(Option=1,$Q255-H255,IF(Option=2,H255-$Q255)),0))</f>
        <v> </v>
      </c>
      <c r="AS255" s="342" t="str">
        <f aca="false">IF($A255="N/A"," ",IF(VLOOKUP(MONTH($A255),ManualTable,2)=1,IF(Dayrun&gt;=3,$DE255*8*$CY255,0),0))</f>
        <v> </v>
      </c>
      <c r="AT255" s="343" t="str">
        <f aca="false">IF($A255="N/A"," ",IF(VLOOKUP(MONTH($A255),ManualTable,3)=1,IF(Dayrun&gt;=6,$DE255*8*$CY255,0),0))</f>
        <v> </v>
      </c>
      <c r="AU255" s="343" t="str">
        <f aca="false">IF($A255="N/A"," ",IF(VLOOKUP(MONTH($A255),ManualTable,4)=1,IF(OR(Dayrun&lt;=2,Dayrun&gt;=9),$DE255*8*$CY255,0),0))</f>
        <v> </v>
      </c>
      <c r="AV255" s="343" t="str">
        <f aca="false">IF($A255="N/A"," ",IF(VLOOKUP(MONTH($A255),ManualTable,5)=1,IF(OR(Dayrun=1,Dayrun=4,Dayrun=5,Dayrun=7,Dayrun=8,Dayrun=10,Dayrun=11),$DF255*8*$CY255,0),0))</f>
        <v> </v>
      </c>
      <c r="AW255" s="343" t="str">
        <f aca="false">IF($A255="N/A"," ",IF(VLOOKUP(MONTH($A255),ManualTable,6)=1,IF(OR(Dayrun=1,Dayrun=7,Dayrun=8,Dayrun=10,Dayrun=11),$DF255*8*$CY255,0),0))</f>
        <v> </v>
      </c>
      <c r="AX255" s="343" t="str">
        <f aca="false">IF($A255="N/A"," ",IF(VLOOKUP(MONTH($A255),ManualTable,7)=1,IF(OR(Dayrun&lt;=2,Dayrun&gt;=9),$DF255*8*$CY255,0),0))</f>
        <v> </v>
      </c>
      <c r="AY255" s="343" t="str">
        <f aca="false">IF($A255="N/A"," ",IF(VLOOKUP(MONTH($A255),ManualTable,8)=1,IF(OR(Dayrun=1,Dayrun=5,Dayrun=8,Dayrun=11),$DG255*8*$CY255,0),0))</f>
        <v> </v>
      </c>
      <c r="AZ255" s="343" t="str">
        <f aca="false">IF($A255="N/A"," ",IF(VLOOKUP(MONTH($A255),ManualTable,9)=1,IF(OR(Dayrun=1,Dayrun=8,Dayrun=11),$DG255*8*$CY255,0),0))</f>
        <v> </v>
      </c>
      <c r="BA255" s="344" t="str">
        <f aca="false">IF($A255="N/A"," ",IF(VLOOKUP(MONTH($A255),ManualTable,10)=1,IF(OR(Dayrun&lt;=2,Dayrun&gt;=9),$DG255*8*$CY255,0),0))</f>
        <v> </v>
      </c>
      <c r="BB255" s="299" t="str">
        <f aca="false">IF($A255="N/A"," ",IF(Dayrun&gt;=3,(MAX(0,(xSPRDOPT(I255,($E255-'Pricing Inputs'!$X290*$D255),$CV255,0,($CN255+IF(Smile=TRUE(),VLOOKUP(MAX(-5,$H255-I255),Volsmile,2),0)),$CT255,$CU255,($A255-DateToday)+15,ABS(Option-2),1)*DE255*8))),0))</f>
        <v> </v>
      </c>
      <c r="BC255" s="300" t="str">
        <f aca="false">IF($A255="N/A"," ",IF(Dayrun&gt;=6,MAX(0,(xSPRDOPT(J255,($E255-'Pricing Inputs'!$X290*$D255),$CV255,0,($CN255+IF(Smile=TRUE(),VLOOKUP(MAX(-5,$H255-J255),Volsmile,2),0)),$CT255,$CU255,($A255-DateToday)+15,ABS(Option-2),1)*DE255*8)),0))</f>
        <v> </v>
      </c>
      <c r="BD255" s="300" t="str">
        <f aca="false">IF($A255="N/A"," ",IF(OR(Dayrun&lt;=2,Dayrun&gt;=9),IF(OffPeakEx=TRUE(),MAX(0,(xSPRDOPT(K255,($E255-'Pricing Inputs'!$X290*$D255),$CV255,0,($CQ255+IF(Smile=TRUE(),VLOOKUP(MAX(-5,$H255-K255),Volsmile,2),0)),$CT255,$CU255,($A255-DateToday)+15,ABS(Option-2),1)*DE255*8)),0),0))</f>
        <v> </v>
      </c>
      <c r="BE255" s="300" t="str">
        <f aca="false">IF($A255="N/A"," ",IF(OR(Dayrun=1,Dayrun=4,Dayrun=5,Dayrun=7,Dayrun=8,Dayrun=10,Dayrun=11),MAX(0,(xSPRDOPT(L255,($E255-'Pricing Inputs'!$X290*$D255),$CV255,0,($CQ255+IF(Smile=TRUE(),VLOOKUP(MAX(-5,$H255-L255),Volsmile,2),0)),$CT255,$CU255,($A255-DateToday)+15,ABS(Option-2),1)*DF255*8)),0))</f>
        <v> </v>
      </c>
      <c r="BF255" s="300" t="str">
        <f aca="false">IF($A255="N/A"," ",IF(OR(Dayrun=1,Dayrun=7,Dayrun=8,Dayrun=10,Dayrun=11),MAX(0,(xSPRDOPT(M255,($E255-'Pricing Inputs'!$X290*$D255),$CV255,0,($CQ255+IF(Smile=TRUE(),VLOOKUP(MAX(-5,$H255-M255),Volsmile,2),0)),$CT255,$CU255,($A255-DateToday)+15,ABS(Option-2),1)*DF255*8)),0))</f>
        <v> </v>
      </c>
      <c r="BG255" s="300" t="str">
        <f aca="false">IF($A255="N/A"," ",IF(OR(Dayrun&lt;=2,Dayrun&gt;=10),IF(OffPeakEx=TRUE(),MAX(0,(xSPRDOPT(N255,($E255-'Pricing Inputs'!$X290*$D255),$CV255,0,($CQ255+IF(Smile=TRUE(),VLOOKUP(MAX(-5,$H255-N255),Volsmile,2),0)),$CT255,$CU255,($A255-DateToday)+15,ABS(Option-2),1)*DF255*8)),0),0))</f>
        <v> </v>
      </c>
      <c r="BH255" s="300" t="str">
        <f aca="false">IF($A255="N/A"," ",IF(OR(Dayrun=1,Dayrun=5,Dayrun=8,Dayrun=11),MAX(0,(xSPRDOPT(O255,($E255-'Pricing Inputs'!$X290*$D255),$CV255,0,($CQ255+IF(Smile=TRUE(),VLOOKUP(MAX(-5,$H255-O255),Volsmile,2),0)),$CT255,$CU255,($A255-DateToday)+15,ABS(Option-2),1)*DG255*8)),0))</f>
        <v> </v>
      </c>
      <c r="BI255" s="300" t="str">
        <f aca="false">IF($A255="N/A"," ",IF(OR(Dayrun=1,Dayrun=8,Dayrun=11),MAX(0,(xSPRDOPT(P255,($E255-'Pricing Inputs'!$X290*$D255),$CV255,0,($CQ255+IF(Smile=TRUE(),VLOOKUP(MAX(-5,$H255-P255),Volsmile,2),0)),$CT255,$CU255,($A255-DateToday)+15,ABS(Option-2),1)*DG255*8)),0))</f>
        <v> </v>
      </c>
      <c r="BJ255" s="301" t="str">
        <f aca="false">IF($A255="N/A"," ",IF(OR(Dayrun&lt;=2,Dayrun&gt;=11),IF(OffPeakEx=TRUE(),MAX(0,(xSPRDOPT(Q255,($E255-'Pricing Inputs'!$X290*$D255),$CV255,0,($CQ255+IF(Smile=TRUE(),VLOOKUP(MAX(-5,$H255-Q255),Volsmile,2),0)),$CT255,$CU255,($A255-DateToday)+15,ABS(Option-2),1)*DG255*8)),0),0))</f>
        <v> </v>
      </c>
      <c r="BK255" s="345" t="str">
        <f aca="false">IF($A255="N/A"," ",R255*$AS255)</f>
        <v> </v>
      </c>
      <c r="BL255" s="346" t="str">
        <f aca="false">IF($A255="N/A"," ",S255*$AT255)</f>
        <v> </v>
      </c>
      <c r="BM255" s="346" t="str">
        <f aca="false">IF($A255="N/A"," ",T255*$AU255)</f>
        <v> </v>
      </c>
      <c r="BN255" s="346" t="str">
        <f aca="false">IF($A255="N/A"," ",U255*$AV255)</f>
        <v> </v>
      </c>
      <c r="BO255" s="346" t="str">
        <f aca="false">IF($A255="N/A"," ",V255*$AW255)</f>
        <v> </v>
      </c>
      <c r="BP255" s="346" t="str">
        <f aca="false">IF($A255="N/A"," ",W255*$AX255)</f>
        <v> </v>
      </c>
      <c r="BQ255" s="346" t="str">
        <f aca="false">IF($A255="N/A"," ",X255*$AY255)</f>
        <v> </v>
      </c>
      <c r="BR255" s="346" t="str">
        <f aca="false">IF($A255="N/A"," ",Y255*$AZ255)</f>
        <v> </v>
      </c>
      <c r="BS255" s="347" t="str">
        <f aca="false">IF($A255="N/A"," ",Z255*$BA255)</f>
        <v> </v>
      </c>
      <c r="BT255" s="348" t="str">
        <f aca="false">IF($A255="N/A"," ",AA255*$AS255)</f>
        <v> </v>
      </c>
      <c r="BU255" s="349" t="str">
        <f aca="false">IF($A255="N/A"," ",AB255*$AT255)</f>
        <v> </v>
      </c>
      <c r="BV255" s="349" t="str">
        <f aca="false">IF($A255="N/A"," ",AC255*$AU255)</f>
        <v> </v>
      </c>
      <c r="BW255" s="349" t="str">
        <f aca="false">IF($A255="N/A"," ",AD255*$AV255)</f>
        <v> </v>
      </c>
      <c r="BX255" s="349" t="str">
        <f aca="false">IF($A255="N/A"," ",AE255*$AW255)</f>
        <v> </v>
      </c>
      <c r="BY255" s="349" t="str">
        <f aca="false">IF($A255="N/A"," ",AF255*$AX255)</f>
        <v> </v>
      </c>
      <c r="BZ255" s="349" t="str">
        <f aca="false">IF($A255="N/A"," ",AG255*$AY255)</f>
        <v> </v>
      </c>
      <c r="CA255" s="349" t="str">
        <f aca="false">IF($A255="N/A"," ",AH255*$AZ255)</f>
        <v> </v>
      </c>
      <c r="CB255" s="350" t="str">
        <f aca="false">IF($A255="N/A"," ",AI255*$BA255)</f>
        <v> </v>
      </c>
      <c r="CC255" s="351" t="str">
        <f aca="false">IF($A255="N/A"," ",AJ255*$AS255)</f>
        <v> </v>
      </c>
      <c r="CD255" s="352" t="str">
        <f aca="false">IF($A255="N/A"," ",AK255*$AT255)</f>
        <v> </v>
      </c>
      <c r="CE255" s="352" t="str">
        <f aca="false">IF($A255="N/A"," ",AL255*$AU255)</f>
        <v> </v>
      </c>
      <c r="CF255" s="352" t="str">
        <f aca="false">IF($A255="N/A"," ",AM255*$AV255)</f>
        <v> </v>
      </c>
      <c r="CG255" s="352" t="str">
        <f aca="false">IF($A255="N/A"," ",AN255*$AW255)</f>
        <v> </v>
      </c>
      <c r="CH255" s="352" t="str">
        <f aca="false">IF($A255="N/A"," ",AO255*$AX255)</f>
        <v> </v>
      </c>
      <c r="CI255" s="352" t="str">
        <f aca="false">IF($A255="N/A"," ",AP255*$AY255)</f>
        <v> </v>
      </c>
      <c r="CJ255" s="352" t="str">
        <f aca="false">IF($A255="N/A"," ",AQ255*$AZ255)</f>
        <v> </v>
      </c>
      <c r="CK255" s="353" t="str">
        <f aca="false">IF($A255="N/A"," ",AR255*$BA255)</f>
        <v> </v>
      </c>
      <c r="CL255" s="354" t="str">
        <f aca="false">IF(A255="N/A"," ",(VLOOKUP(A255,PowerVolTable,(IF(VolBMO=2,7,IF(VolBMO=1,6,8))),FALSE())))</f>
        <v> </v>
      </c>
      <c r="CM255" s="355" t="str">
        <f aca="false">IF(A255="N/A"," ",(VLOOKUP(A255,IntraPowerVol,(IF(VolBMO=2,3,IF(VolBMO=1,2,4))),FALSE())*VLOOKUP(MONTH($A255),Volscale,2)))</f>
        <v> </v>
      </c>
      <c r="CN255" s="355" t="str">
        <f aca="false">IF($A255="N/A"," ",IF(VolType=1,CM255,CL255))</f>
        <v> </v>
      </c>
      <c r="CO255" s="355" t="str">
        <f aca="false">IF($A255="N/A"," ",(VLOOKUP($A255,OffPeakVol,(IF(VolBMO=2,7,IF(VolBMO=1,6,8))),FALSE())))</f>
        <v> </v>
      </c>
      <c r="CP255" s="355" t="str">
        <f aca="false">IF($A255="N/A"," ",(VLOOKUP($A255,OffPeakVol,(IF(VolBMO=2,3,IF(VolBMO=1,2,4))),FALSE())*VLOOKUP(MONTH($A255),Volscale,2)))</f>
        <v> </v>
      </c>
      <c r="CQ255" s="355" t="str">
        <f aca="false">IF($A255="N/A"," ",IF(VolType=1,CP255,CO255))</f>
        <v> </v>
      </c>
      <c r="CR255" s="355" t="str">
        <f aca="false">IF($A255="N/A"," ",(VLOOKUP($A255,GasVolTable,(IF(VolBMO=2,6,IF(VolBMO=1,7,5))),FALSE())))</f>
        <v> </v>
      </c>
      <c r="CS255" s="355" t="str">
        <f aca="false">IF($A255="N/A"," ",(VLOOKUP($A255,OmicronVol,(IF(VolBMO=2,3,IF(VolBMO=1,4,2))),FALSE())))</f>
        <v> </v>
      </c>
      <c r="CT255" s="355" t="str">
        <f aca="false">IF($A255="N/A"," ",(IF(DateToday&gt;$A255,$CS255,IF(VolType=1,((($CR255^2)*((($A255-1)-DateToday)/((EOMONTH($A255,0)+1)-DateToday-15)))+((($CS255)^2)*((15)/((EOMONTH($A255,0)+1)-DateToday-15))))^0.5,CR255))))</f>
        <v> </v>
      </c>
      <c r="CU255" s="355" t="str">
        <f aca="false">IF($A255="N/A"," ",IF('Pricing Inputs'!$AR$23=TRUE(),Inputs!$S$22,VLOOKUP($A255,CorrelationTable,2,FALSE())))</f>
        <v> </v>
      </c>
      <c r="CV255" s="356" t="str">
        <f aca="false">IF($A255="N/A"," ",F255+G255+(D255*('Pricing Inputs'!X290)))</f>
        <v> </v>
      </c>
      <c r="CW255" s="357" t="str">
        <f aca="false">IF($A255="N/A"," ",IF(PV=1,0,'Pricing Inputs'!Y290))</f>
        <v> </v>
      </c>
      <c r="CX255" s="358" t="str">
        <f aca="false">IF($A255="N/A"," ",(1+CW255/2)^(-2*((EOMONTH(A255,0)+20)-DateToday)/365.25))</f>
        <v> </v>
      </c>
      <c r="CY255" s="359" t="str">
        <f aca="false">IF($A255="N/A"," ",(IF(MONTH(A255)&gt;=4,IF(MONTH(A255)&lt;=10,Inputs!$S$26,Inputs!$S$27),Inputs!$S$27))*$CX255)</f>
        <v> </v>
      </c>
      <c r="CZ255" s="360" t="str">
        <f aca="false">IF($A255="N/A"," ",BK255+BL255+BN255+BO255+BQ255+BR255)</f>
        <v> </v>
      </c>
      <c r="DA255" s="361" t="str">
        <f aca="false">IF($A255="N/A"," ",BM255+BP255+BS255)</f>
        <v> </v>
      </c>
      <c r="DB255" s="362" t="str">
        <f aca="false">IF($A255="N/A"," ",BT255+BU255+BW255+BX255+BZ255+CA255)</f>
        <v> </v>
      </c>
      <c r="DC255" s="362" t="str">
        <f aca="false">IF($A255="N/A"," ",BV255+BY255+CB255)</f>
        <v> </v>
      </c>
      <c r="DD255" s="363" t="str">
        <f aca="false">IF($A255="N/A"," ",SUM(CC255:CK255))</f>
        <v> </v>
      </c>
      <c r="DE255" s="364" t="str">
        <f aca="false">IF($A255="N/A"," ",VLOOKUP($A255,NumberofDaysTable,2)*Availability)</f>
        <v> </v>
      </c>
      <c r="DF255" s="101" t="str">
        <f aca="false">IF($A255="N/A"," ",VLOOKUP($A255,NumberofDaysTable,3)*Availability)</f>
        <v> </v>
      </c>
      <c r="DG255" s="365" t="str">
        <f aca="false">IF($A255="N/A"," ",VLOOKUP($A255,NumberofDaysTable,4)*Availability)</f>
        <v> </v>
      </c>
      <c r="DH255" s="366" t="str">
        <f aca="false">IF($A255="N/A"," ",IF(Option=1,$D255*Inputs!$S$15*SUM(AS255:BA255),0))</f>
        <v> </v>
      </c>
      <c r="DI255" s="367" t="str">
        <f aca="false">IF($A255="N/A"," ",IF(Option=1,$D255*Inputs!$S$16*SUM(AS255:BA255),0))</f>
        <v> </v>
      </c>
      <c r="DJ255" s="325" t="str">
        <f aca="false">IF($A255="N/A"," ",SUM(AS255:AT255))</f>
        <v> </v>
      </c>
      <c r="DK255" s="325" t="str">
        <f aca="false">IF($A255="N/A"," ",SUM(AU255:BA255))</f>
        <v> </v>
      </c>
      <c r="DL255" s="325" t="str">
        <f aca="false">IF($A255="N/A"," ",SUM(BB255:BC255))</f>
        <v> </v>
      </c>
      <c r="DM255" s="325" t="str">
        <f aca="false">IF($A255="N/A"," ",SUM(BD255:BJ255))</f>
        <v> </v>
      </c>
    </row>
    <row r="256" customFormat="false" ht="12.75" hidden="false" customHeight="false" outlineLevel="0" collapsed="false">
      <c r="A256" s="368"/>
      <c r="B256" s="368"/>
      <c r="P256" s="40"/>
      <c r="Q256" s="369"/>
      <c r="R256" s="369"/>
      <c r="S256" s="369"/>
      <c r="T256" s="369"/>
      <c r="U256" s="369"/>
      <c r="V256" s="369"/>
      <c r="W256" s="369"/>
      <c r="X256" s="369"/>
      <c r="Y256" s="369"/>
      <c r="Z256" s="369"/>
    </row>
    <row r="257" customFormat="false" ht="12.75" hidden="false" customHeight="false" outlineLevel="0" collapsed="false">
      <c r="A257" s="368"/>
      <c r="B257" s="368"/>
      <c r="P257" s="40"/>
      <c r="Q257" s="369"/>
      <c r="R257" s="369"/>
      <c r="S257" s="369"/>
      <c r="T257" s="369"/>
      <c r="U257" s="369"/>
      <c r="V257" s="369"/>
      <c r="W257" s="369"/>
      <c r="X257" s="369"/>
      <c r="Y257" s="369"/>
      <c r="Z257" s="369"/>
    </row>
    <row r="258" customFormat="false" ht="12.75" hidden="false" customHeight="false" outlineLevel="0" collapsed="false">
      <c r="A258" s="368"/>
      <c r="B258" s="368"/>
      <c r="P258" s="40"/>
      <c r="Q258" s="369"/>
      <c r="R258" s="369"/>
      <c r="S258" s="369"/>
      <c r="T258" s="369"/>
      <c r="U258" s="369"/>
      <c r="V258" s="369"/>
      <c r="W258" s="369"/>
      <c r="X258" s="369"/>
      <c r="Y258" s="369"/>
      <c r="Z258" s="369"/>
    </row>
    <row r="259" customFormat="false" ht="12.75" hidden="false" customHeight="false" outlineLevel="0" collapsed="false">
      <c r="A259" s="368"/>
      <c r="B259" s="368"/>
      <c r="P259" s="40"/>
      <c r="Q259" s="369"/>
      <c r="R259" s="369"/>
      <c r="S259" s="369"/>
      <c r="T259" s="369"/>
      <c r="U259" s="369"/>
      <c r="V259" s="369"/>
      <c r="W259" s="369"/>
      <c r="X259" s="369"/>
      <c r="Y259" s="369"/>
      <c r="Z259" s="369"/>
    </row>
    <row r="260" customFormat="false" ht="12.75" hidden="false" customHeight="false" outlineLevel="0" collapsed="false">
      <c r="A260" s="368"/>
      <c r="B260" s="368"/>
      <c r="P260" s="40"/>
      <c r="Q260" s="369"/>
      <c r="R260" s="369"/>
      <c r="S260" s="369"/>
      <c r="T260" s="369"/>
      <c r="U260" s="369"/>
      <c r="V260" s="369"/>
      <c r="W260" s="369"/>
      <c r="X260" s="369"/>
      <c r="Y260" s="369"/>
      <c r="Z260" s="369"/>
    </row>
    <row r="261" customFormat="false" ht="12.75" hidden="false" customHeight="false" outlineLevel="0" collapsed="false">
      <c r="A261" s="368"/>
      <c r="B261" s="368"/>
      <c r="P261" s="40"/>
      <c r="Q261" s="369"/>
      <c r="R261" s="369"/>
      <c r="S261" s="369"/>
      <c r="T261" s="369"/>
      <c r="U261" s="369"/>
      <c r="V261" s="369"/>
      <c r="W261" s="369"/>
      <c r="X261" s="369"/>
      <c r="Y261" s="369"/>
      <c r="Z261" s="369"/>
    </row>
    <row r="262" customFormat="false" ht="12.75" hidden="false" customHeight="false" outlineLevel="0" collapsed="false">
      <c r="A262" s="368"/>
      <c r="B262" s="368"/>
      <c r="P262" s="40"/>
      <c r="Q262" s="369"/>
      <c r="R262" s="369"/>
      <c r="S262" s="369"/>
      <c r="T262" s="369"/>
      <c r="U262" s="369"/>
      <c r="V262" s="369"/>
      <c r="W262" s="369"/>
      <c r="X262" s="369"/>
      <c r="Y262" s="369"/>
      <c r="Z262" s="369"/>
    </row>
    <row r="263" customFormat="false" ht="12.75" hidden="false" customHeight="false" outlineLevel="0" collapsed="false">
      <c r="A263" s="368"/>
      <c r="B263" s="368"/>
      <c r="P263" s="40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</row>
    <row r="264" customFormat="false" ht="12.75" hidden="false" customHeight="false" outlineLevel="0" collapsed="false">
      <c r="A264" s="368"/>
      <c r="B264" s="368"/>
      <c r="P264" s="40"/>
      <c r="Q264" s="369"/>
      <c r="R264" s="369"/>
      <c r="S264" s="369"/>
      <c r="T264" s="369"/>
      <c r="U264" s="369"/>
      <c r="V264" s="369"/>
      <c r="W264" s="369"/>
      <c r="X264" s="369"/>
      <c r="Y264" s="369"/>
      <c r="Z264" s="369"/>
    </row>
    <row r="265" customFormat="false" ht="12.75" hidden="false" customHeight="false" outlineLevel="0" collapsed="false">
      <c r="A265" s="368"/>
      <c r="B265" s="368"/>
      <c r="P265" s="40"/>
      <c r="Q265" s="369"/>
      <c r="R265" s="369"/>
      <c r="S265" s="369"/>
      <c r="T265" s="369"/>
      <c r="U265" s="369"/>
      <c r="V265" s="369"/>
      <c r="W265" s="369"/>
      <c r="X265" s="369"/>
      <c r="Y265" s="369"/>
      <c r="Z265" s="369"/>
    </row>
    <row r="266" customFormat="false" ht="12.75" hidden="false" customHeight="false" outlineLevel="0" collapsed="false">
      <c r="A266" s="368"/>
      <c r="B266" s="368"/>
      <c r="P266" s="40"/>
      <c r="Q266" s="369"/>
      <c r="R266" s="369"/>
      <c r="S266" s="369"/>
      <c r="T266" s="369"/>
      <c r="U266" s="369"/>
      <c r="V266" s="369"/>
      <c r="W266" s="369"/>
      <c r="X266" s="369"/>
      <c r="Y266" s="369"/>
      <c r="Z266" s="369"/>
    </row>
    <row r="267" customFormat="false" ht="12.75" hidden="false" customHeight="false" outlineLevel="0" collapsed="false">
      <c r="A267" s="368"/>
      <c r="B267" s="368"/>
      <c r="P267" s="40"/>
      <c r="Q267" s="369"/>
      <c r="R267" s="369"/>
      <c r="S267" s="369"/>
      <c r="T267" s="369"/>
      <c r="U267" s="369"/>
      <c r="V267" s="369"/>
      <c r="W267" s="369"/>
      <c r="X267" s="369"/>
      <c r="Y267" s="369"/>
      <c r="Z267" s="369"/>
    </row>
    <row r="268" customFormat="false" ht="12.75" hidden="false" customHeight="false" outlineLevel="0" collapsed="false">
      <c r="A268" s="368"/>
      <c r="B268" s="368"/>
      <c r="P268" s="40"/>
      <c r="Q268" s="369"/>
      <c r="R268" s="369"/>
      <c r="S268" s="369"/>
      <c r="T268" s="369"/>
      <c r="U268" s="369"/>
      <c r="V268" s="369"/>
      <c r="W268" s="369"/>
      <c r="X268" s="369"/>
      <c r="Y268" s="369"/>
      <c r="Z268" s="369"/>
    </row>
    <row r="269" customFormat="false" ht="12.75" hidden="false" customHeight="false" outlineLevel="0" collapsed="false">
      <c r="A269" s="368"/>
      <c r="B269" s="368"/>
      <c r="P269" s="40"/>
      <c r="Q269" s="369"/>
      <c r="R269" s="369"/>
      <c r="S269" s="369"/>
      <c r="T269" s="369"/>
      <c r="U269" s="369"/>
      <c r="V269" s="369"/>
      <c r="W269" s="369"/>
      <c r="X269" s="369"/>
      <c r="Y269" s="369"/>
      <c r="Z269" s="369"/>
    </row>
    <row r="270" customFormat="false" ht="12.75" hidden="false" customHeight="false" outlineLevel="0" collapsed="false">
      <c r="A270" s="368"/>
      <c r="B270" s="368"/>
      <c r="P270" s="40"/>
      <c r="Q270" s="369"/>
      <c r="R270" s="369"/>
      <c r="S270" s="369"/>
      <c r="T270" s="369"/>
      <c r="U270" s="369"/>
      <c r="V270" s="369"/>
      <c r="W270" s="369"/>
      <c r="X270" s="369"/>
      <c r="Y270" s="369"/>
      <c r="Z270" s="369"/>
    </row>
    <row r="271" customFormat="false" ht="12.75" hidden="false" customHeight="false" outlineLevel="0" collapsed="false">
      <c r="A271" s="368"/>
      <c r="B271" s="368"/>
      <c r="P271" s="40"/>
      <c r="Q271" s="369"/>
      <c r="R271" s="369"/>
      <c r="S271" s="369"/>
      <c r="T271" s="369"/>
      <c r="U271" s="369"/>
      <c r="V271" s="369"/>
      <c r="W271" s="369"/>
      <c r="X271" s="369"/>
      <c r="Y271" s="369"/>
      <c r="Z271" s="369"/>
    </row>
    <row r="272" customFormat="false" ht="12.75" hidden="false" customHeight="false" outlineLevel="0" collapsed="false">
      <c r="A272" s="368"/>
      <c r="B272" s="368"/>
      <c r="P272" s="40"/>
      <c r="Q272" s="369"/>
      <c r="R272" s="369"/>
      <c r="S272" s="369"/>
      <c r="T272" s="369"/>
      <c r="U272" s="369"/>
      <c r="V272" s="369"/>
      <c r="W272" s="369"/>
      <c r="X272" s="369"/>
      <c r="Y272" s="369"/>
      <c r="Z272" s="369"/>
    </row>
    <row r="273" customFormat="false" ht="12.75" hidden="false" customHeight="false" outlineLevel="0" collapsed="false">
      <c r="A273" s="368"/>
      <c r="B273" s="368"/>
      <c r="P273" s="40"/>
      <c r="Q273" s="369"/>
      <c r="R273" s="369"/>
      <c r="S273" s="369"/>
      <c r="T273" s="369"/>
      <c r="U273" s="369"/>
      <c r="V273" s="369"/>
      <c r="W273" s="369"/>
      <c r="X273" s="369"/>
      <c r="Y273" s="369"/>
      <c r="Z273" s="369"/>
    </row>
    <row r="274" customFormat="false" ht="12.75" hidden="false" customHeight="false" outlineLevel="0" collapsed="false">
      <c r="A274" s="368"/>
      <c r="B274" s="368"/>
      <c r="P274" s="40"/>
      <c r="Q274" s="369"/>
      <c r="R274" s="369"/>
      <c r="S274" s="369"/>
      <c r="T274" s="369"/>
      <c r="U274" s="369"/>
      <c r="V274" s="369"/>
      <c r="W274" s="369"/>
      <c r="X274" s="369"/>
      <c r="Y274" s="369"/>
      <c r="Z274" s="369"/>
    </row>
    <row r="275" customFormat="false" ht="12.75" hidden="false" customHeight="false" outlineLevel="0" collapsed="false">
      <c r="A275" s="368"/>
      <c r="B275" s="368"/>
      <c r="P275" s="40"/>
      <c r="Q275" s="369"/>
      <c r="R275" s="369"/>
      <c r="S275" s="369"/>
      <c r="T275" s="369"/>
      <c r="U275" s="369"/>
      <c r="V275" s="369"/>
      <c r="W275" s="369"/>
      <c r="X275" s="369"/>
      <c r="Y275" s="369"/>
      <c r="Z275" s="369"/>
    </row>
    <row r="276" customFormat="false" ht="12.75" hidden="false" customHeight="false" outlineLevel="0" collapsed="false">
      <c r="A276" s="368"/>
      <c r="B276" s="368"/>
      <c r="P276" s="40"/>
      <c r="Q276" s="369"/>
      <c r="R276" s="369"/>
      <c r="S276" s="369"/>
      <c r="T276" s="369"/>
      <c r="U276" s="369"/>
      <c r="V276" s="369"/>
      <c r="W276" s="369"/>
      <c r="X276" s="369"/>
      <c r="Y276" s="369"/>
      <c r="Z276" s="369"/>
    </row>
    <row r="277" customFormat="false" ht="12.75" hidden="false" customHeight="false" outlineLevel="0" collapsed="false">
      <c r="A277" s="368"/>
      <c r="B277" s="368"/>
      <c r="P277" s="40"/>
      <c r="Q277" s="369"/>
      <c r="R277" s="369"/>
      <c r="S277" s="369"/>
      <c r="T277" s="369"/>
      <c r="U277" s="369"/>
      <c r="V277" s="369"/>
      <c r="W277" s="369"/>
      <c r="X277" s="369"/>
      <c r="Y277" s="369"/>
      <c r="Z277" s="369"/>
    </row>
    <row r="278" customFormat="false" ht="12.75" hidden="false" customHeight="false" outlineLevel="0" collapsed="false">
      <c r="A278" s="368"/>
      <c r="B278" s="368"/>
      <c r="P278" s="40"/>
      <c r="Q278" s="369"/>
      <c r="R278" s="369"/>
      <c r="S278" s="369"/>
      <c r="T278" s="369"/>
      <c r="U278" s="369"/>
      <c r="V278" s="369"/>
      <c r="W278" s="369"/>
      <c r="X278" s="369"/>
      <c r="Y278" s="369"/>
      <c r="Z278" s="369"/>
    </row>
    <row r="279" customFormat="false" ht="12.75" hidden="false" customHeight="false" outlineLevel="0" collapsed="false">
      <c r="A279" s="368"/>
      <c r="B279" s="368"/>
      <c r="P279" s="40"/>
      <c r="Q279" s="369"/>
      <c r="R279" s="369"/>
      <c r="S279" s="369"/>
      <c r="T279" s="369"/>
      <c r="U279" s="369"/>
      <c r="V279" s="369"/>
      <c r="W279" s="369"/>
      <c r="X279" s="369"/>
      <c r="Y279" s="369"/>
      <c r="Z279" s="369"/>
    </row>
    <row r="280" customFormat="false" ht="12.75" hidden="false" customHeight="false" outlineLevel="0" collapsed="false">
      <c r="A280" s="368"/>
      <c r="B280" s="368"/>
      <c r="P280" s="40"/>
      <c r="Q280" s="369"/>
      <c r="R280" s="369"/>
      <c r="S280" s="369"/>
      <c r="T280" s="369"/>
      <c r="U280" s="369"/>
      <c r="V280" s="369"/>
      <c r="W280" s="369"/>
      <c r="X280" s="369"/>
      <c r="Y280" s="369"/>
      <c r="Z280" s="369"/>
    </row>
    <row r="281" customFormat="false" ht="12.75" hidden="false" customHeight="false" outlineLevel="0" collapsed="false">
      <c r="A281" s="368"/>
      <c r="B281" s="368"/>
      <c r="P281" s="40"/>
      <c r="Q281" s="369"/>
      <c r="R281" s="369"/>
      <c r="S281" s="369"/>
      <c r="T281" s="369"/>
      <c r="U281" s="369"/>
      <c r="V281" s="369"/>
      <c r="W281" s="369"/>
      <c r="X281" s="369"/>
      <c r="Y281" s="369"/>
      <c r="Z281" s="369"/>
    </row>
    <row r="282" customFormat="false" ht="12.75" hidden="false" customHeight="false" outlineLevel="0" collapsed="false">
      <c r="A282" s="368"/>
      <c r="B282" s="368"/>
      <c r="P282" s="40"/>
      <c r="Q282" s="369"/>
      <c r="R282" s="369"/>
      <c r="S282" s="369"/>
      <c r="T282" s="369"/>
      <c r="U282" s="369"/>
      <c r="V282" s="369"/>
      <c r="W282" s="369"/>
      <c r="X282" s="369"/>
      <c r="Y282" s="369"/>
      <c r="Z282" s="369"/>
    </row>
    <row r="283" customFormat="false" ht="12.75" hidden="false" customHeight="false" outlineLevel="0" collapsed="false">
      <c r="A283" s="368"/>
      <c r="B283" s="368"/>
      <c r="P283" s="40"/>
      <c r="Q283" s="369"/>
      <c r="R283" s="369"/>
      <c r="S283" s="369"/>
      <c r="T283" s="369"/>
      <c r="U283" s="369"/>
      <c r="V283" s="369"/>
      <c r="W283" s="369"/>
      <c r="X283" s="369"/>
      <c r="Y283" s="369"/>
      <c r="Z283" s="369"/>
    </row>
    <row r="284" customFormat="false" ht="12.75" hidden="false" customHeight="false" outlineLevel="0" collapsed="false">
      <c r="A284" s="368"/>
      <c r="B284" s="368"/>
      <c r="P284" s="40"/>
      <c r="Q284" s="369"/>
      <c r="R284" s="369"/>
      <c r="S284" s="369"/>
      <c r="T284" s="369"/>
      <c r="U284" s="369"/>
      <c r="V284" s="369"/>
      <c r="W284" s="369"/>
      <c r="X284" s="369"/>
      <c r="Y284" s="369"/>
      <c r="Z284" s="369"/>
    </row>
    <row r="285" customFormat="false" ht="12.75" hidden="false" customHeight="false" outlineLevel="0" collapsed="false">
      <c r="A285" s="368"/>
      <c r="B285" s="368"/>
      <c r="P285" s="40"/>
      <c r="Q285" s="369"/>
      <c r="R285" s="369"/>
      <c r="S285" s="369"/>
      <c r="T285" s="369"/>
      <c r="U285" s="369"/>
      <c r="V285" s="369"/>
      <c r="W285" s="369"/>
      <c r="X285" s="369"/>
      <c r="Y285" s="369"/>
      <c r="Z285" s="369"/>
    </row>
    <row r="286" customFormat="false" ht="12.75" hidden="false" customHeight="false" outlineLevel="0" collapsed="false">
      <c r="A286" s="368"/>
      <c r="B286" s="368"/>
      <c r="P286" s="40"/>
      <c r="Q286" s="369"/>
      <c r="R286" s="369"/>
      <c r="S286" s="369"/>
      <c r="T286" s="369"/>
      <c r="U286" s="369"/>
      <c r="V286" s="369"/>
      <c r="W286" s="369"/>
      <c r="X286" s="369"/>
      <c r="Y286" s="369"/>
      <c r="Z286" s="369"/>
    </row>
    <row r="287" customFormat="false" ht="12.75" hidden="false" customHeight="false" outlineLevel="0" collapsed="false">
      <c r="A287" s="368"/>
      <c r="B287" s="368"/>
      <c r="P287" s="40"/>
      <c r="Q287" s="369"/>
      <c r="R287" s="369"/>
      <c r="S287" s="369"/>
      <c r="T287" s="369"/>
      <c r="U287" s="369"/>
      <c r="V287" s="369"/>
      <c r="W287" s="369"/>
      <c r="X287" s="369"/>
      <c r="Y287" s="369"/>
      <c r="Z287" s="369"/>
    </row>
    <row r="288" customFormat="false" ht="12.75" hidden="false" customHeight="false" outlineLevel="0" collapsed="false">
      <c r="A288" s="368"/>
      <c r="B288" s="368"/>
      <c r="P288" s="40"/>
      <c r="Q288" s="369"/>
      <c r="R288" s="369"/>
      <c r="S288" s="369"/>
      <c r="T288" s="369"/>
      <c r="U288" s="369"/>
      <c r="V288" s="369"/>
      <c r="W288" s="369"/>
      <c r="X288" s="369"/>
      <c r="Y288" s="369"/>
      <c r="Z288" s="369"/>
    </row>
    <row r="289" customFormat="false" ht="12.75" hidden="false" customHeight="false" outlineLevel="0" collapsed="false">
      <c r="A289" s="368"/>
      <c r="B289" s="368"/>
      <c r="P289" s="40"/>
      <c r="Q289" s="369"/>
      <c r="R289" s="369"/>
      <c r="S289" s="369"/>
      <c r="T289" s="369"/>
      <c r="U289" s="369"/>
      <c r="V289" s="369"/>
      <c r="W289" s="369"/>
      <c r="X289" s="369"/>
      <c r="Y289" s="369"/>
      <c r="Z289" s="369"/>
    </row>
    <row r="290" customFormat="false" ht="12.75" hidden="false" customHeight="false" outlineLevel="0" collapsed="false">
      <c r="A290" s="368"/>
      <c r="B290" s="368"/>
      <c r="P290" s="40"/>
      <c r="Q290" s="369"/>
      <c r="R290" s="369"/>
      <c r="S290" s="369"/>
      <c r="T290" s="369"/>
      <c r="U290" s="369"/>
      <c r="V290" s="369"/>
      <c r="W290" s="369"/>
      <c r="X290" s="369"/>
      <c r="Y290" s="369"/>
      <c r="Z290" s="369"/>
    </row>
    <row r="291" customFormat="false" ht="12.75" hidden="false" customHeight="false" outlineLevel="0" collapsed="false">
      <c r="A291" s="368"/>
      <c r="B291" s="368"/>
      <c r="P291" s="40"/>
      <c r="Q291" s="369"/>
      <c r="R291" s="369"/>
      <c r="S291" s="369"/>
      <c r="T291" s="369"/>
      <c r="U291" s="369"/>
      <c r="V291" s="369"/>
      <c r="W291" s="369"/>
      <c r="X291" s="369"/>
      <c r="Y291" s="369"/>
      <c r="Z291" s="369"/>
    </row>
    <row r="292" customFormat="false" ht="12.75" hidden="false" customHeight="false" outlineLevel="0" collapsed="false">
      <c r="A292" s="368"/>
      <c r="B292" s="368"/>
      <c r="P292" s="40"/>
      <c r="Q292" s="369"/>
      <c r="R292" s="369"/>
      <c r="S292" s="369"/>
      <c r="T292" s="369"/>
      <c r="U292" s="369"/>
      <c r="V292" s="369"/>
      <c r="W292" s="369"/>
      <c r="X292" s="369"/>
      <c r="Y292" s="369"/>
      <c r="Z292" s="369"/>
    </row>
    <row r="293" customFormat="false" ht="12.75" hidden="false" customHeight="false" outlineLevel="0" collapsed="false">
      <c r="A293" s="368"/>
      <c r="B293" s="368"/>
      <c r="P293" s="40"/>
      <c r="Q293" s="369"/>
      <c r="R293" s="369"/>
      <c r="S293" s="369"/>
      <c r="T293" s="369"/>
      <c r="U293" s="369"/>
      <c r="V293" s="369"/>
      <c r="W293" s="369"/>
      <c r="X293" s="369"/>
      <c r="Y293" s="369"/>
      <c r="Z293" s="369"/>
    </row>
    <row r="294" customFormat="false" ht="12.75" hidden="false" customHeight="false" outlineLevel="0" collapsed="false">
      <c r="A294" s="368"/>
      <c r="B294" s="368"/>
      <c r="P294" s="40"/>
      <c r="Q294" s="369"/>
      <c r="R294" s="369"/>
      <c r="S294" s="369"/>
      <c r="T294" s="369"/>
      <c r="U294" s="369"/>
      <c r="V294" s="369"/>
      <c r="W294" s="369"/>
      <c r="X294" s="369"/>
      <c r="Y294" s="369"/>
      <c r="Z294" s="369"/>
    </row>
    <row r="295" customFormat="false" ht="12.75" hidden="false" customHeight="false" outlineLevel="0" collapsed="false">
      <c r="A295" s="368"/>
      <c r="B295" s="368"/>
      <c r="P295" s="40"/>
      <c r="Q295" s="369"/>
      <c r="R295" s="369"/>
      <c r="S295" s="369"/>
      <c r="T295" s="369"/>
      <c r="U295" s="369"/>
      <c r="V295" s="369"/>
      <c r="W295" s="369"/>
      <c r="X295" s="369"/>
      <c r="Y295" s="369"/>
      <c r="Z295" s="369"/>
    </row>
    <row r="296" customFormat="false" ht="12.75" hidden="false" customHeight="false" outlineLevel="0" collapsed="false">
      <c r="A296" s="368"/>
      <c r="B296" s="368"/>
      <c r="P296" s="40"/>
      <c r="Q296" s="369"/>
      <c r="R296" s="369"/>
      <c r="S296" s="369"/>
      <c r="T296" s="369"/>
      <c r="U296" s="369"/>
      <c r="V296" s="369"/>
      <c r="W296" s="369"/>
      <c r="X296" s="369"/>
      <c r="Y296" s="369"/>
      <c r="Z296" s="369"/>
    </row>
    <row r="297" customFormat="false" ht="12.75" hidden="false" customHeight="false" outlineLevel="0" collapsed="false">
      <c r="A297" s="368"/>
      <c r="B297" s="368"/>
      <c r="P297" s="40"/>
      <c r="Q297" s="369"/>
      <c r="R297" s="369"/>
      <c r="S297" s="369"/>
      <c r="T297" s="369"/>
      <c r="U297" s="369"/>
      <c r="V297" s="369"/>
      <c r="W297" s="369"/>
      <c r="X297" s="369"/>
      <c r="Y297" s="369"/>
      <c r="Z297" s="369"/>
    </row>
    <row r="298" customFormat="false" ht="12.75" hidden="false" customHeight="false" outlineLevel="0" collapsed="false">
      <c r="A298" s="368"/>
      <c r="B298" s="368"/>
      <c r="P298" s="40"/>
      <c r="Q298" s="369"/>
      <c r="R298" s="369"/>
      <c r="S298" s="369"/>
      <c r="T298" s="369"/>
      <c r="U298" s="369"/>
      <c r="V298" s="369"/>
      <c r="W298" s="369"/>
      <c r="X298" s="369"/>
      <c r="Y298" s="369"/>
      <c r="Z298" s="369"/>
    </row>
    <row r="299" customFormat="false" ht="12.75" hidden="false" customHeight="false" outlineLevel="0" collapsed="false">
      <c r="A299" s="368"/>
      <c r="B299" s="368"/>
      <c r="P299" s="40"/>
      <c r="Q299" s="369"/>
      <c r="R299" s="369"/>
      <c r="S299" s="369"/>
      <c r="T299" s="369"/>
      <c r="U299" s="369"/>
      <c r="V299" s="369"/>
      <c r="W299" s="369"/>
      <c r="X299" s="369"/>
      <c r="Y299" s="369"/>
      <c r="Z299" s="369"/>
    </row>
    <row r="300" customFormat="false" ht="12.75" hidden="false" customHeight="false" outlineLevel="0" collapsed="false">
      <c r="A300" s="368"/>
      <c r="B300" s="368"/>
      <c r="P300" s="40"/>
      <c r="Q300" s="369"/>
      <c r="R300" s="369"/>
      <c r="S300" s="369"/>
      <c r="T300" s="369"/>
      <c r="U300" s="369"/>
      <c r="V300" s="369"/>
      <c r="W300" s="369"/>
      <c r="X300" s="369"/>
      <c r="Y300" s="369"/>
      <c r="Z300" s="369"/>
    </row>
    <row r="301" customFormat="false" ht="12.75" hidden="false" customHeight="false" outlineLevel="0" collapsed="false">
      <c r="A301" s="368"/>
      <c r="B301" s="368"/>
      <c r="P301" s="40"/>
      <c r="Q301" s="369"/>
      <c r="R301" s="369"/>
      <c r="S301" s="369"/>
      <c r="T301" s="369"/>
      <c r="U301" s="369"/>
      <c r="V301" s="369"/>
      <c r="W301" s="369"/>
      <c r="X301" s="369"/>
      <c r="Y301" s="369"/>
      <c r="Z301" s="369"/>
    </row>
    <row r="302" customFormat="false" ht="12.75" hidden="false" customHeight="false" outlineLevel="0" collapsed="false">
      <c r="A302" s="368"/>
      <c r="B302" s="368"/>
      <c r="P302" s="40"/>
      <c r="Q302" s="369"/>
      <c r="R302" s="369"/>
      <c r="S302" s="369"/>
      <c r="T302" s="369"/>
      <c r="U302" s="369"/>
      <c r="V302" s="369"/>
      <c r="W302" s="369"/>
      <c r="X302" s="369"/>
      <c r="Y302" s="369"/>
      <c r="Z302" s="369"/>
    </row>
    <row r="303" customFormat="false" ht="12.75" hidden="false" customHeight="false" outlineLevel="0" collapsed="false">
      <c r="A303" s="368"/>
      <c r="B303" s="368"/>
      <c r="P303" s="40"/>
      <c r="Q303" s="369"/>
      <c r="R303" s="369"/>
      <c r="S303" s="369"/>
      <c r="T303" s="369"/>
      <c r="U303" s="369"/>
      <c r="V303" s="369"/>
      <c r="W303" s="369"/>
      <c r="X303" s="369"/>
      <c r="Y303" s="369"/>
      <c r="Z303" s="369"/>
    </row>
    <row r="304" customFormat="false" ht="12.75" hidden="false" customHeight="false" outlineLevel="0" collapsed="false">
      <c r="A304" s="368"/>
      <c r="B304" s="368"/>
      <c r="P304" s="40"/>
      <c r="Q304" s="369"/>
      <c r="R304" s="369"/>
      <c r="S304" s="369"/>
      <c r="T304" s="369"/>
      <c r="U304" s="369"/>
      <c r="V304" s="369"/>
      <c r="W304" s="369"/>
      <c r="X304" s="369"/>
      <c r="Y304" s="369"/>
      <c r="Z304" s="369"/>
    </row>
    <row r="305" customFormat="false" ht="12.75" hidden="false" customHeight="false" outlineLevel="0" collapsed="false">
      <c r="A305" s="368"/>
      <c r="B305" s="368"/>
      <c r="P305" s="40"/>
      <c r="Q305" s="369"/>
      <c r="R305" s="369"/>
      <c r="S305" s="369"/>
      <c r="T305" s="369"/>
      <c r="U305" s="369"/>
      <c r="V305" s="369"/>
      <c r="W305" s="369"/>
      <c r="X305" s="369"/>
      <c r="Y305" s="369"/>
      <c r="Z305" s="369"/>
    </row>
    <row r="306" customFormat="false" ht="12.75" hidden="false" customHeight="false" outlineLevel="0" collapsed="false">
      <c r="A306" s="368"/>
      <c r="B306" s="368"/>
      <c r="P306" s="40"/>
      <c r="Q306" s="369"/>
      <c r="R306" s="369"/>
      <c r="S306" s="369"/>
      <c r="T306" s="369"/>
      <c r="U306" s="369"/>
      <c r="V306" s="369"/>
      <c r="W306" s="369"/>
      <c r="X306" s="369"/>
      <c r="Y306" s="369"/>
      <c r="Z306" s="369"/>
    </row>
    <row r="307" customFormat="false" ht="12.75" hidden="false" customHeight="false" outlineLevel="0" collapsed="false">
      <c r="A307" s="368"/>
      <c r="B307" s="368"/>
      <c r="P307" s="40"/>
      <c r="Q307" s="369"/>
      <c r="R307" s="369"/>
      <c r="S307" s="369"/>
      <c r="T307" s="369"/>
      <c r="U307" s="369"/>
      <c r="V307" s="369"/>
      <c r="W307" s="369"/>
      <c r="X307" s="369"/>
      <c r="Y307" s="369"/>
      <c r="Z307" s="369"/>
    </row>
    <row r="308" customFormat="false" ht="12.75" hidden="false" customHeight="false" outlineLevel="0" collapsed="false">
      <c r="A308" s="368"/>
      <c r="B308" s="368"/>
      <c r="P308" s="40"/>
      <c r="Q308" s="369"/>
      <c r="R308" s="369"/>
      <c r="S308" s="369"/>
      <c r="T308" s="369"/>
      <c r="U308" s="369"/>
      <c r="V308" s="369"/>
      <c r="W308" s="369"/>
      <c r="X308" s="369"/>
      <c r="Y308" s="369"/>
      <c r="Z308" s="369"/>
    </row>
    <row r="309" customFormat="false" ht="12.75" hidden="false" customHeight="false" outlineLevel="0" collapsed="false">
      <c r="A309" s="368"/>
      <c r="B309" s="368"/>
      <c r="P309" s="40"/>
      <c r="Q309" s="369"/>
      <c r="R309" s="369"/>
      <c r="S309" s="369"/>
      <c r="T309" s="369"/>
      <c r="U309" s="369"/>
      <c r="V309" s="369"/>
      <c r="W309" s="369"/>
      <c r="X309" s="369"/>
      <c r="Y309" s="369"/>
      <c r="Z309" s="369"/>
    </row>
    <row r="310" customFormat="false" ht="12.75" hidden="false" customHeight="false" outlineLevel="0" collapsed="false">
      <c r="A310" s="368"/>
      <c r="B310" s="368"/>
      <c r="P310" s="40"/>
      <c r="Q310" s="369"/>
      <c r="R310" s="369"/>
      <c r="S310" s="369"/>
      <c r="T310" s="369"/>
      <c r="U310" s="369"/>
      <c r="V310" s="369"/>
      <c r="W310" s="369"/>
      <c r="X310" s="369"/>
      <c r="Y310" s="369"/>
      <c r="Z310" s="369"/>
    </row>
    <row r="311" customFormat="false" ht="12.75" hidden="false" customHeight="false" outlineLevel="0" collapsed="false">
      <c r="A311" s="368"/>
      <c r="B311" s="368"/>
      <c r="P311" s="40"/>
      <c r="Q311" s="369"/>
      <c r="R311" s="369"/>
      <c r="S311" s="369"/>
      <c r="T311" s="369"/>
      <c r="U311" s="369"/>
      <c r="V311" s="369"/>
      <c r="W311" s="369"/>
      <c r="X311" s="369"/>
      <c r="Y311" s="369"/>
      <c r="Z311" s="369"/>
    </row>
    <row r="312" customFormat="false" ht="12.75" hidden="false" customHeight="false" outlineLevel="0" collapsed="false">
      <c r="A312" s="368"/>
      <c r="B312" s="368"/>
      <c r="P312" s="40"/>
      <c r="Q312" s="369"/>
      <c r="R312" s="369"/>
      <c r="S312" s="369"/>
      <c r="T312" s="369"/>
      <c r="U312" s="369"/>
      <c r="V312" s="369"/>
      <c r="W312" s="369"/>
      <c r="X312" s="369"/>
      <c r="Y312" s="369"/>
      <c r="Z312" s="369"/>
    </row>
    <row r="313" customFormat="false" ht="12.75" hidden="false" customHeight="false" outlineLevel="0" collapsed="false">
      <c r="A313" s="368"/>
      <c r="B313" s="368"/>
      <c r="P313" s="40"/>
      <c r="Q313" s="369"/>
      <c r="R313" s="369"/>
      <c r="S313" s="369"/>
      <c r="T313" s="369"/>
      <c r="U313" s="369"/>
      <c r="V313" s="369"/>
      <c r="W313" s="369"/>
      <c r="X313" s="369"/>
      <c r="Y313" s="369"/>
      <c r="Z313" s="369"/>
    </row>
    <row r="314" customFormat="false" ht="12.75" hidden="false" customHeight="false" outlineLevel="0" collapsed="false">
      <c r="A314" s="368"/>
      <c r="B314" s="368"/>
      <c r="P314" s="40"/>
      <c r="Q314" s="369"/>
      <c r="R314" s="369"/>
      <c r="S314" s="369"/>
      <c r="T314" s="369"/>
      <c r="U314" s="369"/>
      <c r="V314" s="369"/>
      <c r="W314" s="369"/>
      <c r="X314" s="369"/>
      <c r="Y314" s="369"/>
      <c r="Z314" s="369"/>
    </row>
    <row r="315" customFormat="false" ht="12.75" hidden="false" customHeight="false" outlineLevel="0" collapsed="false">
      <c r="A315" s="368"/>
      <c r="B315" s="368"/>
      <c r="P315" s="40"/>
      <c r="Q315" s="369"/>
      <c r="R315" s="369"/>
      <c r="S315" s="369"/>
      <c r="T315" s="369"/>
      <c r="U315" s="369"/>
      <c r="V315" s="369"/>
      <c r="W315" s="369"/>
      <c r="X315" s="369"/>
      <c r="Y315" s="369"/>
      <c r="Z315" s="369"/>
    </row>
    <row r="316" customFormat="false" ht="12.75" hidden="false" customHeight="false" outlineLevel="0" collapsed="false">
      <c r="A316" s="368"/>
      <c r="B316" s="368"/>
      <c r="P316" s="40"/>
      <c r="Q316" s="369"/>
      <c r="R316" s="369"/>
      <c r="S316" s="369"/>
      <c r="T316" s="369"/>
      <c r="U316" s="369"/>
      <c r="V316" s="369"/>
      <c r="W316" s="369"/>
      <c r="X316" s="369"/>
      <c r="Y316" s="369"/>
      <c r="Z316" s="369"/>
    </row>
    <row r="317" customFormat="false" ht="12.75" hidden="false" customHeight="false" outlineLevel="0" collapsed="false">
      <c r="A317" s="368"/>
      <c r="B317" s="368"/>
      <c r="P317" s="40"/>
      <c r="Q317" s="369"/>
      <c r="R317" s="369"/>
      <c r="S317" s="369"/>
      <c r="T317" s="369"/>
      <c r="U317" s="369"/>
      <c r="V317" s="369"/>
      <c r="W317" s="369"/>
      <c r="X317" s="369"/>
      <c r="Y317" s="369"/>
      <c r="Z317" s="369"/>
    </row>
    <row r="318" customFormat="false" ht="12.75" hidden="false" customHeight="false" outlineLevel="0" collapsed="false">
      <c r="A318" s="368"/>
      <c r="B318" s="368"/>
      <c r="P318" s="40"/>
      <c r="Q318" s="369"/>
      <c r="R318" s="369"/>
      <c r="S318" s="369"/>
      <c r="T318" s="369"/>
      <c r="U318" s="369"/>
      <c r="V318" s="369"/>
      <c r="W318" s="369"/>
      <c r="X318" s="369"/>
      <c r="Y318" s="369"/>
      <c r="Z318" s="369"/>
    </row>
    <row r="319" customFormat="false" ht="12.75" hidden="false" customHeight="false" outlineLevel="0" collapsed="false">
      <c r="A319" s="368"/>
      <c r="B319" s="368"/>
      <c r="P319" s="40"/>
      <c r="Q319" s="369"/>
      <c r="R319" s="369"/>
      <c r="S319" s="369"/>
      <c r="T319" s="369"/>
      <c r="U319" s="369"/>
      <c r="V319" s="369"/>
      <c r="W319" s="369"/>
      <c r="X319" s="369"/>
      <c r="Y319" s="369"/>
      <c r="Z319" s="369"/>
    </row>
    <row r="320" customFormat="false" ht="12.75" hidden="false" customHeight="false" outlineLevel="0" collapsed="false">
      <c r="A320" s="368"/>
      <c r="B320" s="368"/>
      <c r="P320" s="40"/>
      <c r="Q320" s="369"/>
      <c r="R320" s="369"/>
      <c r="S320" s="369"/>
      <c r="T320" s="369"/>
      <c r="U320" s="369"/>
      <c r="V320" s="369"/>
      <c r="W320" s="369"/>
      <c r="X320" s="369"/>
      <c r="Y320" s="369"/>
      <c r="Z320" s="369"/>
    </row>
    <row r="321" customFormat="false" ht="12.75" hidden="false" customHeight="false" outlineLevel="0" collapsed="false">
      <c r="A321" s="368"/>
      <c r="B321" s="368"/>
      <c r="P321" s="40"/>
      <c r="Q321" s="369"/>
      <c r="R321" s="369"/>
      <c r="S321" s="369"/>
      <c r="T321" s="369"/>
      <c r="U321" s="369"/>
      <c r="V321" s="369"/>
      <c r="W321" s="369"/>
      <c r="X321" s="369"/>
      <c r="Y321" s="369"/>
      <c r="Z321" s="369"/>
    </row>
    <row r="322" customFormat="false" ht="12.75" hidden="false" customHeight="false" outlineLevel="0" collapsed="false">
      <c r="A322" s="368"/>
      <c r="B322" s="368"/>
      <c r="P322" s="40"/>
      <c r="Q322" s="369"/>
      <c r="R322" s="369"/>
      <c r="S322" s="369"/>
      <c r="T322" s="369"/>
      <c r="U322" s="369"/>
      <c r="V322" s="369"/>
      <c r="W322" s="369"/>
      <c r="X322" s="369"/>
      <c r="Y322" s="369"/>
      <c r="Z322" s="369"/>
    </row>
    <row r="323" customFormat="false" ht="12.75" hidden="false" customHeight="false" outlineLevel="0" collapsed="false">
      <c r="A323" s="368"/>
      <c r="B323" s="368"/>
      <c r="P323" s="40"/>
      <c r="Q323" s="369"/>
      <c r="R323" s="369"/>
      <c r="S323" s="369"/>
      <c r="T323" s="369"/>
      <c r="U323" s="369"/>
      <c r="V323" s="369"/>
      <c r="W323" s="369"/>
      <c r="X323" s="369"/>
      <c r="Y323" s="369"/>
      <c r="Z323" s="369"/>
    </row>
    <row r="324" customFormat="false" ht="12.75" hidden="false" customHeight="false" outlineLevel="0" collapsed="false">
      <c r="A324" s="368"/>
      <c r="B324" s="368"/>
      <c r="P324" s="40"/>
      <c r="Q324" s="369"/>
      <c r="R324" s="369"/>
      <c r="S324" s="369"/>
      <c r="T324" s="369"/>
      <c r="U324" s="369"/>
      <c r="V324" s="369"/>
      <c r="W324" s="369"/>
      <c r="X324" s="369"/>
      <c r="Y324" s="369"/>
      <c r="Z324" s="369"/>
    </row>
    <row r="325" customFormat="false" ht="12.75" hidden="false" customHeight="false" outlineLevel="0" collapsed="false">
      <c r="A325" s="368"/>
      <c r="B325" s="368"/>
      <c r="P325" s="40"/>
      <c r="Q325" s="369"/>
      <c r="R325" s="369"/>
      <c r="S325" s="369"/>
      <c r="T325" s="369"/>
      <c r="U325" s="369"/>
      <c r="V325" s="369"/>
      <c r="W325" s="369"/>
      <c r="X325" s="369"/>
      <c r="Y325" s="369"/>
      <c r="Z325" s="369"/>
    </row>
    <row r="326" customFormat="false" ht="12.75" hidden="false" customHeight="false" outlineLevel="0" collapsed="false">
      <c r="A326" s="368"/>
      <c r="B326" s="368"/>
      <c r="P326" s="40"/>
      <c r="Q326" s="369"/>
      <c r="R326" s="369"/>
      <c r="S326" s="369"/>
      <c r="T326" s="369"/>
      <c r="U326" s="369"/>
      <c r="V326" s="369"/>
      <c r="W326" s="369"/>
      <c r="X326" s="369"/>
      <c r="Y326" s="369"/>
      <c r="Z326" s="369"/>
    </row>
    <row r="327" customFormat="false" ht="12.75" hidden="false" customHeight="false" outlineLevel="0" collapsed="false">
      <c r="A327" s="368"/>
      <c r="B327" s="368"/>
      <c r="P327" s="40"/>
      <c r="Q327" s="369"/>
      <c r="R327" s="369"/>
      <c r="S327" s="369"/>
      <c r="T327" s="369"/>
      <c r="U327" s="369"/>
      <c r="V327" s="369"/>
      <c r="W327" s="369"/>
      <c r="X327" s="369"/>
      <c r="Y327" s="369"/>
      <c r="Z327" s="369"/>
    </row>
    <row r="328" customFormat="false" ht="12.75" hidden="false" customHeight="false" outlineLevel="0" collapsed="false">
      <c r="A328" s="368"/>
      <c r="B328" s="368"/>
      <c r="P328" s="40"/>
      <c r="Q328" s="369"/>
      <c r="R328" s="369"/>
      <c r="S328" s="369"/>
      <c r="T328" s="369"/>
      <c r="U328" s="369"/>
      <c r="V328" s="369"/>
      <c r="W328" s="369"/>
      <c r="X328" s="369"/>
      <c r="Y328" s="369"/>
      <c r="Z328" s="369"/>
    </row>
    <row r="329" customFormat="false" ht="12.75" hidden="false" customHeight="false" outlineLevel="0" collapsed="false">
      <c r="A329" s="368"/>
      <c r="B329" s="368"/>
      <c r="P329" s="40"/>
      <c r="Q329" s="369"/>
      <c r="R329" s="369"/>
      <c r="S329" s="369"/>
      <c r="T329" s="369"/>
      <c r="U329" s="369"/>
      <c r="V329" s="369"/>
      <c r="W329" s="369"/>
      <c r="X329" s="369"/>
      <c r="Y329" s="369"/>
      <c r="Z329" s="369"/>
    </row>
    <row r="330" customFormat="false" ht="12.75" hidden="false" customHeight="false" outlineLevel="0" collapsed="false">
      <c r="A330" s="368"/>
      <c r="B330" s="368"/>
      <c r="P330" s="40"/>
      <c r="Q330" s="369"/>
      <c r="R330" s="369"/>
      <c r="S330" s="369"/>
      <c r="T330" s="369"/>
      <c r="U330" s="369"/>
      <c r="V330" s="369"/>
      <c r="W330" s="369"/>
      <c r="X330" s="369"/>
      <c r="Y330" s="369"/>
      <c r="Z330" s="369"/>
    </row>
    <row r="331" customFormat="false" ht="12.75" hidden="false" customHeight="false" outlineLevel="0" collapsed="false">
      <c r="A331" s="368"/>
      <c r="B331" s="368"/>
      <c r="P331" s="40"/>
      <c r="Q331" s="369"/>
      <c r="R331" s="369"/>
      <c r="S331" s="369"/>
      <c r="T331" s="369"/>
      <c r="U331" s="369"/>
      <c r="V331" s="369"/>
      <c r="W331" s="369"/>
      <c r="X331" s="369"/>
      <c r="Y331" s="369"/>
      <c r="Z331" s="369"/>
    </row>
    <row r="332" customFormat="false" ht="12.75" hidden="false" customHeight="false" outlineLevel="0" collapsed="false">
      <c r="A332" s="368"/>
      <c r="B332" s="368"/>
      <c r="P332" s="40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</row>
    <row r="333" customFormat="false" ht="12.75" hidden="false" customHeight="false" outlineLevel="0" collapsed="false">
      <c r="A333" s="368"/>
      <c r="B333" s="368"/>
      <c r="P333" s="40"/>
      <c r="Q333" s="369"/>
      <c r="R333" s="369"/>
      <c r="S333" s="369"/>
      <c r="T333" s="369"/>
      <c r="U333" s="369"/>
      <c r="V333" s="369"/>
      <c r="W333" s="369"/>
      <c r="X333" s="369"/>
      <c r="Y333" s="369"/>
      <c r="Z333" s="369"/>
    </row>
    <row r="334" customFormat="false" ht="12.75" hidden="false" customHeight="false" outlineLevel="0" collapsed="false">
      <c r="A334" s="368"/>
      <c r="B334" s="368"/>
      <c r="P334" s="40"/>
      <c r="Q334" s="369"/>
      <c r="R334" s="369"/>
      <c r="S334" s="369"/>
      <c r="T334" s="369"/>
      <c r="U334" s="369"/>
      <c r="V334" s="369"/>
      <c r="W334" s="369"/>
      <c r="X334" s="369"/>
      <c r="Y334" s="369"/>
      <c r="Z334" s="369"/>
    </row>
    <row r="335" customFormat="false" ht="12.75" hidden="false" customHeight="false" outlineLevel="0" collapsed="false">
      <c r="A335" s="368"/>
      <c r="B335" s="368"/>
      <c r="P335" s="40"/>
      <c r="Q335" s="369"/>
      <c r="R335" s="369"/>
      <c r="S335" s="369"/>
      <c r="T335" s="369"/>
      <c r="U335" s="369"/>
      <c r="V335" s="369"/>
      <c r="W335" s="369"/>
      <c r="X335" s="369"/>
      <c r="Y335" s="369"/>
      <c r="Z335" s="369"/>
    </row>
    <row r="336" customFormat="false" ht="12.75" hidden="false" customHeight="false" outlineLevel="0" collapsed="false">
      <c r="A336" s="368"/>
      <c r="B336" s="368"/>
      <c r="P336" s="40"/>
      <c r="Q336" s="369"/>
      <c r="R336" s="369"/>
      <c r="S336" s="369"/>
      <c r="T336" s="369"/>
      <c r="U336" s="369"/>
      <c r="V336" s="369"/>
      <c r="W336" s="369"/>
      <c r="X336" s="369"/>
      <c r="Y336" s="369"/>
      <c r="Z336" s="369"/>
    </row>
    <row r="337" customFormat="false" ht="12.75" hidden="false" customHeight="false" outlineLevel="0" collapsed="false">
      <c r="A337" s="368"/>
      <c r="B337" s="368"/>
      <c r="P337" s="40"/>
      <c r="Q337" s="369"/>
      <c r="R337" s="369"/>
      <c r="S337" s="369"/>
      <c r="T337" s="369"/>
      <c r="U337" s="369"/>
      <c r="V337" s="369"/>
      <c r="W337" s="369"/>
      <c r="X337" s="369"/>
      <c r="Y337" s="369"/>
      <c r="Z337" s="369"/>
    </row>
    <row r="338" customFormat="false" ht="12.75" hidden="false" customHeight="false" outlineLevel="0" collapsed="false">
      <c r="A338" s="368"/>
      <c r="B338" s="368"/>
      <c r="P338" s="40"/>
      <c r="Q338" s="369"/>
      <c r="R338" s="369"/>
      <c r="S338" s="369"/>
      <c r="T338" s="369"/>
      <c r="U338" s="369"/>
      <c r="V338" s="369"/>
      <c r="W338" s="369"/>
      <c r="X338" s="369"/>
      <c r="Y338" s="369"/>
      <c r="Z338" s="369"/>
    </row>
    <row r="339" customFormat="false" ht="12.75" hidden="false" customHeight="false" outlineLevel="0" collapsed="false">
      <c r="A339" s="368"/>
      <c r="B339" s="368"/>
      <c r="P339" s="40"/>
      <c r="Q339" s="369"/>
      <c r="R339" s="369"/>
      <c r="S339" s="369"/>
      <c r="T339" s="369"/>
      <c r="U339" s="369"/>
      <c r="V339" s="369"/>
      <c r="W339" s="369"/>
      <c r="X339" s="369"/>
      <c r="Y339" s="369"/>
      <c r="Z339" s="369"/>
    </row>
    <row r="340" customFormat="false" ht="12.75" hidden="false" customHeight="false" outlineLevel="0" collapsed="false">
      <c r="A340" s="368"/>
      <c r="B340" s="368"/>
      <c r="P340" s="40"/>
      <c r="Q340" s="369"/>
      <c r="R340" s="369"/>
      <c r="S340" s="369"/>
      <c r="T340" s="369"/>
      <c r="U340" s="369"/>
      <c r="V340" s="369"/>
      <c r="W340" s="369"/>
      <c r="X340" s="369"/>
      <c r="Y340" s="369"/>
      <c r="Z340" s="369"/>
    </row>
    <row r="341" customFormat="false" ht="12.75" hidden="false" customHeight="false" outlineLevel="0" collapsed="false">
      <c r="A341" s="368"/>
      <c r="B341" s="368"/>
      <c r="P341" s="40"/>
      <c r="Q341" s="369"/>
      <c r="R341" s="369"/>
      <c r="S341" s="369"/>
      <c r="T341" s="369"/>
      <c r="U341" s="369"/>
      <c r="V341" s="369"/>
      <c r="W341" s="369"/>
      <c r="X341" s="369"/>
      <c r="Y341" s="369"/>
      <c r="Z341" s="369"/>
    </row>
    <row r="342" customFormat="false" ht="12.75" hidden="false" customHeight="false" outlineLevel="0" collapsed="false">
      <c r="A342" s="368"/>
      <c r="B342" s="368"/>
      <c r="P342" s="40"/>
      <c r="Q342" s="369"/>
      <c r="R342" s="369"/>
      <c r="S342" s="369"/>
      <c r="T342" s="369"/>
      <c r="U342" s="369"/>
      <c r="V342" s="369"/>
      <c r="W342" s="369"/>
      <c r="X342" s="369"/>
      <c r="Y342" s="369"/>
      <c r="Z342" s="369"/>
    </row>
    <row r="343" customFormat="false" ht="12.75" hidden="false" customHeight="false" outlineLevel="0" collapsed="false">
      <c r="A343" s="368"/>
      <c r="B343" s="368"/>
      <c r="P343" s="40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</row>
    <row r="344" customFormat="false" ht="12.75" hidden="false" customHeight="false" outlineLevel="0" collapsed="false">
      <c r="A344" s="368"/>
      <c r="B344" s="368"/>
      <c r="P344" s="40"/>
      <c r="Q344" s="369"/>
      <c r="R344" s="369"/>
      <c r="S344" s="369"/>
      <c r="T344" s="369"/>
      <c r="U344" s="369"/>
      <c r="V344" s="369"/>
      <c r="W344" s="369"/>
      <c r="X344" s="369"/>
      <c r="Y344" s="369"/>
      <c r="Z344" s="369"/>
    </row>
    <row r="345" customFormat="false" ht="12.75" hidden="false" customHeight="false" outlineLevel="0" collapsed="false">
      <c r="A345" s="368"/>
      <c r="B345" s="368"/>
      <c r="P345" s="40"/>
      <c r="Q345" s="369"/>
      <c r="R345" s="369"/>
      <c r="S345" s="369"/>
      <c r="T345" s="369"/>
      <c r="U345" s="369"/>
      <c r="V345" s="369"/>
      <c r="W345" s="369"/>
      <c r="X345" s="369"/>
      <c r="Y345" s="369"/>
      <c r="Z345" s="369"/>
    </row>
    <row r="346" customFormat="false" ht="12.75" hidden="false" customHeight="false" outlineLevel="0" collapsed="false">
      <c r="A346" s="368"/>
      <c r="B346" s="368"/>
      <c r="P346" s="40"/>
      <c r="Q346" s="369"/>
      <c r="R346" s="369"/>
      <c r="S346" s="369"/>
      <c r="T346" s="369"/>
      <c r="U346" s="369"/>
      <c r="V346" s="369"/>
      <c r="W346" s="369"/>
      <c r="X346" s="369"/>
      <c r="Y346" s="369"/>
      <c r="Z346" s="369"/>
    </row>
    <row r="347" customFormat="false" ht="12.75" hidden="false" customHeight="false" outlineLevel="0" collapsed="false">
      <c r="A347" s="368"/>
      <c r="B347" s="368"/>
      <c r="P347" s="40"/>
      <c r="Q347" s="369"/>
      <c r="R347" s="369"/>
      <c r="S347" s="369"/>
      <c r="T347" s="369"/>
      <c r="U347" s="369"/>
      <c r="V347" s="369"/>
      <c r="W347" s="369"/>
      <c r="X347" s="369"/>
      <c r="Y347" s="369"/>
      <c r="Z347" s="369"/>
    </row>
    <row r="348" customFormat="false" ht="12.75" hidden="false" customHeight="false" outlineLevel="0" collapsed="false">
      <c r="A348" s="368"/>
      <c r="B348" s="368"/>
      <c r="P348" s="40"/>
      <c r="Q348" s="369"/>
      <c r="R348" s="369"/>
      <c r="S348" s="369"/>
      <c r="T348" s="369"/>
      <c r="U348" s="369"/>
      <c r="V348" s="369"/>
      <c r="W348" s="369"/>
      <c r="X348" s="369"/>
      <c r="Y348" s="369"/>
      <c r="Z348" s="369"/>
    </row>
    <row r="349" customFormat="false" ht="12.75" hidden="false" customHeight="false" outlineLevel="0" collapsed="false">
      <c r="A349" s="368"/>
      <c r="B349" s="368"/>
      <c r="P349" s="40"/>
      <c r="Q349" s="369"/>
      <c r="R349" s="369"/>
      <c r="S349" s="369"/>
      <c r="T349" s="369"/>
      <c r="U349" s="369"/>
      <c r="V349" s="369"/>
      <c r="W349" s="369"/>
      <c r="X349" s="369"/>
      <c r="Y349" s="369"/>
      <c r="Z349" s="369"/>
    </row>
    <row r="350" customFormat="false" ht="12.75" hidden="false" customHeight="false" outlineLevel="0" collapsed="false">
      <c r="A350" s="368"/>
      <c r="B350" s="368"/>
      <c r="P350" s="40"/>
      <c r="Q350" s="369"/>
      <c r="R350" s="369"/>
      <c r="S350" s="369"/>
      <c r="T350" s="369"/>
      <c r="U350" s="369"/>
      <c r="V350" s="369"/>
      <c r="W350" s="369"/>
      <c r="X350" s="369"/>
      <c r="Y350" s="369"/>
      <c r="Z350" s="369"/>
    </row>
    <row r="351" customFormat="false" ht="12.75" hidden="false" customHeight="false" outlineLevel="0" collapsed="false">
      <c r="A351" s="368"/>
      <c r="B351" s="368"/>
      <c r="P351" s="40"/>
      <c r="Q351" s="369"/>
      <c r="R351" s="369"/>
      <c r="S351" s="369"/>
      <c r="T351" s="369"/>
      <c r="U351" s="369"/>
      <c r="V351" s="369"/>
      <c r="W351" s="369"/>
      <c r="X351" s="369"/>
      <c r="Y351" s="369"/>
      <c r="Z351" s="369"/>
    </row>
    <row r="352" customFormat="false" ht="12.75" hidden="false" customHeight="false" outlineLevel="0" collapsed="false">
      <c r="A352" s="368"/>
      <c r="B352" s="368"/>
      <c r="P352" s="40"/>
      <c r="Q352" s="369"/>
      <c r="R352" s="369"/>
      <c r="S352" s="369"/>
      <c r="T352" s="369"/>
      <c r="U352" s="369"/>
      <c r="V352" s="369"/>
      <c r="W352" s="369"/>
      <c r="X352" s="369"/>
      <c r="Y352" s="369"/>
      <c r="Z352" s="369"/>
    </row>
    <row r="353" customFormat="false" ht="12.75" hidden="false" customHeight="false" outlineLevel="0" collapsed="false">
      <c r="A353" s="368"/>
      <c r="B353" s="368"/>
      <c r="P353" s="40"/>
      <c r="Q353" s="369"/>
      <c r="R353" s="369"/>
      <c r="S353" s="369"/>
      <c r="T353" s="369"/>
      <c r="U353" s="369"/>
      <c r="V353" s="369"/>
      <c r="W353" s="369"/>
      <c r="X353" s="369"/>
      <c r="Y353" s="369"/>
      <c r="Z353" s="369"/>
    </row>
    <row r="354" customFormat="false" ht="12.75" hidden="false" customHeight="false" outlineLevel="0" collapsed="false">
      <c r="A354" s="368"/>
      <c r="B354" s="368"/>
      <c r="P354" s="40"/>
      <c r="Q354" s="369"/>
      <c r="R354" s="369"/>
      <c r="S354" s="369"/>
      <c r="T354" s="369"/>
      <c r="U354" s="369"/>
      <c r="V354" s="369"/>
      <c r="W354" s="369"/>
      <c r="X354" s="369"/>
      <c r="Y354" s="369"/>
      <c r="Z354" s="369"/>
    </row>
    <row r="355" customFormat="false" ht="12.75" hidden="false" customHeight="false" outlineLevel="0" collapsed="false">
      <c r="A355" s="368"/>
      <c r="B355" s="368"/>
      <c r="P355" s="40"/>
      <c r="Q355" s="369"/>
      <c r="R355" s="369"/>
      <c r="S355" s="369"/>
      <c r="T355" s="369"/>
      <c r="U355" s="369"/>
      <c r="V355" s="369"/>
      <c r="W355" s="369"/>
      <c r="X355" s="369"/>
      <c r="Y355" s="369"/>
      <c r="Z355" s="369"/>
    </row>
    <row r="356" customFormat="false" ht="12.75" hidden="false" customHeight="false" outlineLevel="0" collapsed="false">
      <c r="A356" s="368"/>
      <c r="B356" s="368"/>
      <c r="P356" s="40"/>
      <c r="Q356" s="369"/>
      <c r="R356" s="369"/>
      <c r="S356" s="369"/>
      <c r="T356" s="369"/>
      <c r="U356" s="369"/>
      <c r="V356" s="369"/>
      <c r="W356" s="369"/>
      <c r="X356" s="369"/>
      <c r="Y356" s="369"/>
      <c r="Z356" s="369"/>
    </row>
    <row r="357" customFormat="false" ht="12.75" hidden="false" customHeight="false" outlineLevel="0" collapsed="false">
      <c r="A357" s="368"/>
      <c r="B357" s="368"/>
      <c r="P357" s="40"/>
      <c r="Q357" s="369"/>
      <c r="R357" s="369"/>
      <c r="S357" s="369"/>
      <c r="T357" s="369"/>
      <c r="U357" s="369"/>
      <c r="V357" s="369"/>
      <c r="W357" s="369"/>
      <c r="X357" s="369"/>
      <c r="Y357" s="369"/>
      <c r="Z357" s="369"/>
    </row>
    <row r="358" customFormat="false" ht="12.75" hidden="false" customHeight="false" outlineLevel="0" collapsed="false">
      <c r="A358" s="368"/>
      <c r="B358" s="368"/>
      <c r="P358" s="40"/>
      <c r="Q358" s="369"/>
      <c r="R358" s="369"/>
      <c r="S358" s="369"/>
      <c r="T358" s="369"/>
      <c r="U358" s="369"/>
      <c r="V358" s="369"/>
      <c r="W358" s="369"/>
      <c r="X358" s="369"/>
      <c r="Y358" s="369"/>
      <c r="Z358" s="369"/>
    </row>
    <row r="359" customFormat="false" ht="12.75" hidden="false" customHeight="false" outlineLevel="0" collapsed="false">
      <c r="A359" s="368"/>
      <c r="B359" s="368"/>
      <c r="P359" s="40"/>
      <c r="Q359" s="369"/>
      <c r="R359" s="369"/>
      <c r="S359" s="369"/>
      <c r="T359" s="369"/>
      <c r="U359" s="369"/>
      <c r="V359" s="369"/>
      <c r="W359" s="369"/>
      <c r="X359" s="369"/>
      <c r="Y359" s="369"/>
      <c r="Z359" s="369"/>
    </row>
    <row r="360" customFormat="false" ht="12.75" hidden="false" customHeight="false" outlineLevel="0" collapsed="false">
      <c r="A360" s="368"/>
      <c r="B360" s="368"/>
      <c r="P360" s="40"/>
      <c r="Q360" s="369"/>
      <c r="R360" s="369"/>
      <c r="S360" s="369"/>
      <c r="T360" s="369"/>
      <c r="U360" s="369"/>
      <c r="V360" s="369"/>
      <c r="W360" s="369"/>
      <c r="X360" s="369"/>
      <c r="Y360" s="369"/>
      <c r="Z360" s="369"/>
    </row>
    <row r="361" customFormat="false" ht="12.75" hidden="false" customHeight="false" outlineLevel="0" collapsed="false">
      <c r="A361" s="368"/>
      <c r="B361" s="368"/>
      <c r="P361" s="40"/>
      <c r="Q361" s="369"/>
      <c r="R361" s="369"/>
      <c r="S361" s="369"/>
      <c r="T361" s="369"/>
      <c r="U361" s="369"/>
      <c r="V361" s="369"/>
      <c r="W361" s="369"/>
      <c r="X361" s="369"/>
      <c r="Y361" s="369"/>
      <c r="Z361" s="369"/>
    </row>
    <row r="362" customFormat="false" ht="12.75" hidden="false" customHeight="false" outlineLevel="0" collapsed="false">
      <c r="A362" s="368"/>
      <c r="B362" s="368"/>
      <c r="P362" s="40"/>
      <c r="Q362" s="369"/>
      <c r="R362" s="369"/>
      <c r="S362" s="369"/>
      <c r="T362" s="369"/>
      <c r="U362" s="369"/>
      <c r="V362" s="369"/>
      <c r="W362" s="369"/>
      <c r="X362" s="369"/>
      <c r="Y362" s="369"/>
      <c r="Z362" s="369"/>
    </row>
    <row r="363" customFormat="false" ht="12.75" hidden="false" customHeight="false" outlineLevel="0" collapsed="false">
      <c r="A363" s="368"/>
      <c r="B363" s="368"/>
      <c r="P363" s="40"/>
      <c r="Q363" s="369"/>
      <c r="R363" s="369"/>
      <c r="S363" s="369"/>
      <c r="T363" s="369"/>
      <c r="U363" s="369"/>
      <c r="V363" s="369"/>
      <c r="W363" s="369"/>
      <c r="X363" s="369"/>
      <c r="Y363" s="369"/>
      <c r="Z363" s="369"/>
    </row>
    <row r="364" customFormat="false" ht="12.75" hidden="false" customHeight="false" outlineLevel="0" collapsed="false">
      <c r="A364" s="368"/>
      <c r="B364" s="368"/>
      <c r="P364" s="40"/>
      <c r="Q364" s="369"/>
      <c r="R364" s="369"/>
      <c r="S364" s="369"/>
      <c r="T364" s="369"/>
      <c r="U364" s="369"/>
      <c r="V364" s="369"/>
      <c r="W364" s="369"/>
      <c r="X364" s="369"/>
      <c r="Y364" s="369"/>
      <c r="Z364" s="369"/>
    </row>
    <row r="365" customFormat="false" ht="12.75" hidden="false" customHeight="false" outlineLevel="0" collapsed="false">
      <c r="A365" s="368"/>
      <c r="B365" s="368"/>
      <c r="P365" s="40"/>
      <c r="Q365" s="369"/>
      <c r="R365" s="369"/>
      <c r="S365" s="369"/>
      <c r="T365" s="369"/>
      <c r="U365" s="369"/>
      <c r="V365" s="369"/>
      <c r="W365" s="369"/>
      <c r="X365" s="369"/>
      <c r="Y365" s="369"/>
      <c r="Z365" s="369"/>
    </row>
    <row r="366" customFormat="false" ht="12.75" hidden="false" customHeight="false" outlineLevel="0" collapsed="false">
      <c r="A366" s="368"/>
      <c r="B366" s="368"/>
      <c r="P366" s="40"/>
      <c r="Q366" s="369"/>
      <c r="R366" s="369"/>
      <c r="S366" s="369"/>
      <c r="T366" s="369"/>
      <c r="U366" s="369"/>
      <c r="V366" s="369"/>
      <c r="W366" s="369"/>
      <c r="X366" s="369"/>
      <c r="Y366" s="369"/>
      <c r="Z366" s="369"/>
    </row>
    <row r="367" customFormat="false" ht="12.75" hidden="false" customHeight="false" outlineLevel="0" collapsed="false">
      <c r="A367" s="368"/>
      <c r="B367" s="368"/>
      <c r="P367" s="40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</row>
    <row r="368" customFormat="false" ht="12.75" hidden="false" customHeight="false" outlineLevel="0" collapsed="false">
      <c r="A368" s="368"/>
      <c r="B368" s="368"/>
      <c r="P368" s="40"/>
      <c r="Q368" s="369"/>
      <c r="R368" s="369"/>
      <c r="S368" s="369"/>
      <c r="T368" s="369"/>
      <c r="U368" s="369"/>
      <c r="V368" s="369"/>
      <c r="W368" s="369"/>
      <c r="X368" s="369"/>
      <c r="Y368" s="369"/>
      <c r="Z368" s="369"/>
    </row>
    <row r="369" customFormat="false" ht="12.75" hidden="false" customHeight="false" outlineLevel="0" collapsed="false">
      <c r="A369" s="368"/>
      <c r="B369" s="368"/>
      <c r="P369" s="40"/>
      <c r="Q369" s="369"/>
      <c r="R369" s="369"/>
      <c r="S369" s="369"/>
      <c r="T369" s="369"/>
      <c r="U369" s="369"/>
      <c r="V369" s="369"/>
      <c r="W369" s="369"/>
      <c r="X369" s="369"/>
      <c r="Y369" s="369"/>
      <c r="Z369" s="369"/>
    </row>
    <row r="370" customFormat="false" ht="12.75" hidden="false" customHeight="false" outlineLevel="0" collapsed="false">
      <c r="A370" s="368"/>
      <c r="B370" s="368"/>
      <c r="P370" s="40"/>
      <c r="Q370" s="369"/>
      <c r="R370" s="369"/>
      <c r="S370" s="369"/>
      <c r="T370" s="369"/>
      <c r="U370" s="369"/>
      <c r="V370" s="369"/>
      <c r="W370" s="369"/>
      <c r="X370" s="369"/>
      <c r="Y370" s="369"/>
      <c r="Z370" s="369"/>
    </row>
    <row r="371" customFormat="false" ht="12.75" hidden="false" customHeight="false" outlineLevel="0" collapsed="false">
      <c r="A371" s="368"/>
      <c r="B371" s="368"/>
      <c r="P371" s="40"/>
      <c r="Q371" s="369"/>
      <c r="R371" s="369"/>
      <c r="S371" s="369"/>
      <c r="T371" s="369"/>
      <c r="U371" s="369"/>
      <c r="V371" s="369"/>
      <c r="W371" s="369"/>
      <c r="X371" s="369"/>
      <c r="Y371" s="369"/>
      <c r="Z371" s="369"/>
    </row>
    <row r="372" customFormat="false" ht="12.75" hidden="false" customHeight="false" outlineLevel="0" collapsed="false">
      <c r="A372" s="368"/>
      <c r="B372" s="368"/>
      <c r="P372" s="40"/>
      <c r="Q372" s="369"/>
      <c r="R372" s="369"/>
      <c r="S372" s="369"/>
      <c r="T372" s="369"/>
      <c r="U372" s="369"/>
      <c r="V372" s="369"/>
      <c r="W372" s="369"/>
      <c r="X372" s="369"/>
      <c r="Y372" s="369"/>
      <c r="Z372" s="369"/>
    </row>
    <row r="373" customFormat="false" ht="12.75" hidden="false" customHeight="false" outlineLevel="0" collapsed="false">
      <c r="A373" s="368"/>
      <c r="B373" s="368"/>
      <c r="P373" s="40"/>
      <c r="Q373" s="369"/>
      <c r="R373" s="369"/>
      <c r="S373" s="369"/>
      <c r="T373" s="369"/>
      <c r="U373" s="369"/>
      <c r="V373" s="369"/>
      <c r="W373" s="369"/>
      <c r="X373" s="369"/>
      <c r="Y373" s="369"/>
      <c r="Z373" s="369"/>
    </row>
    <row r="374" customFormat="false" ht="12.75" hidden="false" customHeight="false" outlineLevel="0" collapsed="false">
      <c r="A374" s="368"/>
      <c r="B374" s="368"/>
      <c r="P374" s="40"/>
      <c r="Q374" s="369"/>
      <c r="R374" s="369"/>
      <c r="S374" s="369"/>
      <c r="T374" s="369"/>
      <c r="U374" s="369"/>
      <c r="V374" s="369"/>
      <c r="W374" s="369"/>
      <c r="X374" s="369"/>
      <c r="Y374" s="369"/>
      <c r="Z374" s="369"/>
    </row>
    <row r="375" customFormat="false" ht="12.75" hidden="false" customHeight="false" outlineLevel="0" collapsed="false">
      <c r="A375" s="368"/>
      <c r="B375" s="368"/>
      <c r="P375" s="40"/>
      <c r="Q375" s="369"/>
      <c r="R375" s="369"/>
      <c r="S375" s="369"/>
      <c r="T375" s="369"/>
      <c r="U375" s="369"/>
      <c r="V375" s="369"/>
      <c r="W375" s="369"/>
      <c r="X375" s="369"/>
      <c r="Y375" s="369"/>
      <c r="Z375" s="369"/>
    </row>
    <row r="376" customFormat="false" ht="12.75" hidden="false" customHeight="false" outlineLevel="0" collapsed="false">
      <c r="A376" s="368"/>
      <c r="B376" s="368"/>
      <c r="P376" s="40"/>
      <c r="Q376" s="369"/>
      <c r="R376" s="369"/>
      <c r="S376" s="369"/>
      <c r="T376" s="369"/>
      <c r="U376" s="369"/>
      <c r="V376" s="369"/>
      <c r="W376" s="369"/>
      <c r="X376" s="369"/>
      <c r="Y376" s="369"/>
      <c r="Z376" s="369"/>
    </row>
    <row r="377" customFormat="false" ht="12.75" hidden="false" customHeight="false" outlineLevel="0" collapsed="false">
      <c r="A377" s="368"/>
      <c r="B377" s="368"/>
      <c r="P377" s="40"/>
      <c r="Q377" s="369"/>
      <c r="R377" s="369"/>
      <c r="S377" s="369"/>
      <c r="T377" s="369"/>
      <c r="U377" s="369"/>
      <c r="V377" s="369"/>
      <c r="W377" s="369"/>
      <c r="X377" s="369"/>
      <c r="Y377" s="369"/>
      <c r="Z377" s="369"/>
    </row>
    <row r="378" customFormat="false" ht="12.75" hidden="false" customHeight="false" outlineLevel="0" collapsed="false">
      <c r="A378" s="368"/>
      <c r="B378" s="368"/>
      <c r="P378" s="40"/>
      <c r="Q378" s="369"/>
      <c r="R378" s="369"/>
      <c r="S378" s="369"/>
      <c r="T378" s="369"/>
      <c r="U378" s="369"/>
      <c r="V378" s="369"/>
      <c r="W378" s="369"/>
      <c r="X378" s="369"/>
      <c r="Y378" s="369"/>
      <c r="Z378" s="369"/>
    </row>
    <row r="379" customFormat="false" ht="12.75" hidden="false" customHeight="false" outlineLevel="0" collapsed="false">
      <c r="A379" s="368"/>
      <c r="B379" s="368"/>
      <c r="P379" s="40"/>
      <c r="Q379" s="369"/>
      <c r="R379" s="369"/>
      <c r="S379" s="369"/>
      <c r="T379" s="369"/>
      <c r="U379" s="369"/>
      <c r="V379" s="369"/>
      <c r="W379" s="369"/>
      <c r="X379" s="369"/>
      <c r="Y379" s="369"/>
      <c r="Z379" s="369"/>
    </row>
    <row r="380" customFormat="false" ht="12.75" hidden="false" customHeight="false" outlineLevel="0" collapsed="false">
      <c r="A380" s="368"/>
      <c r="B380" s="368"/>
      <c r="P380" s="40"/>
      <c r="Q380" s="369"/>
      <c r="R380" s="369"/>
      <c r="S380" s="369"/>
      <c r="T380" s="369"/>
      <c r="U380" s="369"/>
      <c r="V380" s="369"/>
      <c r="W380" s="369"/>
      <c r="X380" s="369"/>
      <c r="Y380" s="369"/>
      <c r="Z380" s="369"/>
    </row>
    <row r="381" customFormat="false" ht="12.75" hidden="false" customHeight="false" outlineLevel="0" collapsed="false">
      <c r="A381" s="368"/>
      <c r="B381" s="368"/>
      <c r="P381" s="40"/>
      <c r="Q381" s="369"/>
      <c r="R381" s="369"/>
      <c r="S381" s="369"/>
      <c r="T381" s="369"/>
      <c r="U381" s="369"/>
      <c r="V381" s="369"/>
      <c r="W381" s="369"/>
      <c r="X381" s="369"/>
      <c r="Y381" s="369"/>
      <c r="Z381" s="369"/>
    </row>
    <row r="382" customFormat="false" ht="12.75" hidden="false" customHeight="false" outlineLevel="0" collapsed="false">
      <c r="A382" s="368"/>
      <c r="B382" s="368"/>
      <c r="P382" s="40"/>
      <c r="Q382" s="369"/>
      <c r="R382" s="369"/>
      <c r="S382" s="369"/>
      <c r="T382" s="369"/>
      <c r="U382" s="369"/>
      <c r="V382" s="369"/>
      <c r="W382" s="369"/>
      <c r="X382" s="369"/>
      <c r="Y382" s="369"/>
      <c r="Z382" s="369"/>
    </row>
    <row r="383" customFormat="false" ht="12.75" hidden="false" customHeight="false" outlineLevel="0" collapsed="false">
      <c r="A383" s="368"/>
      <c r="B383" s="368"/>
      <c r="P383" s="40"/>
      <c r="Q383" s="369"/>
      <c r="R383" s="369"/>
      <c r="S383" s="369"/>
      <c r="T383" s="369"/>
      <c r="U383" s="369"/>
      <c r="V383" s="369"/>
      <c r="W383" s="369"/>
      <c r="X383" s="369"/>
      <c r="Y383" s="369"/>
      <c r="Z383" s="369"/>
    </row>
    <row r="384" customFormat="false" ht="12.75" hidden="false" customHeight="false" outlineLevel="0" collapsed="false">
      <c r="A384" s="368"/>
      <c r="B384" s="368"/>
      <c r="P384" s="40"/>
      <c r="Q384" s="369"/>
      <c r="R384" s="369"/>
      <c r="S384" s="369"/>
      <c r="T384" s="369"/>
      <c r="U384" s="369"/>
      <c r="V384" s="369"/>
      <c r="W384" s="369"/>
      <c r="X384" s="369"/>
      <c r="Y384" s="369"/>
      <c r="Z384" s="369"/>
    </row>
    <row r="385" customFormat="false" ht="12.75" hidden="false" customHeight="false" outlineLevel="0" collapsed="false">
      <c r="A385" s="368"/>
      <c r="B385" s="368"/>
      <c r="P385" s="40"/>
      <c r="Q385" s="369"/>
      <c r="R385" s="369"/>
      <c r="S385" s="369"/>
      <c r="T385" s="369"/>
      <c r="U385" s="369"/>
      <c r="V385" s="369"/>
      <c r="W385" s="369"/>
      <c r="X385" s="369"/>
      <c r="Y385" s="369"/>
      <c r="Z385" s="369"/>
    </row>
    <row r="386" customFormat="false" ht="12.75" hidden="false" customHeight="false" outlineLevel="0" collapsed="false">
      <c r="A386" s="368"/>
      <c r="B386" s="368"/>
      <c r="P386" s="40"/>
      <c r="Q386" s="369"/>
      <c r="R386" s="369"/>
      <c r="S386" s="369"/>
      <c r="T386" s="369"/>
      <c r="U386" s="369"/>
      <c r="V386" s="369"/>
      <c r="W386" s="369"/>
      <c r="X386" s="369"/>
      <c r="Y386" s="369"/>
      <c r="Z386" s="369"/>
    </row>
    <row r="387" customFormat="false" ht="12.75" hidden="false" customHeight="false" outlineLevel="0" collapsed="false">
      <c r="A387" s="368"/>
      <c r="B387" s="368"/>
      <c r="P387" s="40"/>
      <c r="Q387" s="369"/>
      <c r="R387" s="369"/>
      <c r="S387" s="369"/>
      <c r="T387" s="369"/>
      <c r="U387" s="369"/>
      <c r="V387" s="369"/>
      <c r="W387" s="369"/>
      <c r="X387" s="369"/>
      <c r="Y387" s="369"/>
      <c r="Z387" s="369"/>
    </row>
    <row r="388" customFormat="false" ht="12.75" hidden="false" customHeight="false" outlineLevel="0" collapsed="false">
      <c r="A388" s="368"/>
      <c r="B388" s="368"/>
      <c r="P388" s="40"/>
      <c r="Q388" s="369"/>
      <c r="R388" s="369"/>
      <c r="S388" s="369"/>
      <c r="T388" s="369"/>
      <c r="U388" s="369"/>
      <c r="V388" s="369"/>
      <c r="W388" s="369"/>
      <c r="X388" s="369"/>
      <c r="Y388" s="369"/>
      <c r="Z388" s="369"/>
    </row>
    <row r="389" customFormat="false" ht="12.75" hidden="false" customHeight="false" outlineLevel="0" collapsed="false">
      <c r="A389" s="368"/>
      <c r="B389" s="368"/>
      <c r="P389" s="40"/>
      <c r="Q389" s="369"/>
      <c r="R389" s="369"/>
      <c r="S389" s="369"/>
      <c r="T389" s="369"/>
      <c r="U389" s="369"/>
      <c r="V389" s="369"/>
      <c r="W389" s="369"/>
      <c r="X389" s="369"/>
      <c r="Y389" s="369"/>
      <c r="Z389" s="369"/>
    </row>
    <row r="390" customFormat="false" ht="12.75" hidden="false" customHeight="false" outlineLevel="0" collapsed="false">
      <c r="A390" s="368"/>
      <c r="B390" s="368"/>
      <c r="P390" s="40"/>
      <c r="Q390" s="369"/>
      <c r="R390" s="369"/>
      <c r="S390" s="369"/>
      <c r="T390" s="369"/>
      <c r="U390" s="369"/>
      <c r="V390" s="369"/>
      <c r="W390" s="369"/>
      <c r="X390" s="369"/>
      <c r="Y390" s="369"/>
      <c r="Z390" s="369"/>
    </row>
    <row r="391" customFormat="false" ht="12.75" hidden="false" customHeight="false" outlineLevel="0" collapsed="false">
      <c r="A391" s="368"/>
      <c r="B391" s="368"/>
      <c r="P391" s="40"/>
      <c r="Q391" s="369"/>
      <c r="R391" s="369"/>
      <c r="S391" s="369"/>
      <c r="T391" s="369"/>
      <c r="U391" s="369"/>
      <c r="V391" s="369"/>
      <c r="W391" s="369"/>
      <c r="X391" s="369"/>
      <c r="Y391" s="369"/>
      <c r="Z391" s="369"/>
    </row>
    <row r="392" customFormat="false" ht="12.75" hidden="false" customHeight="false" outlineLevel="0" collapsed="false">
      <c r="A392" s="368"/>
      <c r="B392" s="368"/>
      <c r="P392" s="40"/>
      <c r="Q392" s="369"/>
      <c r="R392" s="369"/>
      <c r="S392" s="369"/>
      <c r="T392" s="369"/>
      <c r="U392" s="369"/>
      <c r="V392" s="369"/>
      <c r="W392" s="369"/>
      <c r="X392" s="369"/>
      <c r="Y392" s="369"/>
      <c r="Z392" s="369"/>
    </row>
    <row r="393" customFormat="false" ht="12.75" hidden="false" customHeight="false" outlineLevel="0" collapsed="false">
      <c r="A393" s="368"/>
      <c r="B393" s="368"/>
      <c r="P393" s="40"/>
      <c r="Q393" s="369"/>
      <c r="R393" s="369"/>
      <c r="S393" s="369"/>
      <c r="T393" s="369"/>
      <c r="U393" s="369"/>
      <c r="V393" s="369"/>
      <c r="W393" s="369"/>
      <c r="X393" s="369"/>
      <c r="Y393" s="369"/>
      <c r="Z393" s="369"/>
    </row>
    <row r="394" customFormat="false" ht="12.75" hidden="false" customHeight="false" outlineLevel="0" collapsed="false">
      <c r="A394" s="368"/>
      <c r="B394" s="368"/>
      <c r="P394" s="40"/>
      <c r="Q394" s="369"/>
      <c r="R394" s="369"/>
      <c r="S394" s="369"/>
      <c r="T394" s="369"/>
      <c r="U394" s="369"/>
      <c r="V394" s="369"/>
      <c r="W394" s="369"/>
      <c r="X394" s="369"/>
      <c r="Y394" s="369"/>
      <c r="Z394" s="369"/>
    </row>
    <row r="395" customFormat="false" ht="12.75" hidden="false" customHeight="false" outlineLevel="0" collapsed="false">
      <c r="A395" s="368"/>
      <c r="B395" s="368"/>
      <c r="P395" s="40"/>
      <c r="Q395" s="369"/>
      <c r="R395" s="369"/>
      <c r="S395" s="369"/>
      <c r="T395" s="369"/>
      <c r="U395" s="369"/>
      <c r="V395" s="369"/>
      <c r="W395" s="369"/>
      <c r="X395" s="369"/>
      <c r="Y395" s="369"/>
      <c r="Z395" s="369"/>
    </row>
    <row r="396" customFormat="false" ht="12.75" hidden="false" customHeight="false" outlineLevel="0" collapsed="false">
      <c r="A396" s="368"/>
      <c r="B396" s="368"/>
      <c r="P396" s="40"/>
      <c r="Q396" s="369"/>
      <c r="R396" s="369"/>
      <c r="S396" s="369"/>
      <c r="T396" s="369"/>
      <c r="U396" s="369"/>
      <c r="V396" s="369"/>
      <c r="W396" s="369"/>
      <c r="X396" s="369"/>
      <c r="Y396" s="369"/>
      <c r="Z396" s="369"/>
    </row>
    <row r="397" customFormat="false" ht="12.75" hidden="false" customHeight="false" outlineLevel="0" collapsed="false">
      <c r="A397" s="368"/>
      <c r="B397" s="368"/>
      <c r="P397" s="40"/>
      <c r="Q397" s="369"/>
      <c r="R397" s="369"/>
      <c r="S397" s="369"/>
      <c r="T397" s="369"/>
      <c r="U397" s="369"/>
      <c r="V397" s="369"/>
      <c r="W397" s="369"/>
      <c r="X397" s="369"/>
      <c r="Y397" s="369"/>
      <c r="Z397" s="369"/>
    </row>
    <row r="398" customFormat="false" ht="12.75" hidden="false" customHeight="false" outlineLevel="0" collapsed="false">
      <c r="A398" s="368"/>
      <c r="B398" s="368"/>
      <c r="P398" s="40"/>
      <c r="Q398" s="369"/>
      <c r="R398" s="369"/>
      <c r="S398" s="369"/>
      <c r="T398" s="369"/>
      <c r="U398" s="369"/>
      <c r="V398" s="369"/>
      <c r="W398" s="369"/>
      <c r="X398" s="369"/>
      <c r="Y398" s="369"/>
      <c r="Z398" s="369"/>
    </row>
    <row r="399" customFormat="false" ht="12.75" hidden="false" customHeight="false" outlineLevel="0" collapsed="false">
      <c r="A399" s="368"/>
      <c r="B399" s="368"/>
      <c r="P399" s="40"/>
      <c r="Q399" s="369"/>
      <c r="R399" s="369"/>
      <c r="S399" s="369"/>
      <c r="T399" s="369"/>
      <c r="U399" s="369"/>
      <c r="V399" s="369"/>
      <c r="W399" s="369"/>
      <c r="X399" s="369"/>
      <c r="Y399" s="369"/>
      <c r="Z399" s="369"/>
    </row>
    <row r="400" customFormat="false" ht="12.75" hidden="false" customHeight="false" outlineLevel="0" collapsed="false">
      <c r="A400" s="368"/>
      <c r="B400" s="368"/>
      <c r="P400" s="40"/>
      <c r="Q400" s="369"/>
      <c r="R400" s="369"/>
      <c r="S400" s="369"/>
      <c r="T400" s="369"/>
      <c r="U400" s="369"/>
      <c r="V400" s="369"/>
      <c r="W400" s="369"/>
      <c r="X400" s="369"/>
      <c r="Y400" s="369"/>
      <c r="Z400" s="369"/>
    </row>
    <row r="401" customFormat="false" ht="12.75" hidden="false" customHeight="false" outlineLevel="0" collapsed="false">
      <c r="A401" s="368"/>
      <c r="B401" s="368"/>
      <c r="P401" s="40"/>
      <c r="Q401" s="369"/>
      <c r="R401" s="369"/>
      <c r="S401" s="369"/>
      <c r="T401" s="369"/>
      <c r="U401" s="369"/>
      <c r="V401" s="369"/>
      <c r="W401" s="369"/>
      <c r="X401" s="369"/>
      <c r="Y401" s="369"/>
      <c r="Z401" s="369"/>
    </row>
    <row r="402" customFormat="false" ht="12.75" hidden="false" customHeight="false" outlineLevel="0" collapsed="false">
      <c r="A402" s="368"/>
      <c r="B402" s="368"/>
      <c r="P402" s="40"/>
      <c r="Q402" s="369"/>
      <c r="R402" s="369"/>
      <c r="S402" s="369"/>
      <c r="T402" s="369"/>
      <c r="U402" s="369"/>
      <c r="V402" s="369"/>
      <c r="W402" s="369"/>
      <c r="X402" s="369"/>
      <c r="Y402" s="369"/>
      <c r="Z402" s="369"/>
    </row>
    <row r="403" customFormat="false" ht="12.75" hidden="false" customHeight="false" outlineLevel="0" collapsed="false">
      <c r="A403" s="368"/>
      <c r="B403" s="368"/>
      <c r="P403" s="40"/>
      <c r="Q403" s="369"/>
      <c r="R403" s="369"/>
      <c r="S403" s="369"/>
      <c r="T403" s="369"/>
      <c r="U403" s="369"/>
      <c r="V403" s="369"/>
      <c r="W403" s="369"/>
      <c r="X403" s="369"/>
      <c r="Y403" s="369"/>
      <c r="Z403" s="369"/>
    </row>
    <row r="404" customFormat="false" ht="12.75" hidden="false" customHeight="false" outlineLevel="0" collapsed="false">
      <c r="A404" s="368"/>
      <c r="B404" s="368"/>
      <c r="P404" s="40"/>
      <c r="Q404" s="369"/>
      <c r="R404" s="369"/>
      <c r="S404" s="369"/>
      <c r="T404" s="369"/>
      <c r="U404" s="369"/>
      <c r="V404" s="369"/>
      <c r="W404" s="369"/>
      <c r="X404" s="369"/>
      <c r="Y404" s="369"/>
      <c r="Z404" s="369"/>
    </row>
    <row r="405" customFormat="false" ht="12.75" hidden="false" customHeight="false" outlineLevel="0" collapsed="false">
      <c r="A405" s="368"/>
      <c r="B405" s="368"/>
      <c r="P405" s="40"/>
      <c r="Q405" s="369"/>
      <c r="R405" s="369"/>
      <c r="S405" s="369"/>
      <c r="T405" s="369"/>
      <c r="U405" s="369"/>
      <c r="V405" s="369"/>
      <c r="W405" s="369"/>
      <c r="X405" s="369"/>
      <c r="Y405" s="369"/>
      <c r="Z405" s="369"/>
    </row>
    <row r="406" customFormat="false" ht="12.75" hidden="false" customHeight="false" outlineLevel="0" collapsed="false">
      <c r="A406" s="368"/>
      <c r="B406" s="368"/>
      <c r="P406" s="40"/>
      <c r="Q406" s="369"/>
      <c r="R406" s="369"/>
      <c r="S406" s="369"/>
      <c r="T406" s="369"/>
      <c r="U406" s="369"/>
      <c r="V406" s="369"/>
      <c r="W406" s="369"/>
      <c r="X406" s="369"/>
      <c r="Y406" s="369"/>
      <c r="Z406" s="369"/>
    </row>
    <row r="407" customFormat="false" ht="12.75" hidden="false" customHeight="false" outlineLevel="0" collapsed="false">
      <c r="A407" s="368"/>
      <c r="B407" s="368"/>
      <c r="P407" s="40"/>
      <c r="Q407" s="369"/>
      <c r="R407" s="369"/>
      <c r="S407" s="369"/>
      <c r="T407" s="369"/>
      <c r="U407" s="369"/>
      <c r="V407" s="369"/>
      <c r="W407" s="369"/>
      <c r="X407" s="369"/>
      <c r="Y407" s="369"/>
      <c r="Z407" s="369"/>
    </row>
    <row r="408" customFormat="false" ht="12.75" hidden="false" customHeight="false" outlineLevel="0" collapsed="false">
      <c r="A408" s="368"/>
      <c r="B408" s="368"/>
      <c r="P408" s="40"/>
      <c r="Q408" s="369"/>
      <c r="R408" s="369"/>
      <c r="S408" s="369"/>
      <c r="T408" s="369"/>
      <c r="U408" s="369"/>
      <c r="V408" s="369"/>
      <c r="W408" s="369"/>
      <c r="X408" s="369"/>
      <c r="Y408" s="369"/>
      <c r="Z408" s="369"/>
    </row>
    <row r="409" customFormat="false" ht="12.75" hidden="false" customHeight="false" outlineLevel="0" collapsed="false">
      <c r="A409" s="368"/>
      <c r="B409" s="368"/>
      <c r="P409" s="40"/>
      <c r="Q409" s="369"/>
      <c r="R409" s="369"/>
      <c r="S409" s="369"/>
      <c r="T409" s="369"/>
      <c r="U409" s="369"/>
      <c r="V409" s="369"/>
      <c r="W409" s="369"/>
      <c r="X409" s="369"/>
      <c r="Y409" s="369"/>
      <c r="Z409" s="369"/>
    </row>
    <row r="410" customFormat="false" ht="12.75" hidden="false" customHeight="false" outlineLevel="0" collapsed="false">
      <c r="A410" s="368"/>
      <c r="B410" s="368"/>
      <c r="P410" s="40"/>
      <c r="Q410" s="369"/>
      <c r="R410" s="369"/>
      <c r="S410" s="369"/>
      <c r="T410" s="369"/>
      <c r="U410" s="369"/>
      <c r="V410" s="369"/>
      <c r="W410" s="369"/>
      <c r="X410" s="369"/>
      <c r="Y410" s="369"/>
      <c r="Z410" s="369"/>
    </row>
    <row r="411" customFormat="false" ht="12.75" hidden="false" customHeight="false" outlineLevel="0" collapsed="false">
      <c r="A411" s="368"/>
      <c r="B411" s="368"/>
      <c r="P411" s="40"/>
      <c r="Q411" s="369"/>
      <c r="R411" s="369"/>
      <c r="S411" s="369"/>
      <c r="T411" s="369"/>
      <c r="U411" s="369"/>
      <c r="V411" s="369"/>
      <c r="W411" s="369"/>
      <c r="X411" s="369"/>
      <c r="Y411" s="369"/>
      <c r="Z411" s="369"/>
    </row>
    <row r="412" customFormat="false" ht="12.75" hidden="false" customHeight="false" outlineLevel="0" collapsed="false">
      <c r="A412" s="368"/>
      <c r="B412" s="368"/>
      <c r="P412" s="40"/>
      <c r="Q412" s="369"/>
      <c r="R412" s="369"/>
      <c r="S412" s="369"/>
      <c r="T412" s="369"/>
      <c r="U412" s="369"/>
      <c r="V412" s="369"/>
      <c r="W412" s="369"/>
      <c r="X412" s="369"/>
      <c r="Y412" s="369"/>
      <c r="Z412" s="369"/>
    </row>
    <row r="413" customFormat="false" ht="12.75" hidden="false" customHeight="false" outlineLevel="0" collapsed="false">
      <c r="A413" s="368"/>
      <c r="B413" s="368"/>
      <c r="P413" s="40"/>
      <c r="Q413" s="369"/>
      <c r="R413" s="369"/>
      <c r="S413" s="369"/>
      <c r="T413" s="369"/>
      <c r="U413" s="369"/>
      <c r="V413" s="369"/>
      <c r="W413" s="369"/>
      <c r="X413" s="369"/>
      <c r="Y413" s="369"/>
      <c r="Z413" s="369"/>
    </row>
    <row r="414" customFormat="false" ht="12.75" hidden="false" customHeight="false" outlineLevel="0" collapsed="false">
      <c r="A414" s="368"/>
      <c r="B414" s="368"/>
      <c r="P414" s="40"/>
      <c r="Q414" s="369"/>
      <c r="R414" s="369"/>
      <c r="S414" s="369"/>
      <c r="T414" s="369"/>
      <c r="U414" s="369"/>
      <c r="V414" s="369"/>
      <c r="W414" s="369"/>
      <c r="X414" s="369"/>
      <c r="Y414" s="369"/>
      <c r="Z414" s="369"/>
    </row>
    <row r="415" customFormat="false" ht="12.75" hidden="false" customHeight="false" outlineLevel="0" collapsed="false">
      <c r="A415" s="368"/>
      <c r="B415" s="368"/>
      <c r="P415" s="40"/>
      <c r="Q415" s="369"/>
      <c r="R415" s="369"/>
      <c r="S415" s="369"/>
      <c r="T415" s="369"/>
      <c r="U415" s="369"/>
      <c r="V415" s="369"/>
      <c r="W415" s="369"/>
      <c r="X415" s="369"/>
      <c r="Y415" s="369"/>
      <c r="Z415" s="369"/>
    </row>
    <row r="416" customFormat="false" ht="12.75" hidden="false" customHeight="false" outlineLevel="0" collapsed="false">
      <c r="A416" s="368"/>
      <c r="B416" s="368"/>
      <c r="P416" s="40"/>
      <c r="Q416" s="369"/>
      <c r="R416" s="369"/>
      <c r="S416" s="369"/>
      <c r="T416" s="369"/>
      <c r="U416" s="369"/>
      <c r="V416" s="369"/>
      <c r="W416" s="369"/>
      <c r="X416" s="369"/>
      <c r="Y416" s="369"/>
      <c r="Z416" s="369"/>
    </row>
    <row r="417" customFormat="false" ht="12.75" hidden="false" customHeight="false" outlineLevel="0" collapsed="false">
      <c r="A417" s="368"/>
      <c r="B417" s="368"/>
      <c r="P417" s="40"/>
      <c r="Q417" s="369"/>
      <c r="R417" s="369"/>
      <c r="S417" s="369"/>
      <c r="T417" s="369"/>
      <c r="U417" s="369"/>
      <c r="V417" s="369"/>
      <c r="W417" s="369"/>
      <c r="X417" s="369"/>
      <c r="Y417" s="369"/>
      <c r="Z417" s="369"/>
    </row>
    <row r="418" customFormat="false" ht="12.75" hidden="false" customHeight="false" outlineLevel="0" collapsed="false">
      <c r="A418" s="368"/>
      <c r="B418" s="368"/>
      <c r="P418" s="40"/>
      <c r="Q418" s="369"/>
      <c r="R418" s="369"/>
      <c r="S418" s="369"/>
      <c r="T418" s="369"/>
      <c r="U418" s="369"/>
      <c r="V418" s="369"/>
      <c r="W418" s="369"/>
      <c r="X418" s="369"/>
      <c r="Y418" s="369"/>
      <c r="Z418" s="369"/>
    </row>
    <row r="419" customFormat="false" ht="12.75" hidden="false" customHeight="false" outlineLevel="0" collapsed="false">
      <c r="A419" s="368"/>
      <c r="B419" s="368"/>
      <c r="P419" s="40"/>
      <c r="Q419" s="369"/>
      <c r="R419" s="369"/>
      <c r="S419" s="369"/>
      <c r="T419" s="369"/>
      <c r="U419" s="369"/>
      <c r="V419" s="369"/>
      <c r="W419" s="369"/>
      <c r="X419" s="369"/>
      <c r="Y419" s="369"/>
      <c r="Z419" s="369"/>
    </row>
    <row r="420" customFormat="false" ht="12.75" hidden="false" customHeight="false" outlineLevel="0" collapsed="false">
      <c r="A420" s="368"/>
      <c r="B420" s="368"/>
      <c r="P420" s="40"/>
      <c r="Q420" s="369"/>
      <c r="R420" s="369"/>
      <c r="S420" s="369"/>
      <c r="T420" s="369"/>
      <c r="U420" s="369"/>
      <c r="V420" s="369"/>
      <c r="W420" s="369"/>
      <c r="X420" s="369"/>
      <c r="Y420" s="369"/>
      <c r="Z420" s="369"/>
    </row>
    <row r="421" customFormat="false" ht="12.75" hidden="false" customHeight="false" outlineLevel="0" collapsed="false">
      <c r="A421" s="368"/>
      <c r="B421" s="368"/>
      <c r="P421" s="40"/>
      <c r="Q421" s="369"/>
      <c r="R421" s="369"/>
      <c r="S421" s="369"/>
      <c r="T421" s="369"/>
      <c r="U421" s="369"/>
      <c r="V421" s="369"/>
      <c r="W421" s="369"/>
      <c r="X421" s="369"/>
      <c r="Y421" s="369"/>
      <c r="Z421" s="369"/>
    </row>
    <row r="422" customFormat="false" ht="12.75" hidden="false" customHeight="false" outlineLevel="0" collapsed="false">
      <c r="A422" s="368"/>
      <c r="B422" s="368"/>
      <c r="P422" s="40"/>
      <c r="Q422" s="369"/>
      <c r="R422" s="369"/>
      <c r="S422" s="369"/>
      <c r="T422" s="369"/>
      <c r="U422" s="369"/>
      <c r="V422" s="369"/>
      <c r="W422" s="369"/>
      <c r="X422" s="369"/>
      <c r="Y422" s="369"/>
      <c r="Z422" s="369"/>
    </row>
    <row r="423" customFormat="false" ht="12.75" hidden="false" customHeight="false" outlineLevel="0" collapsed="false">
      <c r="A423" s="368"/>
      <c r="B423" s="368"/>
      <c r="P423" s="40"/>
      <c r="Q423" s="369"/>
      <c r="R423" s="369"/>
      <c r="S423" s="369"/>
      <c r="T423" s="369"/>
      <c r="U423" s="369"/>
      <c r="V423" s="369"/>
      <c r="W423" s="369"/>
      <c r="X423" s="369"/>
      <c r="Y423" s="369"/>
      <c r="Z423" s="369"/>
    </row>
    <row r="424" customFormat="false" ht="12.75" hidden="false" customHeight="false" outlineLevel="0" collapsed="false">
      <c r="A424" s="368"/>
      <c r="B424" s="368"/>
      <c r="P424" s="40"/>
      <c r="Q424" s="369"/>
      <c r="R424" s="369"/>
      <c r="S424" s="369"/>
      <c r="T424" s="369"/>
      <c r="U424" s="369"/>
      <c r="V424" s="369"/>
      <c r="W424" s="369"/>
      <c r="X424" s="369"/>
      <c r="Y424" s="369"/>
      <c r="Z424" s="369"/>
    </row>
    <row r="425" customFormat="false" ht="12.75" hidden="false" customHeight="false" outlineLevel="0" collapsed="false">
      <c r="A425" s="368"/>
      <c r="B425" s="368"/>
      <c r="P425" s="40"/>
      <c r="Q425" s="369"/>
      <c r="R425" s="369"/>
      <c r="S425" s="369"/>
      <c r="T425" s="369"/>
      <c r="U425" s="369"/>
      <c r="V425" s="369"/>
      <c r="W425" s="369"/>
      <c r="X425" s="369"/>
      <c r="Y425" s="369"/>
      <c r="Z425" s="369"/>
    </row>
    <row r="426" customFormat="false" ht="12.75" hidden="false" customHeight="false" outlineLevel="0" collapsed="false">
      <c r="A426" s="368"/>
      <c r="B426" s="368"/>
      <c r="P426" s="40"/>
      <c r="Q426" s="369"/>
      <c r="R426" s="369"/>
      <c r="S426" s="369"/>
      <c r="T426" s="369"/>
      <c r="U426" s="369"/>
      <c r="V426" s="369"/>
      <c r="W426" s="369"/>
      <c r="X426" s="369"/>
      <c r="Y426" s="369"/>
      <c r="Z426" s="369"/>
    </row>
    <row r="427" customFormat="false" ht="12.75" hidden="false" customHeight="false" outlineLevel="0" collapsed="false">
      <c r="A427" s="368"/>
      <c r="B427" s="368"/>
      <c r="P427" s="40"/>
      <c r="Q427" s="369"/>
      <c r="R427" s="369"/>
      <c r="S427" s="369"/>
      <c r="T427" s="369"/>
      <c r="U427" s="369"/>
      <c r="V427" s="369"/>
      <c r="W427" s="369"/>
      <c r="X427" s="369"/>
      <c r="Y427" s="369"/>
      <c r="Z427" s="369"/>
    </row>
    <row r="428" customFormat="false" ht="12.75" hidden="false" customHeight="false" outlineLevel="0" collapsed="false">
      <c r="A428" s="368"/>
      <c r="B428" s="368"/>
      <c r="P428" s="40"/>
      <c r="Q428" s="369"/>
      <c r="R428" s="369"/>
      <c r="S428" s="369"/>
      <c r="T428" s="369"/>
      <c r="U428" s="369"/>
      <c r="V428" s="369"/>
      <c r="W428" s="369"/>
      <c r="X428" s="369"/>
      <c r="Y428" s="369"/>
      <c r="Z428" s="369"/>
    </row>
    <row r="429" customFormat="false" ht="12.75" hidden="false" customHeight="false" outlineLevel="0" collapsed="false">
      <c r="A429" s="368"/>
      <c r="B429" s="368"/>
      <c r="P429" s="40"/>
      <c r="Q429" s="369"/>
      <c r="R429" s="369"/>
      <c r="S429" s="369"/>
      <c r="T429" s="369"/>
      <c r="U429" s="369"/>
      <c r="V429" s="369"/>
      <c r="W429" s="369"/>
      <c r="X429" s="369"/>
      <c r="Y429" s="369"/>
      <c r="Z429" s="369"/>
    </row>
    <row r="430" customFormat="false" ht="12.75" hidden="false" customHeight="false" outlineLevel="0" collapsed="false">
      <c r="A430" s="368"/>
      <c r="B430" s="368"/>
      <c r="P430" s="40"/>
      <c r="Q430" s="369"/>
      <c r="R430" s="369"/>
      <c r="S430" s="369"/>
      <c r="T430" s="369"/>
      <c r="U430" s="369"/>
      <c r="V430" s="369"/>
      <c r="W430" s="369"/>
      <c r="X430" s="369"/>
      <c r="Y430" s="369"/>
      <c r="Z430" s="369"/>
    </row>
    <row r="431" customFormat="false" ht="12.75" hidden="false" customHeight="false" outlineLevel="0" collapsed="false">
      <c r="A431" s="368"/>
      <c r="B431" s="368"/>
      <c r="P431" s="40"/>
      <c r="Q431" s="369"/>
      <c r="R431" s="369"/>
      <c r="S431" s="369"/>
      <c r="T431" s="369"/>
      <c r="U431" s="369"/>
      <c r="V431" s="369"/>
      <c r="W431" s="369"/>
      <c r="X431" s="369"/>
      <c r="Y431" s="369"/>
      <c r="Z431" s="369"/>
    </row>
    <row r="432" customFormat="false" ht="12.75" hidden="false" customHeight="false" outlineLevel="0" collapsed="false">
      <c r="A432" s="368"/>
      <c r="B432" s="368"/>
      <c r="P432" s="40"/>
      <c r="Q432" s="369"/>
      <c r="R432" s="369"/>
      <c r="S432" s="369"/>
      <c r="T432" s="369"/>
      <c r="U432" s="369"/>
      <c r="V432" s="369"/>
      <c r="W432" s="369"/>
      <c r="X432" s="369"/>
      <c r="Y432" s="369"/>
      <c r="Z432" s="369"/>
    </row>
    <row r="433" customFormat="false" ht="12.75" hidden="false" customHeight="false" outlineLevel="0" collapsed="false">
      <c r="A433" s="368"/>
      <c r="B433" s="368"/>
      <c r="P433" s="40"/>
      <c r="Q433" s="369"/>
      <c r="R433" s="369"/>
      <c r="S433" s="369"/>
      <c r="T433" s="369"/>
      <c r="U433" s="369"/>
      <c r="V433" s="369"/>
      <c r="W433" s="369"/>
      <c r="X433" s="369"/>
      <c r="Y433" s="369"/>
      <c r="Z433" s="369"/>
    </row>
    <row r="434" customFormat="false" ht="12.75" hidden="false" customHeight="false" outlineLevel="0" collapsed="false">
      <c r="A434" s="368"/>
      <c r="B434" s="368"/>
      <c r="P434" s="40"/>
      <c r="Q434" s="369"/>
      <c r="R434" s="369"/>
      <c r="S434" s="369"/>
      <c r="T434" s="369"/>
      <c r="U434" s="369"/>
      <c r="V434" s="369"/>
      <c r="W434" s="369"/>
      <c r="X434" s="369"/>
      <c r="Y434" s="369"/>
      <c r="Z434" s="369"/>
    </row>
    <row r="435" customFormat="false" ht="12.75" hidden="false" customHeight="false" outlineLevel="0" collapsed="false">
      <c r="A435" s="368"/>
      <c r="B435" s="368"/>
      <c r="P435" s="40"/>
      <c r="Q435" s="369"/>
      <c r="R435" s="369"/>
      <c r="S435" s="369"/>
      <c r="T435" s="369"/>
      <c r="U435" s="369"/>
      <c r="V435" s="369"/>
      <c r="W435" s="369"/>
      <c r="X435" s="369"/>
      <c r="Y435" s="369"/>
      <c r="Z435" s="369"/>
    </row>
    <row r="436" customFormat="false" ht="12.75" hidden="false" customHeight="false" outlineLevel="0" collapsed="false">
      <c r="A436" s="368"/>
      <c r="B436" s="368"/>
      <c r="P436" s="40"/>
      <c r="Q436" s="369"/>
      <c r="R436" s="369"/>
      <c r="S436" s="369"/>
      <c r="T436" s="369"/>
      <c r="U436" s="369"/>
      <c r="V436" s="369"/>
      <c r="W436" s="369"/>
      <c r="X436" s="369"/>
      <c r="Y436" s="369"/>
      <c r="Z436" s="369"/>
    </row>
    <row r="437" customFormat="false" ht="12.75" hidden="false" customHeight="false" outlineLevel="0" collapsed="false">
      <c r="A437" s="368"/>
      <c r="B437" s="368"/>
      <c r="P437" s="40"/>
      <c r="Q437" s="369"/>
      <c r="R437" s="369"/>
      <c r="S437" s="369"/>
      <c r="T437" s="369"/>
      <c r="U437" s="369"/>
      <c r="V437" s="369"/>
      <c r="W437" s="369"/>
      <c r="X437" s="369"/>
      <c r="Y437" s="369"/>
      <c r="Z437" s="369"/>
    </row>
    <row r="438" customFormat="false" ht="12.75" hidden="false" customHeight="false" outlineLevel="0" collapsed="false">
      <c r="A438" s="368"/>
      <c r="B438" s="368"/>
      <c r="P438" s="40"/>
      <c r="Q438" s="369"/>
      <c r="R438" s="369"/>
      <c r="S438" s="369"/>
      <c r="T438" s="369"/>
      <c r="U438" s="369"/>
      <c r="V438" s="369"/>
      <c r="W438" s="369"/>
      <c r="X438" s="369"/>
      <c r="Y438" s="369"/>
      <c r="Z438" s="369"/>
    </row>
    <row r="439" customFormat="false" ht="12.75" hidden="false" customHeight="false" outlineLevel="0" collapsed="false">
      <c r="A439" s="368"/>
      <c r="B439" s="368"/>
      <c r="P439" s="40"/>
      <c r="Q439" s="369"/>
      <c r="R439" s="369"/>
      <c r="S439" s="369"/>
      <c r="T439" s="369"/>
      <c r="U439" s="369"/>
      <c r="V439" s="369"/>
      <c r="W439" s="369"/>
      <c r="X439" s="369"/>
      <c r="Y439" s="369"/>
      <c r="Z439" s="369"/>
    </row>
    <row r="440" customFormat="false" ht="12.75" hidden="false" customHeight="false" outlineLevel="0" collapsed="false">
      <c r="A440" s="368"/>
      <c r="B440" s="368"/>
      <c r="P440" s="40"/>
      <c r="Q440" s="369"/>
      <c r="R440" s="369"/>
      <c r="S440" s="369"/>
      <c r="T440" s="369"/>
      <c r="U440" s="369"/>
      <c r="V440" s="369"/>
      <c r="W440" s="369"/>
      <c r="X440" s="369"/>
      <c r="Y440" s="369"/>
      <c r="Z440" s="369"/>
    </row>
    <row r="441" customFormat="false" ht="12.75" hidden="false" customHeight="false" outlineLevel="0" collapsed="false">
      <c r="A441" s="368"/>
      <c r="B441" s="368"/>
      <c r="P441" s="40"/>
      <c r="Q441" s="369"/>
      <c r="R441" s="369"/>
      <c r="S441" s="369"/>
      <c r="T441" s="369"/>
      <c r="U441" s="369"/>
      <c r="V441" s="369"/>
      <c r="W441" s="369"/>
      <c r="X441" s="369"/>
      <c r="Y441" s="369"/>
      <c r="Z441" s="369"/>
    </row>
    <row r="442" customFormat="false" ht="12.75" hidden="false" customHeight="false" outlineLevel="0" collapsed="false">
      <c r="A442" s="368"/>
      <c r="B442" s="368"/>
      <c r="P442" s="40"/>
      <c r="Q442" s="369"/>
      <c r="R442" s="369"/>
      <c r="S442" s="369"/>
      <c r="T442" s="369"/>
      <c r="U442" s="369"/>
      <c r="V442" s="369"/>
      <c r="W442" s="369"/>
      <c r="X442" s="369"/>
      <c r="Y442" s="369"/>
      <c r="Z442" s="369"/>
    </row>
    <row r="443" customFormat="false" ht="12.75" hidden="false" customHeight="false" outlineLevel="0" collapsed="false">
      <c r="A443" s="368"/>
      <c r="B443" s="368"/>
      <c r="P443" s="40"/>
      <c r="Q443" s="369"/>
      <c r="R443" s="369"/>
      <c r="S443" s="369"/>
      <c r="T443" s="369"/>
      <c r="U443" s="369"/>
      <c r="V443" s="369"/>
      <c r="W443" s="369"/>
      <c r="X443" s="369"/>
      <c r="Y443" s="369"/>
      <c r="Z443" s="369"/>
    </row>
    <row r="444" customFormat="false" ht="12.75" hidden="false" customHeight="false" outlineLevel="0" collapsed="false">
      <c r="A444" s="368"/>
      <c r="B444" s="368"/>
      <c r="P444" s="40"/>
      <c r="Q444" s="369"/>
      <c r="R444" s="369"/>
      <c r="S444" s="369"/>
      <c r="T444" s="369"/>
      <c r="U444" s="369"/>
      <c r="V444" s="369"/>
      <c r="W444" s="369"/>
      <c r="X444" s="369"/>
      <c r="Y444" s="369"/>
      <c r="Z444" s="369"/>
    </row>
    <row r="445" customFormat="false" ht="12.75" hidden="false" customHeight="false" outlineLevel="0" collapsed="false">
      <c r="A445" s="368"/>
      <c r="B445" s="368"/>
      <c r="P445" s="40"/>
      <c r="Q445" s="369"/>
      <c r="R445" s="369"/>
      <c r="S445" s="369"/>
      <c r="T445" s="369"/>
      <c r="U445" s="369"/>
      <c r="V445" s="369"/>
      <c r="W445" s="369"/>
      <c r="X445" s="369"/>
      <c r="Y445" s="369"/>
      <c r="Z445" s="369"/>
    </row>
    <row r="446" customFormat="false" ht="12.75" hidden="false" customHeight="false" outlineLevel="0" collapsed="false">
      <c r="A446" s="368"/>
      <c r="B446" s="368"/>
      <c r="P446" s="40"/>
      <c r="Q446" s="369"/>
      <c r="R446" s="369"/>
      <c r="S446" s="369"/>
      <c r="T446" s="369"/>
      <c r="U446" s="369"/>
      <c r="V446" s="369"/>
      <c r="W446" s="369"/>
      <c r="X446" s="369"/>
      <c r="Y446" s="369"/>
      <c r="Z446" s="369"/>
    </row>
    <row r="447" customFormat="false" ht="12.75" hidden="false" customHeight="false" outlineLevel="0" collapsed="false">
      <c r="A447" s="368"/>
      <c r="B447" s="368"/>
      <c r="P447" s="40"/>
      <c r="Q447" s="369"/>
      <c r="R447" s="369"/>
      <c r="S447" s="369"/>
      <c r="T447" s="369"/>
      <c r="U447" s="369"/>
      <c r="V447" s="369"/>
      <c r="W447" s="369"/>
      <c r="X447" s="369"/>
      <c r="Y447" s="369"/>
      <c r="Z447" s="369"/>
    </row>
    <row r="448" customFormat="false" ht="12.75" hidden="false" customHeight="false" outlineLevel="0" collapsed="false">
      <c r="A448" s="368"/>
      <c r="B448" s="368"/>
      <c r="P448" s="40"/>
      <c r="Q448" s="369"/>
      <c r="R448" s="369"/>
      <c r="S448" s="369"/>
      <c r="T448" s="369"/>
      <c r="U448" s="369"/>
      <c r="V448" s="369"/>
      <c r="W448" s="369"/>
      <c r="X448" s="369"/>
      <c r="Y448" s="369"/>
      <c r="Z448" s="369"/>
    </row>
    <row r="449" customFormat="false" ht="12.75" hidden="false" customHeight="false" outlineLevel="0" collapsed="false">
      <c r="A449" s="368"/>
      <c r="B449" s="368"/>
      <c r="P449" s="40"/>
      <c r="Q449" s="369"/>
      <c r="R449" s="369"/>
      <c r="S449" s="369"/>
      <c r="T449" s="369"/>
      <c r="U449" s="369"/>
      <c r="V449" s="369"/>
      <c r="W449" s="369"/>
      <c r="X449" s="369"/>
      <c r="Y449" s="369"/>
      <c r="Z449" s="369"/>
    </row>
    <row r="450" customFormat="false" ht="12.75" hidden="false" customHeight="false" outlineLevel="0" collapsed="false">
      <c r="A450" s="368"/>
      <c r="B450" s="368"/>
      <c r="P450" s="40"/>
      <c r="Q450" s="369"/>
      <c r="R450" s="369"/>
      <c r="S450" s="369"/>
      <c r="T450" s="369"/>
      <c r="U450" s="369"/>
      <c r="V450" s="369"/>
      <c r="W450" s="369"/>
      <c r="X450" s="369"/>
      <c r="Y450" s="369"/>
      <c r="Z450" s="369"/>
    </row>
    <row r="451" customFormat="false" ht="12.75" hidden="false" customHeight="false" outlineLevel="0" collapsed="false">
      <c r="A451" s="368"/>
      <c r="B451" s="368"/>
      <c r="P451" s="40"/>
      <c r="Q451" s="369"/>
      <c r="R451" s="369"/>
      <c r="S451" s="369"/>
      <c r="T451" s="369"/>
      <c r="U451" s="369"/>
      <c r="V451" s="369"/>
      <c r="W451" s="369"/>
      <c r="X451" s="369"/>
      <c r="Y451" s="369"/>
      <c r="Z451" s="369"/>
    </row>
    <row r="452" customFormat="false" ht="12.75" hidden="false" customHeight="false" outlineLevel="0" collapsed="false">
      <c r="A452" s="368"/>
      <c r="B452" s="368"/>
      <c r="P452" s="40"/>
      <c r="Q452" s="369"/>
      <c r="R452" s="369"/>
      <c r="S452" s="369"/>
      <c r="T452" s="369"/>
      <c r="U452" s="369"/>
      <c r="V452" s="369"/>
      <c r="W452" s="369"/>
      <c r="X452" s="369"/>
      <c r="Y452" s="369"/>
      <c r="Z452" s="369"/>
    </row>
    <row r="453" customFormat="false" ht="12.75" hidden="false" customHeight="false" outlineLevel="0" collapsed="false">
      <c r="A453" s="368"/>
      <c r="B453" s="368"/>
      <c r="P453" s="40"/>
      <c r="Q453" s="369"/>
      <c r="R453" s="369"/>
      <c r="S453" s="369"/>
      <c r="T453" s="369"/>
      <c r="U453" s="369"/>
      <c r="V453" s="369"/>
      <c r="W453" s="369"/>
      <c r="X453" s="369"/>
      <c r="Y453" s="369"/>
      <c r="Z453" s="369"/>
    </row>
    <row r="454" customFormat="false" ht="12.75" hidden="false" customHeight="false" outlineLevel="0" collapsed="false">
      <c r="A454" s="368"/>
      <c r="B454" s="368"/>
      <c r="P454" s="40"/>
      <c r="Q454" s="369"/>
      <c r="R454" s="369"/>
      <c r="S454" s="369"/>
      <c r="T454" s="369"/>
      <c r="U454" s="369"/>
      <c r="V454" s="369"/>
      <c r="W454" s="369"/>
      <c r="X454" s="369"/>
      <c r="Y454" s="369"/>
      <c r="Z454" s="369"/>
    </row>
    <row r="455" customFormat="false" ht="12.75" hidden="false" customHeight="false" outlineLevel="0" collapsed="false">
      <c r="A455" s="368"/>
      <c r="B455" s="368"/>
      <c r="P455" s="40"/>
      <c r="Q455" s="369"/>
      <c r="R455" s="369"/>
      <c r="S455" s="369"/>
      <c r="T455" s="369"/>
      <c r="U455" s="369"/>
      <c r="V455" s="369"/>
      <c r="W455" s="369"/>
      <c r="X455" s="369"/>
      <c r="Y455" s="369"/>
      <c r="Z455" s="369"/>
    </row>
    <row r="456" customFormat="false" ht="12.75" hidden="false" customHeight="false" outlineLevel="0" collapsed="false">
      <c r="A456" s="368"/>
      <c r="B456" s="368"/>
      <c r="P456" s="40"/>
      <c r="Q456" s="369"/>
      <c r="R456" s="369"/>
      <c r="S456" s="369"/>
      <c r="T456" s="369"/>
      <c r="U456" s="369"/>
      <c r="V456" s="369"/>
      <c r="W456" s="369"/>
      <c r="X456" s="369"/>
      <c r="Y456" s="369"/>
      <c r="Z456" s="369"/>
    </row>
    <row r="457" customFormat="false" ht="12.75" hidden="false" customHeight="false" outlineLevel="0" collapsed="false">
      <c r="A457" s="368"/>
      <c r="B457" s="368"/>
      <c r="P457" s="40"/>
      <c r="Q457" s="369"/>
      <c r="R457" s="369"/>
      <c r="S457" s="369"/>
      <c r="T457" s="369"/>
      <c r="U457" s="369"/>
      <c r="V457" s="369"/>
      <c r="W457" s="369"/>
      <c r="X457" s="369"/>
      <c r="Y457" s="369"/>
      <c r="Z457" s="369"/>
    </row>
    <row r="458" customFormat="false" ht="12.75" hidden="false" customHeight="false" outlineLevel="0" collapsed="false">
      <c r="A458" s="368"/>
      <c r="B458" s="368"/>
      <c r="P458" s="40"/>
      <c r="Q458" s="369"/>
      <c r="R458" s="369"/>
      <c r="S458" s="369"/>
      <c r="T458" s="369"/>
      <c r="U458" s="369"/>
      <c r="V458" s="369"/>
      <c r="W458" s="369"/>
      <c r="X458" s="369"/>
      <c r="Y458" s="369"/>
      <c r="Z458" s="369"/>
    </row>
    <row r="459" customFormat="false" ht="12.75" hidden="false" customHeight="false" outlineLevel="0" collapsed="false">
      <c r="A459" s="368"/>
      <c r="B459" s="368"/>
      <c r="P459" s="40"/>
      <c r="Q459" s="369"/>
      <c r="R459" s="369"/>
      <c r="S459" s="369"/>
      <c r="T459" s="369"/>
      <c r="U459" s="369"/>
      <c r="V459" s="369"/>
      <c r="W459" s="369"/>
      <c r="X459" s="369"/>
      <c r="Y459" s="369"/>
      <c r="Z459" s="369"/>
    </row>
    <row r="460" customFormat="false" ht="12.75" hidden="false" customHeight="false" outlineLevel="0" collapsed="false">
      <c r="A460" s="368"/>
      <c r="B460" s="368"/>
      <c r="P460" s="40"/>
      <c r="Q460" s="369"/>
      <c r="R460" s="369"/>
      <c r="S460" s="369"/>
      <c r="T460" s="369"/>
      <c r="U460" s="369"/>
      <c r="V460" s="369"/>
      <c r="W460" s="369"/>
      <c r="X460" s="369"/>
      <c r="Y460" s="369"/>
      <c r="Z460" s="369"/>
    </row>
    <row r="461" customFormat="false" ht="12.75" hidden="false" customHeight="false" outlineLevel="0" collapsed="false">
      <c r="A461" s="368"/>
      <c r="B461" s="368"/>
      <c r="P461" s="40"/>
      <c r="Q461" s="369"/>
      <c r="R461" s="369"/>
      <c r="S461" s="369"/>
      <c r="T461" s="369"/>
      <c r="U461" s="369"/>
      <c r="V461" s="369"/>
      <c r="W461" s="369"/>
      <c r="X461" s="369"/>
      <c r="Y461" s="369"/>
      <c r="Z461" s="369"/>
    </row>
    <row r="462" customFormat="false" ht="12.75" hidden="false" customHeight="false" outlineLevel="0" collapsed="false">
      <c r="A462" s="368"/>
      <c r="B462" s="368"/>
      <c r="P462" s="40"/>
      <c r="Q462" s="369"/>
      <c r="R462" s="369"/>
      <c r="S462" s="369"/>
      <c r="T462" s="369"/>
      <c r="U462" s="369"/>
      <c r="V462" s="369"/>
      <c r="W462" s="369"/>
      <c r="X462" s="369"/>
      <c r="Y462" s="369"/>
      <c r="Z462" s="369"/>
    </row>
    <row r="463" customFormat="false" ht="12.75" hidden="false" customHeight="false" outlineLevel="0" collapsed="false">
      <c r="A463" s="368"/>
      <c r="B463" s="368"/>
      <c r="P463" s="40"/>
      <c r="Q463" s="369"/>
      <c r="R463" s="369"/>
      <c r="S463" s="369"/>
      <c r="T463" s="369"/>
      <c r="U463" s="369"/>
      <c r="V463" s="369"/>
      <c r="W463" s="369"/>
      <c r="X463" s="369"/>
      <c r="Y463" s="369"/>
      <c r="Z463" s="369"/>
    </row>
    <row r="464" customFormat="false" ht="12.75" hidden="false" customHeight="false" outlineLevel="0" collapsed="false">
      <c r="A464" s="368"/>
      <c r="B464" s="368"/>
      <c r="P464" s="40"/>
      <c r="Q464" s="369"/>
      <c r="R464" s="369"/>
      <c r="S464" s="369"/>
      <c r="T464" s="369"/>
      <c r="U464" s="369"/>
      <c r="V464" s="369"/>
      <c r="W464" s="369"/>
      <c r="X464" s="369"/>
      <c r="Y464" s="369"/>
      <c r="Z464" s="369"/>
    </row>
    <row r="465" customFormat="false" ht="12.75" hidden="false" customHeight="false" outlineLevel="0" collapsed="false">
      <c r="A465" s="368"/>
      <c r="B465" s="368"/>
      <c r="P465" s="40"/>
      <c r="Q465" s="369"/>
      <c r="R465" s="369"/>
      <c r="S465" s="369"/>
      <c r="T465" s="369"/>
      <c r="U465" s="369"/>
      <c r="V465" s="369"/>
      <c r="W465" s="369"/>
      <c r="X465" s="369"/>
      <c r="Y465" s="369"/>
      <c r="Z465" s="369"/>
    </row>
    <row r="466" customFormat="false" ht="12.75" hidden="false" customHeight="false" outlineLevel="0" collapsed="false">
      <c r="A466" s="368"/>
      <c r="B466" s="368"/>
      <c r="P466" s="40"/>
      <c r="Q466" s="369"/>
      <c r="R466" s="369"/>
      <c r="S466" s="369"/>
      <c r="T466" s="369"/>
      <c r="U466" s="369"/>
      <c r="V466" s="369"/>
      <c r="W466" s="369"/>
      <c r="X466" s="369"/>
      <c r="Y466" s="369"/>
      <c r="Z466" s="369"/>
    </row>
    <row r="467" customFormat="false" ht="12.75" hidden="false" customHeight="false" outlineLevel="0" collapsed="false">
      <c r="A467" s="368"/>
      <c r="B467" s="368"/>
      <c r="P467" s="40"/>
      <c r="Q467" s="369"/>
      <c r="R467" s="369"/>
      <c r="S467" s="369"/>
      <c r="T467" s="369"/>
      <c r="U467" s="369"/>
      <c r="V467" s="369"/>
      <c r="W467" s="369"/>
      <c r="X467" s="369"/>
      <c r="Y467" s="369"/>
      <c r="Z467" s="369"/>
    </row>
    <row r="468" customFormat="false" ht="12.75" hidden="false" customHeight="false" outlineLevel="0" collapsed="false">
      <c r="A468" s="368"/>
      <c r="B468" s="368"/>
      <c r="P468" s="40"/>
      <c r="Q468" s="369"/>
      <c r="R468" s="369"/>
      <c r="S468" s="369"/>
      <c r="T468" s="369"/>
      <c r="U468" s="369"/>
      <c r="V468" s="369"/>
      <c r="W468" s="369"/>
      <c r="X468" s="369"/>
      <c r="Y468" s="369"/>
      <c r="Z468" s="369"/>
    </row>
    <row r="469" customFormat="false" ht="12.75" hidden="false" customHeight="false" outlineLevel="0" collapsed="false">
      <c r="A469" s="368"/>
      <c r="B469" s="368"/>
      <c r="P469" s="40"/>
      <c r="Q469" s="369"/>
      <c r="R469" s="369"/>
      <c r="S469" s="369"/>
      <c r="T469" s="369"/>
      <c r="U469" s="369"/>
      <c r="V469" s="369"/>
      <c r="W469" s="369"/>
      <c r="X469" s="369"/>
      <c r="Y469" s="369"/>
      <c r="Z469" s="369"/>
    </row>
    <row r="470" customFormat="false" ht="12.75" hidden="false" customHeight="false" outlineLevel="0" collapsed="false">
      <c r="A470" s="368"/>
      <c r="B470" s="368"/>
      <c r="P470" s="40"/>
      <c r="Q470" s="369"/>
      <c r="R470" s="369"/>
      <c r="S470" s="369"/>
      <c r="T470" s="369"/>
      <c r="U470" s="369"/>
      <c r="V470" s="369"/>
      <c r="W470" s="369"/>
      <c r="X470" s="369"/>
      <c r="Y470" s="369"/>
      <c r="Z470" s="369"/>
    </row>
    <row r="471" customFormat="false" ht="12.75" hidden="false" customHeight="false" outlineLevel="0" collapsed="false">
      <c r="A471" s="368"/>
      <c r="B471" s="368"/>
      <c r="P471" s="40"/>
      <c r="Q471" s="369"/>
      <c r="R471" s="369"/>
      <c r="S471" s="369"/>
      <c r="T471" s="369"/>
      <c r="U471" s="369"/>
      <c r="V471" s="369"/>
      <c r="W471" s="369"/>
      <c r="X471" s="369"/>
      <c r="Y471" s="369"/>
      <c r="Z471" s="369"/>
    </row>
    <row r="472" customFormat="false" ht="12.75" hidden="false" customHeight="false" outlineLevel="0" collapsed="false">
      <c r="A472" s="368"/>
      <c r="B472" s="368"/>
      <c r="P472" s="40"/>
      <c r="Q472" s="369"/>
      <c r="R472" s="369"/>
      <c r="S472" s="369"/>
      <c r="T472" s="369"/>
      <c r="U472" s="369"/>
      <c r="V472" s="369"/>
      <c r="W472" s="369"/>
      <c r="X472" s="369"/>
      <c r="Y472" s="369"/>
      <c r="Z472" s="369"/>
    </row>
    <row r="473" customFormat="false" ht="12.75" hidden="false" customHeight="false" outlineLevel="0" collapsed="false">
      <c r="A473" s="368"/>
      <c r="B473" s="368"/>
      <c r="P473" s="40"/>
      <c r="Q473" s="369"/>
      <c r="R473" s="369"/>
      <c r="S473" s="369"/>
      <c r="T473" s="369"/>
      <c r="U473" s="369"/>
      <c r="V473" s="369"/>
      <c r="W473" s="369"/>
      <c r="X473" s="369"/>
      <c r="Y473" s="369"/>
      <c r="Z473" s="369"/>
    </row>
    <row r="474" customFormat="false" ht="12.75" hidden="false" customHeight="false" outlineLevel="0" collapsed="false">
      <c r="A474" s="368"/>
      <c r="B474" s="368"/>
      <c r="P474" s="40"/>
      <c r="Q474" s="369"/>
      <c r="R474" s="369"/>
      <c r="S474" s="369"/>
      <c r="T474" s="369"/>
      <c r="U474" s="369"/>
      <c r="V474" s="369"/>
      <c r="W474" s="369"/>
      <c r="X474" s="369"/>
      <c r="Y474" s="369"/>
      <c r="Z474" s="369"/>
    </row>
    <row r="475" customFormat="false" ht="12.75" hidden="false" customHeight="false" outlineLevel="0" collapsed="false">
      <c r="A475" s="368"/>
      <c r="B475" s="368"/>
      <c r="P475" s="40"/>
      <c r="Q475" s="369"/>
      <c r="R475" s="369"/>
      <c r="S475" s="369"/>
      <c r="T475" s="369"/>
      <c r="U475" s="369"/>
      <c r="V475" s="369"/>
      <c r="W475" s="369"/>
      <c r="X475" s="369"/>
      <c r="Y475" s="369"/>
      <c r="Z475" s="369"/>
    </row>
    <row r="476" customFormat="false" ht="12.75" hidden="false" customHeight="false" outlineLevel="0" collapsed="false">
      <c r="A476" s="368"/>
      <c r="B476" s="368"/>
      <c r="P476" s="40"/>
      <c r="Q476" s="369"/>
      <c r="R476" s="369"/>
      <c r="S476" s="369"/>
      <c r="T476" s="369"/>
      <c r="U476" s="369"/>
      <c r="V476" s="369"/>
      <c r="W476" s="369"/>
      <c r="X476" s="369"/>
      <c r="Y476" s="369"/>
      <c r="Z476" s="369"/>
    </row>
    <row r="477" customFormat="false" ht="12.75" hidden="false" customHeight="false" outlineLevel="0" collapsed="false">
      <c r="A477" s="368"/>
      <c r="B477" s="368"/>
      <c r="P477" s="40"/>
      <c r="Q477" s="369"/>
      <c r="R477" s="369"/>
      <c r="S477" s="369"/>
      <c r="T477" s="369"/>
      <c r="U477" s="369"/>
      <c r="V477" s="369"/>
      <c r="W477" s="369"/>
      <c r="X477" s="369"/>
      <c r="Y477" s="369"/>
      <c r="Z477" s="369"/>
    </row>
    <row r="478" customFormat="false" ht="12.75" hidden="false" customHeight="false" outlineLevel="0" collapsed="false">
      <c r="A478" s="368"/>
      <c r="B478" s="368"/>
      <c r="P478" s="40"/>
      <c r="Q478" s="369"/>
      <c r="R478" s="369"/>
      <c r="S478" s="369"/>
      <c r="T478" s="369"/>
      <c r="U478" s="369"/>
      <c r="V478" s="369"/>
      <c r="W478" s="369"/>
      <c r="X478" s="369"/>
      <c r="Y478" s="369"/>
      <c r="Z478" s="369"/>
    </row>
    <row r="479" customFormat="false" ht="12.75" hidden="false" customHeight="false" outlineLevel="0" collapsed="false">
      <c r="A479" s="368"/>
      <c r="B479" s="368"/>
      <c r="P479" s="40"/>
      <c r="Q479" s="369"/>
      <c r="R479" s="369"/>
      <c r="S479" s="369"/>
      <c r="T479" s="369"/>
      <c r="U479" s="369"/>
      <c r="V479" s="369"/>
      <c r="W479" s="369"/>
      <c r="X479" s="369"/>
      <c r="Y479" s="369"/>
      <c r="Z479" s="369"/>
    </row>
    <row r="480" customFormat="false" ht="12.75" hidden="false" customHeight="false" outlineLevel="0" collapsed="false">
      <c r="A480" s="368"/>
      <c r="B480" s="368"/>
      <c r="P480" s="40"/>
      <c r="Q480" s="369"/>
      <c r="R480" s="369"/>
      <c r="S480" s="369"/>
      <c r="T480" s="369"/>
      <c r="U480" s="369"/>
      <c r="V480" s="369"/>
      <c r="W480" s="369"/>
      <c r="X480" s="369"/>
      <c r="Y480" s="369"/>
      <c r="Z480" s="369"/>
    </row>
    <row r="481" customFormat="false" ht="12.75" hidden="false" customHeight="false" outlineLevel="0" collapsed="false">
      <c r="A481" s="368"/>
      <c r="B481" s="368"/>
      <c r="P481" s="40"/>
      <c r="Q481" s="369"/>
      <c r="R481" s="369"/>
      <c r="S481" s="369"/>
      <c r="T481" s="369"/>
      <c r="U481" s="369"/>
      <c r="V481" s="369"/>
      <c r="W481" s="369"/>
      <c r="X481" s="369"/>
      <c r="Y481" s="369"/>
      <c r="Z481" s="369"/>
    </row>
    <row r="482" customFormat="false" ht="12.75" hidden="false" customHeight="false" outlineLevel="0" collapsed="false">
      <c r="A482" s="368"/>
      <c r="B482" s="368"/>
      <c r="P482" s="40"/>
      <c r="Q482" s="369"/>
      <c r="R482" s="369"/>
      <c r="S482" s="369"/>
      <c r="T482" s="369"/>
      <c r="U482" s="369"/>
      <c r="V482" s="369"/>
      <c r="W482" s="369"/>
      <c r="X482" s="369"/>
      <c r="Y482" s="369"/>
      <c r="Z482" s="369"/>
    </row>
    <row r="483" customFormat="false" ht="12.75" hidden="false" customHeight="false" outlineLevel="0" collapsed="false">
      <c r="A483" s="368"/>
      <c r="B483" s="368"/>
      <c r="P483" s="40"/>
      <c r="Q483" s="369"/>
      <c r="R483" s="369"/>
      <c r="S483" s="369"/>
      <c r="T483" s="369"/>
      <c r="U483" s="369"/>
      <c r="V483" s="369"/>
      <c r="W483" s="369"/>
      <c r="X483" s="369"/>
      <c r="Y483" s="369"/>
      <c r="Z483" s="369"/>
    </row>
    <row r="484" customFormat="false" ht="12.75" hidden="false" customHeight="false" outlineLevel="0" collapsed="false">
      <c r="A484" s="368"/>
      <c r="B484" s="368"/>
      <c r="P484" s="40"/>
      <c r="Q484" s="369"/>
      <c r="R484" s="369"/>
      <c r="S484" s="369"/>
      <c r="T484" s="369"/>
      <c r="U484" s="369"/>
      <c r="V484" s="369"/>
      <c r="W484" s="369"/>
      <c r="X484" s="369"/>
      <c r="Y484" s="369"/>
      <c r="Z484" s="369"/>
    </row>
    <row r="485" customFormat="false" ht="12.75" hidden="false" customHeight="false" outlineLevel="0" collapsed="false">
      <c r="A485" s="368"/>
      <c r="B485" s="368"/>
      <c r="P485" s="40"/>
      <c r="Q485" s="369"/>
      <c r="R485" s="369"/>
      <c r="S485" s="369"/>
      <c r="T485" s="369"/>
      <c r="U485" s="369"/>
      <c r="V485" s="369"/>
      <c r="W485" s="369"/>
      <c r="X485" s="369"/>
      <c r="Y485" s="369"/>
      <c r="Z485" s="369"/>
    </row>
    <row r="486" customFormat="false" ht="12.75" hidden="false" customHeight="false" outlineLevel="0" collapsed="false">
      <c r="A486" s="368"/>
      <c r="B486" s="368"/>
      <c r="P486" s="40"/>
      <c r="Q486" s="369"/>
      <c r="R486" s="369"/>
      <c r="S486" s="369"/>
      <c r="T486" s="369"/>
      <c r="U486" s="369"/>
      <c r="V486" s="369"/>
      <c r="W486" s="369"/>
      <c r="X486" s="369"/>
      <c r="Y486" s="369"/>
      <c r="Z486" s="369"/>
    </row>
    <row r="487" customFormat="false" ht="12.75" hidden="false" customHeight="false" outlineLevel="0" collapsed="false">
      <c r="A487" s="368"/>
      <c r="B487" s="368"/>
      <c r="P487" s="40"/>
      <c r="Q487" s="369"/>
      <c r="R487" s="369"/>
      <c r="S487" s="369"/>
      <c r="T487" s="369"/>
      <c r="U487" s="369"/>
      <c r="V487" s="369"/>
      <c r="W487" s="369"/>
      <c r="X487" s="369"/>
      <c r="Y487" s="369"/>
      <c r="Z487" s="369"/>
    </row>
    <row r="488" customFormat="false" ht="12.75" hidden="false" customHeight="false" outlineLevel="0" collapsed="false">
      <c r="A488" s="368"/>
      <c r="B488" s="368"/>
      <c r="P488" s="40"/>
      <c r="Q488" s="369"/>
      <c r="R488" s="369"/>
      <c r="S488" s="369"/>
      <c r="T488" s="369"/>
      <c r="U488" s="369"/>
      <c r="V488" s="369"/>
      <c r="W488" s="369"/>
      <c r="X488" s="369"/>
      <c r="Y488" s="369"/>
      <c r="Z488" s="369"/>
    </row>
    <row r="489" customFormat="false" ht="12.75" hidden="false" customHeight="false" outlineLevel="0" collapsed="false">
      <c r="A489" s="368"/>
      <c r="B489" s="368"/>
      <c r="P489" s="40"/>
      <c r="Q489" s="369"/>
      <c r="R489" s="369"/>
      <c r="S489" s="369"/>
      <c r="T489" s="369"/>
      <c r="U489" s="369"/>
      <c r="V489" s="369"/>
      <c r="W489" s="369"/>
      <c r="X489" s="369"/>
      <c r="Y489" s="369"/>
      <c r="Z489" s="369"/>
    </row>
    <row r="490" customFormat="false" ht="12.75" hidden="false" customHeight="false" outlineLevel="0" collapsed="false">
      <c r="A490" s="368"/>
      <c r="B490" s="368"/>
      <c r="P490" s="40"/>
      <c r="Q490" s="369"/>
      <c r="R490" s="369"/>
      <c r="S490" s="369"/>
      <c r="T490" s="369"/>
      <c r="U490" s="369"/>
      <c r="V490" s="369"/>
      <c r="W490" s="369"/>
      <c r="X490" s="369"/>
      <c r="Y490" s="369"/>
      <c r="Z490" s="369"/>
    </row>
    <row r="491" customFormat="false" ht="12.75" hidden="false" customHeight="false" outlineLevel="0" collapsed="false">
      <c r="A491" s="368"/>
      <c r="B491" s="368"/>
      <c r="P491" s="40"/>
      <c r="Q491" s="369"/>
      <c r="R491" s="369"/>
      <c r="S491" s="369"/>
      <c r="T491" s="369"/>
      <c r="U491" s="369"/>
      <c r="V491" s="369"/>
      <c r="W491" s="369"/>
      <c r="X491" s="369"/>
      <c r="Y491" s="369"/>
      <c r="Z491" s="369"/>
    </row>
    <row r="492" customFormat="false" ht="12.75" hidden="false" customHeight="false" outlineLevel="0" collapsed="false">
      <c r="A492" s="368"/>
      <c r="B492" s="368"/>
      <c r="P492" s="40"/>
      <c r="Q492" s="369"/>
      <c r="R492" s="369"/>
      <c r="S492" s="369"/>
      <c r="T492" s="369"/>
      <c r="U492" s="369"/>
      <c r="V492" s="369"/>
      <c r="W492" s="369"/>
      <c r="X492" s="369"/>
      <c r="Y492" s="369"/>
      <c r="Z492" s="369"/>
    </row>
    <row r="493" customFormat="false" ht="12.75" hidden="false" customHeight="false" outlineLevel="0" collapsed="false">
      <c r="A493" s="368"/>
      <c r="B493" s="368"/>
      <c r="P493" s="40"/>
      <c r="Q493" s="369"/>
      <c r="R493" s="369"/>
      <c r="S493" s="369"/>
      <c r="T493" s="369"/>
      <c r="U493" s="369"/>
      <c r="V493" s="369"/>
      <c r="W493" s="369"/>
      <c r="X493" s="369"/>
      <c r="Y493" s="369"/>
      <c r="Z493" s="369"/>
    </row>
    <row r="494" customFormat="false" ht="12.75" hidden="false" customHeight="false" outlineLevel="0" collapsed="false">
      <c r="A494" s="368"/>
      <c r="B494" s="368"/>
      <c r="P494" s="40"/>
      <c r="Q494" s="369"/>
      <c r="R494" s="369"/>
      <c r="S494" s="369"/>
      <c r="T494" s="369"/>
      <c r="U494" s="369"/>
      <c r="V494" s="369"/>
      <c r="W494" s="369"/>
      <c r="X494" s="369"/>
      <c r="Y494" s="369"/>
      <c r="Z494" s="369"/>
    </row>
    <row r="495" customFormat="false" ht="12.75" hidden="false" customHeight="false" outlineLevel="0" collapsed="false">
      <c r="A495" s="368"/>
      <c r="B495" s="368"/>
      <c r="P495" s="40"/>
      <c r="Q495" s="369"/>
      <c r="R495" s="369"/>
      <c r="S495" s="369"/>
      <c r="T495" s="369"/>
      <c r="U495" s="369"/>
      <c r="V495" s="369"/>
      <c r="W495" s="369"/>
      <c r="X495" s="369"/>
      <c r="Y495" s="369"/>
      <c r="Z495" s="369"/>
    </row>
    <row r="496" customFormat="false" ht="12.75" hidden="false" customHeight="false" outlineLevel="0" collapsed="false">
      <c r="A496" s="368"/>
      <c r="B496" s="368"/>
      <c r="P496" s="40"/>
      <c r="Q496" s="369"/>
      <c r="R496" s="369"/>
      <c r="S496" s="369"/>
      <c r="T496" s="369"/>
      <c r="U496" s="369"/>
      <c r="V496" s="369"/>
      <c r="W496" s="369"/>
      <c r="X496" s="369"/>
      <c r="Y496" s="369"/>
      <c r="Z496" s="369"/>
    </row>
    <row r="497" customFormat="false" ht="12.75" hidden="false" customHeight="false" outlineLevel="0" collapsed="false">
      <c r="A497" s="368"/>
      <c r="B497" s="368"/>
      <c r="P497" s="40"/>
      <c r="Q497" s="369"/>
      <c r="R497" s="369"/>
      <c r="S497" s="369"/>
      <c r="T497" s="369"/>
      <c r="U497" s="369"/>
      <c r="V497" s="369"/>
      <c r="W497" s="369"/>
      <c r="X497" s="369"/>
      <c r="Y497" s="369"/>
      <c r="Z497" s="369"/>
    </row>
    <row r="498" customFormat="false" ht="12.75" hidden="false" customHeight="false" outlineLevel="0" collapsed="false">
      <c r="A498" s="368"/>
      <c r="B498" s="368"/>
      <c r="P498" s="40"/>
      <c r="Q498" s="369"/>
      <c r="R498" s="369"/>
      <c r="S498" s="369"/>
      <c r="T498" s="369"/>
      <c r="U498" s="369"/>
      <c r="V498" s="369"/>
      <c r="W498" s="369"/>
      <c r="X498" s="369"/>
      <c r="Y498" s="369"/>
      <c r="Z498" s="369"/>
    </row>
    <row r="499" customFormat="false" ht="12.75" hidden="false" customHeight="false" outlineLevel="0" collapsed="false">
      <c r="A499" s="368"/>
      <c r="B499" s="368"/>
      <c r="P499" s="40"/>
      <c r="Q499" s="369"/>
      <c r="R499" s="369"/>
      <c r="S499" s="369"/>
      <c r="T499" s="369"/>
      <c r="U499" s="369"/>
      <c r="V499" s="369"/>
      <c r="W499" s="369"/>
      <c r="X499" s="369"/>
      <c r="Y499" s="369"/>
      <c r="Z499" s="369"/>
    </row>
    <row r="500" customFormat="false" ht="12.75" hidden="false" customHeight="false" outlineLevel="0" collapsed="false">
      <c r="A500" s="368"/>
      <c r="B500" s="368"/>
      <c r="P500" s="40"/>
      <c r="Q500" s="369"/>
      <c r="R500" s="369"/>
      <c r="S500" s="369"/>
      <c r="T500" s="369"/>
      <c r="U500" s="369"/>
      <c r="V500" s="369"/>
      <c r="W500" s="369"/>
      <c r="X500" s="369"/>
      <c r="Y500" s="369"/>
      <c r="Z500" s="369"/>
    </row>
    <row r="501" customFormat="false" ht="12.75" hidden="false" customHeight="false" outlineLevel="0" collapsed="false">
      <c r="A501" s="368"/>
      <c r="B501" s="368"/>
      <c r="P501" s="40"/>
      <c r="Q501" s="369"/>
      <c r="R501" s="369"/>
      <c r="S501" s="369"/>
      <c r="T501" s="369"/>
      <c r="U501" s="369"/>
      <c r="V501" s="369"/>
      <c r="W501" s="369"/>
      <c r="X501" s="369"/>
      <c r="Y501" s="369"/>
      <c r="Z501" s="369"/>
    </row>
    <row r="502" customFormat="false" ht="12.75" hidden="false" customHeight="false" outlineLevel="0" collapsed="false">
      <c r="A502" s="368"/>
      <c r="B502" s="368"/>
      <c r="P502" s="40"/>
      <c r="Q502" s="369"/>
      <c r="R502" s="369"/>
      <c r="S502" s="369"/>
      <c r="T502" s="369"/>
      <c r="U502" s="369"/>
      <c r="V502" s="369"/>
      <c r="W502" s="369"/>
      <c r="X502" s="369"/>
      <c r="Y502" s="369"/>
      <c r="Z502" s="369"/>
    </row>
    <row r="503" customFormat="false" ht="12.75" hidden="false" customHeight="false" outlineLevel="0" collapsed="false">
      <c r="A503" s="368"/>
      <c r="B503" s="368"/>
      <c r="P503" s="40"/>
      <c r="Q503" s="369"/>
      <c r="R503" s="369"/>
      <c r="S503" s="369"/>
      <c r="T503" s="369"/>
      <c r="U503" s="369"/>
      <c r="V503" s="369"/>
      <c r="W503" s="369"/>
      <c r="X503" s="369"/>
      <c r="Y503" s="369"/>
      <c r="Z503" s="369"/>
    </row>
    <row r="504" customFormat="false" ht="12.75" hidden="false" customHeight="false" outlineLevel="0" collapsed="false">
      <c r="A504" s="368"/>
      <c r="B504" s="368"/>
      <c r="P504" s="40"/>
      <c r="Q504" s="369"/>
      <c r="R504" s="369"/>
      <c r="S504" s="369"/>
      <c r="T504" s="369"/>
      <c r="U504" s="369"/>
      <c r="V504" s="369"/>
      <c r="W504" s="369"/>
      <c r="X504" s="369"/>
      <c r="Y504" s="369"/>
      <c r="Z504" s="369"/>
    </row>
    <row r="505" customFormat="false" ht="12.75" hidden="false" customHeight="false" outlineLevel="0" collapsed="false">
      <c r="A505" s="368"/>
      <c r="B505" s="368"/>
      <c r="P505" s="40"/>
      <c r="Q505" s="369"/>
      <c r="R505" s="369"/>
      <c r="S505" s="369"/>
      <c r="T505" s="369"/>
      <c r="U505" s="369"/>
      <c r="V505" s="369"/>
      <c r="W505" s="369"/>
      <c r="X505" s="369"/>
      <c r="Y505" s="369"/>
      <c r="Z505" s="369"/>
    </row>
    <row r="506" customFormat="false" ht="12.75" hidden="false" customHeight="false" outlineLevel="0" collapsed="false">
      <c r="A506" s="368"/>
      <c r="B506" s="368"/>
      <c r="P506" s="40"/>
      <c r="Q506" s="369"/>
      <c r="R506" s="369"/>
      <c r="S506" s="369"/>
      <c r="T506" s="369"/>
      <c r="U506" s="369"/>
      <c r="V506" s="369"/>
      <c r="W506" s="369"/>
      <c r="X506" s="369"/>
      <c r="Y506" s="369"/>
      <c r="Z506" s="369"/>
    </row>
    <row r="507" customFormat="false" ht="12.75" hidden="false" customHeight="false" outlineLevel="0" collapsed="false">
      <c r="A507" s="368"/>
      <c r="B507" s="368"/>
      <c r="P507" s="40"/>
      <c r="Q507" s="369"/>
      <c r="R507" s="369"/>
      <c r="S507" s="369"/>
      <c r="T507" s="369"/>
      <c r="U507" s="369"/>
      <c r="V507" s="369"/>
      <c r="W507" s="369"/>
      <c r="X507" s="369"/>
      <c r="Y507" s="369"/>
      <c r="Z507" s="369"/>
    </row>
    <row r="508" customFormat="false" ht="12.75" hidden="false" customHeight="false" outlineLevel="0" collapsed="false">
      <c r="A508" s="368"/>
      <c r="B508" s="368"/>
      <c r="P508" s="40"/>
      <c r="Q508" s="369"/>
      <c r="R508" s="369"/>
      <c r="S508" s="369"/>
      <c r="T508" s="369"/>
      <c r="U508" s="369"/>
      <c r="V508" s="369"/>
      <c r="W508" s="369"/>
      <c r="X508" s="369"/>
      <c r="Y508" s="369"/>
      <c r="Z508" s="369"/>
    </row>
    <row r="509" customFormat="false" ht="12.75" hidden="false" customHeight="false" outlineLevel="0" collapsed="false">
      <c r="A509" s="368"/>
      <c r="B509" s="368"/>
      <c r="P509" s="40"/>
      <c r="Q509" s="369"/>
      <c r="R509" s="369"/>
      <c r="S509" s="369"/>
      <c r="T509" s="369"/>
      <c r="U509" s="369"/>
      <c r="V509" s="369"/>
      <c r="W509" s="369"/>
      <c r="X509" s="369"/>
      <c r="Y509" s="369"/>
      <c r="Z509" s="369"/>
    </row>
    <row r="510" customFormat="false" ht="12.75" hidden="false" customHeight="false" outlineLevel="0" collapsed="false">
      <c r="A510" s="368"/>
      <c r="B510" s="368"/>
      <c r="P510" s="40"/>
      <c r="Q510" s="369"/>
      <c r="R510" s="369"/>
      <c r="S510" s="369"/>
      <c r="T510" s="369"/>
      <c r="U510" s="369"/>
      <c r="V510" s="369"/>
      <c r="W510" s="369"/>
      <c r="X510" s="369"/>
      <c r="Y510" s="369"/>
      <c r="Z510" s="369"/>
    </row>
    <row r="511" customFormat="false" ht="12.75" hidden="false" customHeight="false" outlineLevel="0" collapsed="false">
      <c r="A511" s="368"/>
      <c r="B511" s="368"/>
      <c r="P511" s="40"/>
      <c r="Q511" s="369"/>
      <c r="R511" s="369"/>
      <c r="S511" s="369"/>
      <c r="T511" s="369"/>
      <c r="U511" s="369"/>
      <c r="V511" s="369"/>
      <c r="W511" s="369"/>
      <c r="X511" s="369"/>
      <c r="Y511" s="369"/>
      <c r="Z511" s="369"/>
    </row>
    <row r="512" customFormat="false" ht="12.75" hidden="false" customHeight="false" outlineLevel="0" collapsed="false">
      <c r="A512" s="368"/>
      <c r="B512" s="368"/>
      <c r="P512" s="40"/>
      <c r="Q512" s="369"/>
      <c r="R512" s="369"/>
      <c r="S512" s="369"/>
      <c r="T512" s="369"/>
      <c r="U512" s="369"/>
      <c r="V512" s="369"/>
      <c r="W512" s="369"/>
      <c r="X512" s="369"/>
      <c r="Y512" s="369"/>
      <c r="Z512" s="369"/>
    </row>
    <row r="513" customFormat="false" ht="12.75" hidden="false" customHeight="false" outlineLevel="0" collapsed="false">
      <c r="A513" s="368"/>
      <c r="B513" s="368"/>
      <c r="P513" s="40"/>
      <c r="Q513" s="369"/>
      <c r="R513" s="369"/>
      <c r="S513" s="369"/>
      <c r="T513" s="369"/>
      <c r="U513" s="369"/>
      <c r="V513" s="369"/>
      <c r="W513" s="369"/>
      <c r="X513" s="369"/>
      <c r="Y513" s="369"/>
      <c r="Z513" s="369"/>
    </row>
    <row r="514" customFormat="false" ht="12.75" hidden="false" customHeight="false" outlineLevel="0" collapsed="false">
      <c r="A514" s="368"/>
      <c r="B514" s="368"/>
      <c r="P514" s="40"/>
      <c r="Q514" s="369"/>
      <c r="R514" s="369"/>
      <c r="S514" s="369"/>
      <c r="T514" s="369"/>
      <c r="U514" s="369"/>
      <c r="V514" s="369"/>
      <c r="W514" s="369"/>
      <c r="X514" s="369"/>
      <c r="Y514" s="369"/>
      <c r="Z514" s="369"/>
    </row>
    <row r="515" customFormat="false" ht="12.75" hidden="false" customHeight="false" outlineLevel="0" collapsed="false">
      <c r="A515" s="368"/>
      <c r="B515" s="368"/>
      <c r="P515" s="40"/>
      <c r="Q515" s="369"/>
      <c r="R515" s="369"/>
      <c r="S515" s="369"/>
      <c r="T515" s="369"/>
      <c r="U515" s="369"/>
      <c r="V515" s="369"/>
      <c r="W515" s="369"/>
      <c r="X515" s="369"/>
      <c r="Y515" s="369"/>
      <c r="Z515" s="369"/>
    </row>
    <row r="516" customFormat="false" ht="12.75" hidden="false" customHeight="false" outlineLevel="0" collapsed="false">
      <c r="A516" s="368"/>
      <c r="B516" s="368"/>
      <c r="P516" s="40"/>
      <c r="Q516" s="369"/>
      <c r="R516" s="369"/>
      <c r="S516" s="369"/>
      <c r="T516" s="369"/>
      <c r="U516" s="369"/>
      <c r="V516" s="369"/>
      <c r="W516" s="369"/>
      <c r="X516" s="369"/>
      <c r="Y516" s="369"/>
      <c r="Z516" s="369"/>
    </row>
    <row r="517" customFormat="false" ht="12.75" hidden="false" customHeight="false" outlineLevel="0" collapsed="false">
      <c r="A517" s="368"/>
      <c r="B517" s="368"/>
      <c r="P517" s="40"/>
      <c r="Q517" s="369"/>
      <c r="R517" s="369"/>
      <c r="S517" s="369"/>
      <c r="T517" s="369"/>
      <c r="U517" s="369"/>
      <c r="V517" s="369"/>
      <c r="W517" s="369"/>
      <c r="X517" s="369"/>
      <c r="Y517" s="369"/>
      <c r="Z517" s="369"/>
    </row>
    <row r="518" customFormat="false" ht="12.75" hidden="false" customHeight="false" outlineLevel="0" collapsed="false">
      <c r="A518" s="368"/>
      <c r="B518" s="368"/>
      <c r="P518" s="40"/>
      <c r="Q518" s="369"/>
      <c r="R518" s="369"/>
      <c r="S518" s="369"/>
      <c r="T518" s="369"/>
      <c r="U518" s="369"/>
      <c r="V518" s="369"/>
      <c r="W518" s="369"/>
      <c r="X518" s="369"/>
      <c r="Y518" s="369"/>
      <c r="Z518" s="369"/>
    </row>
    <row r="519" customFormat="false" ht="12.75" hidden="false" customHeight="false" outlineLevel="0" collapsed="false">
      <c r="A519" s="368"/>
      <c r="B519" s="368"/>
      <c r="P519" s="40"/>
      <c r="Q519" s="369"/>
      <c r="R519" s="369"/>
      <c r="S519" s="369"/>
      <c r="T519" s="369"/>
      <c r="U519" s="369"/>
      <c r="V519" s="369"/>
      <c r="W519" s="369"/>
      <c r="X519" s="369"/>
      <c r="Y519" s="369"/>
      <c r="Z519" s="369"/>
    </row>
    <row r="520" customFormat="false" ht="12.75" hidden="false" customHeight="false" outlineLevel="0" collapsed="false">
      <c r="A520" s="368"/>
      <c r="B520" s="368"/>
      <c r="P520" s="40"/>
      <c r="Q520" s="369"/>
      <c r="R520" s="369"/>
      <c r="S520" s="369"/>
      <c r="T520" s="369"/>
      <c r="U520" s="369"/>
      <c r="V520" s="369"/>
      <c r="W520" s="369"/>
      <c r="X520" s="369"/>
      <c r="Y520" s="369"/>
      <c r="Z520" s="369"/>
    </row>
    <row r="521" customFormat="false" ht="12.75" hidden="false" customHeight="false" outlineLevel="0" collapsed="false">
      <c r="A521" s="368"/>
      <c r="B521" s="368"/>
      <c r="P521" s="40"/>
      <c r="Q521" s="369"/>
      <c r="R521" s="369"/>
      <c r="S521" s="369"/>
      <c r="T521" s="369"/>
      <c r="U521" s="369"/>
      <c r="V521" s="369"/>
      <c r="W521" s="369"/>
      <c r="X521" s="369"/>
      <c r="Y521" s="369"/>
      <c r="Z521" s="369"/>
    </row>
    <row r="522" customFormat="false" ht="12.75" hidden="false" customHeight="false" outlineLevel="0" collapsed="false">
      <c r="A522" s="368"/>
      <c r="B522" s="368"/>
      <c r="P522" s="40"/>
      <c r="Q522" s="369"/>
      <c r="R522" s="369"/>
      <c r="S522" s="369"/>
      <c r="T522" s="369"/>
      <c r="U522" s="369"/>
      <c r="V522" s="369"/>
      <c r="W522" s="369"/>
      <c r="X522" s="369"/>
      <c r="Y522" s="369"/>
      <c r="Z522" s="369"/>
    </row>
    <row r="523" customFormat="false" ht="12.75" hidden="false" customHeight="false" outlineLevel="0" collapsed="false">
      <c r="A523" s="368"/>
      <c r="B523" s="368"/>
      <c r="P523" s="40"/>
      <c r="Q523" s="369"/>
      <c r="R523" s="369"/>
      <c r="S523" s="369"/>
      <c r="T523" s="369"/>
      <c r="U523" s="369"/>
      <c r="V523" s="369"/>
      <c r="W523" s="369"/>
      <c r="X523" s="369"/>
      <c r="Y523" s="369"/>
      <c r="Z523" s="369"/>
    </row>
    <row r="524" customFormat="false" ht="12.75" hidden="false" customHeight="false" outlineLevel="0" collapsed="false">
      <c r="A524" s="368"/>
      <c r="B524" s="368"/>
      <c r="P524" s="40"/>
      <c r="Q524" s="369"/>
      <c r="R524" s="369"/>
      <c r="S524" s="369"/>
      <c r="T524" s="369"/>
      <c r="U524" s="369"/>
      <c r="V524" s="369"/>
      <c r="W524" s="369"/>
      <c r="X524" s="369"/>
      <c r="Y524" s="369"/>
      <c r="Z524" s="369"/>
    </row>
    <row r="525" customFormat="false" ht="12.75" hidden="false" customHeight="false" outlineLevel="0" collapsed="false">
      <c r="A525" s="368"/>
      <c r="B525" s="368"/>
      <c r="P525" s="40"/>
      <c r="Q525" s="369"/>
      <c r="R525" s="369"/>
      <c r="S525" s="369"/>
      <c r="T525" s="369"/>
      <c r="U525" s="369"/>
      <c r="V525" s="369"/>
      <c r="W525" s="369"/>
      <c r="X525" s="369"/>
      <c r="Y525" s="369"/>
      <c r="Z525" s="369"/>
    </row>
    <row r="526" customFormat="false" ht="12.75" hidden="false" customHeight="false" outlineLevel="0" collapsed="false">
      <c r="A526" s="368"/>
      <c r="B526" s="368"/>
      <c r="P526" s="40"/>
      <c r="Q526" s="369"/>
      <c r="R526" s="369"/>
      <c r="S526" s="369"/>
      <c r="T526" s="369"/>
      <c r="U526" s="369"/>
      <c r="V526" s="369"/>
      <c r="W526" s="369"/>
      <c r="X526" s="369"/>
      <c r="Y526" s="369"/>
      <c r="Z526" s="369"/>
    </row>
    <row r="527" customFormat="false" ht="12.75" hidden="false" customHeight="false" outlineLevel="0" collapsed="false">
      <c r="A527" s="368"/>
      <c r="B527" s="368"/>
      <c r="P527" s="40"/>
      <c r="Q527" s="369"/>
      <c r="R527" s="369"/>
      <c r="S527" s="369"/>
      <c r="T527" s="369"/>
      <c r="U527" s="369"/>
      <c r="V527" s="369"/>
      <c r="W527" s="369"/>
      <c r="X527" s="369"/>
      <c r="Y527" s="369"/>
      <c r="Z527" s="369"/>
    </row>
    <row r="528" customFormat="false" ht="12.75" hidden="false" customHeight="false" outlineLevel="0" collapsed="false">
      <c r="A528" s="368"/>
      <c r="B528" s="368"/>
      <c r="P528" s="40"/>
      <c r="Q528" s="369"/>
      <c r="R528" s="369"/>
      <c r="S528" s="369"/>
      <c r="T528" s="369"/>
      <c r="U528" s="369"/>
      <c r="V528" s="369"/>
      <c r="W528" s="369"/>
      <c r="X528" s="369"/>
      <c r="Y528" s="369"/>
      <c r="Z528" s="369"/>
    </row>
    <row r="529" customFormat="false" ht="12.75" hidden="false" customHeight="false" outlineLevel="0" collapsed="false">
      <c r="A529" s="368"/>
      <c r="B529" s="368"/>
      <c r="P529" s="40"/>
      <c r="Q529" s="369"/>
      <c r="R529" s="369"/>
      <c r="S529" s="369"/>
      <c r="T529" s="369"/>
      <c r="U529" s="369"/>
      <c r="V529" s="369"/>
      <c r="W529" s="369"/>
      <c r="X529" s="369"/>
      <c r="Y529" s="369"/>
      <c r="Z529" s="369"/>
    </row>
    <row r="530" customFormat="false" ht="12.75" hidden="false" customHeight="false" outlineLevel="0" collapsed="false">
      <c r="A530" s="368"/>
      <c r="B530" s="368"/>
      <c r="P530" s="40"/>
      <c r="Q530" s="369"/>
      <c r="R530" s="369"/>
      <c r="S530" s="369"/>
      <c r="T530" s="369"/>
      <c r="U530" s="369"/>
      <c r="V530" s="369"/>
      <c r="W530" s="369"/>
      <c r="X530" s="369"/>
      <c r="Y530" s="369"/>
      <c r="Z530" s="369"/>
    </row>
    <row r="531" customFormat="false" ht="12.75" hidden="false" customHeight="false" outlineLevel="0" collapsed="false">
      <c r="A531" s="368"/>
      <c r="B531" s="368"/>
      <c r="P531" s="40"/>
      <c r="Q531" s="369"/>
      <c r="R531" s="369"/>
      <c r="S531" s="369"/>
      <c r="T531" s="369"/>
      <c r="U531" s="369"/>
      <c r="V531" s="369"/>
      <c r="W531" s="369"/>
      <c r="X531" s="369"/>
      <c r="Y531" s="369"/>
      <c r="Z531" s="369"/>
    </row>
    <row r="532" customFormat="false" ht="12.75" hidden="false" customHeight="false" outlineLevel="0" collapsed="false">
      <c r="A532" s="368"/>
      <c r="B532" s="368"/>
      <c r="P532" s="40"/>
      <c r="Q532" s="369"/>
      <c r="R532" s="369"/>
      <c r="S532" s="369"/>
      <c r="T532" s="369"/>
      <c r="U532" s="369"/>
      <c r="V532" s="369"/>
      <c r="W532" s="369"/>
      <c r="X532" s="369"/>
      <c r="Y532" s="369"/>
      <c r="Z532" s="369"/>
    </row>
    <row r="533" customFormat="false" ht="12.75" hidden="false" customHeight="false" outlineLevel="0" collapsed="false">
      <c r="A533" s="368"/>
      <c r="B533" s="368"/>
      <c r="P533" s="40"/>
      <c r="Q533" s="369"/>
      <c r="R533" s="369"/>
      <c r="S533" s="369"/>
      <c r="T533" s="369"/>
      <c r="U533" s="369"/>
      <c r="V533" s="369"/>
      <c r="W533" s="369"/>
      <c r="X533" s="369"/>
      <c r="Y533" s="369"/>
      <c r="Z533" s="369"/>
    </row>
    <row r="534" customFormat="false" ht="12.75" hidden="false" customHeight="false" outlineLevel="0" collapsed="false">
      <c r="A534" s="368"/>
      <c r="B534" s="368"/>
      <c r="P534" s="40"/>
      <c r="Q534" s="369"/>
      <c r="R534" s="369"/>
      <c r="S534" s="369"/>
      <c r="T534" s="369"/>
      <c r="U534" s="369"/>
      <c r="V534" s="369"/>
      <c r="W534" s="369"/>
      <c r="X534" s="369"/>
      <c r="Y534" s="369"/>
      <c r="Z534" s="369"/>
    </row>
    <row r="535" customFormat="false" ht="12.75" hidden="false" customHeight="false" outlineLevel="0" collapsed="false">
      <c r="A535" s="368"/>
      <c r="B535" s="368"/>
      <c r="P535" s="40"/>
      <c r="Q535" s="369"/>
      <c r="R535" s="369"/>
      <c r="S535" s="369"/>
      <c r="T535" s="369"/>
      <c r="U535" s="369"/>
      <c r="V535" s="369"/>
      <c r="W535" s="369"/>
      <c r="X535" s="369"/>
      <c r="Y535" s="369"/>
      <c r="Z535" s="369"/>
    </row>
    <row r="536" customFormat="false" ht="12.75" hidden="false" customHeight="false" outlineLevel="0" collapsed="false">
      <c r="A536" s="368"/>
      <c r="B536" s="368"/>
      <c r="P536" s="40"/>
      <c r="Q536" s="369"/>
      <c r="R536" s="369"/>
      <c r="S536" s="369"/>
      <c r="T536" s="369"/>
      <c r="U536" s="369"/>
      <c r="V536" s="369"/>
      <c r="W536" s="369"/>
      <c r="X536" s="369"/>
      <c r="Y536" s="369"/>
      <c r="Z536" s="369"/>
    </row>
    <row r="537" customFormat="false" ht="12.75" hidden="false" customHeight="false" outlineLevel="0" collapsed="false">
      <c r="A537" s="368"/>
      <c r="B537" s="368"/>
      <c r="P537" s="40"/>
      <c r="Q537" s="369"/>
      <c r="R537" s="369"/>
      <c r="S537" s="369"/>
      <c r="T537" s="369"/>
      <c r="U537" s="369"/>
      <c r="V537" s="369"/>
      <c r="W537" s="369"/>
      <c r="X537" s="369"/>
      <c r="Y537" s="369"/>
      <c r="Z537" s="369"/>
    </row>
    <row r="538" customFormat="false" ht="12.75" hidden="false" customHeight="false" outlineLevel="0" collapsed="false">
      <c r="A538" s="368"/>
      <c r="B538" s="368"/>
      <c r="P538" s="40"/>
      <c r="Q538" s="369"/>
      <c r="R538" s="369"/>
      <c r="S538" s="369"/>
      <c r="T538" s="369"/>
      <c r="U538" s="369"/>
      <c r="V538" s="369"/>
      <c r="W538" s="369"/>
      <c r="X538" s="369"/>
      <c r="Y538" s="369"/>
      <c r="Z538" s="369"/>
    </row>
    <row r="539" customFormat="false" ht="12.75" hidden="false" customHeight="false" outlineLevel="0" collapsed="false">
      <c r="A539" s="368"/>
      <c r="B539" s="368"/>
      <c r="P539" s="40"/>
      <c r="Q539" s="369"/>
      <c r="R539" s="369"/>
      <c r="S539" s="369"/>
      <c r="T539" s="369"/>
      <c r="U539" s="369"/>
      <c r="V539" s="369"/>
      <c r="W539" s="369"/>
      <c r="X539" s="369"/>
      <c r="Y539" s="369"/>
      <c r="Z539" s="369"/>
    </row>
    <row r="540" customFormat="false" ht="12.75" hidden="false" customHeight="false" outlineLevel="0" collapsed="false">
      <c r="A540" s="368"/>
      <c r="B540" s="368"/>
      <c r="P540" s="40"/>
      <c r="Q540" s="369"/>
      <c r="R540" s="369"/>
      <c r="S540" s="369"/>
      <c r="T540" s="369"/>
      <c r="U540" s="369"/>
      <c r="V540" s="369"/>
      <c r="W540" s="369"/>
      <c r="X540" s="369"/>
      <c r="Y540" s="369"/>
      <c r="Z540" s="369"/>
    </row>
    <row r="541" customFormat="false" ht="12.75" hidden="false" customHeight="false" outlineLevel="0" collapsed="false">
      <c r="A541" s="368"/>
      <c r="B541" s="368"/>
      <c r="P541" s="40"/>
      <c r="Q541" s="369"/>
      <c r="R541" s="369"/>
      <c r="S541" s="369"/>
      <c r="T541" s="369"/>
      <c r="U541" s="369"/>
      <c r="V541" s="369"/>
      <c r="W541" s="369"/>
      <c r="X541" s="369"/>
      <c r="Y541" s="369"/>
      <c r="Z541" s="369"/>
    </row>
    <row r="542" customFormat="false" ht="12.75" hidden="false" customHeight="false" outlineLevel="0" collapsed="false">
      <c r="A542" s="368"/>
      <c r="B542" s="368"/>
      <c r="P542" s="40"/>
      <c r="Q542" s="369"/>
      <c r="R542" s="369"/>
      <c r="S542" s="369"/>
      <c r="T542" s="369"/>
      <c r="U542" s="369"/>
      <c r="V542" s="369"/>
      <c r="W542" s="369"/>
      <c r="X542" s="369"/>
      <c r="Y542" s="369"/>
      <c r="Z542" s="369"/>
    </row>
    <row r="543" customFormat="false" ht="12.75" hidden="false" customHeight="false" outlineLevel="0" collapsed="false">
      <c r="A543" s="368"/>
      <c r="B543" s="368"/>
      <c r="P543" s="40"/>
      <c r="Q543" s="369"/>
      <c r="R543" s="369"/>
      <c r="S543" s="369"/>
      <c r="T543" s="369"/>
      <c r="U543" s="369"/>
      <c r="V543" s="369"/>
      <c r="W543" s="369"/>
      <c r="X543" s="369"/>
      <c r="Y543" s="369"/>
      <c r="Z543" s="369"/>
    </row>
    <row r="544" customFormat="false" ht="12.75" hidden="false" customHeight="false" outlineLevel="0" collapsed="false">
      <c r="A544" s="368"/>
      <c r="B544" s="368"/>
      <c r="P544" s="40"/>
      <c r="Q544" s="369"/>
      <c r="R544" s="369"/>
      <c r="S544" s="369"/>
      <c r="T544" s="369"/>
      <c r="U544" s="369"/>
      <c r="V544" s="369"/>
      <c r="W544" s="369"/>
      <c r="X544" s="369"/>
      <c r="Y544" s="369"/>
      <c r="Z544" s="369"/>
    </row>
    <row r="545" customFormat="false" ht="12.75" hidden="false" customHeight="false" outlineLevel="0" collapsed="false">
      <c r="A545" s="368"/>
      <c r="B545" s="368"/>
      <c r="P545" s="40"/>
      <c r="Q545" s="369"/>
      <c r="R545" s="369"/>
      <c r="S545" s="369"/>
      <c r="T545" s="369"/>
      <c r="U545" s="369"/>
      <c r="V545" s="369"/>
      <c r="W545" s="369"/>
      <c r="X545" s="369"/>
      <c r="Y545" s="369"/>
      <c r="Z545" s="369"/>
    </row>
    <row r="546" customFormat="false" ht="12.75" hidden="false" customHeight="false" outlineLevel="0" collapsed="false">
      <c r="A546" s="368"/>
      <c r="B546" s="368"/>
      <c r="P546" s="40"/>
      <c r="Q546" s="369"/>
      <c r="R546" s="369"/>
      <c r="S546" s="369"/>
      <c r="T546" s="369"/>
      <c r="U546" s="369"/>
      <c r="V546" s="369"/>
      <c r="W546" s="369"/>
      <c r="X546" s="369"/>
      <c r="Y546" s="369"/>
      <c r="Z546" s="369"/>
    </row>
    <row r="547" customFormat="false" ht="12.75" hidden="false" customHeight="false" outlineLevel="0" collapsed="false">
      <c r="A547" s="368"/>
      <c r="B547" s="368"/>
      <c r="P547" s="40"/>
      <c r="Q547" s="369"/>
      <c r="R547" s="369"/>
      <c r="S547" s="369"/>
      <c r="T547" s="369"/>
      <c r="U547" s="369"/>
      <c r="V547" s="369"/>
      <c r="W547" s="369"/>
      <c r="X547" s="369"/>
      <c r="Y547" s="369"/>
      <c r="Z547" s="369"/>
    </row>
    <row r="548" customFormat="false" ht="12.75" hidden="false" customHeight="false" outlineLevel="0" collapsed="false">
      <c r="A548" s="368"/>
      <c r="B548" s="368"/>
      <c r="P548" s="40"/>
      <c r="Q548" s="369"/>
      <c r="R548" s="369"/>
      <c r="S548" s="369"/>
      <c r="T548" s="369"/>
      <c r="U548" s="369"/>
      <c r="V548" s="369"/>
      <c r="W548" s="369"/>
      <c r="X548" s="369"/>
      <c r="Y548" s="369"/>
      <c r="Z548" s="369"/>
    </row>
    <row r="549" customFormat="false" ht="12.75" hidden="false" customHeight="false" outlineLevel="0" collapsed="false">
      <c r="A549" s="368"/>
      <c r="B549" s="368"/>
      <c r="P549" s="40"/>
      <c r="Q549" s="369"/>
      <c r="R549" s="369"/>
      <c r="S549" s="369"/>
      <c r="T549" s="369"/>
      <c r="U549" s="369"/>
      <c r="V549" s="369"/>
      <c r="W549" s="369"/>
      <c r="X549" s="369"/>
      <c r="Y549" s="369"/>
      <c r="Z549" s="369"/>
    </row>
    <row r="550" customFormat="false" ht="12.75" hidden="false" customHeight="false" outlineLevel="0" collapsed="false">
      <c r="A550" s="368"/>
      <c r="B550" s="368"/>
      <c r="P550" s="40"/>
      <c r="Q550" s="369"/>
      <c r="R550" s="369"/>
      <c r="S550" s="369"/>
      <c r="T550" s="369"/>
      <c r="U550" s="369"/>
      <c r="V550" s="369"/>
      <c r="W550" s="369"/>
      <c r="X550" s="369"/>
      <c r="Y550" s="369"/>
      <c r="Z550" s="369"/>
    </row>
    <row r="551" customFormat="false" ht="12.75" hidden="false" customHeight="false" outlineLevel="0" collapsed="false">
      <c r="A551" s="368"/>
      <c r="B551" s="368"/>
      <c r="P551" s="40"/>
      <c r="Q551" s="369"/>
      <c r="R551" s="369"/>
      <c r="S551" s="369"/>
      <c r="T551" s="369"/>
      <c r="U551" s="369"/>
      <c r="V551" s="369"/>
      <c r="W551" s="369"/>
      <c r="X551" s="369"/>
      <c r="Y551" s="369"/>
      <c r="Z551" s="369"/>
    </row>
    <row r="552" customFormat="false" ht="12.75" hidden="false" customHeight="false" outlineLevel="0" collapsed="false">
      <c r="A552" s="368"/>
      <c r="B552" s="368"/>
      <c r="P552" s="40"/>
      <c r="Q552" s="369"/>
      <c r="R552" s="369"/>
      <c r="S552" s="369"/>
      <c r="T552" s="369"/>
      <c r="U552" s="369"/>
      <c r="V552" s="369"/>
      <c r="W552" s="369"/>
      <c r="X552" s="369"/>
      <c r="Y552" s="369"/>
      <c r="Z552" s="369"/>
    </row>
    <row r="553" customFormat="false" ht="12.75" hidden="false" customHeight="false" outlineLevel="0" collapsed="false">
      <c r="A553" s="368"/>
      <c r="B553" s="368"/>
      <c r="P553" s="40"/>
      <c r="Q553" s="369"/>
      <c r="R553" s="369"/>
      <c r="S553" s="369"/>
      <c r="T553" s="369"/>
      <c r="U553" s="369"/>
      <c r="V553" s="369"/>
      <c r="W553" s="369"/>
      <c r="X553" s="369"/>
      <c r="Y553" s="369"/>
      <c r="Z553" s="369"/>
    </row>
    <row r="554" customFormat="false" ht="12.75" hidden="false" customHeight="false" outlineLevel="0" collapsed="false">
      <c r="A554" s="368"/>
      <c r="B554" s="368"/>
      <c r="P554" s="40"/>
      <c r="Q554" s="369"/>
      <c r="R554" s="369"/>
      <c r="S554" s="369"/>
      <c r="T554" s="369"/>
      <c r="U554" s="369"/>
      <c r="V554" s="369"/>
      <c r="W554" s="369"/>
      <c r="X554" s="369"/>
      <c r="Y554" s="369"/>
      <c r="Z554" s="369"/>
    </row>
    <row r="555" customFormat="false" ht="12.75" hidden="false" customHeight="false" outlineLevel="0" collapsed="false">
      <c r="A555" s="368"/>
      <c r="B555" s="368"/>
      <c r="P555" s="40"/>
      <c r="Q555" s="369"/>
      <c r="R555" s="369"/>
      <c r="S555" s="369"/>
      <c r="T555" s="369"/>
      <c r="U555" s="369"/>
      <c r="V555" s="369"/>
      <c r="W555" s="369"/>
      <c r="X555" s="369"/>
      <c r="Y555" s="369"/>
      <c r="Z555" s="369"/>
    </row>
    <row r="556" customFormat="false" ht="12.75" hidden="false" customHeight="false" outlineLevel="0" collapsed="false">
      <c r="A556" s="368"/>
      <c r="B556" s="368"/>
      <c r="P556" s="40"/>
      <c r="Q556" s="369"/>
      <c r="R556" s="369"/>
      <c r="S556" s="369"/>
      <c r="T556" s="369"/>
      <c r="U556" s="369"/>
      <c r="V556" s="369"/>
      <c r="W556" s="369"/>
      <c r="X556" s="369"/>
      <c r="Y556" s="369"/>
      <c r="Z556" s="369"/>
    </row>
    <row r="557" customFormat="false" ht="12.75" hidden="false" customHeight="false" outlineLevel="0" collapsed="false">
      <c r="A557" s="368"/>
      <c r="B557" s="368"/>
      <c r="P557" s="40"/>
      <c r="Q557" s="369"/>
      <c r="R557" s="369"/>
      <c r="S557" s="369"/>
      <c r="T557" s="369"/>
      <c r="U557" s="369"/>
      <c r="V557" s="369"/>
      <c r="W557" s="369"/>
      <c r="X557" s="369"/>
      <c r="Y557" s="369"/>
      <c r="Z557" s="369"/>
    </row>
    <row r="558" customFormat="false" ht="12.75" hidden="false" customHeight="false" outlineLevel="0" collapsed="false">
      <c r="A558" s="368"/>
      <c r="B558" s="368"/>
      <c r="P558" s="40"/>
      <c r="Q558" s="369"/>
      <c r="R558" s="369"/>
      <c r="S558" s="369"/>
      <c r="T558" s="369"/>
      <c r="U558" s="369"/>
      <c r="V558" s="369"/>
      <c r="W558" s="369"/>
      <c r="X558" s="369"/>
      <c r="Y558" s="369"/>
      <c r="Z558" s="369"/>
    </row>
    <row r="559" customFormat="false" ht="12.75" hidden="false" customHeight="false" outlineLevel="0" collapsed="false">
      <c r="A559" s="368"/>
      <c r="B559" s="368"/>
      <c r="P559" s="40"/>
      <c r="Q559" s="369"/>
      <c r="R559" s="369"/>
      <c r="S559" s="369"/>
      <c r="T559" s="369"/>
      <c r="U559" s="369"/>
      <c r="V559" s="369"/>
      <c r="W559" s="369"/>
      <c r="X559" s="369"/>
      <c r="Y559" s="369"/>
      <c r="Z559" s="369"/>
    </row>
    <row r="560" customFormat="false" ht="12.75" hidden="false" customHeight="false" outlineLevel="0" collapsed="false">
      <c r="A560" s="368"/>
      <c r="B560" s="368"/>
      <c r="P560" s="40"/>
      <c r="Q560" s="369"/>
      <c r="R560" s="369"/>
      <c r="S560" s="369"/>
      <c r="T560" s="369"/>
      <c r="U560" s="369"/>
      <c r="V560" s="369"/>
      <c r="W560" s="369"/>
      <c r="X560" s="369"/>
      <c r="Y560" s="369"/>
      <c r="Z560" s="369"/>
    </row>
    <row r="561" customFormat="false" ht="12.75" hidden="false" customHeight="false" outlineLevel="0" collapsed="false">
      <c r="A561" s="368"/>
      <c r="B561" s="368"/>
      <c r="P561" s="40"/>
      <c r="Q561" s="369"/>
      <c r="R561" s="369"/>
      <c r="S561" s="369"/>
      <c r="T561" s="369"/>
      <c r="U561" s="369"/>
      <c r="V561" s="369"/>
      <c r="W561" s="369"/>
      <c r="X561" s="369"/>
      <c r="Y561" s="369"/>
      <c r="Z561" s="369"/>
    </row>
    <row r="562" customFormat="false" ht="12.75" hidden="false" customHeight="false" outlineLevel="0" collapsed="false">
      <c r="A562" s="368"/>
      <c r="B562" s="368"/>
      <c r="P562" s="40"/>
      <c r="Q562" s="369"/>
      <c r="R562" s="369"/>
      <c r="S562" s="369"/>
      <c r="T562" s="369"/>
      <c r="U562" s="369"/>
      <c r="V562" s="369"/>
      <c r="W562" s="369"/>
      <c r="X562" s="369"/>
      <c r="Y562" s="369"/>
      <c r="Z562" s="369"/>
    </row>
    <row r="563" customFormat="false" ht="12.75" hidden="false" customHeight="false" outlineLevel="0" collapsed="false">
      <c r="A563" s="368"/>
      <c r="B563" s="368"/>
      <c r="P563" s="40"/>
      <c r="Q563" s="369"/>
      <c r="R563" s="369"/>
      <c r="S563" s="369"/>
      <c r="T563" s="369"/>
      <c r="U563" s="369"/>
      <c r="V563" s="369"/>
      <c r="W563" s="369"/>
      <c r="X563" s="369"/>
      <c r="Y563" s="369"/>
      <c r="Z563" s="369"/>
    </row>
    <row r="564" customFormat="false" ht="12.75" hidden="false" customHeight="false" outlineLevel="0" collapsed="false">
      <c r="A564" s="368"/>
      <c r="B564" s="368"/>
      <c r="P564" s="40"/>
      <c r="Q564" s="369"/>
      <c r="R564" s="369"/>
      <c r="S564" s="369"/>
      <c r="T564" s="369"/>
      <c r="U564" s="369"/>
      <c r="V564" s="369"/>
      <c r="W564" s="369"/>
      <c r="X564" s="369"/>
      <c r="Y564" s="369"/>
      <c r="Z564" s="369"/>
    </row>
    <row r="565" customFormat="false" ht="12.75" hidden="false" customHeight="false" outlineLevel="0" collapsed="false">
      <c r="A565" s="368"/>
      <c r="B565" s="368"/>
      <c r="P565" s="40"/>
      <c r="Q565" s="369"/>
      <c r="R565" s="369"/>
      <c r="S565" s="369"/>
      <c r="T565" s="369"/>
      <c r="U565" s="369"/>
      <c r="V565" s="369"/>
      <c r="W565" s="369"/>
      <c r="X565" s="369"/>
      <c r="Y565" s="369"/>
      <c r="Z565" s="369"/>
    </row>
    <row r="566" customFormat="false" ht="12.75" hidden="false" customHeight="false" outlineLevel="0" collapsed="false">
      <c r="A566" s="368"/>
      <c r="B566" s="368"/>
      <c r="P566" s="40"/>
      <c r="Q566" s="369"/>
      <c r="R566" s="369"/>
      <c r="S566" s="369"/>
      <c r="T566" s="369"/>
      <c r="U566" s="369"/>
      <c r="V566" s="369"/>
      <c r="W566" s="369"/>
      <c r="X566" s="369"/>
      <c r="Y566" s="369"/>
      <c r="Z566" s="369"/>
    </row>
    <row r="567" customFormat="false" ht="12.75" hidden="false" customHeight="false" outlineLevel="0" collapsed="false">
      <c r="A567" s="368"/>
      <c r="B567" s="368"/>
      <c r="P567" s="40"/>
      <c r="Q567" s="369"/>
      <c r="R567" s="369"/>
      <c r="S567" s="369"/>
      <c r="T567" s="369"/>
      <c r="U567" s="369"/>
      <c r="V567" s="369"/>
      <c r="W567" s="369"/>
      <c r="X567" s="369"/>
      <c r="Y567" s="369"/>
      <c r="Z567" s="369"/>
    </row>
    <row r="568" customFormat="false" ht="12.75" hidden="false" customHeight="false" outlineLevel="0" collapsed="false">
      <c r="A568" s="368"/>
      <c r="B568" s="368"/>
      <c r="P568" s="40"/>
      <c r="Q568" s="369"/>
      <c r="R568" s="369"/>
      <c r="S568" s="369"/>
      <c r="T568" s="369"/>
      <c r="U568" s="369"/>
      <c r="V568" s="369"/>
      <c r="W568" s="369"/>
      <c r="X568" s="369"/>
      <c r="Y568" s="369"/>
      <c r="Z568" s="369"/>
    </row>
    <row r="569" customFormat="false" ht="12.75" hidden="false" customHeight="false" outlineLevel="0" collapsed="false">
      <c r="A569" s="368"/>
      <c r="B569" s="368"/>
      <c r="P569" s="40"/>
      <c r="Q569" s="369"/>
      <c r="R569" s="369"/>
      <c r="S569" s="369"/>
      <c r="T569" s="369"/>
      <c r="U569" s="369"/>
      <c r="V569" s="369"/>
      <c r="W569" s="369"/>
      <c r="X569" s="369"/>
      <c r="Y569" s="369"/>
      <c r="Z569" s="369"/>
    </row>
    <row r="570" customFormat="false" ht="12.75" hidden="false" customHeight="false" outlineLevel="0" collapsed="false">
      <c r="A570" s="368"/>
      <c r="B570" s="368"/>
      <c r="P570" s="40"/>
      <c r="Q570" s="369"/>
      <c r="R570" s="369"/>
      <c r="S570" s="369"/>
      <c r="T570" s="369"/>
      <c r="U570" s="369"/>
      <c r="V570" s="369"/>
      <c r="W570" s="369"/>
      <c r="X570" s="369"/>
      <c r="Y570" s="369"/>
      <c r="Z570" s="369"/>
    </row>
    <row r="571" customFormat="false" ht="12.75" hidden="false" customHeight="false" outlineLevel="0" collapsed="false">
      <c r="A571" s="368"/>
      <c r="B571" s="368"/>
      <c r="P571" s="40"/>
      <c r="Q571" s="369"/>
      <c r="R571" s="369"/>
      <c r="S571" s="369"/>
      <c r="T571" s="369"/>
      <c r="U571" s="369"/>
      <c r="V571" s="369"/>
      <c r="W571" s="369"/>
      <c r="X571" s="369"/>
      <c r="Y571" s="369"/>
      <c r="Z571" s="369"/>
    </row>
    <row r="572" customFormat="false" ht="12.75" hidden="false" customHeight="false" outlineLevel="0" collapsed="false">
      <c r="A572" s="368"/>
      <c r="B572" s="368"/>
      <c r="P572" s="40"/>
      <c r="Q572" s="369"/>
      <c r="R572" s="369"/>
      <c r="S572" s="369"/>
      <c r="T572" s="369"/>
      <c r="U572" s="369"/>
      <c r="V572" s="369"/>
      <c r="W572" s="369"/>
      <c r="X572" s="369"/>
      <c r="Y572" s="369"/>
      <c r="Z572" s="369"/>
    </row>
    <row r="573" customFormat="false" ht="12.75" hidden="false" customHeight="false" outlineLevel="0" collapsed="false">
      <c r="A573" s="368"/>
      <c r="B573" s="368"/>
      <c r="P573" s="40"/>
      <c r="Q573" s="369"/>
      <c r="R573" s="369"/>
      <c r="S573" s="369"/>
      <c r="T573" s="369"/>
      <c r="U573" s="369"/>
      <c r="V573" s="369"/>
      <c r="W573" s="369"/>
      <c r="X573" s="369"/>
      <c r="Y573" s="369"/>
      <c r="Z573" s="369"/>
    </row>
    <row r="574" customFormat="false" ht="12.75" hidden="false" customHeight="false" outlineLevel="0" collapsed="false">
      <c r="A574" s="368"/>
      <c r="B574" s="368"/>
      <c r="P574" s="40"/>
      <c r="Q574" s="369"/>
      <c r="R574" s="369"/>
      <c r="S574" s="369"/>
      <c r="T574" s="369"/>
      <c r="U574" s="369"/>
      <c r="V574" s="369"/>
      <c r="W574" s="369"/>
      <c r="X574" s="369"/>
      <c r="Y574" s="369"/>
      <c r="Z574" s="369"/>
    </row>
    <row r="575" customFormat="false" ht="12.75" hidden="false" customHeight="false" outlineLevel="0" collapsed="false">
      <c r="A575" s="368"/>
      <c r="B575" s="368"/>
      <c r="P575" s="40"/>
      <c r="Q575" s="369"/>
      <c r="R575" s="369"/>
      <c r="S575" s="369"/>
      <c r="T575" s="369"/>
      <c r="U575" s="369"/>
      <c r="V575" s="369"/>
      <c r="W575" s="369"/>
      <c r="X575" s="369"/>
      <c r="Y575" s="369"/>
      <c r="Z575" s="369"/>
    </row>
    <row r="576" customFormat="false" ht="12.75" hidden="false" customHeight="false" outlineLevel="0" collapsed="false">
      <c r="A576" s="368"/>
      <c r="B576" s="368"/>
      <c r="P576" s="40"/>
      <c r="Q576" s="369"/>
      <c r="R576" s="369"/>
      <c r="S576" s="369"/>
      <c r="T576" s="369"/>
      <c r="U576" s="369"/>
      <c r="V576" s="369"/>
      <c r="W576" s="369"/>
      <c r="X576" s="369"/>
      <c r="Y576" s="369"/>
      <c r="Z576" s="369"/>
    </row>
    <row r="577" customFormat="false" ht="12.75" hidden="false" customHeight="false" outlineLevel="0" collapsed="false">
      <c r="A577" s="368"/>
      <c r="B577" s="368"/>
      <c r="P577" s="40"/>
      <c r="Q577" s="369"/>
      <c r="R577" s="369"/>
      <c r="S577" s="369"/>
      <c r="T577" s="369"/>
      <c r="U577" s="369"/>
      <c r="V577" s="369"/>
      <c r="W577" s="369"/>
      <c r="X577" s="369"/>
      <c r="Y577" s="369"/>
      <c r="Z577" s="369"/>
    </row>
    <row r="578" customFormat="false" ht="12.75" hidden="false" customHeight="false" outlineLevel="0" collapsed="false">
      <c r="A578" s="368"/>
      <c r="B578" s="368"/>
      <c r="P578" s="40"/>
      <c r="Q578" s="369"/>
      <c r="R578" s="369"/>
      <c r="S578" s="369"/>
      <c r="T578" s="369"/>
      <c r="U578" s="369"/>
      <c r="V578" s="369"/>
      <c r="W578" s="369"/>
      <c r="X578" s="369"/>
      <c r="Y578" s="369"/>
      <c r="Z578" s="369"/>
    </row>
    <row r="579" customFormat="false" ht="12.75" hidden="false" customHeight="false" outlineLevel="0" collapsed="false">
      <c r="A579" s="368"/>
      <c r="B579" s="368"/>
      <c r="P579" s="40"/>
      <c r="Q579" s="369"/>
      <c r="R579" s="369"/>
      <c r="S579" s="369"/>
      <c r="T579" s="369"/>
      <c r="U579" s="369"/>
      <c r="V579" s="369"/>
      <c r="W579" s="369"/>
      <c r="X579" s="369"/>
      <c r="Y579" s="369"/>
      <c r="Z579" s="369"/>
    </row>
    <row r="580" customFormat="false" ht="12.75" hidden="false" customHeight="false" outlineLevel="0" collapsed="false">
      <c r="A580" s="368"/>
      <c r="B580" s="368"/>
      <c r="P580" s="40"/>
      <c r="Q580" s="369"/>
      <c r="R580" s="369"/>
      <c r="S580" s="369"/>
      <c r="T580" s="369"/>
      <c r="U580" s="369"/>
      <c r="V580" s="369"/>
      <c r="W580" s="369"/>
      <c r="X580" s="369"/>
      <c r="Y580" s="369"/>
      <c r="Z580" s="369"/>
    </row>
    <row r="581" customFormat="false" ht="12.75" hidden="false" customHeight="false" outlineLevel="0" collapsed="false">
      <c r="A581" s="368"/>
      <c r="B581" s="368"/>
      <c r="P581" s="40"/>
      <c r="Q581" s="369"/>
      <c r="R581" s="369"/>
      <c r="S581" s="369"/>
      <c r="T581" s="369"/>
      <c r="U581" s="369"/>
      <c r="V581" s="369"/>
      <c r="W581" s="369"/>
      <c r="X581" s="369"/>
      <c r="Y581" s="369"/>
      <c r="Z581" s="369"/>
    </row>
    <row r="582" customFormat="false" ht="12.75" hidden="false" customHeight="false" outlineLevel="0" collapsed="false">
      <c r="A582" s="368"/>
      <c r="B582" s="368"/>
      <c r="P582" s="40"/>
      <c r="Q582" s="369"/>
      <c r="R582" s="369"/>
      <c r="S582" s="369"/>
      <c r="T582" s="369"/>
      <c r="U582" s="369"/>
      <c r="V582" s="369"/>
      <c r="W582" s="369"/>
      <c r="X582" s="369"/>
      <c r="Y582" s="369"/>
      <c r="Z582" s="369"/>
    </row>
    <row r="583" customFormat="false" ht="12.75" hidden="false" customHeight="false" outlineLevel="0" collapsed="false">
      <c r="A583" s="368"/>
      <c r="B583" s="368"/>
      <c r="P583" s="40"/>
      <c r="Q583" s="369"/>
      <c r="R583" s="369"/>
      <c r="S583" s="369"/>
      <c r="T583" s="369"/>
      <c r="U583" s="369"/>
      <c r="V583" s="369"/>
      <c r="W583" s="369"/>
      <c r="X583" s="369"/>
      <c r="Y583" s="369"/>
      <c r="Z583" s="369"/>
    </row>
    <row r="584" customFormat="false" ht="12.75" hidden="false" customHeight="false" outlineLevel="0" collapsed="false">
      <c r="A584" s="368"/>
      <c r="B584" s="368"/>
      <c r="P584" s="40"/>
      <c r="Q584" s="369"/>
      <c r="R584" s="369"/>
      <c r="S584" s="369"/>
      <c r="T584" s="369"/>
      <c r="U584" s="369"/>
      <c r="V584" s="369"/>
      <c r="W584" s="369"/>
      <c r="X584" s="369"/>
      <c r="Y584" s="369"/>
      <c r="Z584" s="369"/>
    </row>
    <row r="585" customFormat="false" ht="12.75" hidden="false" customHeight="false" outlineLevel="0" collapsed="false">
      <c r="A585" s="368"/>
      <c r="B585" s="368"/>
      <c r="P585" s="40"/>
      <c r="Q585" s="369"/>
      <c r="R585" s="369"/>
      <c r="S585" s="369"/>
      <c r="T585" s="369"/>
      <c r="U585" s="369"/>
      <c r="V585" s="369"/>
      <c r="W585" s="369"/>
      <c r="X585" s="369"/>
      <c r="Y585" s="369"/>
      <c r="Z585" s="369"/>
    </row>
    <row r="586" customFormat="false" ht="12.75" hidden="false" customHeight="false" outlineLevel="0" collapsed="false">
      <c r="A586" s="368"/>
      <c r="B586" s="368"/>
      <c r="P586" s="40"/>
      <c r="Q586" s="369"/>
      <c r="R586" s="369"/>
      <c r="S586" s="369"/>
      <c r="T586" s="369"/>
      <c r="U586" s="369"/>
      <c r="V586" s="369"/>
      <c r="W586" s="369"/>
      <c r="X586" s="369"/>
      <c r="Y586" s="369"/>
      <c r="Z586" s="369"/>
    </row>
    <row r="587" customFormat="false" ht="12.75" hidden="false" customHeight="false" outlineLevel="0" collapsed="false">
      <c r="A587" s="368"/>
      <c r="B587" s="368"/>
      <c r="P587" s="40"/>
      <c r="Q587" s="369"/>
      <c r="R587" s="369"/>
      <c r="S587" s="369"/>
      <c r="T587" s="369"/>
      <c r="U587" s="369"/>
      <c r="V587" s="369"/>
      <c r="W587" s="369"/>
      <c r="X587" s="369"/>
      <c r="Y587" s="369"/>
      <c r="Z587" s="369"/>
    </row>
    <row r="588" customFormat="false" ht="12.75" hidden="false" customHeight="false" outlineLevel="0" collapsed="false">
      <c r="A588" s="368"/>
      <c r="B588" s="368"/>
      <c r="P588" s="40"/>
      <c r="Q588" s="369"/>
      <c r="R588" s="369"/>
      <c r="S588" s="369"/>
      <c r="T588" s="369"/>
      <c r="U588" s="369"/>
      <c r="V588" s="369"/>
      <c r="W588" s="369"/>
      <c r="X588" s="369"/>
      <c r="Y588" s="369"/>
      <c r="Z588" s="369"/>
    </row>
    <row r="589" customFormat="false" ht="12.75" hidden="false" customHeight="false" outlineLevel="0" collapsed="false">
      <c r="A589" s="368"/>
      <c r="B589" s="368"/>
      <c r="P589" s="40"/>
      <c r="Q589" s="369"/>
      <c r="R589" s="369"/>
      <c r="S589" s="369"/>
      <c r="T589" s="369"/>
      <c r="U589" s="369"/>
      <c r="V589" s="369"/>
      <c r="W589" s="369"/>
      <c r="X589" s="369"/>
      <c r="Y589" s="369"/>
      <c r="Z589" s="369"/>
    </row>
    <row r="590" customFormat="false" ht="12.75" hidden="false" customHeight="false" outlineLevel="0" collapsed="false">
      <c r="A590" s="368"/>
      <c r="B590" s="368"/>
      <c r="P590" s="40"/>
      <c r="Q590" s="369"/>
      <c r="R590" s="369"/>
      <c r="S590" s="369"/>
      <c r="T590" s="369"/>
      <c r="U590" s="369"/>
      <c r="V590" s="369"/>
      <c r="W590" s="369"/>
      <c r="X590" s="369"/>
      <c r="Y590" s="369"/>
      <c r="Z590" s="369"/>
    </row>
    <row r="591" customFormat="false" ht="12.75" hidden="false" customHeight="false" outlineLevel="0" collapsed="false">
      <c r="A591" s="368"/>
      <c r="B591" s="368"/>
      <c r="P591" s="40"/>
      <c r="Q591" s="369"/>
      <c r="R591" s="369"/>
      <c r="S591" s="369"/>
      <c r="T591" s="369"/>
      <c r="U591" s="369"/>
      <c r="V591" s="369"/>
      <c r="W591" s="369"/>
      <c r="X591" s="369"/>
      <c r="Y591" s="369"/>
      <c r="Z591" s="369"/>
    </row>
    <row r="592" customFormat="false" ht="12.75" hidden="false" customHeight="false" outlineLevel="0" collapsed="false">
      <c r="A592" s="368"/>
      <c r="B592" s="368"/>
      <c r="P592" s="40"/>
      <c r="Q592" s="369"/>
      <c r="R592" s="369"/>
      <c r="S592" s="369"/>
      <c r="T592" s="369"/>
      <c r="U592" s="369"/>
      <c r="V592" s="369"/>
      <c r="W592" s="369"/>
      <c r="X592" s="369"/>
      <c r="Y592" s="369"/>
      <c r="Z592" s="369"/>
    </row>
    <row r="593" customFormat="false" ht="12.75" hidden="false" customHeight="false" outlineLevel="0" collapsed="false">
      <c r="A593" s="368"/>
      <c r="B593" s="368"/>
      <c r="P593" s="40"/>
      <c r="Q593" s="369"/>
      <c r="R593" s="369"/>
      <c r="S593" s="369"/>
      <c r="T593" s="369"/>
      <c r="U593" s="369"/>
      <c r="V593" s="369"/>
      <c r="W593" s="369"/>
      <c r="X593" s="369"/>
      <c r="Y593" s="369"/>
      <c r="Z593" s="369"/>
    </row>
    <row r="594" customFormat="false" ht="12.75" hidden="false" customHeight="false" outlineLevel="0" collapsed="false">
      <c r="A594" s="368"/>
      <c r="B594" s="368"/>
      <c r="P594" s="40"/>
      <c r="Q594" s="369"/>
      <c r="R594" s="369"/>
      <c r="S594" s="369"/>
      <c r="T594" s="369"/>
      <c r="U594" s="369"/>
      <c r="V594" s="369"/>
      <c r="W594" s="369"/>
      <c r="X594" s="369"/>
      <c r="Y594" s="369"/>
      <c r="Z594" s="369"/>
    </row>
    <row r="595" customFormat="false" ht="12.75" hidden="false" customHeight="false" outlineLevel="0" collapsed="false">
      <c r="A595" s="368"/>
      <c r="B595" s="368"/>
      <c r="P595" s="40"/>
      <c r="Q595" s="369"/>
      <c r="R595" s="369"/>
      <c r="S595" s="369"/>
      <c r="T595" s="369"/>
      <c r="U595" s="369"/>
      <c r="V595" s="369"/>
      <c r="W595" s="369"/>
      <c r="X595" s="369"/>
      <c r="Y595" s="369"/>
      <c r="Z595" s="369"/>
    </row>
    <row r="596" customFormat="false" ht="12.75" hidden="false" customHeight="false" outlineLevel="0" collapsed="false">
      <c r="A596" s="368"/>
      <c r="B596" s="368"/>
      <c r="P596" s="40"/>
      <c r="Q596" s="369"/>
      <c r="R596" s="369"/>
      <c r="S596" s="369"/>
      <c r="T596" s="369"/>
      <c r="U596" s="369"/>
      <c r="V596" s="369"/>
      <c r="W596" s="369"/>
      <c r="X596" s="369"/>
      <c r="Y596" s="369"/>
      <c r="Z596" s="369"/>
    </row>
    <row r="597" customFormat="false" ht="12.75" hidden="false" customHeight="false" outlineLevel="0" collapsed="false">
      <c r="A597" s="368"/>
      <c r="B597" s="368"/>
      <c r="P597" s="40"/>
      <c r="Q597" s="369"/>
      <c r="R597" s="369"/>
      <c r="S597" s="369"/>
      <c r="T597" s="369"/>
      <c r="U597" s="369"/>
      <c r="V597" s="369"/>
      <c r="W597" s="369"/>
      <c r="X597" s="369"/>
      <c r="Y597" s="369"/>
      <c r="Z597" s="369"/>
    </row>
    <row r="598" customFormat="false" ht="12.75" hidden="false" customHeight="false" outlineLevel="0" collapsed="false">
      <c r="A598" s="368"/>
      <c r="B598" s="368"/>
      <c r="P598" s="40"/>
      <c r="Q598" s="369"/>
      <c r="R598" s="369"/>
      <c r="S598" s="369"/>
      <c r="T598" s="369"/>
      <c r="U598" s="369"/>
      <c r="V598" s="369"/>
      <c r="W598" s="369"/>
      <c r="X598" s="369"/>
      <c r="Y598" s="369"/>
      <c r="Z598" s="369"/>
    </row>
    <row r="599" customFormat="false" ht="12.75" hidden="false" customHeight="false" outlineLevel="0" collapsed="false">
      <c r="A599" s="368"/>
      <c r="B599" s="368"/>
      <c r="P599" s="40"/>
      <c r="Q599" s="369"/>
      <c r="R599" s="369"/>
      <c r="S599" s="369"/>
      <c r="T599" s="369"/>
      <c r="U599" s="369"/>
      <c r="V599" s="369"/>
      <c r="W599" s="369"/>
      <c r="X599" s="369"/>
      <c r="Y599" s="369"/>
      <c r="Z599" s="369"/>
    </row>
    <row r="600" customFormat="false" ht="12.75" hidden="false" customHeight="false" outlineLevel="0" collapsed="false">
      <c r="A600" s="368"/>
      <c r="B600" s="368"/>
      <c r="P600" s="40"/>
      <c r="Q600" s="369"/>
      <c r="R600" s="369"/>
      <c r="S600" s="369"/>
      <c r="T600" s="369"/>
      <c r="U600" s="369"/>
      <c r="V600" s="369"/>
      <c r="W600" s="369"/>
      <c r="X600" s="369"/>
      <c r="Y600" s="369"/>
      <c r="Z600" s="369"/>
    </row>
    <row r="601" customFormat="false" ht="12.75" hidden="false" customHeight="false" outlineLevel="0" collapsed="false">
      <c r="A601" s="368"/>
      <c r="B601" s="368"/>
      <c r="P601" s="40"/>
      <c r="Q601" s="369"/>
      <c r="R601" s="369"/>
      <c r="S601" s="369"/>
      <c r="T601" s="369"/>
      <c r="U601" s="369"/>
      <c r="V601" s="369"/>
      <c r="W601" s="369"/>
      <c r="X601" s="369"/>
      <c r="Y601" s="369"/>
      <c r="Z601" s="369"/>
    </row>
    <row r="602" customFormat="false" ht="12.75" hidden="false" customHeight="false" outlineLevel="0" collapsed="false">
      <c r="A602" s="368"/>
      <c r="B602" s="368"/>
      <c r="P602" s="40"/>
      <c r="Q602" s="369"/>
      <c r="R602" s="369"/>
      <c r="S602" s="369"/>
      <c r="T602" s="369"/>
      <c r="U602" s="369"/>
      <c r="V602" s="369"/>
      <c r="W602" s="369"/>
      <c r="X602" s="369"/>
      <c r="Y602" s="369"/>
      <c r="Z602" s="369"/>
    </row>
    <row r="603" customFormat="false" ht="12.75" hidden="false" customHeight="false" outlineLevel="0" collapsed="false">
      <c r="A603" s="368"/>
      <c r="B603" s="368"/>
      <c r="P603" s="40"/>
      <c r="Q603" s="369"/>
      <c r="R603" s="369"/>
      <c r="S603" s="369"/>
      <c r="T603" s="369"/>
      <c r="U603" s="369"/>
      <c r="V603" s="369"/>
      <c r="W603" s="369"/>
      <c r="X603" s="369"/>
      <c r="Y603" s="369"/>
      <c r="Z603" s="369"/>
    </row>
    <row r="604" customFormat="false" ht="12.75" hidden="false" customHeight="false" outlineLevel="0" collapsed="false">
      <c r="A604" s="368"/>
      <c r="B604" s="368"/>
      <c r="P604" s="40"/>
      <c r="Q604" s="369"/>
      <c r="R604" s="369"/>
      <c r="S604" s="369"/>
      <c r="T604" s="369"/>
      <c r="U604" s="369"/>
      <c r="V604" s="369"/>
      <c r="W604" s="369"/>
      <c r="X604" s="369"/>
      <c r="Y604" s="369"/>
      <c r="Z604" s="369"/>
    </row>
    <row r="605" customFormat="false" ht="12.75" hidden="false" customHeight="false" outlineLevel="0" collapsed="false">
      <c r="A605" s="368"/>
      <c r="B605" s="368"/>
      <c r="P605" s="40"/>
      <c r="Q605" s="369"/>
      <c r="R605" s="369"/>
      <c r="S605" s="369"/>
      <c r="T605" s="369"/>
      <c r="U605" s="369"/>
      <c r="V605" s="369"/>
      <c r="W605" s="369"/>
      <c r="X605" s="369"/>
      <c r="Y605" s="369"/>
      <c r="Z605" s="369"/>
    </row>
    <row r="606" customFormat="false" ht="12.75" hidden="false" customHeight="false" outlineLevel="0" collapsed="false">
      <c r="A606" s="368"/>
      <c r="B606" s="368"/>
      <c r="P606" s="40"/>
      <c r="Q606" s="369"/>
      <c r="R606" s="369"/>
      <c r="S606" s="369"/>
      <c r="T606" s="369"/>
      <c r="U606" s="369"/>
      <c r="V606" s="369"/>
      <c r="W606" s="369"/>
      <c r="X606" s="369"/>
      <c r="Y606" s="369"/>
      <c r="Z606" s="369"/>
    </row>
    <row r="607" customFormat="false" ht="12.75" hidden="false" customHeight="false" outlineLevel="0" collapsed="false">
      <c r="A607" s="368"/>
      <c r="B607" s="368"/>
      <c r="P607" s="40"/>
      <c r="Q607" s="369"/>
      <c r="R607" s="369"/>
      <c r="S607" s="369"/>
      <c r="T607" s="369"/>
      <c r="U607" s="369"/>
      <c r="V607" s="369"/>
      <c r="W607" s="369"/>
      <c r="X607" s="369"/>
      <c r="Y607" s="369"/>
      <c r="Z607" s="369"/>
    </row>
    <row r="608" customFormat="false" ht="12.75" hidden="false" customHeight="false" outlineLevel="0" collapsed="false">
      <c r="A608" s="368"/>
      <c r="B608" s="368"/>
      <c r="P608" s="40"/>
      <c r="Q608" s="369"/>
      <c r="R608" s="369"/>
      <c r="S608" s="369"/>
      <c r="T608" s="369"/>
      <c r="U608" s="369"/>
      <c r="V608" s="369"/>
      <c r="W608" s="369"/>
      <c r="X608" s="369"/>
      <c r="Y608" s="369"/>
      <c r="Z608" s="369"/>
    </row>
    <row r="609" customFormat="false" ht="12.75" hidden="false" customHeight="false" outlineLevel="0" collapsed="false">
      <c r="A609" s="368"/>
      <c r="B609" s="368"/>
      <c r="P609" s="40"/>
      <c r="Q609" s="369"/>
      <c r="R609" s="369"/>
      <c r="S609" s="369"/>
      <c r="T609" s="369"/>
      <c r="U609" s="369"/>
      <c r="V609" s="369"/>
      <c r="W609" s="369"/>
      <c r="X609" s="369"/>
      <c r="Y609" s="369"/>
      <c r="Z609" s="369"/>
    </row>
    <row r="610" customFormat="false" ht="12.75" hidden="false" customHeight="false" outlineLevel="0" collapsed="false">
      <c r="A610" s="368"/>
      <c r="B610" s="368"/>
      <c r="P610" s="40"/>
      <c r="Q610" s="369"/>
      <c r="R610" s="369"/>
      <c r="S610" s="369"/>
      <c r="T610" s="369"/>
      <c r="U610" s="369"/>
      <c r="V610" s="369"/>
      <c r="W610" s="369"/>
      <c r="X610" s="369"/>
      <c r="Y610" s="369"/>
      <c r="Z610" s="369"/>
    </row>
    <row r="611" customFormat="false" ht="12.75" hidden="false" customHeight="false" outlineLevel="0" collapsed="false">
      <c r="A611" s="368"/>
      <c r="B611" s="368"/>
      <c r="P611" s="40"/>
      <c r="Q611" s="369"/>
      <c r="R611" s="369"/>
      <c r="S611" s="369"/>
      <c r="T611" s="369"/>
      <c r="U611" s="369"/>
      <c r="V611" s="369"/>
      <c r="W611" s="369"/>
      <c r="X611" s="369"/>
      <c r="Y611" s="369"/>
      <c r="Z611" s="369"/>
    </row>
    <row r="612" customFormat="false" ht="12.75" hidden="false" customHeight="false" outlineLevel="0" collapsed="false">
      <c r="A612" s="368"/>
      <c r="B612" s="368"/>
      <c r="P612" s="40"/>
      <c r="Q612" s="369"/>
      <c r="R612" s="369"/>
      <c r="S612" s="369"/>
      <c r="T612" s="369"/>
      <c r="U612" s="369"/>
      <c r="V612" s="369"/>
      <c r="W612" s="369"/>
      <c r="X612" s="369"/>
      <c r="Y612" s="369"/>
      <c r="Z612" s="369"/>
    </row>
    <row r="613" customFormat="false" ht="12.75" hidden="false" customHeight="false" outlineLevel="0" collapsed="false">
      <c r="A613" s="368"/>
      <c r="B613" s="368"/>
      <c r="P613" s="40"/>
      <c r="Q613" s="369"/>
      <c r="R613" s="369"/>
      <c r="S613" s="369"/>
      <c r="T613" s="369"/>
      <c r="U613" s="369"/>
      <c r="V613" s="369"/>
      <c r="W613" s="369"/>
      <c r="X613" s="369"/>
      <c r="Y613" s="369"/>
      <c r="Z613" s="369"/>
    </row>
    <row r="614" customFormat="false" ht="12.75" hidden="false" customHeight="false" outlineLevel="0" collapsed="false">
      <c r="A614" s="368"/>
      <c r="B614" s="368"/>
      <c r="P614" s="40"/>
      <c r="Q614" s="369"/>
      <c r="R614" s="369"/>
      <c r="S614" s="369"/>
      <c r="T614" s="369"/>
      <c r="U614" s="369"/>
      <c r="V614" s="369"/>
      <c r="W614" s="369"/>
      <c r="X614" s="369"/>
      <c r="Y614" s="369"/>
      <c r="Z614" s="369"/>
    </row>
    <row r="615" customFormat="false" ht="12.75" hidden="false" customHeight="false" outlineLevel="0" collapsed="false">
      <c r="A615" s="368"/>
      <c r="B615" s="368"/>
      <c r="P615" s="40"/>
      <c r="Q615" s="369"/>
      <c r="R615" s="369"/>
      <c r="S615" s="369"/>
      <c r="T615" s="369"/>
      <c r="U615" s="369"/>
      <c r="V615" s="369"/>
      <c r="W615" s="369"/>
      <c r="X615" s="369"/>
      <c r="Y615" s="369"/>
      <c r="Z615" s="369"/>
    </row>
    <row r="616" customFormat="false" ht="12.75" hidden="false" customHeight="false" outlineLevel="0" collapsed="false">
      <c r="A616" s="368"/>
      <c r="B616" s="368"/>
      <c r="P616" s="40"/>
      <c r="Q616" s="369"/>
      <c r="R616" s="369"/>
      <c r="S616" s="369"/>
      <c r="T616" s="369"/>
      <c r="U616" s="369"/>
      <c r="V616" s="369"/>
      <c r="W616" s="369"/>
      <c r="X616" s="369"/>
      <c r="Y616" s="369"/>
      <c r="Z616" s="369"/>
    </row>
    <row r="617" customFormat="false" ht="12.75" hidden="false" customHeight="false" outlineLevel="0" collapsed="false">
      <c r="A617" s="368"/>
      <c r="B617" s="368"/>
      <c r="P617" s="40"/>
      <c r="Q617" s="369"/>
      <c r="R617" s="369"/>
      <c r="S617" s="369"/>
      <c r="T617" s="369"/>
      <c r="U617" s="369"/>
      <c r="V617" s="369"/>
      <c r="W617" s="369"/>
      <c r="X617" s="369"/>
      <c r="Y617" s="369"/>
      <c r="Z617" s="369"/>
    </row>
    <row r="618" customFormat="false" ht="12.75" hidden="false" customHeight="false" outlineLevel="0" collapsed="false">
      <c r="A618" s="368"/>
      <c r="B618" s="368"/>
      <c r="P618" s="40"/>
      <c r="Q618" s="369"/>
      <c r="R618" s="369"/>
      <c r="S618" s="369"/>
      <c r="T618" s="369"/>
      <c r="U618" s="369"/>
      <c r="V618" s="369"/>
      <c r="W618" s="369"/>
      <c r="X618" s="369"/>
      <c r="Y618" s="369"/>
      <c r="Z618" s="369"/>
    </row>
    <row r="619" customFormat="false" ht="12.75" hidden="false" customHeight="false" outlineLevel="0" collapsed="false">
      <c r="A619" s="368"/>
      <c r="B619" s="368"/>
      <c r="P619" s="40"/>
      <c r="Q619" s="369"/>
      <c r="R619" s="369"/>
      <c r="S619" s="369"/>
      <c r="T619" s="369"/>
      <c r="U619" s="369"/>
      <c r="V619" s="369"/>
      <c r="W619" s="369"/>
      <c r="X619" s="369"/>
      <c r="Y619" s="369"/>
      <c r="Z619" s="369"/>
    </row>
    <row r="620" customFormat="false" ht="12.75" hidden="false" customHeight="false" outlineLevel="0" collapsed="false">
      <c r="A620" s="368"/>
      <c r="B620" s="368"/>
      <c r="P620" s="40"/>
      <c r="Q620" s="369"/>
      <c r="R620" s="369"/>
      <c r="S620" s="369"/>
      <c r="T620" s="369"/>
      <c r="U620" s="369"/>
      <c r="V620" s="369"/>
      <c r="W620" s="369"/>
      <c r="X620" s="369"/>
      <c r="Y620" s="369"/>
      <c r="Z620" s="369"/>
    </row>
    <row r="621" customFormat="false" ht="12.75" hidden="false" customHeight="false" outlineLevel="0" collapsed="false">
      <c r="A621" s="368"/>
      <c r="B621" s="368"/>
      <c r="P621" s="40"/>
      <c r="Q621" s="369"/>
      <c r="R621" s="369"/>
      <c r="S621" s="369"/>
      <c r="T621" s="369"/>
      <c r="U621" s="369"/>
      <c r="V621" s="369"/>
      <c r="W621" s="369"/>
      <c r="X621" s="369"/>
      <c r="Y621" s="369"/>
      <c r="Z621" s="369"/>
    </row>
    <row r="622" customFormat="false" ht="12.75" hidden="false" customHeight="false" outlineLevel="0" collapsed="false">
      <c r="A622" s="368"/>
      <c r="B622" s="368"/>
      <c r="P622" s="40"/>
      <c r="Q622" s="369"/>
      <c r="R622" s="369"/>
      <c r="S622" s="369"/>
      <c r="T622" s="369"/>
      <c r="U622" s="369"/>
      <c r="V622" s="369"/>
      <c r="W622" s="369"/>
      <c r="X622" s="369"/>
      <c r="Y622" s="369"/>
      <c r="Z622" s="369"/>
    </row>
    <row r="623" customFormat="false" ht="12.75" hidden="false" customHeight="false" outlineLevel="0" collapsed="false">
      <c r="A623" s="368"/>
      <c r="B623" s="368"/>
      <c r="P623" s="40"/>
      <c r="Q623" s="369"/>
      <c r="R623" s="369"/>
      <c r="S623" s="369"/>
      <c r="T623" s="369"/>
      <c r="U623" s="369"/>
      <c r="V623" s="369"/>
      <c r="W623" s="369"/>
      <c r="X623" s="369"/>
      <c r="Y623" s="369"/>
      <c r="Z623" s="369"/>
    </row>
    <row r="624" customFormat="false" ht="12.75" hidden="false" customHeight="false" outlineLevel="0" collapsed="false">
      <c r="A624" s="368"/>
      <c r="B624" s="368"/>
      <c r="P624" s="40"/>
      <c r="Q624" s="369"/>
      <c r="R624" s="369"/>
      <c r="S624" s="369"/>
      <c r="T624" s="369"/>
      <c r="U624" s="369"/>
      <c r="V624" s="369"/>
      <c r="W624" s="369"/>
      <c r="X624" s="369"/>
      <c r="Y624" s="369"/>
      <c r="Z624" s="369"/>
    </row>
    <row r="625" customFormat="false" ht="12.75" hidden="false" customHeight="false" outlineLevel="0" collapsed="false">
      <c r="A625" s="368"/>
      <c r="B625" s="368"/>
      <c r="P625" s="40"/>
      <c r="Q625" s="369"/>
      <c r="R625" s="369"/>
      <c r="S625" s="369"/>
      <c r="T625" s="369"/>
      <c r="U625" s="369"/>
      <c r="V625" s="369"/>
      <c r="W625" s="369"/>
      <c r="X625" s="369"/>
      <c r="Y625" s="369"/>
      <c r="Z625" s="369"/>
    </row>
    <row r="626" customFormat="false" ht="12.75" hidden="false" customHeight="false" outlineLevel="0" collapsed="false">
      <c r="A626" s="368"/>
      <c r="B626" s="368"/>
      <c r="P626" s="40"/>
      <c r="Q626" s="369"/>
      <c r="R626" s="369"/>
      <c r="S626" s="369"/>
      <c r="T626" s="369"/>
      <c r="U626" s="369"/>
      <c r="V626" s="369"/>
      <c r="W626" s="369"/>
      <c r="X626" s="369"/>
      <c r="Y626" s="369"/>
      <c r="Z626" s="369"/>
    </row>
    <row r="627" customFormat="false" ht="12.75" hidden="false" customHeight="false" outlineLevel="0" collapsed="false">
      <c r="A627" s="368"/>
      <c r="B627" s="368"/>
      <c r="P627" s="40"/>
      <c r="Q627" s="369"/>
      <c r="R627" s="369"/>
      <c r="S627" s="369"/>
      <c r="T627" s="369"/>
      <c r="U627" s="369"/>
      <c r="V627" s="369"/>
      <c r="W627" s="369"/>
      <c r="X627" s="369"/>
      <c r="Y627" s="369"/>
      <c r="Z627" s="369"/>
    </row>
    <row r="628" customFormat="false" ht="12.75" hidden="false" customHeight="false" outlineLevel="0" collapsed="false">
      <c r="A628" s="368"/>
      <c r="B628" s="368"/>
      <c r="P628" s="40"/>
      <c r="Q628" s="369"/>
      <c r="R628" s="369"/>
      <c r="S628" s="369"/>
      <c r="T628" s="369"/>
      <c r="U628" s="369"/>
      <c r="V628" s="369"/>
      <c r="W628" s="369"/>
      <c r="X628" s="369"/>
      <c r="Y628" s="369"/>
      <c r="Z628" s="369"/>
    </row>
    <row r="629" customFormat="false" ht="12.75" hidden="false" customHeight="false" outlineLevel="0" collapsed="false">
      <c r="A629" s="368"/>
      <c r="B629" s="368"/>
      <c r="P629" s="40"/>
      <c r="Q629" s="369"/>
      <c r="R629" s="369"/>
      <c r="S629" s="369"/>
      <c r="T629" s="369"/>
      <c r="U629" s="369"/>
      <c r="V629" s="369"/>
      <c r="W629" s="369"/>
      <c r="X629" s="369"/>
      <c r="Y629" s="369"/>
      <c r="Z629" s="369"/>
    </row>
    <row r="630" customFormat="false" ht="12.75" hidden="false" customHeight="false" outlineLevel="0" collapsed="false">
      <c r="A630" s="368"/>
      <c r="B630" s="368"/>
      <c r="P630" s="40"/>
      <c r="Q630" s="369"/>
      <c r="R630" s="369"/>
      <c r="S630" s="369"/>
      <c r="T630" s="369"/>
      <c r="U630" s="369"/>
      <c r="V630" s="369"/>
      <c r="W630" s="369"/>
      <c r="X630" s="369"/>
      <c r="Y630" s="369"/>
      <c r="Z630" s="369"/>
    </row>
    <row r="631" customFormat="false" ht="12.75" hidden="false" customHeight="false" outlineLevel="0" collapsed="false">
      <c r="A631" s="368"/>
      <c r="B631" s="368"/>
      <c r="P631" s="40"/>
      <c r="Q631" s="369"/>
      <c r="R631" s="369"/>
      <c r="S631" s="369"/>
      <c r="T631" s="369"/>
      <c r="U631" s="369"/>
      <c r="V631" s="369"/>
      <c r="W631" s="369"/>
      <c r="X631" s="369"/>
      <c r="Y631" s="369"/>
      <c r="Z631" s="369"/>
    </row>
    <row r="632" customFormat="false" ht="12.75" hidden="false" customHeight="false" outlineLevel="0" collapsed="false">
      <c r="A632" s="368"/>
      <c r="B632" s="368"/>
      <c r="P632" s="40"/>
      <c r="Q632" s="369"/>
      <c r="R632" s="369"/>
      <c r="S632" s="369"/>
      <c r="T632" s="369"/>
      <c r="U632" s="369"/>
      <c r="V632" s="369"/>
      <c r="W632" s="369"/>
      <c r="X632" s="369"/>
      <c r="Y632" s="369"/>
      <c r="Z632" s="369"/>
    </row>
    <row r="633" customFormat="false" ht="12.75" hidden="false" customHeight="false" outlineLevel="0" collapsed="false">
      <c r="A633" s="368"/>
      <c r="B633" s="368"/>
      <c r="P633" s="40"/>
      <c r="Q633" s="369"/>
      <c r="R633" s="369"/>
      <c r="S633" s="369"/>
      <c r="T633" s="369"/>
      <c r="U633" s="369"/>
      <c r="V633" s="369"/>
      <c r="W633" s="369"/>
      <c r="X633" s="369"/>
      <c r="Y633" s="369"/>
      <c r="Z633" s="369"/>
    </row>
    <row r="634" customFormat="false" ht="12.75" hidden="false" customHeight="false" outlineLevel="0" collapsed="false">
      <c r="A634" s="368"/>
      <c r="B634" s="368"/>
      <c r="P634" s="40"/>
      <c r="Q634" s="369"/>
      <c r="R634" s="369"/>
      <c r="S634" s="369"/>
      <c r="T634" s="369"/>
      <c r="U634" s="369"/>
      <c r="V634" s="369"/>
      <c r="W634" s="369"/>
      <c r="X634" s="369"/>
      <c r="Y634" s="369"/>
      <c r="Z634" s="369"/>
    </row>
    <row r="635" customFormat="false" ht="12.75" hidden="false" customHeight="false" outlineLevel="0" collapsed="false">
      <c r="A635" s="368"/>
      <c r="B635" s="368"/>
      <c r="P635" s="40"/>
      <c r="Q635" s="369"/>
      <c r="R635" s="369"/>
      <c r="S635" s="369"/>
      <c r="T635" s="369"/>
      <c r="U635" s="369"/>
      <c r="V635" s="369"/>
      <c r="W635" s="369"/>
      <c r="X635" s="369"/>
      <c r="Y635" s="369"/>
      <c r="Z635" s="369"/>
    </row>
    <row r="636" customFormat="false" ht="12.75" hidden="false" customHeight="false" outlineLevel="0" collapsed="false">
      <c r="A636" s="368"/>
      <c r="B636" s="368"/>
      <c r="P636" s="40"/>
      <c r="Q636" s="369"/>
      <c r="R636" s="369"/>
      <c r="S636" s="369"/>
      <c r="T636" s="369"/>
      <c r="U636" s="369"/>
      <c r="V636" s="369"/>
      <c r="W636" s="369"/>
      <c r="X636" s="369"/>
      <c r="Y636" s="369"/>
      <c r="Z636" s="369"/>
    </row>
    <row r="637" customFormat="false" ht="12.75" hidden="false" customHeight="false" outlineLevel="0" collapsed="false">
      <c r="A637" s="368"/>
      <c r="B637" s="368"/>
      <c r="P637" s="40"/>
      <c r="Q637" s="369"/>
      <c r="R637" s="369"/>
      <c r="S637" s="369"/>
      <c r="T637" s="369"/>
      <c r="U637" s="369"/>
      <c r="V637" s="369"/>
      <c r="W637" s="369"/>
      <c r="X637" s="369"/>
      <c r="Y637" s="369"/>
      <c r="Z637" s="369"/>
    </row>
    <row r="638" customFormat="false" ht="12.75" hidden="false" customHeight="false" outlineLevel="0" collapsed="false">
      <c r="A638" s="368"/>
      <c r="B638" s="368"/>
      <c r="P638" s="40"/>
      <c r="Q638" s="369"/>
      <c r="R638" s="369"/>
      <c r="S638" s="369"/>
      <c r="T638" s="369"/>
      <c r="U638" s="369"/>
      <c r="V638" s="369"/>
      <c r="W638" s="369"/>
      <c r="X638" s="369"/>
      <c r="Y638" s="369"/>
      <c r="Z638" s="369"/>
    </row>
    <row r="639" customFormat="false" ht="12.75" hidden="false" customHeight="false" outlineLevel="0" collapsed="false">
      <c r="A639" s="368"/>
      <c r="B639" s="368"/>
      <c r="P639" s="40"/>
      <c r="Q639" s="369"/>
      <c r="R639" s="369"/>
      <c r="S639" s="369"/>
      <c r="T639" s="369"/>
      <c r="U639" s="369"/>
      <c r="V639" s="369"/>
      <c r="W639" s="369"/>
      <c r="X639" s="369"/>
      <c r="Y639" s="369"/>
      <c r="Z639" s="369"/>
    </row>
    <row r="640" customFormat="false" ht="12.75" hidden="false" customHeight="false" outlineLevel="0" collapsed="false">
      <c r="A640" s="368"/>
      <c r="B640" s="368"/>
      <c r="P640" s="40"/>
      <c r="Q640" s="369"/>
      <c r="R640" s="369"/>
      <c r="S640" s="369"/>
      <c r="T640" s="369"/>
      <c r="U640" s="369"/>
      <c r="V640" s="369"/>
      <c r="W640" s="369"/>
      <c r="X640" s="369"/>
      <c r="Y640" s="369"/>
      <c r="Z640" s="369"/>
    </row>
    <row r="641" customFormat="false" ht="12.75" hidden="false" customHeight="false" outlineLevel="0" collapsed="false">
      <c r="A641" s="368"/>
      <c r="B641" s="368"/>
      <c r="P641" s="40"/>
      <c r="Q641" s="369"/>
      <c r="R641" s="369"/>
      <c r="S641" s="369"/>
      <c r="T641" s="369"/>
      <c r="U641" s="369"/>
      <c r="V641" s="369"/>
      <c r="W641" s="369"/>
      <c r="X641" s="369"/>
      <c r="Y641" s="369"/>
      <c r="Z641" s="369"/>
    </row>
    <row r="642" customFormat="false" ht="12.75" hidden="false" customHeight="false" outlineLevel="0" collapsed="false">
      <c r="A642" s="368"/>
      <c r="B642" s="368"/>
      <c r="P642" s="40"/>
      <c r="Q642" s="369"/>
      <c r="R642" s="369"/>
      <c r="S642" s="369"/>
      <c r="T642" s="369"/>
      <c r="U642" s="369"/>
      <c r="V642" s="369"/>
      <c r="W642" s="369"/>
      <c r="X642" s="369"/>
      <c r="Y642" s="369"/>
      <c r="Z642" s="369"/>
    </row>
    <row r="643" customFormat="false" ht="12.75" hidden="false" customHeight="false" outlineLevel="0" collapsed="false">
      <c r="A643" s="368"/>
      <c r="B643" s="368"/>
      <c r="P643" s="40"/>
      <c r="Q643" s="369"/>
      <c r="R643" s="369"/>
      <c r="S643" s="369"/>
      <c r="T643" s="369"/>
      <c r="U643" s="369"/>
      <c r="V643" s="369"/>
      <c r="W643" s="369"/>
      <c r="X643" s="369"/>
      <c r="Y643" s="369"/>
      <c r="Z643" s="369"/>
    </row>
    <row r="644" customFormat="false" ht="12.75" hidden="false" customHeight="false" outlineLevel="0" collapsed="false">
      <c r="A644" s="368"/>
      <c r="B644" s="368"/>
      <c r="P644" s="40"/>
      <c r="Q644" s="369"/>
      <c r="R644" s="369"/>
      <c r="S644" s="369"/>
      <c r="T644" s="369"/>
      <c r="U644" s="369"/>
      <c r="V644" s="369"/>
      <c r="W644" s="369"/>
      <c r="X644" s="369"/>
      <c r="Y644" s="369"/>
      <c r="Z644" s="369"/>
    </row>
    <row r="645" customFormat="false" ht="12.75" hidden="false" customHeight="false" outlineLevel="0" collapsed="false">
      <c r="A645" s="368"/>
      <c r="B645" s="368"/>
      <c r="P645" s="40"/>
      <c r="Q645" s="369"/>
      <c r="R645" s="369"/>
      <c r="S645" s="369"/>
      <c r="T645" s="369"/>
      <c r="U645" s="369"/>
      <c r="V645" s="369"/>
      <c r="W645" s="369"/>
      <c r="X645" s="369"/>
      <c r="Y645" s="369"/>
      <c r="Z645" s="369"/>
    </row>
    <row r="646" customFormat="false" ht="12.75" hidden="false" customHeight="false" outlineLevel="0" collapsed="false">
      <c r="A646" s="368"/>
      <c r="B646" s="368"/>
      <c r="P646" s="40"/>
      <c r="Q646" s="369"/>
      <c r="R646" s="369"/>
      <c r="S646" s="369"/>
      <c r="T646" s="369"/>
      <c r="U646" s="369"/>
      <c r="V646" s="369"/>
      <c r="W646" s="369"/>
      <c r="X646" s="369"/>
      <c r="Y646" s="369"/>
      <c r="Z646" s="369"/>
    </row>
    <row r="647" customFormat="false" ht="12.75" hidden="false" customHeight="false" outlineLevel="0" collapsed="false">
      <c r="A647" s="368"/>
      <c r="B647" s="368"/>
      <c r="P647" s="40"/>
      <c r="Q647" s="369"/>
      <c r="R647" s="369"/>
      <c r="S647" s="369"/>
      <c r="T647" s="369"/>
      <c r="U647" s="369"/>
      <c r="V647" s="369"/>
      <c r="W647" s="369"/>
      <c r="X647" s="369"/>
      <c r="Y647" s="369"/>
      <c r="Z647" s="369"/>
    </row>
    <row r="648" customFormat="false" ht="12.75" hidden="false" customHeight="false" outlineLevel="0" collapsed="false">
      <c r="A648" s="368"/>
      <c r="B648" s="368"/>
      <c r="P648" s="40"/>
      <c r="Q648" s="369"/>
      <c r="R648" s="369"/>
      <c r="S648" s="369"/>
      <c r="T648" s="369"/>
      <c r="U648" s="369"/>
      <c r="V648" s="369"/>
      <c r="W648" s="369"/>
      <c r="X648" s="369"/>
      <c r="Y648" s="369"/>
      <c r="Z648" s="369"/>
    </row>
    <row r="649" customFormat="false" ht="12.75" hidden="false" customHeight="false" outlineLevel="0" collapsed="false">
      <c r="A649" s="368"/>
      <c r="B649" s="368"/>
      <c r="P649" s="40"/>
      <c r="Q649" s="369"/>
      <c r="R649" s="369"/>
      <c r="S649" s="369"/>
      <c r="T649" s="369"/>
      <c r="U649" s="369"/>
      <c r="V649" s="369"/>
      <c r="W649" s="369"/>
      <c r="X649" s="369"/>
      <c r="Y649" s="369"/>
      <c r="Z649" s="369"/>
    </row>
    <row r="650" customFormat="false" ht="12.75" hidden="false" customHeight="false" outlineLevel="0" collapsed="false">
      <c r="A650" s="368"/>
      <c r="B650" s="368"/>
      <c r="P650" s="40"/>
      <c r="Q650" s="369"/>
      <c r="R650" s="369"/>
      <c r="S650" s="369"/>
      <c r="T650" s="369"/>
      <c r="U650" s="369"/>
      <c r="V650" s="369"/>
      <c r="W650" s="369"/>
      <c r="X650" s="369"/>
      <c r="Y650" s="369"/>
      <c r="Z650" s="369"/>
    </row>
    <row r="651" customFormat="false" ht="12.75" hidden="false" customHeight="false" outlineLevel="0" collapsed="false">
      <c r="A651" s="368"/>
      <c r="B651" s="368"/>
      <c r="P651" s="40"/>
      <c r="Q651" s="369"/>
      <c r="R651" s="369"/>
      <c r="S651" s="369"/>
      <c r="T651" s="369"/>
      <c r="U651" s="369"/>
      <c r="V651" s="369"/>
      <c r="W651" s="369"/>
      <c r="X651" s="369"/>
      <c r="Y651" s="369"/>
      <c r="Z651" s="369"/>
    </row>
    <row r="652" customFormat="false" ht="12.75" hidden="false" customHeight="false" outlineLevel="0" collapsed="false">
      <c r="A652" s="368"/>
      <c r="B652" s="368"/>
      <c r="P652" s="40"/>
      <c r="Q652" s="369"/>
      <c r="R652" s="369"/>
      <c r="S652" s="369"/>
      <c r="T652" s="369"/>
      <c r="U652" s="369"/>
      <c r="V652" s="369"/>
      <c r="W652" s="369"/>
      <c r="X652" s="369"/>
      <c r="Y652" s="369"/>
      <c r="Z652" s="369"/>
    </row>
    <row r="653" customFormat="false" ht="12.75" hidden="false" customHeight="false" outlineLevel="0" collapsed="false">
      <c r="A653" s="368"/>
      <c r="B653" s="368"/>
      <c r="P653" s="40"/>
      <c r="Q653" s="369"/>
      <c r="R653" s="369"/>
      <c r="S653" s="369"/>
      <c r="T653" s="369"/>
      <c r="U653" s="369"/>
      <c r="V653" s="369"/>
      <c r="W653" s="369"/>
      <c r="X653" s="369"/>
      <c r="Y653" s="369"/>
      <c r="Z653" s="369"/>
    </row>
    <row r="654" customFormat="false" ht="12.75" hidden="false" customHeight="false" outlineLevel="0" collapsed="false">
      <c r="A654" s="368"/>
      <c r="B654" s="368"/>
      <c r="P654" s="40"/>
      <c r="Q654" s="369"/>
      <c r="R654" s="369"/>
      <c r="S654" s="369"/>
      <c r="T654" s="369"/>
      <c r="U654" s="369"/>
      <c r="V654" s="369"/>
      <c r="W654" s="369"/>
      <c r="X654" s="369"/>
      <c r="Y654" s="369"/>
      <c r="Z654" s="369"/>
    </row>
    <row r="655" customFormat="false" ht="12.75" hidden="false" customHeight="false" outlineLevel="0" collapsed="false">
      <c r="A655" s="368"/>
      <c r="B655" s="368"/>
      <c r="P655" s="40"/>
      <c r="Q655" s="369"/>
      <c r="R655" s="369"/>
      <c r="S655" s="369"/>
      <c r="T655" s="369"/>
      <c r="U655" s="369"/>
      <c r="V655" s="369"/>
      <c r="W655" s="369"/>
      <c r="X655" s="369"/>
      <c r="Y655" s="369"/>
      <c r="Z655" s="369"/>
    </row>
    <row r="656" customFormat="false" ht="12.75" hidden="false" customHeight="false" outlineLevel="0" collapsed="false">
      <c r="A656" s="368"/>
      <c r="B656" s="368"/>
      <c r="P656" s="40"/>
      <c r="Q656" s="369"/>
      <c r="R656" s="369"/>
      <c r="S656" s="369"/>
      <c r="T656" s="369"/>
      <c r="U656" s="369"/>
      <c r="V656" s="369"/>
      <c r="W656" s="369"/>
      <c r="X656" s="369"/>
      <c r="Y656" s="369"/>
      <c r="Z656" s="369"/>
    </row>
    <row r="657" customFormat="false" ht="12.75" hidden="false" customHeight="false" outlineLevel="0" collapsed="false">
      <c r="A657" s="368"/>
      <c r="B657" s="368"/>
      <c r="P657" s="40"/>
      <c r="Q657" s="369"/>
      <c r="R657" s="369"/>
      <c r="S657" s="369"/>
      <c r="T657" s="369"/>
      <c r="U657" s="369"/>
      <c r="V657" s="369"/>
      <c r="W657" s="369"/>
      <c r="X657" s="369"/>
      <c r="Y657" s="369"/>
      <c r="Z657" s="369"/>
    </row>
    <row r="658" customFormat="false" ht="12.75" hidden="false" customHeight="false" outlineLevel="0" collapsed="false">
      <c r="A658" s="368"/>
      <c r="B658" s="368"/>
      <c r="P658" s="40"/>
      <c r="Q658" s="369"/>
      <c r="R658" s="369"/>
      <c r="S658" s="369"/>
      <c r="T658" s="369"/>
      <c r="U658" s="369"/>
      <c r="V658" s="369"/>
      <c r="W658" s="369"/>
      <c r="X658" s="369"/>
      <c r="Y658" s="369"/>
      <c r="Z658" s="369"/>
    </row>
    <row r="659" customFormat="false" ht="12.75" hidden="false" customHeight="false" outlineLevel="0" collapsed="false">
      <c r="A659" s="368"/>
      <c r="B659" s="368"/>
      <c r="P659" s="40"/>
      <c r="Q659" s="369"/>
      <c r="R659" s="369"/>
      <c r="S659" s="369"/>
      <c r="T659" s="369"/>
      <c r="U659" s="369"/>
      <c r="V659" s="369"/>
      <c r="W659" s="369"/>
      <c r="X659" s="369"/>
      <c r="Y659" s="369"/>
      <c r="Z659" s="369"/>
    </row>
    <row r="660" customFormat="false" ht="12.75" hidden="false" customHeight="false" outlineLevel="0" collapsed="false">
      <c r="A660" s="368"/>
      <c r="B660" s="368"/>
      <c r="P660" s="40"/>
      <c r="Q660" s="369"/>
      <c r="R660" s="369"/>
      <c r="S660" s="369"/>
      <c r="T660" s="369"/>
      <c r="U660" s="369"/>
      <c r="V660" s="369"/>
      <c r="W660" s="369"/>
      <c r="X660" s="369"/>
      <c r="Y660" s="369"/>
      <c r="Z660" s="369"/>
    </row>
    <row r="661" customFormat="false" ht="12.75" hidden="false" customHeight="false" outlineLevel="0" collapsed="false">
      <c r="A661" s="368"/>
      <c r="B661" s="368"/>
      <c r="P661" s="40"/>
      <c r="Q661" s="369"/>
      <c r="R661" s="369"/>
      <c r="S661" s="369"/>
      <c r="T661" s="369"/>
      <c r="U661" s="369"/>
      <c r="V661" s="369"/>
      <c r="W661" s="369"/>
      <c r="X661" s="369"/>
      <c r="Y661" s="369"/>
      <c r="Z661" s="369"/>
    </row>
    <row r="662" customFormat="false" ht="12.75" hidden="false" customHeight="false" outlineLevel="0" collapsed="false">
      <c r="A662" s="368"/>
      <c r="B662" s="368"/>
      <c r="P662" s="40"/>
      <c r="Q662" s="369"/>
      <c r="R662" s="369"/>
      <c r="S662" s="369"/>
      <c r="T662" s="369"/>
      <c r="U662" s="369"/>
      <c r="V662" s="369"/>
      <c r="W662" s="369"/>
      <c r="X662" s="369"/>
      <c r="Y662" s="369"/>
      <c r="Z662" s="369"/>
    </row>
    <row r="663" customFormat="false" ht="12.75" hidden="false" customHeight="false" outlineLevel="0" collapsed="false">
      <c r="A663" s="368"/>
      <c r="B663" s="368"/>
      <c r="P663" s="40"/>
      <c r="Q663" s="369"/>
      <c r="R663" s="369"/>
      <c r="S663" s="369"/>
      <c r="T663" s="369"/>
      <c r="U663" s="369"/>
      <c r="V663" s="369"/>
      <c r="W663" s="369"/>
      <c r="X663" s="369"/>
      <c r="Y663" s="369"/>
      <c r="Z663" s="369"/>
    </row>
    <row r="664" customFormat="false" ht="12.75" hidden="false" customHeight="false" outlineLevel="0" collapsed="false">
      <c r="A664" s="368"/>
      <c r="B664" s="368"/>
      <c r="P664" s="40"/>
      <c r="Q664" s="369"/>
      <c r="R664" s="369"/>
      <c r="S664" s="369"/>
      <c r="T664" s="369"/>
      <c r="U664" s="369"/>
      <c r="V664" s="369"/>
      <c r="W664" s="369"/>
      <c r="X664" s="369"/>
      <c r="Y664" s="369"/>
      <c r="Z664" s="369"/>
    </row>
    <row r="665" customFormat="false" ht="12.75" hidden="false" customHeight="false" outlineLevel="0" collapsed="false">
      <c r="A665" s="368"/>
      <c r="B665" s="368"/>
      <c r="P665" s="40"/>
      <c r="Q665" s="369"/>
      <c r="R665" s="369"/>
      <c r="S665" s="369"/>
      <c r="T665" s="369"/>
      <c r="U665" s="369"/>
      <c r="V665" s="369"/>
      <c r="W665" s="369"/>
      <c r="X665" s="369"/>
      <c r="Y665" s="369"/>
      <c r="Z665" s="369"/>
    </row>
    <row r="666" customFormat="false" ht="12.75" hidden="false" customHeight="false" outlineLevel="0" collapsed="false">
      <c r="A666" s="368"/>
      <c r="B666" s="368"/>
      <c r="P666" s="40"/>
      <c r="Q666" s="369"/>
      <c r="R666" s="369"/>
      <c r="S666" s="369"/>
      <c r="T666" s="369"/>
      <c r="U666" s="369"/>
      <c r="V666" s="369"/>
      <c r="W666" s="369"/>
      <c r="X666" s="369"/>
      <c r="Y666" s="369"/>
      <c r="Z666" s="369"/>
    </row>
    <row r="667" customFormat="false" ht="12.75" hidden="false" customHeight="false" outlineLevel="0" collapsed="false">
      <c r="A667" s="368"/>
      <c r="B667" s="368"/>
      <c r="P667" s="40"/>
      <c r="Q667" s="369"/>
      <c r="R667" s="369"/>
      <c r="S667" s="369"/>
      <c r="T667" s="369"/>
      <c r="U667" s="369"/>
      <c r="V667" s="369"/>
      <c r="W667" s="369"/>
      <c r="X667" s="369"/>
      <c r="Y667" s="369"/>
      <c r="Z667" s="369"/>
    </row>
    <row r="668" customFormat="false" ht="12.75" hidden="false" customHeight="false" outlineLevel="0" collapsed="false">
      <c r="A668" s="368"/>
      <c r="B668" s="368"/>
      <c r="P668" s="40"/>
      <c r="Q668" s="369"/>
      <c r="R668" s="369"/>
      <c r="S668" s="369"/>
      <c r="T668" s="369"/>
      <c r="U668" s="369"/>
      <c r="V668" s="369"/>
      <c r="W668" s="369"/>
      <c r="X668" s="369"/>
      <c r="Y668" s="369"/>
      <c r="Z668" s="369"/>
    </row>
    <row r="669" customFormat="false" ht="12.75" hidden="false" customHeight="false" outlineLevel="0" collapsed="false">
      <c r="A669" s="368"/>
      <c r="B669" s="368"/>
      <c r="P669" s="40"/>
      <c r="Q669" s="369"/>
      <c r="R669" s="369"/>
      <c r="S669" s="369"/>
      <c r="T669" s="369"/>
      <c r="U669" s="369"/>
      <c r="V669" s="369"/>
      <c r="W669" s="369"/>
      <c r="X669" s="369"/>
      <c r="Y669" s="369"/>
      <c r="Z669" s="369"/>
    </row>
    <row r="670" customFormat="false" ht="12.75" hidden="false" customHeight="false" outlineLevel="0" collapsed="false">
      <c r="A670" s="368"/>
      <c r="B670" s="368"/>
      <c r="P670" s="40"/>
      <c r="Q670" s="369"/>
      <c r="R670" s="369"/>
      <c r="S670" s="369"/>
      <c r="T670" s="369"/>
      <c r="U670" s="369"/>
      <c r="V670" s="369"/>
      <c r="W670" s="369"/>
      <c r="X670" s="369"/>
      <c r="Y670" s="369"/>
      <c r="Z670" s="369"/>
    </row>
    <row r="671" customFormat="false" ht="12.75" hidden="false" customHeight="false" outlineLevel="0" collapsed="false">
      <c r="A671" s="368"/>
      <c r="B671" s="368"/>
      <c r="P671" s="40"/>
      <c r="Q671" s="369"/>
      <c r="R671" s="369"/>
      <c r="S671" s="369"/>
      <c r="T671" s="369"/>
      <c r="U671" s="369"/>
      <c r="V671" s="369"/>
      <c r="W671" s="369"/>
      <c r="X671" s="369"/>
      <c r="Y671" s="369"/>
      <c r="Z671" s="369"/>
    </row>
    <row r="672" customFormat="false" ht="12.75" hidden="false" customHeight="false" outlineLevel="0" collapsed="false">
      <c r="A672" s="368"/>
      <c r="B672" s="368"/>
      <c r="P672" s="40"/>
      <c r="Q672" s="369"/>
      <c r="R672" s="369"/>
      <c r="S672" s="369"/>
      <c r="T672" s="369"/>
      <c r="U672" s="369"/>
      <c r="V672" s="369"/>
      <c r="W672" s="369"/>
      <c r="X672" s="369"/>
      <c r="Y672" s="369"/>
      <c r="Z672" s="369"/>
    </row>
    <row r="673" customFormat="false" ht="12.75" hidden="false" customHeight="false" outlineLevel="0" collapsed="false">
      <c r="A673" s="368"/>
      <c r="B673" s="368"/>
      <c r="P673" s="40"/>
      <c r="Q673" s="369"/>
      <c r="R673" s="369"/>
      <c r="S673" s="369"/>
      <c r="T673" s="369"/>
      <c r="U673" s="369"/>
      <c r="V673" s="369"/>
      <c r="W673" s="369"/>
      <c r="X673" s="369"/>
      <c r="Y673" s="369"/>
      <c r="Z673" s="369"/>
    </row>
    <row r="674" customFormat="false" ht="12.75" hidden="false" customHeight="false" outlineLevel="0" collapsed="false">
      <c r="A674" s="368"/>
      <c r="B674" s="368"/>
      <c r="P674" s="40"/>
      <c r="Q674" s="369"/>
      <c r="R674" s="369"/>
      <c r="S674" s="369"/>
      <c r="T674" s="369"/>
      <c r="U674" s="369"/>
      <c r="V674" s="369"/>
      <c r="W674" s="369"/>
      <c r="X674" s="369"/>
      <c r="Y674" s="369"/>
      <c r="Z674" s="369"/>
    </row>
    <row r="675" customFormat="false" ht="12.75" hidden="false" customHeight="false" outlineLevel="0" collapsed="false">
      <c r="A675" s="368"/>
      <c r="B675" s="368"/>
      <c r="P675" s="40"/>
      <c r="Q675" s="369"/>
      <c r="R675" s="369"/>
      <c r="S675" s="369"/>
      <c r="T675" s="369"/>
      <c r="U675" s="369"/>
      <c r="V675" s="369"/>
      <c r="W675" s="369"/>
      <c r="X675" s="369"/>
      <c r="Y675" s="369"/>
      <c r="Z675" s="369"/>
    </row>
    <row r="676" customFormat="false" ht="12.75" hidden="false" customHeight="false" outlineLevel="0" collapsed="false">
      <c r="A676" s="368"/>
      <c r="B676" s="368"/>
      <c r="P676" s="40"/>
      <c r="Q676" s="369"/>
      <c r="R676" s="369"/>
      <c r="S676" s="369"/>
      <c r="T676" s="369"/>
      <c r="U676" s="369"/>
      <c r="V676" s="369"/>
      <c r="W676" s="369"/>
      <c r="X676" s="369"/>
      <c r="Y676" s="369"/>
      <c r="Z676" s="369"/>
    </row>
    <row r="677" customFormat="false" ht="12.75" hidden="false" customHeight="false" outlineLevel="0" collapsed="false">
      <c r="A677" s="368"/>
      <c r="B677" s="368"/>
      <c r="P677" s="40"/>
      <c r="Q677" s="369"/>
      <c r="R677" s="369"/>
      <c r="S677" s="369"/>
      <c r="T677" s="369"/>
      <c r="U677" s="369"/>
      <c r="V677" s="369"/>
      <c r="W677" s="369"/>
      <c r="X677" s="369"/>
      <c r="Y677" s="369"/>
      <c r="Z677" s="369"/>
    </row>
    <row r="678" customFormat="false" ht="12.75" hidden="false" customHeight="false" outlineLevel="0" collapsed="false">
      <c r="A678" s="368"/>
      <c r="B678" s="368"/>
      <c r="P678" s="40"/>
      <c r="Q678" s="369"/>
      <c r="R678" s="369"/>
      <c r="S678" s="369"/>
      <c r="T678" s="369"/>
      <c r="U678" s="369"/>
      <c r="V678" s="369"/>
      <c r="W678" s="369"/>
      <c r="X678" s="369"/>
      <c r="Y678" s="369"/>
      <c r="Z678" s="369"/>
    </row>
    <row r="679" customFormat="false" ht="12.75" hidden="false" customHeight="false" outlineLevel="0" collapsed="false">
      <c r="A679" s="368"/>
      <c r="B679" s="368"/>
      <c r="P679" s="40"/>
      <c r="Q679" s="369"/>
      <c r="R679" s="369"/>
      <c r="S679" s="369"/>
      <c r="T679" s="369"/>
      <c r="U679" s="369"/>
      <c r="V679" s="369"/>
      <c r="W679" s="369"/>
      <c r="X679" s="369"/>
      <c r="Y679" s="369"/>
      <c r="Z679" s="369"/>
    </row>
    <row r="680" customFormat="false" ht="12.75" hidden="false" customHeight="false" outlineLevel="0" collapsed="false">
      <c r="A680" s="368"/>
      <c r="B680" s="368"/>
      <c r="P680" s="40"/>
      <c r="Q680" s="369"/>
      <c r="R680" s="369"/>
      <c r="S680" s="369"/>
      <c r="T680" s="369"/>
      <c r="U680" s="369"/>
      <c r="V680" s="369"/>
      <c r="W680" s="369"/>
      <c r="X680" s="369"/>
      <c r="Y680" s="369"/>
      <c r="Z680" s="369"/>
    </row>
    <row r="681" customFormat="false" ht="12.75" hidden="false" customHeight="false" outlineLevel="0" collapsed="false">
      <c r="A681" s="368"/>
      <c r="B681" s="368"/>
      <c r="P681" s="40"/>
      <c r="Q681" s="369"/>
      <c r="R681" s="369"/>
      <c r="S681" s="369"/>
      <c r="T681" s="369"/>
      <c r="U681" s="369"/>
      <c r="V681" s="369"/>
      <c r="W681" s="369"/>
      <c r="X681" s="369"/>
      <c r="Y681" s="369"/>
      <c r="Z681" s="369"/>
    </row>
    <row r="682" customFormat="false" ht="12.75" hidden="false" customHeight="false" outlineLevel="0" collapsed="false">
      <c r="A682" s="368"/>
      <c r="B682" s="368"/>
      <c r="P682" s="40"/>
      <c r="Q682" s="369"/>
      <c r="R682" s="369"/>
      <c r="S682" s="369"/>
      <c r="T682" s="369"/>
      <c r="U682" s="369"/>
      <c r="V682" s="369"/>
      <c r="W682" s="369"/>
      <c r="X682" s="369"/>
      <c r="Y682" s="369"/>
      <c r="Z682" s="369"/>
    </row>
    <row r="683" customFormat="false" ht="12.75" hidden="false" customHeight="false" outlineLevel="0" collapsed="false">
      <c r="A683" s="368"/>
      <c r="B683" s="368"/>
      <c r="P683" s="40"/>
      <c r="Q683" s="369"/>
      <c r="R683" s="369"/>
      <c r="S683" s="369"/>
      <c r="T683" s="369"/>
      <c r="U683" s="369"/>
      <c r="V683" s="369"/>
      <c r="W683" s="369"/>
      <c r="X683" s="369"/>
      <c r="Y683" s="369"/>
      <c r="Z683" s="369"/>
    </row>
    <row r="684" customFormat="false" ht="12.75" hidden="false" customHeight="false" outlineLevel="0" collapsed="false">
      <c r="A684" s="368"/>
      <c r="B684" s="368"/>
      <c r="P684" s="40"/>
      <c r="Q684" s="369"/>
      <c r="R684" s="369"/>
      <c r="S684" s="369"/>
      <c r="T684" s="369"/>
      <c r="U684" s="369"/>
      <c r="V684" s="369"/>
      <c r="W684" s="369"/>
      <c r="X684" s="369"/>
      <c r="Y684" s="369"/>
      <c r="Z684" s="369"/>
    </row>
    <row r="685" customFormat="false" ht="12.75" hidden="false" customHeight="false" outlineLevel="0" collapsed="false">
      <c r="A685" s="368"/>
      <c r="B685" s="368"/>
      <c r="P685" s="40"/>
      <c r="Q685" s="369"/>
      <c r="R685" s="369"/>
      <c r="S685" s="369"/>
      <c r="T685" s="369"/>
      <c r="U685" s="369"/>
      <c r="V685" s="369"/>
      <c r="W685" s="369"/>
      <c r="X685" s="369"/>
      <c r="Y685" s="369"/>
      <c r="Z685" s="369"/>
    </row>
    <row r="686" customFormat="false" ht="12.75" hidden="false" customHeight="false" outlineLevel="0" collapsed="false">
      <c r="A686" s="368"/>
      <c r="B686" s="368"/>
      <c r="P686" s="40"/>
      <c r="Q686" s="369"/>
      <c r="R686" s="369"/>
      <c r="S686" s="369"/>
      <c r="T686" s="369"/>
      <c r="U686" s="369"/>
      <c r="V686" s="369"/>
      <c r="W686" s="369"/>
      <c r="X686" s="369"/>
      <c r="Y686" s="369"/>
      <c r="Z686" s="369"/>
    </row>
    <row r="687" customFormat="false" ht="12.75" hidden="false" customHeight="false" outlineLevel="0" collapsed="false">
      <c r="A687" s="368"/>
      <c r="B687" s="368"/>
      <c r="P687" s="40"/>
      <c r="Q687" s="369"/>
      <c r="R687" s="369"/>
      <c r="S687" s="369"/>
      <c r="T687" s="369"/>
      <c r="U687" s="369"/>
      <c r="V687" s="369"/>
      <c r="W687" s="369"/>
      <c r="X687" s="369"/>
      <c r="Y687" s="369"/>
      <c r="Z687" s="369"/>
    </row>
    <row r="688" customFormat="false" ht="12.75" hidden="false" customHeight="false" outlineLevel="0" collapsed="false">
      <c r="A688" s="368"/>
      <c r="B688" s="368"/>
      <c r="P688" s="40"/>
      <c r="Q688" s="369"/>
      <c r="R688" s="369"/>
      <c r="S688" s="369"/>
      <c r="T688" s="369"/>
      <c r="U688" s="369"/>
      <c r="V688" s="369"/>
      <c r="W688" s="369"/>
      <c r="X688" s="369"/>
      <c r="Y688" s="369"/>
      <c r="Z688" s="369"/>
    </row>
    <row r="689" customFormat="false" ht="12.75" hidden="false" customHeight="false" outlineLevel="0" collapsed="false">
      <c r="A689" s="368"/>
      <c r="B689" s="368"/>
      <c r="P689" s="40"/>
      <c r="Q689" s="369"/>
      <c r="R689" s="369"/>
      <c r="S689" s="369"/>
      <c r="T689" s="369"/>
      <c r="U689" s="369"/>
      <c r="V689" s="369"/>
      <c r="W689" s="369"/>
      <c r="X689" s="369"/>
      <c r="Y689" s="369"/>
      <c r="Z689" s="369"/>
    </row>
    <row r="690" customFormat="false" ht="12.75" hidden="false" customHeight="false" outlineLevel="0" collapsed="false">
      <c r="A690" s="368"/>
      <c r="B690" s="368"/>
      <c r="P690" s="40"/>
      <c r="Q690" s="369"/>
      <c r="R690" s="369"/>
      <c r="S690" s="369"/>
      <c r="T690" s="369"/>
      <c r="U690" s="369"/>
      <c r="V690" s="369"/>
      <c r="W690" s="369"/>
      <c r="X690" s="369"/>
      <c r="Y690" s="369"/>
      <c r="Z690" s="369"/>
    </row>
    <row r="691" customFormat="false" ht="12.75" hidden="false" customHeight="false" outlineLevel="0" collapsed="false">
      <c r="A691" s="368"/>
      <c r="B691" s="368"/>
      <c r="P691" s="40"/>
      <c r="Q691" s="369"/>
      <c r="R691" s="369"/>
      <c r="S691" s="369"/>
      <c r="T691" s="369"/>
      <c r="U691" s="369"/>
      <c r="V691" s="369"/>
      <c r="W691" s="369"/>
      <c r="X691" s="369"/>
      <c r="Y691" s="369"/>
      <c r="Z691" s="369"/>
    </row>
    <row r="692" customFormat="false" ht="12.75" hidden="false" customHeight="false" outlineLevel="0" collapsed="false">
      <c r="A692" s="368"/>
      <c r="B692" s="368"/>
      <c r="P692" s="40"/>
      <c r="Q692" s="369"/>
      <c r="R692" s="369"/>
      <c r="S692" s="369"/>
      <c r="T692" s="369"/>
      <c r="U692" s="369"/>
      <c r="V692" s="369"/>
      <c r="W692" s="369"/>
      <c r="X692" s="369"/>
      <c r="Y692" s="369"/>
      <c r="Z692" s="369"/>
    </row>
    <row r="693" customFormat="false" ht="12.75" hidden="false" customHeight="false" outlineLevel="0" collapsed="false">
      <c r="A693" s="368"/>
      <c r="B693" s="368"/>
      <c r="P693" s="40"/>
      <c r="Q693" s="369"/>
      <c r="R693" s="369"/>
      <c r="S693" s="369"/>
      <c r="T693" s="369"/>
      <c r="U693" s="369"/>
      <c r="V693" s="369"/>
      <c r="W693" s="369"/>
      <c r="X693" s="369"/>
      <c r="Y693" s="369"/>
      <c r="Z693" s="369"/>
    </row>
    <row r="694" customFormat="false" ht="12.75" hidden="false" customHeight="false" outlineLevel="0" collapsed="false">
      <c r="A694" s="368"/>
      <c r="B694" s="368"/>
      <c r="P694" s="40"/>
      <c r="Q694" s="369"/>
      <c r="R694" s="369"/>
      <c r="S694" s="369"/>
      <c r="T694" s="369"/>
      <c r="U694" s="369"/>
      <c r="V694" s="369"/>
      <c r="W694" s="369"/>
      <c r="X694" s="369"/>
      <c r="Y694" s="369"/>
      <c r="Z694" s="369"/>
    </row>
    <row r="695" customFormat="false" ht="12.75" hidden="false" customHeight="false" outlineLevel="0" collapsed="false">
      <c r="A695" s="368"/>
      <c r="B695" s="368"/>
      <c r="P695" s="40"/>
      <c r="Q695" s="369"/>
      <c r="R695" s="369"/>
      <c r="S695" s="369"/>
      <c r="T695" s="369"/>
      <c r="U695" s="369"/>
      <c r="V695" s="369"/>
      <c r="W695" s="369"/>
      <c r="X695" s="369"/>
      <c r="Y695" s="369"/>
      <c r="Z695" s="369"/>
    </row>
    <row r="696" customFormat="false" ht="12.75" hidden="false" customHeight="false" outlineLevel="0" collapsed="false">
      <c r="A696" s="368"/>
      <c r="B696" s="368"/>
      <c r="P696" s="40"/>
      <c r="Q696" s="369"/>
      <c r="R696" s="369"/>
      <c r="S696" s="369"/>
      <c r="T696" s="369"/>
      <c r="U696" s="369"/>
      <c r="V696" s="369"/>
      <c r="W696" s="369"/>
      <c r="X696" s="369"/>
      <c r="Y696" s="369"/>
      <c r="Z696" s="369"/>
    </row>
    <row r="697" customFormat="false" ht="12.75" hidden="false" customHeight="false" outlineLevel="0" collapsed="false">
      <c r="A697" s="368"/>
      <c r="B697" s="368"/>
      <c r="P697" s="40"/>
      <c r="Q697" s="369"/>
      <c r="R697" s="369"/>
      <c r="S697" s="369"/>
      <c r="T697" s="369"/>
      <c r="U697" s="369"/>
      <c r="V697" s="369"/>
      <c r="W697" s="369"/>
      <c r="X697" s="369"/>
      <c r="Y697" s="369"/>
      <c r="Z697" s="369"/>
    </row>
    <row r="698" customFormat="false" ht="12.75" hidden="false" customHeight="false" outlineLevel="0" collapsed="false">
      <c r="A698" s="368"/>
      <c r="B698" s="368"/>
      <c r="P698" s="40"/>
      <c r="Q698" s="369"/>
      <c r="R698" s="369"/>
      <c r="S698" s="369"/>
      <c r="T698" s="369"/>
      <c r="U698" s="369"/>
      <c r="V698" s="369"/>
      <c r="W698" s="369"/>
      <c r="X698" s="369"/>
      <c r="Y698" s="369"/>
      <c r="Z698" s="369"/>
    </row>
    <row r="699" customFormat="false" ht="12.75" hidden="false" customHeight="false" outlineLevel="0" collapsed="false">
      <c r="A699" s="368"/>
      <c r="B699" s="368"/>
      <c r="P699" s="40"/>
      <c r="Q699" s="369"/>
      <c r="R699" s="369"/>
      <c r="S699" s="369"/>
      <c r="T699" s="369"/>
      <c r="U699" s="369"/>
      <c r="V699" s="369"/>
      <c r="W699" s="369"/>
      <c r="X699" s="369"/>
      <c r="Y699" s="369"/>
      <c r="Z699" s="369"/>
    </row>
    <row r="700" customFormat="false" ht="12.75" hidden="false" customHeight="false" outlineLevel="0" collapsed="false">
      <c r="A700" s="368"/>
      <c r="B700" s="368"/>
      <c r="P700" s="40"/>
      <c r="Q700" s="369"/>
      <c r="R700" s="369"/>
      <c r="S700" s="369"/>
      <c r="T700" s="369"/>
      <c r="U700" s="369"/>
      <c r="V700" s="369"/>
      <c r="W700" s="369"/>
      <c r="X700" s="369"/>
      <c r="Y700" s="369"/>
      <c r="Z700" s="369"/>
    </row>
    <row r="701" customFormat="false" ht="12.75" hidden="false" customHeight="false" outlineLevel="0" collapsed="false">
      <c r="A701" s="368"/>
      <c r="B701" s="368"/>
      <c r="P701" s="40"/>
      <c r="Q701" s="369"/>
      <c r="R701" s="369"/>
      <c r="S701" s="369"/>
      <c r="T701" s="369"/>
      <c r="U701" s="369"/>
      <c r="V701" s="369"/>
      <c r="W701" s="369"/>
      <c r="X701" s="369"/>
      <c r="Y701" s="369"/>
      <c r="Z701" s="369"/>
    </row>
    <row r="702" customFormat="false" ht="12.75" hidden="false" customHeight="false" outlineLevel="0" collapsed="false">
      <c r="A702" s="368"/>
      <c r="B702" s="368"/>
      <c r="P702" s="40"/>
      <c r="Q702" s="369"/>
      <c r="R702" s="369"/>
      <c r="S702" s="369"/>
      <c r="T702" s="369"/>
      <c r="U702" s="369"/>
      <c r="V702" s="369"/>
      <c r="W702" s="369"/>
      <c r="X702" s="369"/>
      <c r="Y702" s="369"/>
      <c r="Z702" s="369"/>
    </row>
    <row r="703" customFormat="false" ht="12.75" hidden="false" customHeight="false" outlineLevel="0" collapsed="false">
      <c r="A703" s="368"/>
      <c r="B703" s="368"/>
      <c r="P703" s="40"/>
      <c r="Q703" s="369"/>
      <c r="R703" s="369"/>
      <c r="S703" s="369"/>
      <c r="T703" s="369"/>
      <c r="U703" s="369"/>
      <c r="V703" s="369"/>
      <c r="W703" s="369"/>
      <c r="X703" s="369"/>
      <c r="Y703" s="369"/>
      <c r="Z703" s="369"/>
    </row>
    <row r="704" customFormat="false" ht="12.75" hidden="false" customHeight="false" outlineLevel="0" collapsed="false">
      <c r="A704" s="368"/>
      <c r="B704" s="368"/>
      <c r="P704" s="40"/>
      <c r="Q704" s="369"/>
      <c r="R704" s="369"/>
      <c r="S704" s="369"/>
      <c r="T704" s="369"/>
      <c r="U704" s="369"/>
      <c r="V704" s="369"/>
      <c r="W704" s="369"/>
      <c r="X704" s="369"/>
      <c r="Y704" s="369"/>
      <c r="Z704" s="369"/>
    </row>
    <row r="705" customFormat="false" ht="12.75" hidden="false" customHeight="false" outlineLevel="0" collapsed="false">
      <c r="A705" s="368"/>
      <c r="B705" s="368"/>
      <c r="P705" s="40"/>
      <c r="Q705" s="369"/>
      <c r="R705" s="369"/>
      <c r="S705" s="369"/>
      <c r="T705" s="369"/>
      <c r="U705" s="369"/>
      <c r="V705" s="369"/>
      <c r="W705" s="369"/>
      <c r="X705" s="369"/>
      <c r="Y705" s="369"/>
      <c r="Z705" s="369"/>
    </row>
    <row r="706" customFormat="false" ht="12.75" hidden="false" customHeight="false" outlineLevel="0" collapsed="false">
      <c r="A706" s="368"/>
      <c r="B706" s="368"/>
      <c r="P706" s="40"/>
      <c r="Q706" s="369"/>
      <c r="R706" s="369"/>
      <c r="S706" s="369"/>
      <c r="T706" s="369"/>
      <c r="U706" s="369"/>
      <c r="V706" s="369"/>
      <c r="W706" s="369"/>
      <c r="X706" s="369"/>
      <c r="Y706" s="369"/>
      <c r="Z706" s="369"/>
    </row>
    <row r="707" customFormat="false" ht="12.75" hidden="false" customHeight="false" outlineLevel="0" collapsed="false">
      <c r="A707" s="368"/>
      <c r="B707" s="368"/>
      <c r="P707" s="40"/>
      <c r="Q707" s="369"/>
      <c r="R707" s="369"/>
      <c r="S707" s="369"/>
      <c r="T707" s="369"/>
      <c r="U707" s="369"/>
      <c r="V707" s="369"/>
      <c r="W707" s="369"/>
      <c r="X707" s="369"/>
      <c r="Y707" s="369"/>
      <c r="Z707" s="369"/>
    </row>
    <row r="708" customFormat="false" ht="12.75" hidden="false" customHeight="false" outlineLevel="0" collapsed="false">
      <c r="A708" s="368"/>
      <c r="B708" s="368"/>
      <c r="P708" s="40"/>
      <c r="Q708" s="369"/>
      <c r="R708" s="369"/>
      <c r="S708" s="369"/>
      <c r="T708" s="369"/>
      <c r="U708" s="369"/>
      <c r="V708" s="369"/>
      <c r="W708" s="369"/>
      <c r="X708" s="369"/>
      <c r="Y708" s="369"/>
      <c r="Z708" s="369"/>
    </row>
    <row r="709" customFormat="false" ht="12.75" hidden="false" customHeight="false" outlineLevel="0" collapsed="false">
      <c r="A709" s="368"/>
      <c r="B709" s="368"/>
      <c r="P709" s="40"/>
      <c r="Q709" s="369"/>
      <c r="R709" s="369"/>
      <c r="S709" s="369"/>
      <c r="T709" s="369"/>
      <c r="U709" s="369"/>
      <c r="V709" s="369"/>
      <c r="W709" s="369"/>
      <c r="X709" s="369"/>
      <c r="Y709" s="369"/>
      <c r="Z709" s="369"/>
    </row>
    <row r="710" customFormat="false" ht="12.75" hidden="false" customHeight="false" outlineLevel="0" collapsed="false">
      <c r="A710" s="368"/>
      <c r="B710" s="368"/>
      <c r="P710" s="40"/>
      <c r="Q710" s="369"/>
      <c r="R710" s="369"/>
      <c r="S710" s="369"/>
      <c r="T710" s="369"/>
      <c r="U710" s="369"/>
      <c r="V710" s="369"/>
      <c r="W710" s="369"/>
      <c r="X710" s="369"/>
      <c r="Y710" s="369"/>
      <c r="Z710" s="369"/>
    </row>
    <row r="711" customFormat="false" ht="12.75" hidden="false" customHeight="false" outlineLevel="0" collapsed="false">
      <c r="A711" s="368"/>
      <c r="B711" s="368"/>
      <c r="P711" s="40"/>
      <c r="Q711" s="369"/>
      <c r="R711" s="369"/>
      <c r="S711" s="369"/>
      <c r="T711" s="369"/>
      <c r="U711" s="369"/>
      <c r="V711" s="369"/>
      <c r="W711" s="369"/>
      <c r="X711" s="369"/>
      <c r="Y711" s="369"/>
      <c r="Z711" s="369"/>
    </row>
    <row r="712" customFormat="false" ht="12.75" hidden="false" customHeight="false" outlineLevel="0" collapsed="false">
      <c r="A712" s="368"/>
      <c r="B712" s="368"/>
      <c r="P712" s="40"/>
      <c r="Q712" s="369"/>
      <c r="R712" s="369"/>
      <c r="S712" s="369"/>
      <c r="T712" s="369"/>
      <c r="U712" s="369"/>
      <c r="V712" s="369"/>
      <c r="W712" s="369"/>
      <c r="X712" s="369"/>
      <c r="Y712" s="369"/>
      <c r="Z712" s="369"/>
    </row>
    <row r="713" customFormat="false" ht="12.75" hidden="false" customHeight="false" outlineLevel="0" collapsed="false">
      <c r="A713" s="368"/>
      <c r="B713" s="368"/>
      <c r="P713" s="40"/>
      <c r="Q713" s="369"/>
      <c r="R713" s="369"/>
      <c r="S713" s="369"/>
      <c r="T713" s="369"/>
      <c r="U713" s="369"/>
      <c r="V713" s="369"/>
      <c r="W713" s="369"/>
      <c r="X713" s="369"/>
      <c r="Y713" s="369"/>
      <c r="Z713" s="369"/>
    </row>
    <row r="714" customFormat="false" ht="12.75" hidden="false" customHeight="false" outlineLevel="0" collapsed="false">
      <c r="A714" s="368"/>
      <c r="B714" s="368"/>
      <c r="P714" s="40"/>
      <c r="Q714" s="369"/>
      <c r="R714" s="369"/>
      <c r="S714" s="369"/>
      <c r="T714" s="369"/>
      <c r="U714" s="369"/>
      <c r="V714" s="369"/>
      <c r="W714" s="369"/>
      <c r="X714" s="369"/>
      <c r="Y714" s="369"/>
      <c r="Z714" s="369"/>
    </row>
    <row r="715" customFormat="false" ht="12.75" hidden="false" customHeight="false" outlineLevel="0" collapsed="false">
      <c r="A715" s="368"/>
      <c r="B715" s="368"/>
      <c r="P715" s="40"/>
      <c r="Q715" s="369"/>
      <c r="R715" s="369"/>
      <c r="S715" s="369"/>
      <c r="T715" s="369"/>
      <c r="U715" s="369"/>
      <c r="V715" s="369"/>
      <c r="W715" s="369"/>
      <c r="X715" s="369"/>
      <c r="Y715" s="369"/>
      <c r="Z715" s="369"/>
    </row>
    <row r="716" customFormat="false" ht="12.75" hidden="false" customHeight="false" outlineLevel="0" collapsed="false">
      <c r="A716" s="368"/>
      <c r="B716" s="368"/>
      <c r="P716" s="40"/>
      <c r="Q716" s="369"/>
      <c r="R716" s="369"/>
      <c r="S716" s="369"/>
      <c r="T716" s="369"/>
      <c r="U716" s="369"/>
      <c r="V716" s="369"/>
      <c r="W716" s="369"/>
      <c r="X716" s="369"/>
      <c r="Y716" s="369"/>
      <c r="Z716" s="369"/>
    </row>
    <row r="717" customFormat="false" ht="12.75" hidden="false" customHeight="false" outlineLevel="0" collapsed="false">
      <c r="A717" s="368"/>
      <c r="B717" s="368"/>
      <c r="P717" s="40"/>
      <c r="Q717" s="369"/>
      <c r="R717" s="369"/>
      <c r="S717" s="369"/>
      <c r="T717" s="369"/>
      <c r="U717" s="369"/>
      <c r="V717" s="369"/>
      <c r="W717" s="369"/>
      <c r="X717" s="369"/>
      <c r="Y717" s="369"/>
      <c r="Z717" s="369"/>
    </row>
    <row r="718" customFormat="false" ht="12.75" hidden="false" customHeight="false" outlineLevel="0" collapsed="false">
      <c r="A718" s="368"/>
      <c r="B718" s="368"/>
      <c r="P718" s="40"/>
      <c r="Q718" s="369"/>
      <c r="R718" s="369"/>
      <c r="S718" s="369"/>
      <c r="T718" s="369"/>
      <c r="U718" s="369"/>
      <c r="V718" s="369"/>
      <c r="W718" s="369"/>
      <c r="X718" s="369"/>
      <c r="Y718" s="369"/>
      <c r="Z718" s="369"/>
    </row>
    <row r="719" customFormat="false" ht="12.75" hidden="false" customHeight="false" outlineLevel="0" collapsed="false">
      <c r="A719" s="368"/>
      <c r="B719" s="368"/>
      <c r="P719" s="40"/>
      <c r="Q719" s="369"/>
      <c r="R719" s="369"/>
      <c r="S719" s="369"/>
      <c r="T719" s="369"/>
      <c r="U719" s="369"/>
      <c r="V719" s="369"/>
      <c r="W719" s="369"/>
      <c r="X719" s="369"/>
      <c r="Y719" s="369"/>
      <c r="Z719" s="369"/>
    </row>
    <row r="720" customFormat="false" ht="12.75" hidden="false" customHeight="false" outlineLevel="0" collapsed="false">
      <c r="A720" s="368"/>
      <c r="B720" s="368"/>
      <c r="P720" s="40"/>
      <c r="Q720" s="369"/>
      <c r="R720" s="369"/>
      <c r="S720" s="369"/>
      <c r="T720" s="369"/>
      <c r="U720" s="369"/>
      <c r="V720" s="369"/>
      <c r="W720" s="369"/>
      <c r="X720" s="369"/>
      <c r="Y720" s="369"/>
      <c r="Z720" s="369"/>
    </row>
    <row r="721" customFormat="false" ht="12.75" hidden="false" customHeight="false" outlineLevel="0" collapsed="false">
      <c r="A721" s="368"/>
      <c r="B721" s="368"/>
      <c r="P721" s="40"/>
      <c r="Q721" s="369"/>
      <c r="R721" s="369"/>
      <c r="S721" s="369"/>
      <c r="T721" s="369"/>
      <c r="U721" s="369"/>
      <c r="V721" s="369"/>
      <c r="W721" s="369"/>
      <c r="X721" s="369"/>
      <c r="Y721" s="369"/>
      <c r="Z721" s="369"/>
    </row>
    <row r="722" customFormat="false" ht="12.75" hidden="false" customHeight="false" outlineLevel="0" collapsed="false">
      <c r="A722" s="368"/>
      <c r="B722" s="368"/>
      <c r="P722" s="40"/>
      <c r="Q722" s="369"/>
      <c r="R722" s="369"/>
      <c r="S722" s="369"/>
      <c r="T722" s="369"/>
      <c r="U722" s="369"/>
      <c r="V722" s="369"/>
      <c r="W722" s="369"/>
      <c r="X722" s="369"/>
      <c r="Y722" s="369"/>
      <c r="Z722" s="369"/>
    </row>
    <row r="723" customFormat="false" ht="12.75" hidden="false" customHeight="false" outlineLevel="0" collapsed="false">
      <c r="A723" s="368"/>
      <c r="B723" s="368"/>
      <c r="P723" s="40"/>
      <c r="Q723" s="369"/>
      <c r="R723" s="369"/>
      <c r="S723" s="369"/>
      <c r="T723" s="369"/>
      <c r="U723" s="369"/>
      <c r="V723" s="369"/>
      <c r="W723" s="369"/>
      <c r="X723" s="369"/>
      <c r="Y723" s="369"/>
      <c r="Z723" s="369"/>
    </row>
    <row r="724" customFormat="false" ht="12.75" hidden="false" customHeight="false" outlineLevel="0" collapsed="false">
      <c r="A724" s="368"/>
      <c r="B724" s="368"/>
      <c r="P724" s="40"/>
      <c r="Q724" s="369"/>
      <c r="R724" s="369"/>
      <c r="S724" s="369"/>
      <c r="T724" s="369"/>
      <c r="U724" s="369"/>
      <c r="V724" s="369"/>
      <c r="W724" s="369"/>
      <c r="X724" s="369"/>
      <c r="Y724" s="369"/>
      <c r="Z724" s="369"/>
    </row>
    <row r="725" customFormat="false" ht="12.75" hidden="false" customHeight="false" outlineLevel="0" collapsed="false">
      <c r="A725" s="368"/>
      <c r="B725" s="368"/>
      <c r="P725" s="40"/>
      <c r="Q725" s="369"/>
      <c r="R725" s="369"/>
      <c r="S725" s="369"/>
      <c r="T725" s="369"/>
      <c r="U725" s="369"/>
      <c r="V725" s="369"/>
      <c r="W725" s="369"/>
      <c r="X725" s="369"/>
      <c r="Y725" s="369"/>
      <c r="Z725" s="369"/>
    </row>
    <row r="726" customFormat="false" ht="12.75" hidden="false" customHeight="false" outlineLevel="0" collapsed="false">
      <c r="A726" s="368"/>
      <c r="B726" s="368"/>
      <c r="P726" s="40"/>
      <c r="Q726" s="369"/>
      <c r="R726" s="369"/>
      <c r="S726" s="369"/>
      <c r="T726" s="369"/>
      <c r="U726" s="369"/>
      <c r="V726" s="369"/>
      <c r="W726" s="369"/>
      <c r="X726" s="369"/>
      <c r="Y726" s="369"/>
      <c r="Z726" s="369"/>
    </row>
    <row r="727" customFormat="false" ht="12.75" hidden="false" customHeight="false" outlineLevel="0" collapsed="false">
      <c r="A727" s="368"/>
      <c r="B727" s="368"/>
      <c r="P727" s="40"/>
      <c r="Q727" s="369"/>
      <c r="R727" s="369"/>
      <c r="S727" s="369"/>
      <c r="T727" s="369"/>
      <c r="U727" s="369"/>
      <c r="V727" s="369"/>
      <c r="W727" s="369"/>
      <c r="X727" s="369"/>
      <c r="Y727" s="369"/>
      <c r="Z727" s="369"/>
    </row>
    <row r="728" customFormat="false" ht="12.75" hidden="false" customHeight="false" outlineLevel="0" collapsed="false">
      <c r="A728" s="368"/>
      <c r="B728" s="368"/>
      <c r="P728" s="40"/>
      <c r="Q728" s="369"/>
      <c r="R728" s="369"/>
      <c r="S728" s="369"/>
      <c r="T728" s="369"/>
      <c r="U728" s="369"/>
      <c r="V728" s="369"/>
      <c r="W728" s="369"/>
      <c r="X728" s="369"/>
      <c r="Y728" s="369"/>
      <c r="Z728" s="369"/>
    </row>
    <row r="729" customFormat="false" ht="12.75" hidden="false" customHeight="false" outlineLevel="0" collapsed="false">
      <c r="A729" s="368"/>
      <c r="B729" s="368"/>
      <c r="P729" s="40"/>
      <c r="Q729" s="369"/>
      <c r="R729" s="369"/>
      <c r="S729" s="369"/>
      <c r="T729" s="369"/>
      <c r="U729" s="369"/>
      <c r="V729" s="369"/>
      <c r="W729" s="369"/>
      <c r="X729" s="369"/>
      <c r="Y729" s="369"/>
      <c r="Z729" s="369"/>
    </row>
    <row r="730" customFormat="false" ht="12.75" hidden="false" customHeight="false" outlineLevel="0" collapsed="false">
      <c r="A730" s="368"/>
      <c r="B730" s="368"/>
      <c r="P730" s="40"/>
      <c r="Q730" s="369"/>
      <c r="R730" s="369"/>
      <c r="S730" s="369"/>
      <c r="T730" s="369"/>
      <c r="U730" s="369"/>
      <c r="V730" s="369"/>
      <c r="W730" s="369"/>
      <c r="X730" s="369"/>
      <c r="Y730" s="369"/>
      <c r="Z730" s="369"/>
    </row>
    <row r="731" customFormat="false" ht="12.75" hidden="false" customHeight="false" outlineLevel="0" collapsed="false">
      <c r="A731" s="368"/>
      <c r="B731" s="368"/>
      <c r="P731" s="40"/>
      <c r="Q731" s="369"/>
      <c r="R731" s="369"/>
      <c r="S731" s="369"/>
      <c r="T731" s="369"/>
      <c r="U731" s="369"/>
      <c r="V731" s="369"/>
      <c r="W731" s="369"/>
      <c r="X731" s="369"/>
      <c r="Y731" s="369"/>
      <c r="Z731" s="369"/>
    </row>
    <row r="732" customFormat="false" ht="12.75" hidden="false" customHeight="false" outlineLevel="0" collapsed="false">
      <c r="A732" s="368"/>
      <c r="B732" s="368"/>
      <c r="P732" s="40"/>
      <c r="Q732" s="369"/>
      <c r="R732" s="369"/>
      <c r="S732" s="369"/>
      <c r="T732" s="369"/>
      <c r="U732" s="369"/>
      <c r="V732" s="369"/>
      <c r="W732" s="369"/>
      <c r="X732" s="369"/>
      <c r="Y732" s="369"/>
      <c r="Z732" s="369"/>
    </row>
    <row r="733" customFormat="false" ht="12.75" hidden="false" customHeight="false" outlineLevel="0" collapsed="false">
      <c r="A733" s="368"/>
      <c r="B733" s="368"/>
      <c r="P733" s="40"/>
      <c r="Q733" s="369"/>
      <c r="R733" s="369"/>
      <c r="S733" s="369"/>
      <c r="T733" s="369"/>
      <c r="U733" s="369"/>
      <c r="V733" s="369"/>
      <c r="W733" s="369"/>
      <c r="X733" s="369"/>
      <c r="Y733" s="369"/>
      <c r="Z733" s="369"/>
    </row>
    <row r="734" customFormat="false" ht="12.75" hidden="false" customHeight="false" outlineLevel="0" collapsed="false">
      <c r="A734" s="368"/>
      <c r="B734" s="368"/>
      <c r="P734" s="40"/>
      <c r="Q734" s="369"/>
      <c r="R734" s="369"/>
      <c r="S734" s="369"/>
      <c r="T734" s="369"/>
      <c r="U734" s="369"/>
      <c r="V734" s="369"/>
      <c r="W734" s="369"/>
      <c r="X734" s="369"/>
      <c r="Y734" s="369"/>
      <c r="Z734" s="369"/>
    </row>
    <row r="735" customFormat="false" ht="12.75" hidden="false" customHeight="false" outlineLevel="0" collapsed="false">
      <c r="A735" s="368"/>
      <c r="B735" s="368"/>
      <c r="P735" s="40"/>
      <c r="Q735" s="369"/>
      <c r="R735" s="369"/>
      <c r="S735" s="369"/>
      <c r="T735" s="369"/>
      <c r="U735" s="369"/>
      <c r="V735" s="369"/>
      <c r="W735" s="369"/>
      <c r="X735" s="369"/>
      <c r="Y735" s="369"/>
      <c r="Z735" s="369"/>
    </row>
    <row r="736" customFormat="false" ht="12.75" hidden="false" customHeight="false" outlineLevel="0" collapsed="false">
      <c r="A736" s="368"/>
      <c r="B736" s="368"/>
      <c r="P736" s="40"/>
      <c r="Q736" s="369"/>
      <c r="R736" s="369"/>
      <c r="S736" s="369"/>
      <c r="T736" s="369"/>
      <c r="U736" s="369"/>
      <c r="V736" s="369"/>
      <c r="W736" s="369"/>
      <c r="X736" s="369"/>
      <c r="Y736" s="369"/>
      <c r="Z736" s="369"/>
    </row>
    <row r="737" customFormat="false" ht="12.75" hidden="false" customHeight="false" outlineLevel="0" collapsed="false">
      <c r="A737" s="368"/>
      <c r="B737" s="368"/>
      <c r="P737" s="40"/>
      <c r="Q737" s="369"/>
      <c r="R737" s="369"/>
      <c r="S737" s="369"/>
      <c r="T737" s="369"/>
      <c r="U737" s="369"/>
      <c r="V737" s="369"/>
      <c r="W737" s="369"/>
      <c r="X737" s="369"/>
      <c r="Y737" s="369"/>
      <c r="Z737" s="369"/>
    </row>
    <row r="738" customFormat="false" ht="12.75" hidden="false" customHeight="false" outlineLevel="0" collapsed="false">
      <c r="A738" s="368"/>
      <c r="B738" s="368"/>
      <c r="P738" s="40"/>
      <c r="Q738" s="369"/>
      <c r="R738" s="369"/>
      <c r="S738" s="369"/>
      <c r="T738" s="369"/>
      <c r="U738" s="369"/>
      <c r="V738" s="369"/>
      <c r="W738" s="369"/>
      <c r="X738" s="369"/>
      <c r="Y738" s="369"/>
      <c r="Z738" s="369"/>
    </row>
    <row r="739" customFormat="false" ht="12.75" hidden="false" customHeight="false" outlineLevel="0" collapsed="false">
      <c r="A739" s="368"/>
      <c r="B739" s="368"/>
      <c r="P739" s="40"/>
      <c r="Q739" s="369"/>
      <c r="R739" s="369"/>
      <c r="S739" s="369"/>
      <c r="T739" s="369"/>
      <c r="U739" s="369"/>
      <c r="V739" s="369"/>
      <c r="W739" s="369"/>
      <c r="X739" s="369"/>
      <c r="Y739" s="369"/>
      <c r="Z739" s="369"/>
    </row>
    <row r="740" customFormat="false" ht="12.75" hidden="false" customHeight="false" outlineLevel="0" collapsed="false">
      <c r="A740" s="368"/>
      <c r="B740" s="368"/>
      <c r="P740" s="40"/>
      <c r="Q740" s="369"/>
      <c r="R740" s="369"/>
      <c r="S740" s="369"/>
      <c r="T740" s="369"/>
      <c r="U740" s="369"/>
      <c r="V740" s="369"/>
      <c r="W740" s="369"/>
      <c r="X740" s="369"/>
      <c r="Y740" s="369"/>
      <c r="Z740" s="369"/>
    </row>
    <row r="741" customFormat="false" ht="12.75" hidden="false" customHeight="false" outlineLevel="0" collapsed="false">
      <c r="A741" s="368"/>
      <c r="B741" s="368"/>
      <c r="P741" s="40"/>
      <c r="Q741" s="369"/>
      <c r="R741" s="369"/>
      <c r="S741" s="369"/>
      <c r="T741" s="369"/>
      <c r="U741" s="369"/>
      <c r="V741" s="369"/>
      <c r="W741" s="369"/>
      <c r="X741" s="369"/>
      <c r="Y741" s="369"/>
      <c r="Z741" s="369"/>
    </row>
    <row r="742" customFormat="false" ht="12.75" hidden="false" customHeight="false" outlineLevel="0" collapsed="false">
      <c r="A742" s="368"/>
      <c r="B742" s="368"/>
      <c r="P742" s="40"/>
      <c r="Q742" s="369"/>
      <c r="R742" s="369"/>
      <c r="S742" s="369"/>
      <c r="T742" s="369"/>
      <c r="U742" s="369"/>
      <c r="V742" s="369"/>
      <c r="W742" s="369"/>
      <c r="X742" s="369"/>
      <c r="Y742" s="369"/>
      <c r="Z742" s="369"/>
    </row>
    <row r="743" customFormat="false" ht="12.75" hidden="false" customHeight="false" outlineLevel="0" collapsed="false">
      <c r="A743" s="368"/>
      <c r="B743" s="368"/>
      <c r="P743" s="40"/>
      <c r="Q743" s="369"/>
      <c r="R743" s="369"/>
      <c r="S743" s="369"/>
      <c r="T743" s="369"/>
      <c r="U743" s="369"/>
      <c r="V743" s="369"/>
      <c r="W743" s="369"/>
      <c r="X743" s="369"/>
      <c r="Y743" s="369"/>
      <c r="Z743" s="369"/>
    </row>
    <row r="744" customFormat="false" ht="12.75" hidden="false" customHeight="false" outlineLevel="0" collapsed="false">
      <c r="A744" s="368"/>
      <c r="B744" s="368"/>
      <c r="P744" s="40"/>
      <c r="Q744" s="369"/>
      <c r="R744" s="369"/>
      <c r="S744" s="369"/>
      <c r="T744" s="369"/>
      <c r="U744" s="369"/>
      <c r="V744" s="369"/>
      <c r="W744" s="369"/>
      <c r="X744" s="369"/>
      <c r="Y744" s="369"/>
      <c r="Z744" s="369"/>
    </row>
    <row r="745" customFormat="false" ht="12.75" hidden="false" customHeight="false" outlineLevel="0" collapsed="false">
      <c r="A745" s="368"/>
      <c r="B745" s="368"/>
      <c r="P745" s="40"/>
      <c r="Q745" s="369"/>
      <c r="R745" s="369"/>
      <c r="S745" s="369"/>
      <c r="T745" s="369"/>
      <c r="U745" s="369"/>
      <c r="V745" s="369"/>
      <c r="W745" s="369"/>
      <c r="X745" s="369"/>
      <c r="Y745" s="369"/>
      <c r="Z745" s="369"/>
    </row>
    <row r="746" customFormat="false" ht="12.75" hidden="false" customHeight="false" outlineLevel="0" collapsed="false">
      <c r="A746" s="368"/>
      <c r="B746" s="368"/>
      <c r="P746" s="40"/>
      <c r="Q746" s="369"/>
      <c r="R746" s="369"/>
      <c r="S746" s="369"/>
      <c r="T746" s="369"/>
      <c r="U746" s="369"/>
      <c r="V746" s="369"/>
      <c r="W746" s="369"/>
      <c r="X746" s="369"/>
      <c r="Y746" s="369"/>
      <c r="Z746" s="369"/>
    </row>
    <row r="747" customFormat="false" ht="12.75" hidden="false" customHeight="false" outlineLevel="0" collapsed="false">
      <c r="A747" s="368"/>
      <c r="B747" s="368"/>
      <c r="P747" s="40"/>
      <c r="Q747" s="369"/>
      <c r="R747" s="369"/>
      <c r="S747" s="369"/>
      <c r="T747" s="369"/>
      <c r="U747" s="369"/>
      <c r="V747" s="369"/>
      <c r="W747" s="369"/>
      <c r="X747" s="369"/>
      <c r="Y747" s="369"/>
      <c r="Z747" s="369"/>
    </row>
    <row r="748" customFormat="false" ht="12.75" hidden="false" customHeight="false" outlineLevel="0" collapsed="false">
      <c r="A748" s="368"/>
      <c r="B748" s="368"/>
      <c r="P748" s="40"/>
      <c r="Q748" s="369"/>
      <c r="R748" s="369"/>
      <c r="S748" s="369"/>
      <c r="T748" s="369"/>
      <c r="U748" s="369"/>
      <c r="V748" s="369"/>
      <c r="W748" s="369"/>
      <c r="X748" s="369"/>
      <c r="Y748" s="369"/>
      <c r="Z748" s="369"/>
    </row>
    <row r="749" customFormat="false" ht="12.75" hidden="false" customHeight="false" outlineLevel="0" collapsed="false">
      <c r="A749" s="368"/>
      <c r="B749" s="368"/>
      <c r="P749" s="40"/>
      <c r="Q749" s="369"/>
      <c r="R749" s="369"/>
      <c r="S749" s="369"/>
      <c r="T749" s="369"/>
      <c r="U749" s="369"/>
      <c r="V749" s="369"/>
      <c r="W749" s="369"/>
      <c r="X749" s="369"/>
      <c r="Y749" s="369"/>
      <c r="Z749" s="369"/>
    </row>
    <row r="750" customFormat="false" ht="12.75" hidden="false" customHeight="false" outlineLevel="0" collapsed="false">
      <c r="A750" s="368"/>
      <c r="B750" s="368"/>
      <c r="P750" s="40"/>
      <c r="Q750" s="369"/>
      <c r="R750" s="369"/>
      <c r="S750" s="369"/>
      <c r="T750" s="369"/>
      <c r="U750" s="369"/>
      <c r="V750" s="369"/>
      <c r="W750" s="369"/>
      <c r="X750" s="369"/>
      <c r="Y750" s="369"/>
      <c r="Z750" s="369"/>
    </row>
    <row r="751" customFormat="false" ht="12.75" hidden="false" customHeight="false" outlineLevel="0" collapsed="false">
      <c r="A751" s="368"/>
      <c r="B751" s="368"/>
      <c r="P751" s="40"/>
      <c r="Q751" s="369"/>
      <c r="R751" s="369"/>
      <c r="S751" s="369"/>
      <c r="T751" s="369"/>
      <c r="U751" s="369"/>
      <c r="V751" s="369"/>
      <c r="W751" s="369"/>
      <c r="X751" s="369"/>
      <c r="Y751" s="369"/>
      <c r="Z751" s="369"/>
    </row>
    <row r="752" customFormat="false" ht="12.75" hidden="false" customHeight="false" outlineLevel="0" collapsed="false">
      <c r="A752" s="368"/>
      <c r="B752" s="368"/>
      <c r="P752" s="40"/>
      <c r="Q752" s="369"/>
      <c r="R752" s="369"/>
      <c r="S752" s="369"/>
      <c r="T752" s="369"/>
      <c r="U752" s="369"/>
      <c r="V752" s="369"/>
      <c r="W752" s="369"/>
      <c r="X752" s="369"/>
      <c r="Y752" s="369"/>
      <c r="Z752" s="369"/>
    </row>
    <row r="753" customFormat="false" ht="12.75" hidden="false" customHeight="false" outlineLevel="0" collapsed="false">
      <c r="A753" s="368"/>
      <c r="B753" s="368"/>
      <c r="P753" s="40"/>
      <c r="Q753" s="369"/>
      <c r="R753" s="369"/>
      <c r="S753" s="369"/>
      <c r="T753" s="369"/>
      <c r="U753" s="369"/>
      <c r="V753" s="369"/>
      <c r="W753" s="369"/>
      <c r="X753" s="369"/>
      <c r="Y753" s="369"/>
      <c r="Z753" s="369"/>
    </row>
    <row r="754" customFormat="false" ht="12.75" hidden="false" customHeight="false" outlineLevel="0" collapsed="false">
      <c r="A754" s="368"/>
      <c r="B754" s="368"/>
      <c r="P754" s="40"/>
      <c r="Q754" s="369"/>
      <c r="R754" s="369"/>
      <c r="S754" s="369"/>
      <c r="T754" s="369"/>
      <c r="U754" s="369"/>
      <c r="V754" s="369"/>
      <c r="W754" s="369"/>
      <c r="X754" s="369"/>
      <c r="Y754" s="369"/>
      <c r="Z754" s="369"/>
    </row>
    <row r="755" customFormat="false" ht="12.75" hidden="false" customHeight="false" outlineLevel="0" collapsed="false">
      <c r="A755" s="368"/>
      <c r="B755" s="368"/>
      <c r="P755" s="40"/>
      <c r="Q755" s="369"/>
      <c r="R755" s="369"/>
      <c r="S755" s="369"/>
      <c r="T755" s="369"/>
      <c r="U755" s="369"/>
      <c r="V755" s="369"/>
      <c r="W755" s="369"/>
      <c r="X755" s="369"/>
      <c r="Y755" s="369"/>
      <c r="Z755" s="369"/>
    </row>
    <row r="756" customFormat="false" ht="12.75" hidden="false" customHeight="false" outlineLevel="0" collapsed="false">
      <c r="A756" s="368"/>
      <c r="B756" s="368"/>
      <c r="P756" s="40"/>
      <c r="Q756" s="369"/>
      <c r="R756" s="369"/>
      <c r="S756" s="369"/>
      <c r="T756" s="369"/>
      <c r="U756" s="369"/>
      <c r="V756" s="369"/>
      <c r="W756" s="369"/>
      <c r="X756" s="369"/>
      <c r="Y756" s="369"/>
      <c r="Z756" s="369"/>
    </row>
    <row r="757" customFormat="false" ht="12.75" hidden="false" customHeight="false" outlineLevel="0" collapsed="false">
      <c r="A757" s="368"/>
      <c r="B757" s="368"/>
      <c r="P757" s="40"/>
      <c r="Q757" s="369"/>
      <c r="R757" s="369"/>
      <c r="S757" s="369"/>
      <c r="T757" s="369"/>
      <c r="U757" s="369"/>
      <c r="V757" s="369"/>
      <c r="W757" s="369"/>
      <c r="X757" s="369"/>
      <c r="Y757" s="369"/>
      <c r="Z757" s="369"/>
    </row>
    <row r="758" customFormat="false" ht="12.75" hidden="false" customHeight="false" outlineLevel="0" collapsed="false">
      <c r="A758" s="368"/>
      <c r="B758" s="368"/>
      <c r="P758" s="40"/>
      <c r="Q758" s="369"/>
      <c r="R758" s="369"/>
      <c r="S758" s="369"/>
      <c r="T758" s="369"/>
      <c r="U758" s="369"/>
      <c r="V758" s="369"/>
      <c r="W758" s="369"/>
      <c r="X758" s="369"/>
      <c r="Y758" s="369"/>
      <c r="Z758" s="369"/>
    </row>
    <row r="759" customFormat="false" ht="12.75" hidden="false" customHeight="false" outlineLevel="0" collapsed="false">
      <c r="A759" s="368"/>
      <c r="B759" s="368"/>
      <c r="P759" s="40"/>
      <c r="Q759" s="369"/>
      <c r="R759" s="369"/>
      <c r="S759" s="369"/>
      <c r="T759" s="369"/>
      <c r="U759" s="369"/>
      <c r="V759" s="369"/>
      <c r="W759" s="369"/>
      <c r="X759" s="369"/>
      <c r="Y759" s="369"/>
      <c r="Z759" s="369"/>
    </row>
    <row r="760" customFormat="false" ht="12.75" hidden="false" customHeight="false" outlineLevel="0" collapsed="false">
      <c r="A760" s="368"/>
      <c r="B760" s="368"/>
      <c r="P760" s="40"/>
      <c r="Q760" s="369"/>
      <c r="R760" s="369"/>
      <c r="S760" s="369"/>
      <c r="T760" s="369"/>
      <c r="U760" s="369"/>
      <c r="V760" s="369"/>
      <c r="W760" s="369"/>
      <c r="X760" s="369"/>
      <c r="Y760" s="369"/>
      <c r="Z760" s="369"/>
    </row>
    <row r="761" customFormat="false" ht="12.75" hidden="false" customHeight="false" outlineLevel="0" collapsed="false">
      <c r="A761" s="368"/>
      <c r="B761" s="368"/>
      <c r="P761" s="40"/>
      <c r="Q761" s="369"/>
      <c r="R761" s="369"/>
      <c r="S761" s="369"/>
      <c r="T761" s="369"/>
      <c r="U761" s="369"/>
      <c r="V761" s="369"/>
      <c r="W761" s="369"/>
      <c r="X761" s="369"/>
      <c r="Y761" s="369"/>
      <c r="Z761" s="369"/>
    </row>
    <row r="762" customFormat="false" ht="12.75" hidden="false" customHeight="false" outlineLevel="0" collapsed="false">
      <c r="A762" s="368"/>
      <c r="B762" s="368"/>
      <c r="P762" s="40"/>
      <c r="Q762" s="369"/>
      <c r="R762" s="369"/>
      <c r="S762" s="369"/>
      <c r="T762" s="369"/>
      <c r="U762" s="369"/>
      <c r="V762" s="369"/>
      <c r="W762" s="369"/>
      <c r="X762" s="369"/>
      <c r="Y762" s="369"/>
      <c r="Z762" s="369"/>
    </row>
    <row r="763" customFormat="false" ht="12.75" hidden="false" customHeight="false" outlineLevel="0" collapsed="false">
      <c r="A763" s="368"/>
      <c r="B763" s="368"/>
      <c r="P763" s="40"/>
      <c r="Q763" s="369"/>
      <c r="R763" s="369"/>
      <c r="S763" s="369"/>
      <c r="T763" s="369"/>
      <c r="U763" s="369"/>
      <c r="V763" s="369"/>
      <c r="W763" s="369"/>
      <c r="X763" s="369"/>
      <c r="Y763" s="369"/>
      <c r="Z763" s="369"/>
    </row>
    <row r="764" customFormat="false" ht="12.75" hidden="false" customHeight="false" outlineLevel="0" collapsed="false">
      <c r="A764" s="368"/>
      <c r="B764" s="368"/>
      <c r="P764" s="40"/>
      <c r="Q764" s="369"/>
      <c r="R764" s="369"/>
      <c r="S764" s="369"/>
      <c r="T764" s="369"/>
      <c r="U764" s="369"/>
      <c r="V764" s="369"/>
      <c r="W764" s="369"/>
      <c r="X764" s="369"/>
      <c r="Y764" s="369"/>
      <c r="Z764" s="369"/>
    </row>
    <row r="765" customFormat="false" ht="12.75" hidden="false" customHeight="false" outlineLevel="0" collapsed="false">
      <c r="A765" s="368"/>
      <c r="B765" s="368"/>
      <c r="P765" s="40"/>
      <c r="Q765" s="369"/>
      <c r="R765" s="369"/>
      <c r="S765" s="369"/>
      <c r="T765" s="369"/>
      <c r="U765" s="369"/>
      <c r="V765" s="369"/>
      <c r="W765" s="369"/>
      <c r="X765" s="369"/>
      <c r="Y765" s="369"/>
      <c r="Z765" s="369"/>
    </row>
    <row r="766" customFormat="false" ht="12.75" hidden="false" customHeight="false" outlineLevel="0" collapsed="false">
      <c r="A766" s="368"/>
      <c r="B766" s="368"/>
      <c r="P766" s="40"/>
      <c r="Q766" s="369"/>
      <c r="R766" s="369"/>
      <c r="S766" s="369"/>
      <c r="T766" s="369"/>
      <c r="U766" s="369"/>
      <c r="V766" s="369"/>
      <c r="W766" s="369"/>
      <c r="X766" s="369"/>
      <c r="Y766" s="369"/>
      <c r="Z766" s="369"/>
    </row>
    <row r="767" customFormat="false" ht="12.75" hidden="false" customHeight="false" outlineLevel="0" collapsed="false">
      <c r="A767" s="368"/>
      <c r="B767" s="368"/>
      <c r="P767" s="40"/>
      <c r="Q767" s="369"/>
      <c r="R767" s="369"/>
      <c r="S767" s="369"/>
      <c r="T767" s="369"/>
      <c r="U767" s="369"/>
      <c r="V767" s="369"/>
      <c r="W767" s="369"/>
      <c r="X767" s="369"/>
      <c r="Y767" s="369"/>
      <c r="Z767" s="369"/>
    </row>
    <row r="768" customFormat="false" ht="12.75" hidden="false" customHeight="false" outlineLevel="0" collapsed="false">
      <c r="A768" s="368"/>
      <c r="B768" s="368"/>
      <c r="P768" s="40"/>
      <c r="Q768" s="369"/>
      <c r="R768" s="369"/>
      <c r="S768" s="369"/>
      <c r="T768" s="369"/>
      <c r="U768" s="369"/>
      <c r="V768" s="369"/>
      <c r="W768" s="369"/>
      <c r="X768" s="369"/>
      <c r="Y768" s="369"/>
      <c r="Z768" s="369"/>
    </row>
    <row r="769" customFormat="false" ht="12.75" hidden="false" customHeight="false" outlineLevel="0" collapsed="false">
      <c r="A769" s="368"/>
      <c r="B769" s="368"/>
      <c r="P769" s="40"/>
      <c r="Q769" s="369"/>
      <c r="R769" s="369"/>
      <c r="S769" s="369"/>
      <c r="T769" s="369"/>
      <c r="U769" s="369"/>
      <c r="V769" s="369"/>
      <c r="W769" s="369"/>
      <c r="X769" s="369"/>
      <c r="Y769" s="369"/>
      <c r="Z769" s="369"/>
    </row>
    <row r="770" customFormat="false" ht="12.75" hidden="false" customHeight="false" outlineLevel="0" collapsed="false">
      <c r="A770" s="368"/>
      <c r="B770" s="368"/>
      <c r="P770" s="40"/>
      <c r="Q770" s="369"/>
      <c r="R770" s="369"/>
      <c r="S770" s="369"/>
      <c r="T770" s="369"/>
      <c r="U770" s="369"/>
      <c r="V770" s="369"/>
      <c r="W770" s="369"/>
      <c r="X770" s="369"/>
      <c r="Y770" s="369"/>
      <c r="Z770" s="369"/>
    </row>
    <row r="771" customFormat="false" ht="12.75" hidden="false" customHeight="false" outlineLevel="0" collapsed="false">
      <c r="A771" s="368"/>
      <c r="B771" s="368"/>
      <c r="P771" s="40"/>
      <c r="Q771" s="369"/>
      <c r="R771" s="369"/>
      <c r="S771" s="369"/>
      <c r="T771" s="369"/>
      <c r="U771" s="369"/>
      <c r="V771" s="369"/>
      <c r="W771" s="369"/>
      <c r="X771" s="369"/>
      <c r="Y771" s="369"/>
      <c r="Z771" s="369"/>
    </row>
    <row r="772" customFormat="false" ht="12.75" hidden="false" customHeight="false" outlineLevel="0" collapsed="false">
      <c r="A772" s="368"/>
      <c r="B772" s="368"/>
      <c r="P772" s="40"/>
      <c r="Q772" s="369"/>
      <c r="R772" s="369"/>
      <c r="S772" s="369"/>
      <c r="T772" s="369"/>
      <c r="U772" s="369"/>
      <c r="V772" s="369"/>
      <c r="W772" s="369"/>
      <c r="X772" s="369"/>
      <c r="Y772" s="369"/>
      <c r="Z772" s="369"/>
    </row>
    <row r="773" customFormat="false" ht="12.75" hidden="false" customHeight="false" outlineLevel="0" collapsed="false">
      <c r="A773" s="368"/>
      <c r="B773" s="368"/>
      <c r="P773" s="40"/>
      <c r="Q773" s="369"/>
      <c r="R773" s="369"/>
      <c r="S773" s="369"/>
      <c r="T773" s="369"/>
      <c r="U773" s="369"/>
      <c r="V773" s="369"/>
      <c r="W773" s="369"/>
      <c r="X773" s="369"/>
      <c r="Y773" s="369"/>
      <c r="Z773" s="369"/>
    </row>
    <row r="774" customFormat="false" ht="12.75" hidden="false" customHeight="false" outlineLevel="0" collapsed="false">
      <c r="A774" s="368"/>
      <c r="B774" s="368"/>
      <c r="P774" s="40"/>
      <c r="Q774" s="369"/>
      <c r="R774" s="369"/>
      <c r="S774" s="369"/>
      <c r="T774" s="369"/>
      <c r="U774" s="369"/>
      <c r="V774" s="369"/>
      <c r="W774" s="369"/>
      <c r="X774" s="369"/>
      <c r="Y774" s="369"/>
      <c r="Z774" s="369"/>
    </row>
    <row r="775" customFormat="false" ht="12.75" hidden="false" customHeight="false" outlineLevel="0" collapsed="false">
      <c r="A775" s="368"/>
      <c r="B775" s="368"/>
      <c r="P775" s="40"/>
      <c r="Q775" s="369"/>
      <c r="R775" s="369"/>
      <c r="S775" s="369"/>
      <c r="T775" s="369"/>
      <c r="U775" s="369"/>
      <c r="V775" s="369"/>
      <c r="W775" s="369"/>
      <c r="X775" s="369"/>
      <c r="Y775" s="369"/>
      <c r="Z775" s="369"/>
    </row>
    <row r="776" customFormat="false" ht="12.75" hidden="false" customHeight="false" outlineLevel="0" collapsed="false">
      <c r="A776" s="368"/>
      <c r="B776" s="368"/>
      <c r="P776" s="40"/>
      <c r="Q776" s="369"/>
      <c r="R776" s="369"/>
      <c r="S776" s="369"/>
      <c r="T776" s="369"/>
      <c r="U776" s="369"/>
      <c r="V776" s="369"/>
      <c r="W776" s="369"/>
      <c r="X776" s="369"/>
      <c r="Y776" s="369"/>
      <c r="Z776" s="369"/>
    </row>
    <row r="777" customFormat="false" ht="12.75" hidden="false" customHeight="false" outlineLevel="0" collapsed="false">
      <c r="A777" s="368"/>
      <c r="B777" s="368"/>
      <c r="P777" s="40"/>
      <c r="Q777" s="369"/>
      <c r="R777" s="369"/>
      <c r="S777" s="369"/>
      <c r="T777" s="369"/>
      <c r="U777" s="369"/>
      <c r="V777" s="369"/>
      <c r="W777" s="369"/>
      <c r="X777" s="369"/>
      <c r="Y777" s="369"/>
      <c r="Z777" s="369"/>
    </row>
    <row r="778" customFormat="false" ht="12.75" hidden="false" customHeight="false" outlineLevel="0" collapsed="false">
      <c r="A778" s="368"/>
      <c r="B778" s="368"/>
      <c r="P778" s="40"/>
      <c r="Q778" s="369"/>
      <c r="R778" s="369"/>
      <c r="S778" s="369"/>
      <c r="T778" s="369"/>
      <c r="U778" s="369"/>
      <c r="V778" s="369"/>
      <c r="W778" s="369"/>
      <c r="X778" s="369"/>
      <c r="Y778" s="369"/>
      <c r="Z778" s="369"/>
    </row>
    <row r="779" customFormat="false" ht="12.75" hidden="false" customHeight="false" outlineLevel="0" collapsed="false">
      <c r="A779" s="368"/>
      <c r="B779" s="368"/>
      <c r="P779" s="40"/>
      <c r="Q779" s="369"/>
      <c r="R779" s="369"/>
      <c r="S779" s="369"/>
      <c r="T779" s="369"/>
      <c r="U779" s="369"/>
      <c r="V779" s="369"/>
      <c r="W779" s="369"/>
      <c r="X779" s="369"/>
      <c r="Y779" s="369"/>
      <c r="Z779" s="369"/>
    </row>
    <row r="780" customFormat="false" ht="12.75" hidden="false" customHeight="false" outlineLevel="0" collapsed="false">
      <c r="A780" s="368"/>
      <c r="B780" s="368"/>
      <c r="P780" s="40"/>
      <c r="Q780" s="369"/>
      <c r="R780" s="369"/>
      <c r="S780" s="369"/>
      <c r="T780" s="369"/>
      <c r="U780" s="369"/>
      <c r="V780" s="369"/>
      <c r="W780" s="369"/>
      <c r="X780" s="369"/>
      <c r="Y780" s="369"/>
      <c r="Z780" s="369"/>
    </row>
    <row r="781" customFormat="false" ht="12.75" hidden="false" customHeight="false" outlineLevel="0" collapsed="false">
      <c r="A781" s="368"/>
      <c r="B781" s="368"/>
      <c r="P781" s="40"/>
      <c r="Q781" s="369"/>
      <c r="R781" s="369"/>
      <c r="S781" s="369"/>
      <c r="T781" s="369"/>
      <c r="U781" s="369"/>
      <c r="V781" s="369"/>
      <c r="W781" s="369"/>
      <c r="X781" s="369"/>
      <c r="Y781" s="369"/>
      <c r="Z781" s="369"/>
    </row>
    <row r="782" customFormat="false" ht="12.75" hidden="false" customHeight="false" outlineLevel="0" collapsed="false">
      <c r="A782" s="368"/>
      <c r="B782" s="368"/>
      <c r="P782" s="40"/>
      <c r="Q782" s="369"/>
      <c r="R782" s="369"/>
      <c r="S782" s="369"/>
      <c r="T782" s="369"/>
      <c r="U782" s="369"/>
      <c r="V782" s="369"/>
      <c r="W782" s="369"/>
      <c r="X782" s="369"/>
      <c r="Y782" s="369"/>
      <c r="Z782" s="369"/>
    </row>
    <row r="783" customFormat="false" ht="12.75" hidden="false" customHeight="false" outlineLevel="0" collapsed="false">
      <c r="A783" s="368"/>
      <c r="B783" s="368"/>
      <c r="P783" s="40"/>
      <c r="Q783" s="369"/>
      <c r="R783" s="369"/>
      <c r="S783" s="369"/>
      <c r="T783" s="369"/>
      <c r="U783" s="369"/>
      <c r="V783" s="369"/>
      <c r="W783" s="369"/>
      <c r="X783" s="369"/>
      <c r="Y783" s="369"/>
      <c r="Z783" s="369"/>
    </row>
    <row r="784" customFormat="false" ht="12.75" hidden="false" customHeight="false" outlineLevel="0" collapsed="false">
      <c r="A784" s="368"/>
      <c r="B784" s="368"/>
      <c r="P784" s="40"/>
      <c r="Q784" s="369"/>
      <c r="R784" s="369"/>
      <c r="S784" s="369"/>
      <c r="T784" s="369"/>
      <c r="U784" s="369"/>
      <c r="V784" s="369"/>
      <c r="W784" s="369"/>
      <c r="X784" s="369"/>
      <c r="Y784" s="369"/>
      <c r="Z784" s="369"/>
    </row>
    <row r="785" customFormat="false" ht="12.75" hidden="false" customHeight="false" outlineLevel="0" collapsed="false">
      <c r="A785" s="368"/>
      <c r="B785" s="368"/>
      <c r="P785" s="40"/>
      <c r="Q785" s="369"/>
      <c r="R785" s="369"/>
      <c r="S785" s="369"/>
      <c r="T785" s="369"/>
      <c r="U785" s="369"/>
      <c r="V785" s="369"/>
      <c r="W785" s="369"/>
      <c r="X785" s="369"/>
      <c r="Y785" s="369"/>
      <c r="Z785" s="369"/>
    </row>
    <row r="786" customFormat="false" ht="12.75" hidden="false" customHeight="false" outlineLevel="0" collapsed="false">
      <c r="A786" s="368"/>
      <c r="B786" s="368"/>
      <c r="P786" s="40"/>
      <c r="Q786" s="369"/>
      <c r="R786" s="369"/>
      <c r="S786" s="369"/>
      <c r="T786" s="369"/>
      <c r="U786" s="369"/>
      <c r="V786" s="369"/>
      <c r="W786" s="369"/>
      <c r="X786" s="369"/>
      <c r="Y786" s="369"/>
      <c r="Z786" s="369"/>
    </row>
    <row r="787" customFormat="false" ht="12.75" hidden="false" customHeight="false" outlineLevel="0" collapsed="false">
      <c r="A787" s="368"/>
      <c r="B787" s="368"/>
      <c r="P787" s="40"/>
      <c r="Q787" s="369"/>
      <c r="R787" s="369"/>
      <c r="S787" s="369"/>
      <c r="T787" s="369"/>
      <c r="U787" s="369"/>
      <c r="V787" s="369"/>
      <c r="W787" s="369"/>
      <c r="X787" s="369"/>
      <c r="Y787" s="369"/>
      <c r="Z787" s="369"/>
    </row>
    <row r="788" customFormat="false" ht="12.75" hidden="false" customHeight="false" outlineLevel="0" collapsed="false">
      <c r="A788" s="368"/>
      <c r="B788" s="368"/>
      <c r="P788" s="40"/>
      <c r="Q788" s="369"/>
      <c r="R788" s="369"/>
      <c r="S788" s="369"/>
      <c r="T788" s="369"/>
      <c r="U788" s="369"/>
      <c r="V788" s="369"/>
      <c r="W788" s="369"/>
      <c r="X788" s="369"/>
      <c r="Y788" s="369"/>
      <c r="Z788" s="369"/>
    </row>
    <row r="789" customFormat="false" ht="12.75" hidden="false" customHeight="false" outlineLevel="0" collapsed="false">
      <c r="A789" s="368"/>
      <c r="B789" s="368"/>
      <c r="P789" s="40"/>
      <c r="Q789" s="369"/>
      <c r="R789" s="369"/>
      <c r="S789" s="369"/>
      <c r="T789" s="369"/>
      <c r="U789" s="369"/>
      <c r="V789" s="369"/>
      <c r="W789" s="369"/>
      <c r="X789" s="369"/>
      <c r="Y789" s="369"/>
      <c r="Z789" s="369"/>
    </row>
    <row r="790" customFormat="false" ht="12.75" hidden="false" customHeight="false" outlineLevel="0" collapsed="false">
      <c r="A790" s="368"/>
      <c r="B790" s="368"/>
      <c r="P790" s="40"/>
      <c r="Q790" s="369"/>
      <c r="R790" s="369"/>
      <c r="S790" s="369"/>
      <c r="T790" s="369"/>
      <c r="U790" s="369"/>
      <c r="V790" s="369"/>
      <c r="W790" s="369"/>
      <c r="X790" s="369"/>
      <c r="Y790" s="369"/>
      <c r="Z790" s="369"/>
    </row>
    <row r="791" customFormat="false" ht="12.75" hidden="false" customHeight="false" outlineLevel="0" collapsed="false">
      <c r="A791" s="368"/>
      <c r="B791" s="368"/>
      <c r="P791" s="40"/>
      <c r="Q791" s="369"/>
      <c r="R791" s="369"/>
      <c r="S791" s="369"/>
      <c r="T791" s="369"/>
      <c r="U791" s="369"/>
      <c r="V791" s="369"/>
      <c r="W791" s="369"/>
      <c r="X791" s="369"/>
      <c r="Y791" s="369"/>
      <c r="Z791" s="369"/>
    </row>
    <row r="792" customFormat="false" ht="12.75" hidden="false" customHeight="false" outlineLevel="0" collapsed="false">
      <c r="A792" s="368"/>
      <c r="B792" s="368"/>
      <c r="P792" s="40"/>
      <c r="Q792" s="369"/>
      <c r="R792" s="369"/>
      <c r="S792" s="369"/>
      <c r="T792" s="369"/>
      <c r="U792" s="369"/>
      <c r="V792" s="369"/>
      <c r="W792" s="369"/>
      <c r="X792" s="369"/>
      <c r="Y792" s="369"/>
      <c r="Z792" s="369"/>
    </row>
    <row r="793" customFormat="false" ht="12.75" hidden="false" customHeight="false" outlineLevel="0" collapsed="false">
      <c r="A793" s="368"/>
      <c r="B793" s="368"/>
      <c r="P793" s="40"/>
      <c r="Q793" s="369"/>
      <c r="R793" s="369"/>
      <c r="S793" s="369"/>
      <c r="T793" s="369"/>
      <c r="U793" s="369"/>
      <c r="V793" s="369"/>
      <c r="W793" s="369"/>
      <c r="X793" s="369"/>
      <c r="Y793" s="369"/>
      <c r="Z793" s="369"/>
    </row>
    <row r="794" customFormat="false" ht="12.75" hidden="false" customHeight="false" outlineLevel="0" collapsed="false">
      <c r="A794" s="368"/>
      <c r="B794" s="368"/>
      <c r="P794" s="40"/>
      <c r="Q794" s="369"/>
      <c r="R794" s="369"/>
      <c r="S794" s="369"/>
      <c r="T794" s="369"/>
      <c r="U794" s="369"/>
      <c r="V794" s="369"/>
      <c r="W794" s="369"/>
      <c r="X794" s="369"/>
      <c r="Y794" s="369"/>
      <c r="Z794" s="369"/>
    </row>
    <row r="795" customFormat="false" ht="12.75" hidden="false" customHeight="false" outlineLevel="0" collapsed="false">
      <c r="A795" s="368"/>
      <c r="B795" s="368"/>
      <c r="P795" s="40"/>
      <c r="Q795" s="369"/>
      <c r="R795" s="369"/>
      <c r="S795" s="369"/>
      <c r="T795" s="369"/>
      <c r="U795" s="369"/>
      <c r="V795" s="369"/>
      <c r="W795" s="369"/>
      <c r="X795" s="369"/>
      <c r="Y795" s="369"/>
      <c r="Z795" s="369"/>
    </row>
    <row r="796" customFormat="false" ht="12.75" hidden="false" customHeight="false" outlineLevel="0" collapsed="false">
      <c r="A796" s="368"/>
      <c r="B796" s="368"/>
      <c r="P796" s="40"/>
      <c r="Q796" s="369"/>
      <c r="R796" s="369"/>
      <c r="S796" s="369"/>
      <c r="T796" s="369"/>
      <c r="U796" s="369"/>
      <c r="V796" s="369"/>
      <c r="W796" s="369"/>
      <c r="X796" s="369"/>
      <c r="Y796" s="369"/>
      <c r="Z796" s="369"/>
    </row>
    <row r="797" customFormat="false" ht="12.75" hidden="false" customHeight="false" outlineLevel="0" collapsed="false">
      <c r="A797" s="368"/>
      <c r="B797" s="368"/>
      <c r="P797" s="40"/>
      <c r="Q797" s="369"/>
      <c r="R797" s="369"/>
      <c r="S797" s="369"/>
      <c r="T797" s="369"/>
      <c r="U797" s="369"/>
      <c r="V797" s="369"/>
      <c r="W797" s="369"/>
      <c r="X797" s="369"/>
      <c r="Y797" s="369"/>
      <c r="Z797" s="369"/>
    </row>
    <row r="798" customFormat="false" ht="12.75" hidden="false" customHeight="false" outlineLevel="0" collapsed="false">
      <c r="A798" s="368"/>
      <c r="B798" s="368"/>
      <c r="P798" s="40"/>
      <c r="Q798" s="369"/>
      <c r="R798" s="369"/>
      <c r="S798" s="369"/>
      <c r="T798" s="369"/>
      <c r="U798" s="369"/>
      <c r="V798" s="369"/>
      <c r="W798" s="369"/>
      <c r="X798" s="369"/>
      <c r="Y798" s="369"/>
      <c r="Z798" s="369"/>
    </row>
    <row r="799" customFormat="false" ht="12.75" hidden="false" customHeight="false" outlineLevel="0" collapsed="false">
      <c r="A799" s="368"/>
      <c r="B799" s="368"/>
      <c r="P799" s="40"/>
      <c r="Q799" s="369"/>
      <c r="R799" s="369"/>
      <c r="S799" s="369"/>
      <c r="T799" s="369"/>
      <c r="U799" s="369"/>
      <c r="V799" s="369"/>
      <c r="W799" s="369"/>
      <c r="X799" s="369"/>
      <c r="Y799" s="369"/>
      <c r="Z799" s="369"/>
    </row>
    <row r="800" customFormat="false" ht="12.75" hidden="false" customHeight="false" outlineLevel="0" collapsed="false">
      <c r="A800" s="368"/>
      <c r="B800" s="368"/>
      <c r="P800" s="40"/>
      <c r="Q800" s="369"/>
      <c r="R800" s="369"/>
      <c r="S800" s="369"/>
      <c r="T800" s="369"/>
      <c r="U800" s="369"/>
      <c r="V800" s="369"/>
      <c r="W800" s="369"/>
      <c r="X800" s="369"/>
      <c r="Y800" s="369"/>
      <c r="Z800" s="369"/>
    </row>
    <row r="801" customFormat="false" ht="12.75" hidden="false" customHeight="false" outlineLevel="0" collapsed="false">
      <c r="A801" s="368"/>
      <c r="B801" s="368"/>
      <c r="P801" s="40"/>
      <c r="Q801" s="369"/>
      <c r="R801" s="369"/>
      <c r="S801" s="369"/>
      <c r="T801" s="369"/>
      <c r="U801" s="369"/>
      <c r="V801" s="369"/>
      <c r="W801" s="369"/>
      <c r="X801" s="369"/>
      <c r="Y801" s="369"/>
      <c r="Z801" s="369"/>
    </row>
    <row r="802" customFormat="false" ht="12.75" hidden="false" customHeight="false" outlineLevel="0" collapsed="false">
      <c r="A802" s="368"/>
      <c r="B802" s="368"/>
      <c r="P802" s="40"/>
      <c r="Q802" s="369"/>
      <c r="R802" s="369"/>
      <c r="S802" s="369"/>
      <c r="T802" s="369"/>
      <c r="U802" s="369"/>
      <c r="V802" s="369"/>
      <c r="W802" s="369"/>
      <c r="X802" s="369"/>
      <c r="Y802" s="369"/>
      <c r="Z802" s="369"/>
    </row>
    <row r="803" customFormat="false" ht="12.75" hidden="false" customHeight="false" outlineLevel="0" collapsed="false">
      <c r="A803" s="368"/>
      <c r="B803" s="368"/>
      <c r="P803" s="40"/>
      <c r="Q803" s="369"/>
      <c r="R803" s="369"/>
      <c r="S803" s="369"/>
      <c r="T803" s="369"/>
      <c r="U803" s="369"/>
      <c r="V803" s="369"/>
      <c r="W803" s="369"/>
      <c r="X803" s="369"/>
      <c r="Y803" s="369"/>
      <c r="Z803" s="369"/>
    </row>
    <row r="804" customFormat="false" ht="12.75" hidden="false" customHeight="false" outlineLevel="0" collapsed="false">
      <c r="A804" s="368"/>
      <c r="B804" s="368"/>
      <c r="P804" s="40"/>
      <c r="Q804" s="369"/>
      <c r="R804" s="369"/>
      <c r="S804" s="369"/>
      <c r="T804" s="369"/>
      <c r="U804" s="369"/>
      <c r="V804" s="369"/>
      <c r="W804" s="369"/>
      <c r="X804" s="369"/>
      <c r="Y804" s="369"/>
      <c r="Z804" s="369"/>
    </row>
    <row r="805" customFormat="false" ht="12.75" hidden="false" customHeight="false" outlineLevel="0" collapsed="false">
      <c r="A805" s="368"/>
      <c r="B805" s="368"/>
      <c r="P805" s="40"/>
      <c r="Q805" s="369"/>
      <c r="R805" s="369"/>
      <c r="S805" s="369"/>
      <c r="T805" s="369"/>
      <c r="U805" s="369"/>
      <c r="V805" s="369"/>
      <c r="W805" s="369"/>
      <c r="X805" s="369"/>
      <c r="Y805" s="369"/>
      <c r="Z805" s="369"/>
    </row>
    <row r="806" customFormat="false" ht="12.75" hidden="false" customHeight="false" outlineLevel="0" collapsed="false">
      <c r="A806" s="368"/>
      <c r="B806" s="368"/>
      <c r="P806" s="40"/>
      <c r="Q806" s="369"/>
      <c r="R806" s="369"/>
      <c r="S806" s="369"/>
      <c r="T806" s="369"/>
      <c r="U806" s="369"/>
      <c r="V806" s="369"/>
      <c r="W806" s="369"/>
      <c r="X806" s="369"/>
      <c r="Y806" s="369"/>
      <c r="Z806" s="369"/>
    </row>
    <row r="807" customFormat="false" ht="12.75" hidden="false" customHeight="false" outlineLevel="0" collapsed="false">
      <c r="A807" s="368"/>
      <c r="B807" s="368"/>
      <c r="P807" s="40"/>
      <c r="Q807" s="369"/>
      <c r="R807" s="369"/>
      <c r="S807" s="369"/>
      <c r="T807" s="369"/>
      <c r="U807" s="369"/>
      <c r="V807" s="369"/>
      <c r="W807" s="369"/>
      <c r="X807" s="369"/>
      <c r="Y807" s="369"/>
      <c r="Z807" s="369"/>
    </row>
    <row r="808" customFormat="false" ht="12.75" hidden="false" customHeight="false" outlineLevel="0" collapsed="false">
      <c r="A808" s="368"/>
      <c r="B808" s="368"/>
      <c r="P808" s="40"/>
      <c r="Q808" s="369"/>
      <c r="R808" s="369"/>
      <c r="S808" s="369"/>
      <c r="T808" s="369"/>
      <c r="U808" s="369"/>
      <c r="V808" s="369"/>
      <c r="W808" s="369"/>
      <c r="X808" s="369"/>
      <c r="Y808" s="369"/>
      <c r="Z808" s="369"/>
    </row>
    <row r="809" customFormat="false" ht="12.75" hidden="false" customHeight="false" outlineLevel="0" collapsed="false">
      <c r="A809" s="368"/>
      <c r="B809" s="368"/>
      <c r="P809" s="40"/>
      <c r="Q809" s="369"/>
      <c r="R809" s="369"/>
      <c r="S809" s="369"/>
      <c r="T809" s="369"/>
      <c r="U809" s="369"/>
      <c r="V809" s="369"/>
      <c r="W809" s="369"/>
      <c r="X809" s="369"/>
      <c r="Y809" s="369"/>
      <c r="Z809" s="369"/>
    </row>
    <row r="810" customFormat="false" ht="12.75" hidden="false" customHeight="false" outlineLevel="0" collapsed="false">
      <c r="A810" s="368"/>
      <c r="B810" s="368"/>
      <c r="P810" s="40"/>
      <c r="Q810" s="369"/>
      <c r="R810" s="369"/>
      <c r="S810" s="369"/>
      <c r="T810" s="369"/>
      <c r="U810" s="369"/>
      <c r="V810" s="369"/>
      <c r="W810" s="369"/>
      <c r="X810" s="369"/>
      <c r="Y810" s="369"/>
      <c r="Z810" s="369"/>
    </row>
    <row r="811" customFormat="false" ht="12.75" hidden="false" customHeight="false" outlineLevel="0" collapsed="false">
      <c r="A811" s="368"/>
      <c r="B811" s="368"/>
      <c r="P811" s="40"/>
      <c r="Q811" s="369"/>
      <c r="R811" s="369"/>
      <c r="S811" s="369"/>
      <c r="T811" s="369"/>
      <c r="U811" s="369"/>
      <c r="V811" s="369"/>
      <c r="W811" s="369"/>
      <c r="X811" s="369"/>
      <c r="Y811" s="369"/>
      <c r="Z811" s="369"/>
    </row>
    <row r="812" customFormat="false" ht="12.75" hidden="false" customHeight="false" outlineLevel="0" collapsed="false">
      <c r="A812" s="368"/>
      <c r="B812" s="368"/>
      <c r="P812" s="40"/>
      <c r="Q812" s="369"/>
      <c r="R812" s="369"/>
      <c r="S812" s="369"/>
      <c r="T812" s="369"/>
      <c r="U812" s="369"/>
      <c r="V812" s="369"/>
      <c r="W812" s="369"/>
      <c r="X812" s="369"/>
      <c r="Y812" s="369"/>
      <c r="Z812" s="369"/>
    </row>
    <row r="813" customFormat="false" ht="12.75" hidden="false" customHeight="false" outlineLevel="0" collapsed="false">
      <c r="A813" s="368"/>
      <c r="B813" s="368"/>
      <c r="P813" s="40"/>
      <c r="Q813" s="369"/>
      <c r="R813" s="369"/>
      <c r="S813" s="369"/>
      <c r="T813" s="369"/>
      <c r="U813" s="369"/>
      <c r="V813" s="369"/>
      <c r="W813" s="369"/>
      <c r="X813" s="369"/>
      <c r="Y813" s="369"/>
      <c r="Z813" s="369"/>
    </row>
    <row r="814" customFormat="false" ht="12.75" hidden="false" customHeight="false" outlineLevel="0" collapsed="false">
      <c r="A814" s="368"/>
      <c r="B814" s="368"/>
      <c r="P814" s="40"/>
      <c r="Q814" s="369"/>
      <c r="R814" s="369"/>
      <c r="S814" s="369"/>
      <c r="T814" s="369"/>
      <c r="U814" s="369"/>
      <c r="V814" s="369"/>
      <c r="W814" s="369"/>
      <c r="X814" s="369"/>
      <c r="Y814" s="369"/>
      <c r="Z814" s="369"/>
    </row>
    <row r="815" customFormat="false" ht="12.75" hidden="false" customHeight="false" outlineLevel="0" collapsed="false">
      <c r="A815" s="368"/>
      <c r="B815" s="368"/>
      <c r="P815" s="40"/>
      <c r="Q815" s="369"/>
      <c r="R815" s="369"/>
      <c r="S815" s="369"/>
      <c r="T815" s="369"/>
      <c r="U815" s="369"/>
      <c r="V815" s="369"/>
      <c r="W815" s="369"/>
      <c r="X815" s="369"/>
      <c r="Y815" s="369"/>
      <c r="Z815" s="369"/>
    </row>
    <row r="816" customFormat="false" ht="12.75" hidden="false" customHeight="false" outlineLevel="0" collapsed="false">
      <c r="A816" s="368"/>
      <c r="B816" s="368"/>
      <c r="P816" s="40"/>
      <c r="Q816" s="369"/>
      <c r="R816" s="369"/>
      <c r="S816" s="369"/>
      <c r="T816" s="369"/>
      <c r="U816" s="369"/>
      <c r="V816" s="369"/>
      <c r="W816" s="369"/>
      <c r="X816" s="369"/>
      <c r="Y816" s="369"/>
      <c r="Z816" s="369"/>
    </row>
    <row r="817" customFormat="false" ht="12.75" hidden="false" customHeight="false" outlineLevel="0" collapsed="false">
      <c r="A817" s="368"/>
      <c r="B817" s="368"/>
      <c r="P817" s="40"/>
      <c r="Q817" s="369"/>
      <c r="R817" s="369"/>
      <c r="S817" s="369"/>
      <c r="T817" s="369"/>
      <c r="U817" s="369"/>
      <c r="V817" s="369"/>
      <c r="W817" s="369"/>
      <c r="X817" s="369"/>
      <c r="Y817" s="369"/>
      <c r="Z817" s="369"/>
    </row>
    <row r="818" customFormat="false" ht="12.75" hidden="false" customHeight="false" outlineLevel="0" collapsed="false">
      <c r="A818" s="368"/>
      <c r="B818" s="368"/>
      <c r="P818" s="40"/>
      <c r="Q818" s="369"/>
      <c r="R818" s="369"/>
      <c r="S818" s="369"/>
      <c r="T818" s="369"/>
      <c r="U818" s="369"/>
      <c r="V818" s="369"/>
      <c r="W818" s="369"/>
      <c r="X818" s="369"/>
      <c r="Y818" s="369"/>
      <c r="Z818" s="369"/>
    </row>
    <row r="819" customFormat="false" ht="12.75" hidden="false" customHeight="false" outlineLevel="0" collapsed="false">
      <c r="A819" s="368"/>
      <c r="B819" s="368"/>
      <c r="P819" s="40"/>
      <c r="Q819" s="369"/>
      <c r="R819" s="369"/>
      <c r="S819" s="369"/>
      <c r="T819" s="369"/>
      <c r="U819" s="369"/>
      <c r="V819" s="369"/>
      <c r="W819" s="369"/>
      <c r="X819" s="369"/>
      <c r="Y819" s="369"/>
      <c r="Z819" s="369"/>
    </row>
    <row r="820" customFormat="false" ht="12.75" hidden="false" customHeight="false" outlineLevel="0" collapsed="false">
      <c r="A820" s="368"/>
      <c r="B820" s="368"/>
      <c r="P820" s="40"/>
      <c r="Q820" s="369"/>
      <c r="R820" s="369"/>
      <c r="S820" s="369"/>
      <c r="T820" s="369"/>
      <c r="U820" s="369"/>
      <c r="V820" s="369"/>
      <c r="W820" s="369"/>
      <c r="X820" s="369"/>
      <c r="Y820" s="369"/>
      <c r="Z820" s="369"/>
    </row>
    <row r="821" customFormat="false" ht="12.75" hidden="false" customHeight="false" outlineLevel="0" collapsed="false">
      <c r="A821" s="368"/>
      <c r="B821" s="368"/>
      <c r="P821" s="40"/>
      <c r="Q821" s="369"/>
      <c r="R821" s="369"/>
      <c r="S821" s="369"/>
      <c r="T821" s="369"/>
      <c r="U821" s="369"/>
      <c r="V821" s="369"/>
      <c r="W821" s="369"/>
      <c r="X821" s="369"/>
      <c r="Y821" s="369"/>
      <c r="Z821" s="369"/>
    </row>
    <row r="822" customFormat="false" ht="12.75" hidden="false" customHeight="false" outlineLevel="0" collapsed="false">
      <c r="A822" s="368"/>
      <c r="B822" s="368"/>
      <c r="P822" s="40"/>
      <c r="Q822" s="369"/>
      <c r="R822" s="369"/>
      <c r="S822" s="369"/>
      <c r="T822" s="369"/>
      <c r="U822" s="369"/>
      <c r="V822" s="369"/>
      <c r="W822" s="369"/>
      <c r="X822" s="369"/>
      <c r="Y822" s="369"/>
      <c r="Z822" s="369"/>
    </row>
    <row r="823" customFormat="false" ht="12.75" hidden="false" customHeight="false" outlineLevel="0" collapsed="false">
      <c r="A823" s="368"/>
      <c r="B823" s="368"/>
      <c r="P823" s="40"/>
      <c r="Q823" s="369"/>
      <c r="R823" s="369"/>
      <c r="S823" s="369"/>
      <c r="T823" s="369"/>
      <c r="U823" s="369"/>
      <c r="V823" s="369"/>
      <c r="W823" s="369"/>
      <c r="X823" s="369"/>
      <c r="Y823" s="369"/>
      <c r="Z823" s="369"/>
    </row>
    <row r="824" customFormat="false" ht="12.75" hidden="false" customHeight="false" outlineLevel="0" collapsed="false">
      <c r="A824" s="368"/>
      <c r="B824" s="368"/>
      <c r="P824" s="40"/>
      <c r="Q824" s="369"/>
      <c r="R824" s="369"/>
      <c r="S824" s="369"/>
      <c r="T824" s="369"/>
      <c r="U824" s="369"/>
      <c r="V824" s="369"/>
      <c r="W824" s="369"/>
      <c r="X824" s="369"/>
      <c r="Y824" s="369"/>
      <c r="Z824" s="369"/>
    </row>
    <row r="825" customFormat="false" ht="12.75" hidden="false" customHeight="false" outlineLevel="0" collapsed="false">
      <c r="A825" s="368"/>
      <c r="B825" s="368"/>
      <c r="P825" s="40"/>
      <c r="Q825" s="369"/>
      <c r="R825" s="369"/>
      <c r="S825" s="369"/>
      <c r="T825" s="369"/>
      <c r="U825" s="369"/>
      <c r="V825" s="369"/>
      <c r="W825" s="369"/>
      <c r="X825" s="369"/>
      <c r="Y825" s="369"/>
      <c r="Z825" s="369"/>
    </row>
    <row r="826" customFormat="false" ht="12.75" hidden="false" customHeight="false" outlineLevel="0" collapsed="false">
      <c r="A826" s="368"/>
      <c r="B826" s="368"/>
      <c r="P826" s="40"/>
      <c r="Q826" s="369"/>
      <c r="R826" s="369"/>
      <c r="S826" s="369"/>
      <c r="T826" s="369"/>
      <c r="U826" s="369"/>
      <c r="V826" s="369"/>
      <c r="W826" s="369"/>
      <c r="X826" s="369"/>
      <c r="Y826" s="369"/>
      <c r="Z826" s="369"/>
    </row>
    <row r="827" customFormat="false" ht="12.75" hidden="false" customHeight="false" outlineLevel="0" collapsed="false">
      <c r="A827" s="368"/>
      <c r="B827" s="368"/>
      <c r="P827" s="40"/>
      <c r="Q827" s="369"/>
      <c r="R827" s="369"/>
      <c r="S827" s="369"/>
      <c r="T827" s="369"/>
      <c r="U827" s="369"/>
      <c r="V827" s="369"/>
      <c r="W827" s="369"/>
      <c r="X827" s="369"/>
      <c r="Y827" s="369"/>
      <c r="Z827" s="369"/>
    </row>
    <row r="828" customFormat="false" ht="12.75" hidden="false" customHeight="false" outlineLevel="0" collapsed="false">
      <c r="A828" s="368"/>
      <c r="B828" s="368"/>
      <c r="P828" s="40"/>
      <c r="Q828" s="369"/>
      <c r="R828" s="369"/>
      <c r="S828" s="369"/>
      <c r="T828" s="369"/>
      <c r="U828" s="369"/>
      <c r="V828" s="369"/>
      <c r="W828" s="369"/>
      <c r="X828" s="369"/>
      <c r="Y828" s="369"/>
      <c r="Z828" s="369"/>
    </row>
    <row r="829" customFormat="false" ht="12.75" hidden="false" customHeight="false" outlineLevel="0" collapsed="false">
      <c r="A829" s="368"/>
      <c r="B829" s="368"/>
      <c r="P829" s="40"/>
      <c r="Q829" s="369"/>
      <c r="R829" s="369"/>
      <c r="S829" s="369"/>
      <c r="T829" s="369"/>
      <c r="U829" s="369"/>
      <c r="V829" s="369"/>
      <c r="W829" s="369"/>
      <c r="X829" s="369"/>
      <c r="Y829" s="369"/>
      <c r="Z829" s="369"/>
    </row>
    <row r="830" customFormat="false" ht="12.75" hidden="false" customHeight="false" outlineLevel="0" collapsed="false">
      <c r="A830" s="368"/>
      <c r="B830" s="368"/>
      <c r="P830" s="40"/>
      <c r="Q830" s="369"/>
      <c r="R830" s="369"/>
      <c r="S830" s="369"/>
      <c r="T830" s="369"/>
      <c r="U830" s="369"/>
      <c r="V830" s="369"/>
      <c r="W830" s="369"/>
      <c r="X830" s="369"/>
      <c r="Y830" s="369"/>
      <c r="Z830" s="369"/>
    </row>
    <row r="831" customFormat="false" ht="12.75" hidden="false" customHeight="false" outlineLevel="0" collapsed="false">
      <c r="A831" s="368"/>
      <c r="B831" s="368"/>
      <c r="P831" s="40"/>
      <c r="Q831" s="369"/>
      <c r="R831" s="369"/>
      <c r="S831" s="369"/>
      <c r="T831" s="369"/>
      <c r="U831" s="369"/>
      <c r="V831" s="369"/>
      <c r="W831" s="369"/>
      <c r="X831" s="369"/>
      <c r="Y831" s="369"/>
      <c r="Z831" s="369"/>
    </row>
    <row r="832" customFormat="false" ht="12.75" hidden="false" customHeight="false" outlineLevel="0" collapsed="false">
      <c r="A832" s="368"/>
      <c r="B832" s="368"/>
      <c r="P832" s="40"/>
      <c r="Q832" s="369"/>
      <c r="R832" s="369"/>
      <c r="S832" s="369"/>
      <c r="T832" s="369"/>
      <c r="U832" s="369"/>
      <c r="V832" s="369"/>
      <c r="W832" s="369"/>
      <c r="X832" s="369"/>
      <c r="Y832" s="369"/>
      <c r="Z832" s="369"/>
    </row>
    <row r="833" customFormat="false" ht="12.75" hidden="false" customHeight="false" outlineLevel="0" collapsed="false">
      <c r="A833" s="368"/>
      <c r="B833" s="368"/>
      <c r="P833" s="40"/>
      <c r="Q833" s="369"/>
      <c r="R833" s="369"/>
      <c r="S833" s="369"/>
      <c r="T833" s="369"/>
      <c r="U833" s="369"/>
      <c r="V833" s="369"/>
      <c r="W833" s="369"/>
      <c r="X833" s="369"/>
      <c r="Y833" s="369"/>
      <c r="Z833" s="369"/>
    </row>
    <row r="834" customFormat="false" ht="12.75" hidden="false" customHeight="false" outlineLevel="0" collapsed="false">
      <c r="A834" s="368"/>
      <c r="B834" s="368"/>
      <c r="P834" s="40"/>
      <c r="Q834" s="369"/>
      <c r="R834" s="369"/>
      <c r="S834" s="369"/>
      <c r="T834" s="369"/>
      <c r="U834" s="369"/>
      <c r="V834" s="369"/>
      <c r="W834" s="369"/>
      <c r="X834" s="369"/>
      <c r="Y834" s="369"/>
      <c r="Z834" s="369"/>
    </row>
    <row r="835" customFormat="false" ht="12.75" hidden="false" customHeight="false" outlineLevel="0" collapsed="false">
      <c r="A835" s="368"/>
      <c r="B835" s="368"/>
      <c r="P835" s="40"/>
      <c r="Q835" s="369"/>
      <c r="R835" s="369"/>
      <c r="S835" s="369"/>
      <c r="T835" s="369"/>
      <c r="U835" s="369"/>
      <c r="V835" s="369"/>
      <c r="W835" s="369"/>
      <c r="X835" s="369"/>
      <c r="Y835" s="369"/>
      <c r="Z835" s="369"/>
    </row>
    <row r="836" customFormat="false" ht="12.75" hidden="false" customHeight="false" outlineLevel="0" collapsed="false">
      <c r="A836" s="368"/>
      <c r="B836" s="368"/>
      <c r="P836" s="40"/>
      <c r="Q836" s="369"/>
      <c r="R836" s="369"/>
      <c r="S836" s="369"/>
      <c r="T836" s="369"/>
      <c r="U836" s="369"/>
      <c r="V836" s="369"/>
      <c r="W836" s="369"/>
      <c r="X836" s="369"/>
      <c r="Y836" s="369"/>
      <c r="Z836" s="369"/>
    </row>
    <row r="837" customFormat="false" ht="12.75" hidden="false" customHeight="false" outlineLevel="0" collapsed="false">
      <c r="A837" s="368"/>
      <c r="B837" s="368"/>
      <c r="P837" s="40"/>
      <c r="Q837" s="369"/>
      <c r="R837" s="369"/>
      <c r="S837" s="369"/>
      <c r="T837" s="369"/>
      <c r="U837" s="369"/>
      <c r="V837" s="369"/>
      <c r="W837" s="369"/>
      <c r="X837" s="369"/>
      <c r="Y837" s="369"/>
      <c r="Z837" s="369"/>
    </row>
    <row r="838" customFormat="false" ht="12.75" hidden="false" customHeight="false" outlineLevel="0" collapsed="false">
      <c r="A838" s="368"/>
      <c r="B838" s="368"/>
      <c r="P838" s="40"/>
      <c r="Q838" s="369"/>
      <c r="R838" s="369"/>
      <c r="S838" s="369"/>
      <c r="T838" s="369"/>
      <c r="U838" s="369"/>
      <c r="V838" s="369"/>
      <c r="W838" s="369"/>
      <c r="X838" s="369"/>
      <c r="Y838" s="369"/>
      <c r="Z838" s="369"/>
    </row>
    <row r="839" customFormat="false" ht="12.75" hidden="false" customHeight="false" outlineLevel="0" collapsed="false">
      <c r="A839" s="368"/>
      <c r="B839" s="368"/>
      <c r="P839" s="40"/>
      <c r="Q839" s="369"/>
      <c r="R839" s="369"/>
      <c r="S839" s="369"/>
      <c r="T839" s="369"/>
      <c r="U839" s="369"/>
      <c r="V839" s="369"/>
      <c r="W839" s="369"/>
      <c r="X839" s="369"/>
      <c r="Y839" s="369"/>
      <c r="Z839" s="369"/>
    </row>
    <row r="840" customFormat="false" ht="12.75" hidden="false" customHeight="false" outlineLevel="0" collapsed="false">
      <c r="A840" s="368"/>
      <c r="B840" s="368"/>
      <c r="P840" s="40"/>
      <c r="Q840" s="369"/>
      <c r="R840" s="369"/>
      <c r="S840" s="369"/>
      <c r="T840" s="369"/>
      <c r="U840" s="369"/>
      <c r="V840" s="369"/>
      <c r="W840" s="369"/>
      <c r="X840" s="369"/>
      <c r="Y840" s="369"/>
      <c r="Z840" s="369"/>
    </row>
    <row r="841" customFormat="false" ht="12.75" hidden="false" customHeight="false" outlineLevel="0" collapsed="false">
      <c r="A841" s="368"/>
      <c r="B841" s="368"/>
      <c r="P841" s="40"/>
      <c r="Q841" s="369"/>
      <c r="R841" s="369"/>
      <c r="S841" s="369"/>
      <c r="T841" s="369"/>
      <c r="U841" s="369"/>
      <c r="V841" s="369"/>
      <c r="W841" s="369"/>
      <c r="X841" s="369"/>
      <c r="Y841" s="369"/>
      <c r="Z841" s="369"/>
    </row>
    <row r="842" customFormat="false" ht="12.75" hidden="false" customHeight="false" outlineLevel="0" collapsed="false">
      <c r="A842" s="368"/>
      <c r="B842" s="368"/>
      <c r="P842" s="40"/>
      <c r="Q842" s="369"/>
      <c r="R842" s="369"/>
      <c r="S842" s="369"/>
      <c r="T842" s="369"/>
      <c r="U842" s="369"/>
      <c r="V842" s="369"/>
      <c r="W842" s="369"/>
      <c r="X842" s="369"/>
      <c r="Y842" s="369"/>
      <c r="Z842" s="369"/>
    </row>
    <row r="843" customFormat="false" ht="12.75" hidden="false" customHeight="false" outlineLevel="0" collapsed="false">
      <c r="A843" s="368"/>
      <c r="B843" s="368"/>
      <c r="P843" s="40"/>
      <c r="Q843" s="369"/>
      <c r="R843" s="369"/>
      <c r="S843" s="369"/>
      <c r="T843" s="369"/>
      <c r="U843" s="369"/>
      <c r="V843" s="369"/>
      <c r="W843" s="369"/>
      <c r="X843" s="369"/>
      <c r="Y843" s="369"/>
      <c r="Z843" s="369"/>
    </row>
    <row r="844" customFormat="false" ht="12.75" hidden="false" customHeight="false" outlineLevel="0" collapsed="false">
      <c r="A844" s="368"/>
      <c r="B844" s="368"/>
      <c r="P844" s="40"/>
      <c r="Q844" s="369"/>
      <c r="R844" s="369"/>
      <c r="S844" s="369"/>
      <c r="T844" s="369"/>
      <c r="U844" s="369"/>
      <c r="V844" s="369"/>
      <c r="W844" s="369"/>
      <c r="X844" s="369"/>
      <c r="Y844" s="369"/>
      <c r="Z844" s="369"/>
    </row>
    <row r="845" customFormat="false" ht="12.75" hidden="false" customHeight="false" outlineLevel="0" collapsed="false">
      <c r="A845" s="368"/>
      <c r="B845" s="368"/>
      <c r="P845" s="40"/>
      <c r="Q845" s="369"/>
      <c r="R845" s="369"/>
      <c r="S845" s="369"/>
      <c r="T845" s="369"/>
      <c r="U845" s="369"/>
      <c r="V845" s="369"/>
      <c r="W845" s="369"/>
      <c r="X845" s="369"/>
      <c r="Y845" s="369"/>
      <c r="Z845" s="369"/>
    </row>
    <row r="846" customFormat="false" ht="12.75" hidden="false" customHeight="false" outlineLevel="0" collapsed="false">
      <c r="A846" s="368"/>
      <c r="B846" s="368"/>
      <c r="P846" s="40"/>
      <c r="Q846" s="369"/>
      <c r="R846" s="369"/>
      <c r="S846" s="369"/>
      <c r="T846" s="369"/>
      <c r="U846" s="369"/>
      <c r="V846" s="369"/>
      <c r="W846" s="369"/>
      <c r="X846" s="369"/>
      <c r="Y846" s="369"/>
      <c r="Z846" s="369"/>
    </row>
    <row r="847" customFormat="false" ht="12.75" hidden="false" customHeight="false" outlineLevel="0" collapsed="false">
      <c r="A847" s="368"/>
      <c r="B847" s="368"/>
      <c r="P847" s="40"/>
      <c r="Q847" s="369"/>
      <c r="R847" s="369"/>
      <c r="S847" s="369"/>
      <c r="T847" s="369"/>
      <c r="U847" s="369"/>
      <c r="V847" s="369"/>
      <c r="W847" s="369"/>
      <c r="X847" s="369"/>
      <c r="Y847" s="369"/>
      <c r="Z847" s="369"/>
    </row>
    <row r="848" customFormat="false" ht="12.75" hidden="false" customHeight="false" outlineLevel="0" collapsed="false">
      <c r="A848" s="368"/>
      <c r="B848" s="368"/>
      <c r="P848" s="40"/>
      <c r="Q848" s="369"/>
      <c r="R848" s="369"/>
      <c r="S848" s="369"/>
      <c r="T848" s="369"/>
      <c r="U848" s="369"/>
      <c r="V848" s="369"/>
      <c r="W848" s="369"/>
      <c r="X848" s="369"/>
      <c r="Y848" s="369"/>
      <c r="Z848" s="369"/>
    </row>
    <row r="849" customFormat="false" ht="12.75" hidden="false" customHeight="false" outlineLevel="0" collapsed="false">
      <c r="A849" s="368"/>
      <c r="B849" s="368"/>
      <c r="P849" s="40"/>
      <c r="Q849" s="369"/>
      <c r="R849" s="369"/>
      <c r="S849" s="369"/>
      <c r="T849" s="369"/>
      <c r="U849" s="369"/>
      <c r="V849" s="369"/>
      <c r="W849" s="369"/>
      <c r="X849" s="369"/>
      <c r="Y849" s="369"/>
      <c r="Z849" s="369"/>
    </row>
    <row r="850" customFormat="false" ht="12.75" hidden="false" customHeight="false" outlineLevel="0" collapsed="false">
      <c r="A850" s="368"/>
      <c r="B850" s="368"/>
      <c r="P850" s="40"/>
      <c r="Q850" s="369"/>
      <c r="R850" s="369"/>
      <c r="S850" s="369"/>
      <c r="T850" s="369"/>
      <c r="U850" s="369"/>
      <c r="V850" s="369"/>
      <c r="W850" s="369"/>
      <c r="X850" s="369"/>
      <c r="Y850" s="369"/>
      <c r="Z850" s="369"/>
    </row>
    <row r="851" customFormat="false" ht="12.75" hidden="false" customHeight="false" outlineLevel="0" collapsed="false">
      <c r="A851" s="368"/>
      <c r="B851" s="368"/>
      <c r="P851" s="40"/>
      <c r="Q851" s="369"/>
      <c r="R851" s="369"/>
      <c r="S851" s="369"/>
      <c r="T851" s="369"/>
      <c r="U851" s="369"/>
      <c r="V851" s="369"/>
      <c r="W851" s="369"/>
      <c r="X851" s="369"/>
      <c r="Y851" s="369"/>
      <c r="Z851" s="369"/>
    </row>
    <row r="852" customFormat="false" ht="12.75" hidden="false" customHeight="false" outlineLevel="0" collapsed="false">
      <c r="A852" s="368"/>
      <c r="B852" s="368"/>
      <c r="P852" s="40"/>
      <c r="Q852" s="369"/>
      <c r="R852" s="369"/>
      <c r="S852" s="369"/>
      <c r="T852" s="369"/>
      <c r="U852" s="369"/>
      <c r="V852" s="369"/>
      <c r="W852" s="369"/>
      <c r="X852" s="369"/>
      <c r="Y852" s="369"/>
      <c r="Z852" s="369"/>
    </row>
    <row r="853" customFormat="false" ht="12.75" hidden="false" customHeight="false" outlineLevel="0" collapsed="false">
      <c r="A853" s="368"/>
      <c r="B853" s="368"/>
      <c r="P853" s="40"/>
      <c r="Q853" s="369"/>
      <c r="R853" s="369"/>
      <c r="S853" s="369"/>
      <c r="T853" s="369"/>
      <c r="U853" s="369"/>
      <c r="V853" s="369"/>
      <c r="W853" s="369"/>
      <c r="X853" s="369"/>
      <c r="Y853" s="369"/>
      <c r="Z853" s="369"/>
    </row>
    <row r="854" customFormat="false" ht="12.75" hidden="false" customHeight="false" outlineLevel="0" collapsed="false">
      <c r="A854" s="368"/>
      <c r="B854" s="368"/>
      <c r="P854" s="40"/>
      <c r="Q854" s="369"/>
      <c r="R854" s="369"/>
      <c r="S854" s="369"/>
      <c r="T854" s="369"/>
      <c r="U854" s="369"/>
      <c r="V854" s="369"/>
      <c r="W854" s="369"/>
      <c r="X854" s="369"/>
      <c r="Y854" s="369"/>
      <c r="Z854" s="369"/>
    </row>
    <row r="855" customFormat="false" ht="12.75" hidden="false" customHeight="false" outlineLevel="0" collapsed="false">
      <c r="A855" s="368"/>
      <c r="B855" s="368"/>
      <c r="P855" s="40"/>
      <c r="Q855" s="369"/>
      <c r="R855" s="369"/>
      <c r="S855" s="369"/>
      <c r="T855" s="369"/>
      <c r="U855" s="369"/>
      <c r="V855" s="369"/>
      <c r="W855" s="369"/>
      <c r="X855" s="369"/>
      <c r="Y855" s="369"/>
      <c r="Z855" s="369"/>
    </row>
    <row r="856" customFormat="false" ht="12.75" hidden="false" customHeight="false" outlineLevel="0" collapsed="false">
      <c r="A856" s="368"/>
      <c r="B856" s="368"/>
      <c r="P856" s="40"/>
      <c r="Q856" s="369"/>
      <c r="R856" s="369"/>
      <c r="S856" s="369"/>
      <c r="T856" s="369"/>
      <c r="U856" s="369"/>
      <c r="V856" s="369"/>
      <c r="W856" s="369"/>
      <c r="X856" s="369"/>
      <c r="Y856" s="369"/>
      <c r="Z856" s="369"/>
    </row>
    <row r="857" customFormat="false" ht="12.75" hidden="false" customHeight="false" outlineLevel="0" collapsed="false">
      <c r="A857" s="368"/>
      <c r="B857" s="368"/>
      <c r="P857" s="40"/>
      <c r="Q857" s="369"/>
      <c r="R857" s="369"/>
      <c r="S857" s="369"/>
      <c r="T857" s="369"/>
      <c r="U857" s="369"/>
      <c r="V857" s="369"/>
      <c r="W857" s="369"/>
      <c r="X857" s="369"/>
      <c r="Y857" s="369"/>
      <c r="Z857" s="369"/>
    </row>
    <row r="858" customFormat="false" ht="12.75" hidden="false" customHeight="false" outlineLevel="0" collapsed="false">
      <c r="A858" s="368"/>
      <c r="B858" s="368"/>
      <c r="P858" s="40"/>
      <c r="Q858" s="369"/>
      <c r="R858" s="369"/>
      <c r="S858" s="369"/>
      <c r="T858" s="369"/>
      <c r="U858" s="369"/>
      <c r="V858" s="369"/>
      <c r="W858" s="369"/>
      <c r="X858" s="369"/>
      <c r="Y858" s="369"/>
      <c r="Z858" s="369"/>
    </row>
    <row r="859" customFormat="false" ht="12.75" hidden="false" customHeight="false" outlineLevel="0" collapsed="false">
      <c r="A859" s="368"/>
      <c r="B859" s="368"/>
      <c r="P859" s="40"/>
      <c r="Q859" s="369"/>
      <c r="R859" s="369"/>
      <c r="S859" s="369"/>
      <c r="T859" s="369"/>
      <c r="U859" s="369"/>
      <c r="V859" s="369"/>
      <c r="W859" s="369"/>
      <c r="X859" s="369"/>
      <c r="Y859" s="369"/>
      <c r="Z859" s="369"/>
    </row>
    <row r="860" customFormat="false" ht="12.75" hidden="false" customHeight="false" outlineLevel="0" collapsed="false">
      <c r="A860" s="368"/>
      <c r="B860" s="368"/>
      <c r="P860" s="40"/>
      <c r="Q860" s="369"/>
      <c r="R860" s="369"/>
      <c r="S860" s="369"/>
      <c r="T860" s="369"/>
      <c r="U860" s="369"/>
      <c r="V860" s="369"/>
      <c r="W860" s="369"/>
      <c r="X860" s="369"/>
      <c r="Y860" s="369"/>
      <c r="Z860" s="369"/>
    </row>
    <row r="861" customFormat="false" ht="12.75" hidden="false" customHeight="false" outlineLevel="0" collapsed="false">
      <c r="A861" s="368"/>
      <c r="B861" s="368"/>
      <c r="P861" s="40"/>
      <c r="Q861" s="369"/>
      <c r="R861" s="369"/>
      <c r="S861" s="369"/>
      <c r="T861" s="369"/>
      <c r="U861" s="369"/>
      <c r="V861" s="369"/>
      <c r="W861" s="369"/>
      <c r="X861" s="369"/>
      <c r="Y861" s="369"/>
      <c r="Z861" s="369"/>
    </row>
    <row r="862" customFormat="false" ht="12.75" hidden="false" customHeight="false" outlineLevel="0" collapsed="false">
      <c r="A862" s="368"/>
      <c r="B862" s="368"/>
      <c r="P862" s="40"/>
      <c r="Q862" s="369"/>
      <c r="R862" s="369"/>
      <c r="S862" s="369"/>
      <c r="T862" s="369"/>
      <c r="U862" s="369"/>
      <c r="V862" s="369"/>
      <c r="W862" s="369"/>
      <c r="X862" s="369"/>
      <c r="Y862" s="369"/>
      <c r="Z862" s="369"/>
    </row>
    <row r="863" customFormat="false" ht="12.75" hidden="false" customHeight="false" outlineLevel="0" collapsed="false">
      <c r="A863" s="368"/>
      <c r="B863" s="368"/>
      <c r="P863" s="40"/>
      <c r="Q863" s="369"/>
      <c r="R863" s="369"/>
      <c r="S863" s="369"/>
      <c r="T863" s="369"/>
      <c r="U863" s="369"/>
      <c r="V863" s="369"/>
      <c r="W863" s="369"/>
      <c r="X863" s="369"/>
      <c r="Y863" s="369"/>
      <c r="Z863" s="369"/>
    </row>
    <row r="864" customFormat="false" ht="12.75" hidden="false" customHeight="false" outlineLevel="0" collapsed="false">
      <c r="A864" s="368"/>
      <c r="B864" s="368"/>
      <c r="P864" s="40"/>
      <c r="Q864" s="369"/>
      <c r="R864" s="369"/>
      <c r="S864" s="369"/>
      <c r="T864" s="369"/>
      <c r="U864" s="369"/>
      <c r="V864" s="369"/>
      <c r="W864" s="369"/>
      <c r="X864" s="369"/>
      <c r="Y864" s="369"/>
      <c r="Z864" s="369"/>
    </row>
    <row r="865" customFormat="false" ht="12.75" hidden="false" customHeight="false" outlineLevel="0" collapsed="false">
      <c r="A865" s="368"/>
      <c r="B865" s="368"/>
      <c r="P865" s="40"/>
      <c r="Q865" s="369"/>
      <c r="R865" s="369"/>
      <c r="S865" s="369"/>
      <c r="T865" s="369"/>
      <c r="U865" s="369"/>
      <c r="V865" s="369"/>
      <c r="W865" s="369"/>
      <c r="X865" s="369"/>
      <c r="Y865" s="369"/>
      <c r="Z865" s="369"/>
    </row>
    <row r="866" customFormat="false" ht="12.75" hidden="false" customHeight="false" outlineLevel="0" collapsed="false">
      <c r="A866" s="368"/>
      <c r="B866" s="368"/>
      <c r="P866" s="40"/>
      <c r="Q866" s="369"/>
      <c r="R866" s="369"/>
      <c r="S866" s="369"/>
      <c r="T866" s="369"/>
      <c r="U866" s="369"/>
      <c r="V866" s="369"/>
      <c r="W866" s="369"/>
      <c r="X866" s="369"/>
      <c r="Y866" s="369"/>
      <c r="Z866" s="369"/>
    </row>
    <row r="867" customFormat="false" ht="12.75" hidden="false" customHeight="false" outlineLevel="0" collapsed="false">
      <c r="A867" s="368"/>
      <c r="B867" s="368"/>
      <c r="P867" s="40"/>
      <c r="Q867" s="369"/>
      <c r="R867" s="369"/>
      <c r="S867" s="369"/>
      <c r="T867" s="369"/>
      <c r="U867" s="369"/>
      <c r="V867" s="369"/>
      <c r="W867" s="369"/>
      <c r="X867" s="369"/>
      <c r="Y867" s="369"/>
      <c r="Z867" s="369"/>
    </row>
    <row r="868" customFormat="false" ht="12.75" hidden="false" customHeight="false" outlineLevel="0" collapsed="false">
      <c r="A868" s="368"/>
      <c r="B868" s="368"/>
      <c r="P868" s="40"/>
      <c r="Q868" s="369"/>
      <c r="R868" s="369"/>
      <c r="S868" s="369"/>
      <c r="T868" s="369"/>
      <c r="U868" s="369"/>
      <c r="V868" s="369"/>
      <c r="W868" s="369"/>
      <c r="X868" s="369"/>
      <c r="Y868" s="369"/>
      <c r="Z868" s="369"/>
    </row>
    <row r="869" customFormat="false" ht="12.75" hidden="false" customHeight="false" outlineLevel="0" collapsed="false">
      <c r="A869" s="368"/>
      <c r="B869" s="368"/>
      <c r="P869" s="40"/>
      <c r="Q869" s="369"/>
      <c r="R869" s="369"/>
      <c r="S869" s="369"/>
      <c r="T869" s="369"/>
      <c r="U869" s="369"/>
      <c r="V869" s="369"/>
      <c r="W869" s="369"/>
      <c r="X869" s="369"/>
      <c r="Y869" s="369"/>
      <c r="Z869" s="369"/>
    </row>
    <row r="870" customFormat="false" ht="12.75" hidden="false" customHeight="false" outlineLevel="0" collapsed="false">
      <c r="A870" s="368"/>
      <c r="B870" s="368"/>
      <c r="P870" s="40"/>
      <c r="Q870" s="369"/>
      <c r="R870" s="369"/>
      <c r="S870" s="369"/>
      <c r="T870" s="369"/>
      <c r="U870" s="369"/>
      <c r="V870" s="369"/>
      <c r="W870" s="369"/>
      <c r="X870" s="369"/>
      <c r="Y870" s="369"/>
      <c r="Z870" s="369"/>
    </row>
    <row r="871" customFormat="false" ht="12.75" hidden="false" customHeight="false" outlineLevel="0" collapsed="false">
      <c r="A871" s="368"/>
      <c r="B871" s="368"/>
      <c r="P871" s="40"/>
      <c r="Q871" s="369"/>
      <c r="R871" s="369"/>
      <c r="S871" s="369"/>
      <c r="T871" s="369"/>
      <c r="U871" s="369"/>
      <c r="V871" s="369"/>
      <c r="W871" s="369"/>
      <c r="X871" s="369"/>
      <c r="Y871" s="369"/>
      <c r="Z871" s="369"/>
    </row>
    <row r="872" customFormat="false" ht="12.75" hidden="false" customHeight="false" outlineLevel="0" collapsed="false">
      <c r="A872" s="368"/>
      <c r="B872" s="368"/>
      <c r="P872" s="40"/>
      <c r="Q872" s="369"/>
      <c r="R872" s="369"/>
      <c r="S872" s="369"/>
      <c r="T872" s="369"/>
      <c r="U872" s="369"/>
      <c r="V872" s="369"/>
      <c r="W872" s="369"/>
      <c r="X872" s="369"/>
      <c r="Y872" s="369"/>
      <c r="Z872" s="369"/>
    </row>
    <row r="873" customFormat="false" ht="12.75" hidden="false" customHeight="false" outlineLevel="0" collapsed="false">
      <c r="A873" s="368"/>
      <c r="B873" s="368"/>
      <c r="P873" s="40"/>
      <c r="Q873" s="369"/>
      <c r="R873" s="369"/>
      <c r="S873" s="369"/>
      <c r="T873" s="369"/>
      <c r="U873" s="369"/>
      <c r="V873" s="369"/>
      <c r="W873" s="369"/>
      <c r="X873" s="369"/>
      <c r="Y873" s="369"/>
      <c r="Z873" s="369"/>
    </row>
    <row r="874" customFormat="false" ht="12.75" hidden="false" customHeight="false" outlineLevel="0" collapsed="false">
      <c r="A874" s="368"/>
      <c r="B874" s="368"/>
      <c r="P874" s="40"/>
      <c r="Q874" s="369"/>
      <c r="R874" s="369"/>
      <c r="S874" s="369"/>
      <c r="T874" s="369"/>
      <c r="U874" s="369"/>
      <c r="V874" s="369"/>
      <c r="W874" s="369"/>
      <c r="X874" s="369"/>
      <c r="Y874" s="369"/>
      <c r="Z874" s="369"/>
    </row>
    <row r="875" customFormat="false" ht="12.75" hidden="false" customHeight="false" outlineLevel="0" collapsed="false">
      <c r="A875" s="368"/>
      <c r="B875" s="368"/>
      <c r="P875" s="40"/>
      <c r="Q875" s="369"/>
      <c r="R875" s="369"/>
      <c r="S875" s="369"/>
      <c r="T875" s="369"/>
      <c r="U875" s="369"/>
      <c r="V875" s="369"/>
      <c r="W875" s="369"/>
      <c r="X875" s="369"/>
      <c r="Y875" s="369"/>
      <c r="Z875" s="369"/>
    </row>
    <row r="876" customFormat="false" ht="12.75" hidden="false" customHeight="false" outlineLevel="0" collapsed="false">
      <c r="A876" s="368"/>
      <c r="B876" s="368"/>
      <c r="P876" s="40"/>
      <c r="Q876" s="369"/>
      <c r="R876" s="369"/>
      <c r="S876" s="369"/>
      <c r="T876" s="369"/>
      <c r="U876" s="369"/>
      <c r="V876" s="369"/>
      <c r="W876" s="369"/>
      <c r="X876" s="369"/>
      <c r="Y876" s="369"/>
      <c r="Z876" s="369"/>
    </row>
    <row r="877" customFormat="false" ht="12.75" hidden="false" customHeight="false" outlineLevel="0" collapsed="false">
      <c r="A877" s="368"/>
      <c r="B877" s="368"/>
      <c r="P877" s="40"/>
      <c r="Q877" s="369"/>
      <c r="R877" s="369"/>
      <c r="S877" s="369"/>
      <c r="T877" s="369"/>
      <c r="U877" s="369"/>
      <c r="V877" s="369"/>
      <c r="W877" s="369"/>
      <c r="X877" s="369"/>
      <c r="Y877" s="369"/>
      <c r="Z877" s="369"/>
    </row>
    <row r="878" customFormat="false" ht="12.75" hidden="false" customHeight="false" outlineLevel="0" collapsed="false">
      <c r="A878" s="368"/>
      <c r="B878" s="368"/>
      <c r="P878" s="40"/>
      <c r="Q878" s="369"/>
      <c r="R878" s="369"/>
      <c r="S878" s="369"/>
      <c r="T878" s="369"/>
      <c r="U878" s="369"/>
      <c r="V878" s="369"/>
      <c r="W878" s="369"/>
      <c r="X878" s="369"/>
      <c r="Y878" s="369"/>
      <c r="Z878" s="369"/>
    </row>
    <row r="879" customFormat="false" ht="12.75" hidden="false" customHeight="false" outlineLevel="0" collapsed="false">
      <c r="A879" s="368"/>
      <c r="B879" s="368"/>
      <c r="P879" s="40"/>
      <c r="Q879" s="369"/>
      <c r="R879" s="369"/>
      <c r="S879" s="369"/>
      <c r="T879" s="369"/>
      <c r="U879" s="369"/>
      <c r="V879" s="369"/>
      <c r="W879" s="369"/>
      <c r="X879" s="369"/>
      <c r="Y879" s="369"/>
      <c r="Z879" s="369"/>
    </row>
    <row r="880" customFormat="false" ht="12.75" hidden="false" customHeight="false" outlineLevel="0" collapsed="false">
      <c r="A880" s="368"/>
      <c r="B880" s="368"/>
      <c r="P880" s="40"/>
      <c r="Q880" s="369"/>
      <c r="R880" s="369"/>
      <c r="S880" s="369"/>
      <c r="T880" s="369"/>
      <c r="U880" s="369"/>
      <c r="V880" s="369"/>
      <c r="W880" s="369"/>
      <c r="X880" s="369"/>
      <c r="Y880" s="369"/>
      <c r="Z880" s="369"/>
    </row>
    <row r="881" customFormat="false" ht="12.75" hidden="false" customHeight="false" outlineLevel="0" collapsed="false">
      <c r="A881" s="368"/>
      <c r="B881" s="368"/>
      <c r="P881" s="40"/>
      <c r="Q881" s="369"/>
      <c r="R881" s="369"/>
      <c r="S881" s="369"/>
      <c r="T881" s="369"/>
      <c r="U881" s="369"/>
      <c r="V881" s="369"/>
      <c r="W881" s="369"/>
      <c r="X881" s="369"/>
      <c r="Y881" s="369"/>
      <c r="Z881" s="369"/>
    </row>
    <row r="882" customFormat="false" ht="12.75" hidden="false" customHeight="false" outlineLevel="0" collapsed="false">
      <c r="A882" s="368"/>
      <c r="B882" s="368"/>
      <c r="P882" s="40"/>
      <c r="Q882" s="369"/>
      <c r="R882" s="369"/>
      <c r="S882" s="369"/>
      <c r="T882" s="369"/>
      <c r="U882" s="369"/>
      <c r="V882" s="369"/>
      <c r="W882" s="369"/>
      <c r="X882" s="369"/>
      <c r="Y882" s="369"/>
      <c r="Z882" s="369"/>
    </row>
    <row r="883" customFormat="false" ht="12.75" hidden="false" customHeight="false" outlineLevel="0" collapsed="false">
      <c r="A883" s="368"/>
      <c r="B883" s="368"/>
      <c r="P883" s="40"/>
      <c r="Q883" s="369"/>
      <c r="R883" s="369"/>
      <c r="S883" s="369"/>
      <c r="T883" s="369"/>
      <c r="U883" s="369"/>
      <c r="V883" s="369"/>
      <c r="W883" s="369"/>
      <c r="X883" s="369"/>
      <c r="Y883" s="369"/>
      <c r="Z883" s="369"/>
    </row>
    <row r="884" customFormat="false" ht="12.75" hidden="false" customHeight="false" outlineLevel="0" collapsed="false">
      <c r="A884" s="368"/>
      <c r="B884" s="368"/>
      <c r="P884" s="40"/>
      <c r="Q884" s="369"/>
      <c r="R884" s="369"/>
      <c r="S884" s="369"/>
      <c r="T884" s="369"/>
      <c r="U884" s="369"/>
      <c r="V884" s="369"/>
      <c r="W884" s="369"/>
      <c r="X884" s="369"/>
      <c r="Y884" s="369"/>
      <c r="Z884" s="369"/>
    </row>
    <row r="885" customFormat="false" ht="12.75" hidden="false" customHeight="false" outlineLevel="0" collapsed="false">
      <c r="A885" s="368"/>
      <c r="B885" s="368"/>
      <c r="P885" s="40"/>
      <c r="Q885" s="369"/>
      <c r="R885" s="369"/>
      <c r="S885" s="369"/>
      <c r="T885" s="369"/>
      <c r="U885" s="369"/>
      <c r="V885" s="369"/>
      <c r="W885" s="369"/>
      <c r="X885" s="369"/>
      <c r="Y885" s="369"/>
      <c r="Z885" s="369"/>
    </row>
    <row r="886" customFormat="false" ht="12.75" hidden="false" customHeight="false" outlineLevel="0" collapsed="false">
      <c r="A886" s="368"/>
      <c r="B886" s="368"/>
      <c r="P886" s="40"/>
      <c r="Q886" s="369"/>
      <c r="R886" s="369"/>
      <c r="S886" s="369"/>
      <c r="T886" s="369"/>
      <c r="U886" s="369"/>
      <c r="V886" s="369"/>
      <c r="W886" s="369"/>
      <c r="X886" s="369"/>
      <c r="Y886" s="369"/>
      <c r="Z886" s="369"/>
    </row>
    <row r="887" customFormat="false" ht="12.75" hidden="false" customHeight="false" outlineLevel="0" collapsed="false">
      <c r="A887" s="368"/>
      <c r="B887" s="368"/>
      <c r="P887" s="40"/>
      <c r="Q887" s="369"/>
      <c r="R887" s="369"/>
      <c r="S887" s="369"/>
      <c r="T887" s="369"/>
      <c r="U887" s="369"/>
      <c r="V887" s="369"/>
      <c r="W887" s="369"/>
      <c r="X887" s="369"/>
      <c r="Y887" s="369"/>
      <c r="Z887" s="369"/>
    </row>
    <row r="888" customFormat="false" ht="12.75" hidden="false" customHeight="false" outlineLevel="0" collapsed="false">
      <c r="A888" s="368"/>
      <c r="B888" s="368"/>
      <c r="P888" s="40"/>
      <c r="Q888" s="369"/>
      <c r="R888" s="369"/>
      <c r="S888" s="369"/>
      <c r="T888" s="369"/>
      <c r="U888" s="369"/>
      <c r="V888" s="369"/>
      <c r="W888" s="369"/>
      <c r="X888" s="369"/>
      <c r="Y888" s="369"/>
      <c r="Z888" s="369"/>
    </row>
    <row r="889" customFormat="false" ht="12.75" hidden="false" customHeight="false" outlineLevel="0" collapsed="false">
      <c r="A889" s="368"/>
      <c r="B889" s="368"/>
      <c r="P889" s="40"/>
      <c r="Q889" s="369"/>
      <c r="R889" s="369"/>
      <c r="S889" s="369"/>
      <c r="T889" s="369"/>
      <c r="U889" s="369"/>
      <c r="V889" s="369"/>
      <c r="W889" s="369"/>
      <c r="X889" s="369"/>
      <c r="Y889" s="369"/>
      <c r="Z889" s="369"/>
    </row>
    <row r="890" customFormat="false" ht="12.75" hidden="false" customHeight="false" outlineLevel="0" collapsed="false">
      <c r="A890" s="368"/>
      <c r="B890" s="368"/>
      <c r="P890" s="40"/>
      <c r="Q890" s="369"/>
      <c r="R890" s="369"/>
      <c r="S890" s="369"/>
      <c r="T890" s="369"/>
      <c r="U890" s="369"/>
      <c r="V890" s="369"/>
      <c r="W890" s="369"/>
      <c r="X890" s="369"/>
      <c r="Y890" s="369"/>
      <c r="Z890" s="369"/>
    </row>
    <row r="891" customFormat="false" ht="12.75" hidden="false" customHeight="false" outlineLevel="0" collapsed="false">
      <c r="A891" s="368"/>
      <c r="B891" s="368"/>
      <c r="P891" s="40"/>
      <c r="Q891" s="369"/>
      <c r="R891" s="369"/>
      <c r="S891" s="369"/>
      <c r="T891" s="369"/>
      <c r="U891" s="369"/>
      <c r="V891" s="369"/>
      <c r="W891" s="369"/>
      <c r="X891" s="369"/>
      <c r="Y891" s="369"/>
      <c r="Z891" s="369"/>
    </row>
    <row r="892" customFormat="false" ht="12.75" hidden="false" customHeight="false" outlineLevel="0" collapsed="false">
      <c r="A892" s="368"/>
      <c r="B892" s="368"/>
      <c r="P892" s="40"/>
      <c r="Q892" s="369"/>
      <c r="R892" s="369"/>
      <c r="S892" s="369"/>
      <c r="T892" s="369"/>
      <c r="U892" s="369"/>
      <c r="V892" s="369"/>
      <c r="W892" s="369"/>
      <c r="X892" s="369"/>
      <c r="Y892" s="369"/>
      <c r="Z892" s="369"/>
    </row>
    <row r="893" customFormat="false" ht="12.75" hidden="false" customHeight="false" outlineLevel="0" collapsed="false">
      <c r="A893" s="368"/>
      <c r="B893" s="368"/>
      <c r="P893" s="40"/>
      <c r="Q893" s="369"/>
      <c r="R893" s="369"/>
      <c r="S893" s="369"/>
      <c r="T893" s="369"/>
      <c r="U893" s="369"/>
      <c r="V893" s="369"/>
      <c r="W893" s="369"/>
      <c r="X893" s="369"/>
      <c r="Y893" s="369"/>
      <c r="Z893" s="369"/>
    </row>
    <row r="894" customFormat="false" ht="12.75" hidden="false" customHeight="false" outlineLevel="0" collapsed="false">
      <c r="A894" s="368"/>
      <c r="B894" s="368"/>
      <c r="P894" s="40"/>
      <c r="Q894" s="369"/>
      <c r="R894" s="369"/>
      <c r="S894" s="369"/>
      <c r="T894" s="369"/>
      <c r="U894" s="369"/>
      <c r="V894" s="369"/>
      <c r="W894" s="369"/>
      <c r="X894" s="369"/>
      <c r="Y894" s="369"/>
      <c r="Z894" s="369"/>
    </row>
    <row r="895" customFormat="false" ht="12.75" hidden="false" customHeight="false" outlineLevel="0" collapsed="false">
      <c r="A895" s="368"/>
      <c r="B895" s="368"/>
      <c r="P895" s="40"/>
      <c r="Q895" s="369"/>
      <c r="R895" s="369"/>
      <c r="S895" s="369"/>
      <c r="T895" s="369"/>
      <c r="U895" s="369"/>
      <c r="V895" s="369"/>
      <c r="W895" s="369"/>
      <c r="X895" s="369"/>
      <c r="Y895" s="369"/>
      <c r="Z895" s="369"/>
    </row>
    <row r="896" customFormat="false" ht="12.75" hidden="false" customHeight="false" outlineLevel="0" collapsed="false">
      <c r="A896" s="368"/>
      <c r="B896" s="368"/>
      <c r="P896" s="40"/>
      <c r="Q896" s="369"/>
      <c r="R896" s="369"/>
      <c r="S896" s="369"/>
      <c r="T896" s="369"/>
      <c r="U896" s="369"/>
      <c r="V896" s="369"/>
      <c r="W896" s="369"/>
      <c r="X896" s="369"/>
      <c r="Y896" s="369"/>
      <c r="Z896" s="369"/>
    </row>
    <row r="897" customFormat="false" ht="12.75" hidden="false" customHeight="false" outlineLevel="0" collapsed="false">
      <c r="A897" s="368"/>
      <c r="B897" s="368"/>
      <c r="P897" s="40"/>
      <c r="Q897" s="369"/>
      <c r="R897" s="369"/>
      <c r="S897" s="369"/>
      <c r="T897" s="369"/>
      <c r="U897" s="369"/>
      <c r="V897" s="369"/>
      <c r="W897" s="369"/>
      <c r="X897" s="369"/>
      <c r="Y897" s="369"/>
      <c r="Z897" s="369"/>
    </row>
    <row r="898" customFormat="false" ht="12.75" hidden="false" customHeight="false" outlineLevel="0" collapsed="false">
      <c r="A898" s="368"/>
      <c r="B898" s="368"/>
      <c r="P898" s="40"/>
      <c r="Q898" s="369"/>
      <c r="R898" s="369"/>
      <c r="S898" s="369"/>
      <c r="T898" s="369"/>
      <c r="U898" s="369"/>
      <c r="V898" s="369"/>
      <c r="W898" s="369"/>
      <c r="X898" s="369"/>
      <c r="Y898" s="369"/>
      <c r="Z898" s="369"/>
    </row>
    <row r="899" customFormat="false" ht="12.75" hidden="false" customHeight="false" outlineLevel="0" collapsed="false">
      <c r="A899" s="368"/>
      <c r="B899" s="368"/>
      <c r="P899" s="40"/>
      <c r="Q899" s="369"/>
      <c r="R899" s="369"/>
      <c r="S899" s="369"/>
      <c r="T899" s="369"/>
      <c r="U899" s="369"/>
      <c r="V899" s="369"/>
      <c r="W899" s="369"/>
      <c r="X899" s="369"/>
      <c r="Y899" s="369"/>
      <c r="Z899" s="369"/>
    </row>
    <row r="900" customFormat="false" ht="12.75" hidden="false" customHeight="false" outlineLevel="0" collapsed="false">
      <c r="A900" s="368"/>
      <c r="B900" s="368"/>
      <c r="P900" s="40"/>
      <c r="Q900" s="369"/>
      <c r="R900" s="369"/>
      <c r="S900" s="369"/>
      <c r="T900" s="369"/>
      <c r="U900" s="369"/>
      <c r="V900" s="369"/>
      <c r="W900" s="369"/>
      <c r="X900" s="369"/>
      <c r="Y900" s="369"/>
      <c r="Z900" s="369"/>
    </row>
    <row r="901" customFormat="false" ht="12.75" hidden="false" customHeight="false" outlineLevel="0" collapsed="false">
      <c r="A901" s="368"/>
      <c r="B901" s="368"/>
      <c r="P901" s="40"/>
      <c r="Q901" s="369"/>
      <c r="R901" s="369"/>
      <c r="S901" s="369"/>
      <c r="T901" s="369"/>
      <c r="U901" s="369"/>
      <c r="V901" s="369"/>
      <c r="W901" s="369"/>
      <c r="X901" s="369"/>
      <c r="Y901" s="369"/>
      <c r="Z901" s="369"/>
    </row>
    <row r="902" customFormat="false" ht="12.75" hidden="false" customHeight="false" outlineLevel="0" collapsed="false">
      <c r="A902" s="368"/>
      <c r="B902" s="368"/>
      <c r="P902" s="40"/>
      <c r="Q902" s="369"/>
      <c r="R902" s="369"/>
      <c r="S902" s="369"/>
      <c r="T902" s="369"/>
      <c r="U902" s="369"/>
      <c r="V902" s="369"/>
      <c r="W902" s="369"/>
      <c r="X902" s="369"/>
      <c r="Y902" s="369"/>
      <c r="Z902" s="369"/>
    </row>
    <row r="903" customFormat="false" ht="12.75" hidden="false" customHeight="false" outlineLevel="0" collapsed="false">
      <c r="A903" s="368"/>
      <c r="B903" s="368"/>
      <c r="P903" s="40"/>
      <c r="Q903" s="369"/>
      <c r="R903" s="369"/>
      <c r="S903" s="369"/>
      <c r="T903" s="369"/>
      <c r="U903" s="369"/>
      <c r="V903" s="369"/>
      <c r="W903" s="369"/>
      <c r="X903" s="369"/>
      <c r="Y903" s="369"/>
      <c r="Z903" s="369"/>
    </row>
    <row r="904" customFormat="false" ht="12.75" hidden="false" customHeight="false" outlineLevel="0" collapsed="false">
      <c r="A904" s="368"/>
      <c r="B904" s="368"/>
      <c r="P904" s="40"/>
      <c r="Q904" s="369"/>
      <c r="R904" s="369"/>
      <c r="S904" s="369"/>
      <c r="T904" s="369"/>
      <c r="U904" s="369"/>
      <c r="V904" s="369"/>
      <c r="W904" s="369"/>
      <c r="X904" s="369"/>
      <c r="Y904" s="369"/>
      <c r="Z904" s="369"/>
    </row>
    <row r="905" customFormat="false" ht="12.75" hidden="false" customHeight="false" outlineLevel="0" collapsed="false">
      <c r="A905" s="368"/>
      <c r="B905" s="368"/>
      <c r="P905" s="40"/>
      <c r="Q905" s="369"/>
      <c r="R905" s="369"/>
      <c r="S905" s="369"/>
      <c r="T905" s="369"/>
      <c r="U905" s="369"/>
      <c r="V905" s="369"/>
      <c r="W905" s="369"/>
      <c r="X905" s="369"/>
      <c r="Y905" s="369"/>
      <c r="Z905" s="369"/>
    </row>
    <row r="906" customFormat="false" ht="12.75" hidden="false" customHeight="false" outlineLevel="0" collapsed="false">
      <c r="A906" s="368"/>
      <c r="B906" s="368"/>
      <c r="P906" s="40"/>
      <c r="Q906" s="369"/>
      <c r="R906" s="369"/>
      <c r="S906" s="369"/>
      <c r="T906" s="369"/>
      <c r="U906" s="369"/>
      <c r="V906" s="369"/>
      <c r="W906" s="369"/>
      <c r="X906" s="369"/>
      <c r="Y906" s="369"/>
      <c r="Z906" s="369"/>
    </row>
    <row r="907" customFormat="false" ht="12.75" hidden="false" customHeight="false" outlineLevel="0" collapsed="false">
      <c r="A907" s="368"/>
      <c r="B907" s="368"/>
      <c r="P907" s="40"/>
      <c r="Q907" s="369"/>
      <c r="R907" s="369"/>
      <c r="S907" s="369"/>
      <c r="T907" s="369"/>
      <c r="U907" s="369"/>
      <c r="V907" s="369"/>
      <c r="W907" s="369"/>
      <c r="X907" s="369"/>
      <c r="Y907" s="369"/>
      <c r="Z907" s="369"/>
    </row>
    <row r="908" customFormat="false" ht="12.75" hidden="false" customHeight="false" outlineLevel="0" collapsed="false">
      <c r="A908" s="368"/>
      <c r="B908" s="368"/>
      <c r="P908" s="40"/>
      <c r="Q908" s="369"/>
      <c r="R908" s="369"/>
      <c r="S908" s="369"/>
      <c r="T908" s="369"/>
      <c r="U908" s="369"/>
      <c r="V908" s="369"/>
      <c r="W908" s="369"/>
      <c r="X908" s="369"/>
      <c r="Y908" s="369"/>
      <c r="Z908" s="369"/>
    </row>
    <row r="909" customFormat="false" ht="12.75" hidden="false" customHeight="false" outlineLevel="0" collapsed="false">
      <c r="A909" s="368"/>
      <c r="B909" s="368"/>
      <c r="P909" s="40"/>
      <c r="Q909" s="369"/>
      <c r="R909" s="369"/>
      <c r="S909" s="369"/>
      <c r="T909" s="369"/>
      <c r="U909" s="369"/>
      <c r="V909" s="369"/>
      <c r="W909" s="369"/>
      <c r="X909" s="369"/>
      <c r="Y909" s="369"/>
      <c r="Z909" s="369"/>
    </row>
    <row r="910" customFormat="false" ht="12.75" hidden="false" customHeight="false" outlineLevel="0" collapsed="false">
      <c r="A910" s="368"/>
      <c r="B910" s="368"/>
      <c r="P910" s="40"/>
      <c r="Q910" s="369"/>
      <c r="R910" s="369"/>
      <c r="S910" s="369"/>
      <c r="T910" s="369"/>
      <c r="U910" s="369"/>
      <c r="V910" s="369"/>
      <c r="W910" s="369"/>
      <c r="X910" s="369"/>
      <c r="Y910" s="369"/>
      <c r="Z910" s="369"/>
    </row>
    <row r="911" customFormat="false" ht="12.75" hidden="false" customHeight="false" outlineLevel="0" collapsed="false">
      <c r="A911" s="368"/>
      <c r="B911" s="368"/>
      <c r="P911" s="40"/>
      <c r="Q911" s="369"/>
      <c r="R911" s="369"/>
      <c r="S911" s="369"/>
      <c r="T911" s="369"/>
      <c r="U911" s="369"/>
      <c r="V911" s="369"/>
      <c r="W911" s="369"/>
      <c r="X911" s="369"/>
      <c r="Y911" s="369"/>
      <c r="Z911" s="369"/>
    </row>
    <row r="912" customFormat="false" ht="12.75" hidden="false" customHeight="false" outlineLevel="0" collapsed="false">
      <c r="A912" s="368"/>
      <c r="B912" s="368"/>
      <c r="P912" s="40"/>
      <c r="Q912" s="369"/>
      <c r="R912" s="369"/>
      <c r="S912" s="369"/>
      <c r="T912" s="369"/>
      <c r="U912" s="369"/>
      <c r="V912" s="369"/>
      <c r="W912" s="369"/>
      <c r="X912" s="369"/>
      <c r="Y912" s="369"/>
      <c r="Z912" s="369"/>
    </row>
    <row r="913" customFormat="false" ht="12.75" hidden="false" customHeight="false" outlineLevel="0" collapsed="false">
      <c r="A913" s="368"/>
      <c r="B913" s="368"/>
      <c r="P913" s="40"/>
      <c r="Q913" s="369"/>
      <c r="R913" s="369"/>
      <c r="S913" s="369"/>
      <c r="T913" s="369"/>
      <c r="U913" s="369"/>
      <c r="V913" s="369"/>
      <c r="W913" s="369"/>
      <c r="X913" s="369"/>
      <c r="Y913" s="369"/>
      <c r="Z913" s="369"/>
    </row>
    <row r="914" customFormat="false" ht="12.75" hidden="false" customHeight="false" outlineLevel="0" collapsed="false">
      <c r="A914" s="368"/>
      <c r="B914" s="368"/>
      <c r="P914" s="40"/>
      <c r="Q914" s="369"/>
      <c r="R914" s="369"/>
      <c r="S914" s="369"/>
      <c r="T914" s="369"/>
      <c r="U914" s="369"/>
      <c r="V914" s="369"/>
      <c r="W914" s="369"/>
      <c r="X914" s="369"/>
      <c r="Y914" s="369"/>
      <c r="Z914" s="369"/>
    </row>
    <row r="915" customFormat="false" ht="12.75" hidden="false" customHeight="false" outlineLevel="0" collapsed="false">
      <c r="A915" s="368"/>
      <c r="B915" s="368"/>
      <c r="P915" s="40"/>
      <c r="Q915" s="369"/>
      <c r="R915" s="369"/>
      <c r="S915" s="369"/>
      <c r="T915" s="369"/>
      <c r="U915" s="369"/>
      <c r="V915" s="369"/>
      <c r="W915" s="369"/>
      <c r="X915" s="369"/>
      <c r="Y915" s="369"/>
      <c r="Z915" s="369"/>
    </row>
    <row r="916" customFormat="false" ht="12.75" hidden="false" customHeight="false" outlineLevel="0" collapsed="false">
      <c r="A916" s="368"/>
      <c r="B916" s="368"/>
      <c r="P916" s="40"/>
      <c r="Q916" s="369"/>
      <c r="R916" s="369"/>
      <c r="S916" s="369"/>
      <c r="T916" s="369"/>
      <c r="U916" s="369"/>
      <c r="V916" s="369"/>
      <c r="W916" s="369"/>
      <c r="X916" s="369"/>
      <c r="Y916" s="369"/>
      <c r="Z916" s="369"/>
    </row>
    <row r="917" customFormat="false" ht="12.75" hidden="false" customHeight="false" outlineLevel="0" collapsed="false">
      <c r="A917" s="368"/>
      <c r="B917" s="368"/>
      <c r="P917" s="40"/>
      <c r="Q917" s="369"/>
      <c r="R917" s="369"/>
      <c r="S917" s="369"/>
      <c r="T917" s="369"/>
      <c r="U917" s="369"/>
      <c r="V917" s="369"/>
      <c r="W917" s="369"/>
      <c r="X917" s="369"/>
      <c r="Y917" s="369"/>
      <c r="Z917" s="369"/>
    </row>
    <row r="918" customFormat="false" ht="12.75" hidden="false" customHeight="false" outlineLevel="0" collapsed="false">
      <c r="A918" s="368"/>
      <c r="B918" s="368"/>
      <c r="P918" s="40"/>
      <c r="Q918" s="369"/>
      <c r="R918" s="369"/>
      <c r="S918" s="369"/>
      <c r="T918" s="369"/>
      <c r="U918" s="369"/>
      <c r="V918" s="369"/>
      <c r="W918" s="369"/>
      <c r="X918" s="369"/>
      <c r="Y918" s="369"/>
      <c r="Z918" s="369"/>
    </row>
    <row r="919" customFormat="false" ht="12.75" hidden="false" customHeight="false" outlineLevel="0" collapsed="false">
      <c r="A919" s="368"/>
      <c r="B919" s="368"/>
      <c r="P919" s="40"/>
      <c r="Q919" s="369"/>
      <c r="R919" s="369"/>
      <c r="S919" s="369"/>
      <c r="T919" s="369"/>
      <c r="U919" s="369"/>
      <c r="V919" s="369"/>
      <c r="W919" s="369"/>
      <c r="X919" s="369"/>
      <c r="Y919" s="369"/>
      <c r="Z919" s="369"/>
    </row>
    <row r="920" customFormat="false" ht="12.75" hidden="false" customHeight="false" outlineLevel="0" collapsed="false">
      <c r="A920" s="368"/>
      <c r="B920" s="368"/>
      <c r="P920" s="40"/>
      <c r="Q920" s="369"/>
      <c r="R920" s="369"/>
      <c r="S920" s="369"/>
      <c r="T920" s="369"/>
      <c r="U920" s="369"/>
      <c r="V920" s="369"/>
      <c r="W920" s="369"/>
      <c r="X920" s="369"/>
      <c r="Y920" s="369"/>
      <c r="Z920" s="369"/>
    </row>
    <row r="921" customFormat="false" ht="12.75" hidden="false" customHeight="false" outlineLevel="0" collapsed="false">
      <c r="A921" s="368"/>
      <c r="B921" s="368"/>
      <c r="P921" s="40"/>
      <c r="Q921" s="369"/>
      <c r="R921" s="369"/>
      <c r="S921" s="369"/>
      <c r="T921" s="369"/>
      <c r="U921" s="369"/>
      <c r="V921" s="369"/>
      <c r="W921" s="369"/>
      <c r="X921" s="369"/>
      <c r="Y921" s="369"/>
      <c r="Z921" s="369"/>
    </row>
    <row r="922" customFormat="false" ht="12.75" hidden="false" customHeight="false" outlineLevel="0" collapsed="false">
      <c r="A922" s="368"/>
      <c r="B922" s="368"/>
      <c r="P922" s="40"/>
      <c r="Q922" s="369"/>
      <c r="R922" s="369"/>
      <c r="S922" s="369"/>
      <c r="T922" s="369"/>
      <c r="U922" s="369"/>
      <c r="V922" s="369"/>
      <c r="W922" s="369"/>
      <c r="X922" s="369"/>
      <c r="Y922" s="369"/>
      <c r="Z922" s="369"/>
    </row>
    <row r="923" customFormat="false" ht="12.75" hidden="false" customHeight="false" outlineLevel="0" collapsed="false">
      <c r="A923" s="368"/>
      <c r="B923" s="368"/>
      <c r="P923" s="40"/>
      <c r="Q923" s="369"/>
      <c r="R923" s="369"/>
      <c r="S923" s="369"/>
      <c r="T923" s="369"/>
      <c r="U923" s="369"/>
      <c r="V923" s="369"/>
      <c r="W923" s="369"/>
      <c r="X923" s="369"/>
      <c r="Y923" s="369"/>
      <c r="Z923" s="369"/>
    </row>
    <row r="924" customFormat="false" ht="12.75" hidden="false" customHeight="false" outlineLevel="0" collapsed="false">
      <c r="A924" s="368"/>
      <c r="B924" s="368"/>
      <c r="P924" s="40"/>
      <c r="Q924" s="369"/>
      <c r="R924" s="369"/>
      <c r="S924" s="369"/>
      <c r="T924" s="369"/>
      <c r="U924" s="369"/>
      <c r="V924" s="369"/>
      <c r="W924" s="369"/>
      <c r="X924" s="369"/>
      <c r="Y924" s="369"/>
      <c r="Z924" s="369"/>
    </row>
    <row r="925" customFormat="false" ht="12.75" hidden="false" customHeight="false" outlineLevel="0" collapsed="false">
      <c r="A925" s="368"/>
      <c r="B925" s="368"/>
      <c r="P925" s="40"/>
      <c r="Q925" s="369"/>
      <c r="R925" s="369"/>
      <c r="S925" s="369"/>
      <c r="T925" s="369"/>
      <c r="U925" s="369"/>
      <c r="V925" s="369"/>
      <c r="W925" s="369"/>
      <c r="X925" s="369"/>
      <c r="Y925" s="369"/>
      <c r="Z925" s="369"/>
    </row>
    <row r="926" customFormat="false" ht="12.75" hidden="false" customHeight="false" outlineLevel="0" collapsed="false">
      <c r="A926" s="368"/>
      <c r="B926" s="368"/>
      <c r="P926" s="40"/>
      <c r="Q926" s="369"/>
      <c r="R926" s="369"/>
      <c r="S926" s="369"/>
      <c r="T926" s="369"/>
      <c r="U926" s="369"/>
      <c r="V926" s="369"/>
      <c r="W926" s="369"/>
      <c r="X926" s="369"/>
      <c r="Y926" s="369"/>
      <c r="Z926" s="369"/>
    </row>
    <row r="927" customFormat="false" ht="12.75" hidden="false" customHeight="false" outlineLevel="0" collapsed="false">
      <c r="A927" s="368"/>
      <c r="B927" s="368"/>
      <c r="P927" s="40"/>
      <c r="Q927" s="369"/>
      <c r="R927" s="369"/>
      <c r="S927" s="369"/>
      <c r="T927" s="369"/>
      <c r="U927" s="369"/>
      <c r="V927" s="369"/>
      <c r="W927" s="369"/>
      <c r="X927" s="369"/>
      <c r="Y927" s="369"/>
      <c r="Z927" s="369"/>
    </row>
    <row r="928" customFormat="false" ht="12.75" hidden="false" customHeight="false" outlineLevel="0" collapsed="false">
      <c r="A928" s="368"/>
      <c r="B928" s="368"/>
      <c r="P928" s="40"/>
      <c r="Q928" s="369"/>
      <c r="R928" s="369"/>
      <c r="S928" s="369"/>
      <c r="T928" s="369"/>
      <c r="U928" s="369"/>
      <c r="V928" s="369"/>
      <c r="W928" s="369"/>
      <c r="X928" s="369"/>
      <c r="Y928" s="369"/>
      <c r="Z928" s="369"/>
    </row>
    <row r="929" customFormat="false" ht="12.75" hidden="false" customHeight="false" outlineLevel="0" collapsed="false">
      <c r="A929" s="368"/>
      <c r="B929" s="368"/>
      <c r="P929" s="40"/>
      <c r="Q929" s="369"/>
      <c r="R929" s="369"/>
      <c r="S929" s="369"/>
      <c r="T929" s="369"/>
      <c r="U929" s="369"/>
      <c r="V929" s="369"/>
      <c r="W929" s="369"/>
      <c r="X929" s="369"/>
      <c r="Y929" s="369"/>
      <c r="Z929" s="369"/>
    </row>
    <row r="930" customFormat="false" ht="12.75" hidden="false" customHeight="false" outlineLevel="0" collapsed="false">
      <c r="A930" s="368"/>
      <c r="B930" s="368"/>
      <c r="P930" s="40"/>
      <c r="Q930" s="369"/>
      <c r="R930" s="369"/>
      <c r="S930" s="369"/>
      <c r="T930" s="369"/>
      <c r="U930" s="369"/>
      <c r="V930" s="369"/>
      <c r="W930" s="369"/>
      <c r="X930" s="369"/>
      <c r="Y930" s="369"/>
      <c r="Z930" s="369"/>
    </row>
    <row r="931" customFormat="false" ht="12.75" hidden="false" customHeight="false" outlineLevel="0" collapsed="false">
      <c r="A931" s="368"/>
      <c r="B931" s="368"/>
      <c r="P931" s="40"/>
      <c r="Q931" s="369"/>
      <c r="R931" s="369"/>
      <c r="S931" s="369"/>
      <c r="T931" s="369"/>
      <c r="U931" s="369"/>
      <c r="V931" s="369"/>
      <c r="W931" s="369"/>
      <c r="X931" s="369"/>
      <c r="Y931" s="369"/>
      <c r="Z931" s="369"/>
    </row>
    <row r="932" customFormat="false" ht="12.75" hidden="false" customHeight="false" outlineLevel="0" collapsed="false">
      <c r="A932" s="368"/>
      <c r="B932" s="368"/>
      <c r="P932" s="40"/>
      <c r="Q932" s="369"/>
      <c r="R932" s="369"/>
      <c r="S932" s="369"/>
      <c r="T932" s="369"/>
      <c r="U932" s="369"/>
      <c r="V932" s="369"/>
      <c r="W932" s="369"/>
      <c r="X932" s="369"/>
      <c r="Y932" s="369"/>
      <c r="Z932" s="369"/>
    </row>
    <row r="933" customFormat="false" ht="12.75" hidden="false" customHeight="false" outlineLevel="0" collapsed="false">
      <c r="A933" s="368"/>
      <c r="B933" s="368"/>
      <c r="P933" s="40"/>
      <c r="Q933" s="369"/>
      <c r="R933" s="369"/>
      <c r="S933" s="369"/>
      <c r="T933" s="369"/>
      <c r="U933" s="369"/>
      <c r="V933" s="369"/>
      <c r="W933" s="369"/>
      <c r="X933" s="369"/>
      <c r="Y933" s="369"/>
      <c r="Z933" s="369"/>
    </row>
    <row r="934" customFormat="false" ht="12.75" hidden="false" customHeight="false" outlineLevel="0" collapsed="false">
      <c r="A934" s="368"/>
      <c r="B934" s="368"/>
      <c r="P934" s="40"/>
      <c r="Q934" s="369"/>
      <c r="R934" s="369"/>
      <c r="S934" s="369"/>
      <c r="T934" s="369"/>
      <c r="U934" s="369"/>
      <c r="V934" s="369"/>
      <c r="W934" s="369"/>
      <c r="X934" s="369"/>
      <c r="Y934" s="369"/>
      <c r="Z934" s="369"/>
    </row>
    <row r="935" customFormat="false" ht="12.75" hidden="false" customHeight="false" outlineLevel="0" collapsed="false">
      <c r="A935" s="368"/>
      <c r="B935" s="368"/>
      <c r="P935" s="40"/>
      <c r="Q935" s="369"/>
      <c r="R935" s="369"/>
      <c r="S935" s="369"/>
      <c r="T935" s="369"/>
      <c r="U935" s="369"/>
      <c r="V935" s="369"/>
      <c r="W935" s="369"/>
      <c r="X935" s="369"/>
      <c r="Y935" s="369"/>
      <c r="Z935" s="369"/>
    </row>
    <row r="936" customFormat="false" ht="12.75" hidden="false" customHeight="false" outlineLevel="0" collapsed="false">
      <c r="A936" s="368"/>
      <c r="B936" s="368"/>
      <c r="P936" s="40"/>
      <c r="Q936" s="369"/>
      <c r="R936" s="369"/>
      <c r="S936" s="369"/>
      <c r="T936" s="369"/>
      <c r="U936" s="369"/>
      <c r="V936" s="369"/>
      <c r="W936" s="369"/>
      <c r="X936" s="369"/>
      <c r="Y936" s="369"/>
      <c r="Z936" s="369"/>
    </row>
    <row r="937" customFormat="false" ht="12.75" hidden="false" customHeight="false" outlineLevel="0" collapsed="false">
      <c r="A937" s="368"/>
      <c r="B937" s="368"/>
      <c r="P937" s="40"/>
      <c r="Q937" s="369"/>
      <c r="R937" s="369"/>
      <c r="S937" s="369"/>
      <c r="T937" s="369"/>
      <c r="U937" s="369"/>
      <c r="V937" s="369"/>
      <c r="W937" s="369"/>
      <c r="X937" s="369"/>
      <c r="Y937" s="369"/>
      <c r="Z937" s="369"/>
    </row>
    <row r="938" customFormat="false" ht="12.75" hidden="false" customHeight="false" outlineLevel="0" collapsed="false">
      <c r="A938" s="368"/>
      <c r="B938" s="368"/>
      <c r="P938" s="40"/>
      <c r="Q938" s="369"/>
      <c r="R938" s="369"/>
      <c r="S938" s="369"/>
      <c r="T938" s="369"/>
      <c r="U938" s="369"/>
      <c r="V938" s="369"/>
      <c r="W938" s="369"/>
      <c r="X938" s="369"/>
      <c r="Y938" s="369"/>
      <c r="Z938" s="369"/>
    </row>
    <row r="939" customFormat="false" ht="12.75" hidden="false" customHeight="false" outlineLevel="0" collapsed="false">
      <c r="A939" s="368"/>
      <c r="B939" s="368"/>
      <c r="P939" s="40"/>
      <c r="Q939" s="369"/>
      <c r="R939" s="369"/>
      <c r="S939" s="369"/>
      <c r="T939" s="369"/>
      <c r="U939" s="369"/>
      <c r="V939" s="369"/>
      <c r="W939" s="369"/>
      <c r="X939" s="369"/>
      <c r="Y939" s="369"/>
      <c r="Z939" s="369"/>
    </row>
    <row r="940" customFormat="false" ht="12.75" hidden="false" customHeight="false" outlineLevel="0" collapsed="false">
      <c r="A940" s="368"/>
      <c r="B940" s="368"/>
      <c r="P940" s="40"/>
      <c r="Q940" s="369"/>
      <c r="R940" s="369"/>
      <c r="S940" s="369"/>
      <c r="T940" s="369"/>
      <c r="U940" s="369"/>
      <c r="V940" s="369"/>
      <c r="W940" s="369"/>
      <c r="X940" s="369"/>
      <c r="Y940" s="369"/>
      <c r="Z940" s="369"/>
    </row>
    <row r="941" customFormat="false" ht="12.75" hidden="false" customHeight="false" outlineLevel="0" collapsed="false">
      <c r="A941" s="368"/>
      <c r="B941" s="368"/>
      <c r="P941" s="40"/>
      <c r="Q941" s="369"/>
      <c r="R941" s="369"/>
      <c r="S941" s="369"/>
      <c r="T941" s="369"/>
      <c r="U941" s="369"/>
      <c r="V941" s="369"/>
      <c r="W941" s="369"/>
      <c r="X941" s="369"/>
      <c r="Y941" s="369"/>
      <c r="Z941" s="369"/>
    </row>
    <row r="942" customFormat="false" ht="12.75" hidden="false" customHeight="false" outlineLevel="0" collapsed="false">
      <c r="A942" s="368"/>
      <c r="B942" s="368"/>
      <c r="P942" s="40"/>
      <c r="Q942" s="369"/>
      <c r="R942" s="369"/>
      <c r="S942" s="369"/>
      <c r="T942" s="369"/>
      <c r="U942" s="369"/>
      <c r="V942" s="369"/>
      <c r="W942" s="369"/>
      <c r="X942" s="369"/>
      <c r="Y942" s="369"/>
      <c r="Z942" s="369"/>
    </row>
    <row r="943" customFormat="false" ht="12.75" hidden="false" customHeight="false" outlineLevel="0" collapsed="false">
      <c r="A943" s="368"/>
      <c r="B943" s="368"/>
      <c r="P943" s="40"/>
      <c r="Q943" s="369"/>
      <c r="R943" s="369"/>
      <c r="S943" s="369"/>
      <c r="T943" s="369"/>
      <c r="U943" s="369"/>
      <c r="V943" s="369"/>
      <c r="W943" s="369"/>
      <c r="X943" s="369"/>
      <c r="Y943" s="369"/>
      <c r="Z943" s="369"/>
    </row>
    <row r="944" customFormat="false" ht="12.75" hidden="false" customHeight="false" outlineLevel="0" collapsed="false">
      <c r="A944" s="368"/>
      <c r="B944" s="368"/>
      <c r="P944" s="40"/>
      <c r="Q944" s="369"/>
      <c r="R944" s="369"/>
      <c r="S944" s="369"/>
      <c r="T944" s="369"/>
      <c r="U944" s="369"/>
      <c r="V944" s="369"/>
      <c r="W944" s="369"/>
      <c r="X944" s="369"/>
      <c r="Y944" s="369"/>
      <c r="Z944" s="369"/>
    </row>
    <row r="945" customFormat="false" ht="12.75" hidden="false" customHeight="false" outlineLevel="0" collapsed="false">
      <c r="A945" s="368"/>
      <c r="B945" s="368"/>
      <c r="P945" s="40"/>
      <c r="Q945" s="369"/>
      <c r="R945" s="369"/>
      <c r="S945" s="369"/>
      <c r="T945" s="369"/>
      <c r="U945" s="369"/>
      <c r="V945" s="369"/>
      <c r="W945" s="369"/>
      <c r="X945" s="369"/>
      <c r="Y945" s="369"/>
      <c r="Z945" s="369"/>
    </row>
    <row r="946" customFormat="false" ht="12.75" hidden="false" customHeight="false" outlineLevel="0" collapsed="false">
      <c r="A946" s="368"/>
      <c r="B946" s="368"/>
      <c r="P946" s="40"/>
      <c r="Q946" s="369"/>
      <c r="R946" s="369"/>
      <c r="S946" s="369"/>
      <c r="T946" s="369"/>
      <c r="U946" s="369"/>
      <c r="V946" s="369"/>
      <c r="W946" s="369"/>
      <c r="X946" s="369"/>
      <c r="Y946" s="369"/>
      <c r="Z946" s="369"/>
    </row>
    <row r="947" customFormat="false" ht="12.75" hidden="false" customHeight="false" outlineLevel="0" collapsed="false">
      <c r="A947" s="368"/>
      <c r="B947" s="368"/>
      <c r="P947" s="40"/>
      <c r="Q947" s="369"/>
      <c r="R947" s="369"/>
      <c r="S947" s="369"/>
      <c r="T947" s="369"/>
      <c r="U947" s="369"/>
      <c r="V947" s="369"/>
      <c r="W947" s="369"/>
      <c r="X947" s="369"/>
      <c r="Y947" s="369"/>
      <c r="Z947" s="369"/>
    </row>
    <row r="948" customFormat="false" ht="12.75" hidden="false" customHeight="false" outlineLevel="0" collapsed="false">
      <c r="A948" s="368"/>
      <c r="B948" s="368"/>
      <c r="P948" s="40"/>
      <c r="Q948" s="369"/>
      <c r="R948" s="369"/>
      <c r="S948" s="369"/>
      <c r="T948" s="369"/>
      <c r="U948" s="369"/>
      <c r="V948" s="369"/>
      <c r="W948" s="369"/>
      <c r="X948" s="369"/>
      <c r="Y948" s="369"/>
      <c r="Z948" s="369"/>
    </row>
    <row r="949" customFormat="false" ht="12.75" hidden="false" customHeight="false" outlineLevel="0" collapsed="false">
      <c r="A949" s="368"/>
      <c r="B949" s="368"/>
      <c r="P949" s="40"/>
      <c r="Q949" s="369"/>
      <c r="R949" s="369"/>
      <c r="S949" s="369"/>
      <c r="T949" s="369"/>
      <c r="U949" s="369"/>
      <c r="V949" s="369"/>
      <c r="W949" s="369"/>
      <c r="X949" s="369"/>
      <c r="Y949" s="369"/>
      <c r="Z949" s="369"/>
    </row>
    <row r="950" customFormat="false" ht="12.75" hidden="false" customHeight="false" outlineLevel="0" collapsed="false">
      <c r="A950" s="368"/>
      <c r="B950" s="368"/>
      <c r="P950" s="40"/>
      <c r="Q950" s="369"/>
      <c r="R950" s="369"/>
      <c r="S950" s="369"/>
      <c r="T950" s="369"/>
      <c r="U950" s="369"/>
      <c r="V950" s="369"/>
      <c r="W950" s="369"/>
      <c r="X950" s="369"/>
      <c r="Y950" s="369"/>
      <c r="Z950" s="369"/>
    </row>
    <row r="951" customFormat="false" ht="12.75" hidden="false" customHeight="false" outlineLevel="0" collapsed="false">
      <c r="A951" s="368"/>
      <c r="B951" s="368"/>
      <c r="P951" s="40"/>
      <c r="Q951" s="369"/>
      <c r="R951" s="369"/>
      <c r="S951" s="369"/>
      <c r="T951" s="369"/>
      <c r="U951" s="369"/>
      <c r="V951" s="369"/>
      <c r="W951" s="369"/>
      <c r="X951" s="369"/>
      <c r="Y951" s="369"/>
      <c r="Z951" s="369"/>
    </row>
    <row r="952" customFormat="false" ht="12.75" hidden="false" customHeight="false" outlineLevel="0" collapsed="false">
      <c r="A952" s="368"/>
      <c r="B952" s="368"/>
      <c r="P952" s="40"/>
      <c r="Q952" s="369"/>
      <c r="R952" s="369"/>
      <c r="S952" s="369"/>
      <c r="T952" s="369"/>
      <c r="U952" s="369"/>
      <c r="V952" s="369"/>
      <c r="W952" s="369"/>
      <c r="X952" s="369"/>
      <c r="Y952" s="369"/>
      <c r="Z952" s="369"/>
    </row>
    <row r="953" customFormat="false" ht="12.75" hidden="false" customHeight="false" outlineLevel="0" collapsed="false">
      <c r="A953" s="368"/>
      <c r="B953" s="368"/>
      <c r="P953" s="40"/>
      <c r="Q953" s="369"/>
      <c r="R953" s="369"/>
      <c r="S953" s="369"/>
      <c r="T953" s="369"/>
      <c r="U953" s="369"/>
      <c r="V953" s="369"/>
      <c r="W953" s="369"/>
      <c r="X953" s="369"/>
      <c r="Y953" s="369"/>
      <c r="Z953" s="369"/>
    </row>
    <row r="954" customFormat="false" ht="12.75" hidden="false" customHeight="false" outlineLevel="0" collapsed="false">
      <c r="A954" s="368"/>
      <c r="B954" s="368"/>
      <c r="P954" s="40"/>
      <c r="Q954" s="369"/>
      <c r="R954" s="369"/>
      <c r="S954" s="369"/>
      <c r="T954" s="369"/>
      <c r="U954" s="369"/>
      <c r="V954" s="369"/>
      <c r="W954" s="369"/>
      <c r="X954" s="369"/>
      <c r="Y954" s="369"/>
      <c r="Z954" s="369"/>
    </row>
    <row r="955" customFormat="false" ht="12.75" hidden="false" customHeight="false" outlineLevel="0" collapsed="false">
      <c r="A955" s="368"/>
      <c r="B955" s="368"/>
      <c r="P955" s="40"/>
      <c r="Q955" s="369"/>
      <c r="R955" s="369"/>
      <c r="S955" s="369"/>
      <c r="T955" s="369"/>
      <c r="U955" s="369"/>
      <c r="V955" s="369"/>
      <c r="W955" s="369"/>
      <c r="X955" s="369"/>
      <c r="Y955" s="369"/>
      <c r="Z955" s="369"/>
    </row>
    <row r="956" customFormat="false" ht="12.75" hidden="false" customHeight="false" outlineLevel="0" collapsed="false">
      <c r="A956" s="368"/>
      <c r="B956" s="368"/>
      <c r="P956" s="40"/>
      <c r="Q956" s="369"/>
      <c r="R956" s="369"/>
      <c r="S956" s="369"/>
      <c r="T956" s="369"/>
      <c r="U956" s="369"/>
      <c r="V956" s="369"/>
      <c r="W956" s="369"/>
      <c r="X956" s="369"/>
      <c r="Y956" s="369"/>
      <c r="Z956" s="369"/>
    </row>
    <row r="957" customFormat="false" ht="12.75" hidden="false" customHeight="false" outlineLevel="0" collapsed="false">
      <c r="A957" s="368"/>
      <c r="B957" s="368"/>
      <c r="P957" s="40"/>
      <c r="Q957" s="369"/>
      <c r="R957" s="369"/>
      <c r="S957" s="369"/>
      <c r="T957" s="369"/>
      <c r="U957" s="369"/>
      <c r="V957" s="369"/>
      <c r="W957" s="369"/>
      <c r="X957" s="369"/>
      <c r="Y957" s="369"/>
      <c r="Z957" s="369"/>
    </row>
    <row r="958" customFormat="false" ht="12.75" hidden="false" customHeight="false" outlineLevel="0" collapsed="false">
      <c r="A958" s="368"/>
      <c r="B958" s="368"/>
      <c r="P958" s="40"/>
      <c r="Q958" s="369"/>
      <c r="R958" s="369"/>
      <c r="S958" s="369"/>
      <c r="T958" s="369"/>
      <c r="U958" s="369"/>
      <c r="V958" s="369"/>
      <c r="W958" s="369"/>
      <c r="X958" s="369"/>
      <c r="Y958" s="369"/>
      <c r="Z958" s="369"/>
    </row>
    <row r="959" customFormat="false" ht="12.75" hidden="false" customHeight="false" outlineLevel="0" collapsed="false">
      <c r="A959" s="368"/>
      <c r="B959" s="368"/>
      <c r="P959" s="40"/>
      <c r="Q959" s="369"/>
      <c r="R959" s="369"/>
      <c r="S959" s="369"/>
      <c r="T959" s="369"/>
      <c r="U959" s="369"/>
      <c r="V959" s="369"/>
      <c r="W959" s="369"/>
      <c r="X959" s="369"/>
      <c r="Y959" s="369"/>
      <c r="Z959" s="369"/>
    </row>
    <row r="960" customFormat="false" ht="12.75" hidden="false" customHeight="false" outlineLevel="0" collapsed="false">
      <c r="A960" s="368"/>
      <c r="B960" s="368"/>
      <c r="P960" s="40"/>
      <c r="Q960" s="369"/>
      <c r="R960" s="369"/>
      <c r="S960" s="369"/>
      <c r="T960" s="369"/>
      <c r="U960" s="369"/>
      <c r="V960" s="369"/>
      <c r="W960" s="369"/>
      <c r="X960" s="369"/>
      <c r="Y960" s="369"/>
      <c r="Z960" s="369"/>
    </row>
    <row r="961" customFormat="false" ht="12.75" hidden="false" customHeight="false" outlineLevel="0" collapsed="false">
      <c r="A961" s="368"/>
      <c r="B961" s="368"/>
      <c r="P961" s="40"/>
      <c r="Q961" s="369"/>
      <c r="R961" s="369"/>
      <c r="S961" s="369"/>
      <c r="T961" s="369"/>
      <c r="U961" s="369"/>
      <c r="V961" s="369"/>
      <c r="W961" s="369"/>
      <c r="X961" s="369"/>
      <c r="Y961" s="369"/>
      <c r="Z961" s="369"/>
    </row>
    <row r="962" customFormat="false" ht="12.75" hidden="false" customHeight="false" outlineLevel="0" collapsed="false">
      <c r="A962" s="368"/>
      <c r="B962" s="368"/>
      <c r="P962" s="40"/>
      <c r="Q962" s="369"/>
      <c r="R962" s="369"/>
      <c r="S962" s="369"/>
      <c r="T962" s="369"/>
      <c r="U962" s="369"/>
      <c r="V962" s="369"/>
      <c r="W962" s="369"/>
      <c r="X962" s="369"/>
      <c r="Y962" s="369"/>
      <c r="Z962" s="369"/>
    </row>
    <row r="963" customFormat="false" ht="12.75" hidden="false" customHeight="false" outlineLevel="0" collapsed="false">
      <c r="A963" s="368"/>
      <c r="B963" s="368"/>
      <c r="P963" s="40"/>
      <c r="Q963" s="369"/>
      <c r="R963" s="369"/>
      <c r="S963" s="369"/>
      <c r="T963" s="369"/>
      <c r="U963" s="369"/>
      <c r="V963" s="369"/>
      <c r="W963" s="369"/>
      <c r="X963" s="369"/>
      <c r="Y963" s="369"/>
      <c r="Z963" s="369"/>
    </row>
    <row r="964" customFormat="false" ht="12.75" hidden="false" customHeight="false" outlineLevel="0" collapsed="false">
      <c r="A964" s="368"/>
      <c r="B964" s="368"/>
      <c r="P964" s="40"/>
      <c r="Q964" s="369"/>
      <c r="R964" s="369"/>
      <c r="S964" s="369"/>
      <c r="T964" s="369"/>
      <c r="U964" s="369"/>
      <c r="V964" s="369"/>
      <c r="W964" s="369"/>
      <c r="X964" s="369"/>
      <c r="Y964" s="369"/>
      <c r="Z964" s="369"/>
    </row>
    <row r="965" customFormat="false" ht="12.75" hidden="false" customHeight="false" outlineLevel="0" collapsed="false">
      <c r="A965" s="368"/>
      <c r="B965" s="368"/>
      <c r="P965" s="40"/>
      <c r="Q965" s="369"/>
      <c r="R965" s="369"/>
      <c r="S965" s="369"/>
      <c r="T965" s="369"/>
      <c r="U965" s="369"/>
      <c r="V965" s="369"/>
      <c r="W965" s="369"/>
      <c r="X965" s="369"/>
      <c r="Y965" s="369"/>
      <c r="Z965" s="369"/>
    </row>
    <row r="966" customFormat="false" ht="12.75" hidden="false" customHeight="false" outlineLevel="0" collapsed="false">
      <c r="A966" s="368"/>
      <c r="B966" s="368"/>
      <c r="P966" s="40"/>
      <c r="Q966" s="369"/>
      <c r="R966" s="369"/>
      <c r="S966" s="369"/>
      <c r="T966" s="369"/>
      <c r="U966" s="369"/>
      <c r="V966" s="369"/>
      <c r="W966" s="369"/>
      <c r="X966" s="369"/>
      <c r="Y966" s="369"/>
      <c r="Z966" s="369"/>
    </row>
    <row r="967" customFormat="false" ht="12.75" hidden="false" customHeight="false" outlineLevel="0" collapsed="false">
      <c r="A967" s="368"/>
      <c r="B967" s="368"/>
      <c r="P967" s="40"/>
      <c r="Q967" s="369"/>
      <c r="R967" s="369"/>
      <c r="S967" s="369"/>
      <c r="T967" s="369"/>
      <c r="U967" s="369"/>
      <c r="V967" s="369"/>
      <c r="W967" s="369"/>
      <c r="X967" s="369"/>
      <c r="Y967" s="369"/>
      <c r="Z967" s="369"/>
    </row>
    <row r="968" customFormat="false" ht="12.75" hidden="false" customHeight="false" outlineLevel="0" collapsed="false">
      <c r="A968" s="368"/>
      <c r="B968" s="368"/>
      <c r="P968" s="40"/>
      <c r="Q968" s="369"/>
      <c r="R968" s="369"/>
      <c r="S968" s="369"/>
      <c r="T968" s="369"/>
      <c r="U968" s="369"/>
      <c r="V968" s="369"/>
      <c r="W968" s="369"/>
      <c r="X968" s="369"/>
      <c r="Y968" s="369"/>
      <c r="Z968" s="369"/>
    </row>
    <row r="969" customFormat="false" ht="12.75" hidden="false" customHeight="false" outlineLevel="0" collapsed="false">
      <c r="A969" s="368"/>
      <c r="B969" s="368"/>
      <c r="P969" s="40"/>
      <c r="Q969" s="369"/>
      <c r="R969" s="369"/>
      <c r="S969" s="369"/>
      <c r="T969" s="369"/>
      <c r="U969" s="369"/>
      <c r="V969" s="369"/>
      <c r="W969" s="369"/>
      <c r="X969" s="369"/>
      <c r="Y969" s="369"/>
      <c r="Z969" s="369"/>
    </row>
    <row r="970" customFormat="false" ht="12.75" hidden="false" customHeight="false" outlineLevel="0" collapsed="false">
      <c r="A970" s="368"/>
      <c r="B970" s="368"/>
      <c r="P970" s="40"/>
      <c r="Q970" s="369"/>
      <c r="R970" s="369"/>
      <c r="S970" s="369"/>
      <c r="T970" s="369"/>
      <c r="U970" s="369"/>
      <c r="V970" s="369"/>
      <c r="W970" s="369"/>
      <c r="X970" s="369"/>
      <c r="Y970" s="369"/>
      <c r="Z970" s="369"/>
    </row>
    <row r="971" customFormat="false" ht="12.75" hidden="false" customHeight="false" outlineLevel="0" collapsed="false">
      <c r="A971" s="368"/>
      <c r="B971" s="368"/>
      <c r="P971" s="40"/>
      <c r="Q971" s="369"/>
      <c r="R971" s="369"/>
      <c r="S971" s="369"/>
      <c r="T971" s="369"/>
      <c r="U971" s="369"/>
      <c r="V971" s="369"/>
      <c r="W971" s="369"/>
      <c r="X971" s="369"/>
      <c r="Y971" s="369"/>
      <c r="Z971" s="369"/>
    </row>
    <row r="972" customFormat="false" ht="12.75" hidden="false" customHeight="false" outlineLevel="0" collapsed="false">
      <c r="A972" s="368"/>
      <c r="B972" s="368"/>
      <c r="P972" s="40"/>
      <c r="Q972" s="369"/>
      <c r="R972" s="369"/>
      <c r="S972" s="369"/>
      <c r="T972" s="369"/>
      <c r="U972" s="369"/>
      <c r="V972" s="369"/>
      <c r="W972" s="369"/>
      <c r="X972" s="369"/>
      <c r="Y972" s="369"/>
      <c r="Z972" s="369"/>
    </row>
    <row r="973" customFormat="false" ht="12.75" hidden="false" customHeight="false" outlineLevel="0" collapsed="false">
      <c r="A973" s="368"/>
      <c r="B973" s="368"/>
      <c r="P973" s="40"/>
      <c r="Q973" s="369"/>
      <c r="R973" s="369"/>
      <c r="S973" s="369"/>
      <c r="T973" s="369"/>
      <c r="U973" s="369"/>
      <c r="V973" s="369"/>
      <c r="W973" s="369"/>
      <c r="X973" s="369"/>
      <c r="Y973" s="369"/>
      <c r="Z973" s="369"/>
    </row>
    <row r="974" customFormat="false" ht="12.75" hidden="false" customHeight="false" outlineLevel="0" collapsed="false">
      <c r="A974" s="368"/>
      <c r="B974" s="368"/>
      <c r="P974" s="40"/>
      <c r="Q974" s="369"/>
      <c r="R974" s="369"/>
      <c r="S974" s="369"/>
      <c r="T974" s="369"/>
      <c r="U974" s="369"/>
      <c r="V974" s="369"/>
      <c r="W974" s="369"/>
      <c r="X974" s="369"/>
      <c r="Y974" s="369"/>
      <c r="Z974" s="369"/>
    </row>
    <row r="975" customFormat="false" ht="12.75" hidden="false" customHeight="false" outlineLevel="0" collapsed="false">
      <c r="A975" s="368"/>
      <c r="B975" s="368"/>
      <c r="P975" s="40"/>
      <c r="Q975" s="369"/>
      <c r="R975" s="369"/>
      <c r="S975" s="369"/>
      <c r="T975" s="369"/>
      <c r="U975" s="369"/>
      <c r="V975" s="369"/>
      <c r="W975" s="369"/>
      <c r="X975" s="369"/>
      <c r="Y975" s="369"/>
      <c r="Z975" s="369"/>
    </row>
    <row r="976" customFormat="false" ht="12.75" hidden="false" customHeight="false" outlineLevel="0" collapsed="false">
      <c r="A976" s="368"/>
      <c r="B976" s="368"/>
      <c r="P976" s="40"/>
      <c r="Q976" s="369"/>
      <c r="R976" s="369"/>
      <c r="S976" s="369"/>
      <c r="T976" s="369"/>
      <c r="U976" s="369"/>
      <c r="V976" s="369"/>
      <c r="W976" s="369"/>
      <c r="X976" s="369"/>
      <c r="Y976" s="369"/>
      <c r="Z976" s="369"/>
    </row>
    <row r="977" customFormat="false" ht="12.75" hidden="false" customHeight="false" outlineLevel="0" collapsed="false">
      <c r="A977" s="368"/>
      <c r="B977" s="368"/>
      <c r="P977" s="40"/>
      <c r="Q977" s="369"/>
      <c r="R977" s="369"/>
      <c r="S977" s="369"/>
      <c r="T977" s="369"/>
      <c r="U977" s="369"/>
      <c r="V977" s="369"/>
      <c r="W977" s="369"/>
      <c r="X977" s="369"/>
      <c r="Y977" s="369"/>
      <c r="Z977" s="369"/>
    </row>
    <row r="978" customFormat="false" ht="12.75" hidden="false" customHeight="false" outlineLevel="0" collapsed="false">
      <c r="A978" s="368"/>
      <c r="B978" s="368"/>
      <c r="P978" s="40"/>
      <c r="Q978" s="369"/>
      <c r="R978" s="369"/>
      <c r="S978" s="369"/>
      <c r="T978" s="369"/>
      <c r="U978" s="369"/>
      <c r="V978" s="369"/>
      <c r="W978" s="369"/>
      <c r="X978" s="369"/>
      <c r="Y978" s="369"/>
      <c r="Z978" s="369"/>
    </row>
    <row r="979" customFormat="false" ht="12.75" hidden="false" customHeight="false" outlineLevel="0" collapsed="false">
      <c r="A979" s="368"/>
      <c r="B979" s="368"/>
      <c r="P979" s="40"/>
      <c r="Q979" s="369"/>
      <c r="R979" s="369"/>
      <c r="S979" s="369"/>
      <c r="T979" s="369"/>
      <c r="U979" s="369"/>
      <c r="V979" s="369"/>
      <c r="W979" s="369"/>
      <c r="X979" s="369"/>
      <c r="Y979" s="369"/>
      <c r="Z979" s="369"/>
    </row>
    <row r="980" customFormat="false" ht="12.75" hidden="false" customHeight="false" outlineLevel="0" collapsed="false">
      <c r="A980" s="368"/>
      <c r="B980" s="368"/>
      <c r="P980" s="40"/>
      <c r="Q980" s="369"/>
      <c r="R980" s="369"/>
      <c r="S980" s="369"/>
      <c r="T980" s="369"/>
      <c r="U980" s="369"/>
      <c r="V980" s="369"/>
      <c r="W980" s="369"/>
      <c r="X980" s="369"/>
      <c r="Y980" s="369"/>
      <c r="Z980" s="369"/>
    </row>
    <row r="981" customFormat="false" ht="12.75" hidden="false" customHeight="false" outlineLevel="0" collapsed="false">
      <c r="A981" s="368"/>
      <c r="B981" s="368"/>
      <c r="P981" s="40"/>
      <c r="Q981" s="369"/>
      <c r="R981" s="369"/>
      <c r="S981" s="369"/>
      <c r="T981" s="369"/>
      <c r="U981" s="369"/>
      <c r="V981" s="369"/>
      <c r="W981" s="369"/>
      <c r="X981" s="369"/>
      <c r="Y981" s="369"/>
      <c r="Z981" s="369"/>
    </row>
    <row r="982" customFormat="false" ht="12.75" hidden="false" customHeight="false" outlineLevel="0" collapsed="false">
      <c r="A982" s="368"/>
      <c r="B982" s="368"/>
      <c r="P982" s="40"/>
      <c r="Q982" s="369"/>
      <c r="R982" s="369"/>
      <c r="S982" s="369"/>
      <c r="T982" s="369"/>
      <c r="U982" s="369"/>
      <c r="V982" s="369"/>
      <c r="W982" s="369"/>
      <c r="X982" s="369"/>
      <c r="Y982" s="369"/>
      <c r="Z982" s="369"/>
    </row>
    <row r="983" customFormat="false" ht="12.75" hidden="false" customHeight="false" outlineLevel="0" collapsed="false">
      <c r="A983" s="368"/>
      <c r="B983" s="368"/>
      <c r="P983" s="40"/>
      <c r="Q983" s="369"/>
      <c r="R983" s="369"/>
      <c r="S983" s="369"/>
      <c r="T983" s="369"/>
      <c r="U983" s="369"/>
      <c r="V983" s="369"/>
      <c r="W983" s="369"/>
      <c r="X983" s="369"/>
      <c r="Y983" s="369"/>
      <c r="Z983" s="369"/>
    </row>
    <row r="984" customFormat="false" ht="12.75" hidden="false" customHeight="false" outlineLevel="0" collapsed="false">
      <c r="A984" s="368"/>
      <c r="B984" s="368"/>
      <c r="P984" s="40"/>
      <c r="Q984" s="369"/>
      <c r="R984" s="369"/>
      <c r="S984" s="369"/>
      <c r="T984" s="369"/>
      <c r="U984" s="369"/>
      <c r="V984" s="369"/>
      <c r="W984" s="369"/>
      <c r="X984" s="369"/>
      <c r="Y984" s="369"/>
      <c r="Z984" s="369"/>
    </row>
    <row r="985" customFormat="false" ht="12.75" hidden="false" customHeight="false" outlineLevel="0" collapsed="false">
      <c r="A985" s="368"/>
      <c r="B985" s="368"/>
      <c r="P985" s="40"/>
      <c r="Q985" s="369"/>
      <c r="R985" s="369"/>
      <c r="S985" s="369"/>
      <c r="T985" s="369"/>
      <c r="U985" s="369"/>
      <c r="V985" s="369"/>
      <c r="W985" s="369"/>
      <c r="X985" s="369"/>
      <c r="Y985" s="369"/>
      <c r="Z985" s="369"/>
    </row>
    <row r="986" customFormat="false" ht="12.75" hidden="false" customHeight="false" outlineLevel="0" collapsed="false">
      <c r="A986" s="368"/>
      <c r="B986" s="368"/>
      <c r="P986" s="40"/>
      <c r="Q986" s="369"/>
      <c r="R986" s="369"/>
      <c r="S986" s="369"/>
      <c r="T986" s="369"/>
      <c r="U986" s="369"/>
      <c r="V986" s="369"/>
      <c r="W986" s="369"/>
      <c r="X986" s="369"/>
      <c r="Y986" s="369"/>
      <c r="Z986" s="369"/>
    </row>
    <row r="987" customFormat="false" ht="12.75" hidden="false" customHeight="false" outlineLevel="0" collapsed="false">
      <c r="A987" s="368"/>
      <c r="B987" s="368"/>
      <c r="P987" s="40"/>
      <c r="Q987" s="369"/>
      <c r="R987" s="369"/>
      <c r="S987" s="369"/>
      <c r="T987" s="369"/>
      <c r="U987" s="369"/>
      <c r="V987" s="369"/>
      <c r="W987" s="369"/>
      <c r="X987" s="369"/>
      <c r="Y987" s="369"/>
      <c r="Z987" s="369"/>
    </row>
    <row r="988" customFormat="false" ht="12.75" hidden="false" customHeight="false" outlineLevel="0" collapsed="false">
      <c r="A988" s="368"/>
      <c r="B988" s="368"/>
      <c r="P988" s="40"/>
      <c r="Q988" s="369"/>
      <c r="R988" s="369"/>
      <c r="S988" s="369"/>
      <c r="T988" s="369"/>
      <c r="U988" s="369"/>
      <c r="V988" s="369"/>
      <c r="W988" s="369"/>
      <c r="X988" s="369"/>
      <c r="Y988" s="369"/>
      <c r="Z988" s="369"/>
    </row>
    <row r="989" customFormat="false" ht="12.75" hidden="false" customHeight="false" outlineLevel="0" collapsed="false">
      <c r="A989" s="368"/>
      <c r="B989" s="368"/>
      <c r="P989" s="40"/>
      <c r="Q989" s="369"/>
      <c r="R989" s="369"/>
      <c r="S989" s="369"/>
      <c r="T989" s="369"/>
      <c r="U989" s="369"/>
      <c r="V989" s="369"/>
      <c r="W989" s="369"/>
      <c r="X989" s="369"/>
      <c r="Y989" s="369"/>
      <c r="Z989" s="369"/>
    </row>
    <row r="990" customFormat="false" ht="12.75" hidden="false" customHeight="false" outlineLevel="0" collapsed="false">
      <c r="A990" s="368"/>
      <c r="B990" s="368"/>
      <c r="P990" s="40"/>
      <c r="Q990" s="369"/>
      <c r="R990" s="369"/>
      <c r="S990" s="369"/>
      <c r="T990" s="369"/>
      <c r="U990" s="369"/>
      <c r="V990" s="369"/>
      <c r="W990" s="369"/>
      <c r="X990" s="369"/>
      <c r="Y990" s="369"/>
      <c r="Z990" s="369"/>
    </row>
    <row r="991" customFormat="false" ht="12.75" hidden="false" customHeight="false" outlineLevel="0" collapsed="false">
      <c r="A991" s="368"/>
      <c r="B991" s="368"/>
      <c r="P991" s="40"/>
      <c r="Q991" s="369"/>
      <c r="R991" s="369"/>
      <c r="S991" s="369"/>
      <c r="T991" s="369"/>
      <c r="U991" s="369"/>
      <c r="V991" s="369"/>
      <c r="W991" s="369"/>
      <c r="X991" s="369"/>
      <c r="Y991" s="369"/>
      <c r="Z991" s="369"/>
    </row>
    <row r="992" customFormat="false" ht="12.75" hidden="false" customHeight="false" outlineLevel="0" collapsed="false">
      <c r="A992" s="368"/>
      <c r="B992" s="368"/>
      <c r="P992" s="40"/>
      <c r="Q992" s="369"/>
      <c r="R992" s="369"/>
      <c r="S992" s="369"/>
      <c r="T992" s="369"/>
      <c r="U992" s="369"/>
      <c r="V992" s="369"/>
      <c r="W992" s="369"/>
      <c r="X992" s="369"/>
      <c r="Y992" s="369"/>
      <c r="Z992" s="369"/>
    </row>
    <row r="993" customFormat="false" ht="12.75" hidden="false" customHeight="false" outlineLevel="0" collapsed="false">
      <c r="A993" s="368"/>
      <c r="B993" s="368"/>
      <c r="P993" s="40"/>
      <c r="Q993" s="369"/>
      <c r="R993" s="369"/>
      <c r="S993" s="369"/>
      <c r="T993" s="369"/>
      <c r="U993" s="369"/>
      <c r="V993" s="369"/>
      <c r="W993" s="369"/>
      <c r="X993" s="369"/>
      <c r="Y993" s="369"/>
      <c r="Z993" s="369"/>
    </row>
    <row r="994" customFormat="false" ht="12.75" hidden="false" customHeight="false" outlineLevel="0" collapsed="false">
      <c r="A994" s="368"/>
      <c r="B994" s="368"/>
      <c r="P994" s="40"/>
      <c r="Q994" s="369"/>
      <c r="R994" s="369"/>
      <c r="S994" s="369"/>
      <c r="T994" s="369"/>
      <c r="U994" s="369"/>
      <c r="V994" s="369"/>
      <c r="W994" s="369"/>
      <c r="X994" s="369"/>
      <c r="Y994" s="369"/>
      <c r="Z994" s="369"/>
    </row>
    <row r="995" customFormat="false" ht="12.75" hidden="false" customHeight="false" outlineLevel="0" collapsed="false">
      <c r="A995" s="368"/>
      <c r="B995" s="368"/>
      <c r="P995" s="40"/>
      <c r="Q995" s="369"/>
      <c r="R995" s="369"/>
      <c r="S995" s="369"/>
      <c r="T995" s="369"/>
      <c r="U995" s="369"/>
      <c r="V995" s="369"/>
      <c r="W995" s="369"/>
      <c r="X995" s="369"/>
      <c r="Y995" s="369"/>
      <c r="Z995" s="369"/>
    </row>
    <row r="996" customFormat="false" ht="12.75" hidden="false" customHeight="false" outlineLevel="0" collapsed="false">
      <c r="A996" s="368"/>
      <c r="B996" s="368"/>
      <c r="P996" s="40"/>
      <c r="Q996" s="369"/>
      <c r="R996" s="369"/>
      <c r="S996" s="369"/>
      <c r="T996" s="369"/>
      <c r="U996" s="369"/>
      <c r="V996" s="369"/>
      <c r="W996" s="369"/>
      <c r="X996" s="369"/>
      <c r="Y996" s="369"/>
      <c r="Z996" s="369"/>
    </row>
    <row r="997" customFormat="false" ht="12.75" hidden="false" customHeight="false" outlineLevel="0" collapsed="false">
      <c r="A997" s="368"/>
      <c r="B997" s="368"/>
      <c r="P997" s="40"/>
      <c r="Q997" s="369"/>
      <c r="R997" s="369"/>
      <c r="S997" s="369"/>
      <c r="T997" s="369"/>
      <c r="U997" s="369"/>
      <c r="V997" s="369"/>
      <c r="W997" s="369"/>
      <c r="X997" s="369"/>
      <c r="Y997" s="369"/>
      <c r="Z997" s="369"/>
    </row>
    <row r="998" customFormat="false" ht="12.75" hidden="false" customHeight="false" outlineLevel="0" collapsed="false">
      <c r="A998" s="368"/>
      <c r="B998" s="368"/>
      <c r="P998" s="40"/>
      <c r="Q998" s="369"/>
      <c r="R998" s="369"/>
      <c r="S998" s="369"/>
      <c r="T998" s="369"/>
      <c r="U998" s="369"/>
      <c r="V998" s="369"/>
      <c r="W998" s="369"/>
      <c r="X998" s="369"/>
      <c r="Y998" s="369"/>
      <c r="Z998" s="369"/>
    </row>
    <row r="999" customFormat="false" ht="12.75" hidden="false" customHeight="false" outlineLevel="0" collapsed="false">
      <c r="A999" s="368"/>
      <c r="B999" s="368"/>
      <c r="P999" s="40"/>
      <c r="Q999" s="369"/>
      <c r="R999" s="369"/>
      <c r="S999" s="369"/>
      <c r="T999" s="369"/>
      <c r="U999" s="369"/>
      <c r="V999" s="369"/>
      <c r="W999" s="369"/>
      <c r="X999" s="369"/>
      <c r="Y999" s="369"/>
      <c r="Z999" s="369"/>
    </row>
    <row r="1000" customFormat="false" ht="12.75" hidden="false" customHeight="false" outlineLevel="0" collapsed="false">
      <c r="A1000" s="368"/>
      <c r="B1000" s="368"/>
      <c r="P1000" s="40"/>
      <c r="Q1000" s="369"/>
      <c r="R1000" s="369"/>
      <c r="S1000" s="369"/>
      <c r="T1000" s="369"/>
      <c r="U1000" s="369"/>
      <c r="V1000" s="369"/>
      <c r="W1000" s="369"/>
      <c r="X1000" s="369"/>
      <c r="Y1000" s="369"/>
      <c r="Z1000" s="369"/>
    </row>
    <row r="1001" customFormat="false" ht="12.75" hidden="false" customHeight="false" outlineLevel="0" collapsed="false">
      <c r="A1001" s="368"/>
      <c r="B1001" s="368"/>
      <c r="P1001" s="40"/>
      <c r="Q1001" s="369"/>
      <c r="R1001" s="369"/>
      <c r="S1001" s="369"/>
      <c r="T1001" s="369"/>
      <c r="U1001" s="369"/>
      <c r="V1001" s="369"/>
      <c r="W1001" s="369"/>
      <c r="X1001" s="369"/>
      <c r="Y1001" s="369"/>
      <c r="Z1001" s="369"/>
    </row>
    <row r="1002" customFormat="false" ht="12.75" hidden="false" customHeight="false" outlineLevel="0" collapsed="false">
      <c r="A1002" s="368"/>
      <c r="B1002" s="368"/>
      <c r="P1002" s="40"/>
      <c r="Q1002" s="369"/>
      <c r="R1002" s="369"/>
      <c r="S1002" s="369"/>
      <c r="T1002" s="369"/>
      <c r="U1002" s="369"/>
      <c r="V1002" s="369"/>
      <c r="W1002" s="369"/>
      <c r="X1002" s="369"/>
      <c r="Y1002" s="369"/>
      <c r="Z1002" s="369"/>
    </row>
    <row r="1003" customFormat="false" ht="12.75" hidden="false" customHeight="false" outlineLevel="0" collapsed="false">
      <c r="A1003" s="368"/>
      <c r="B1003" s="368"/>
      <c r="P1003" s="40"/>
      <c r="Q1003" s="369"/>
      <c r="R1003" s="369"/>
      <c r="S1003" s="369"/>
      <c r="T1003" s="369"/>
      <c r="U1003" s="369"/>
      <c r="V1003" s="369"/>
      <c r="W1003" s="369"/>
      <c r="X1003" s="369"/>
      <c r="Y1003" s="369"/>
      <c r="Z1003" s="369"/>
    </row>
    <row r="1004" customFormat="false" ht="12.75" hidden="false" customHeight="false" outlineLevel="0" collapsed="false">
      <c r="A1004" s="368"/>
      <c r="B1004" s="368"/>
      <c r="P1004" s="40"/>
      <c r="Q1004" s="369"/>
      <c r="R1004" s="369"/>
      <c r="S1004" s="369"/>
      <c r="T1004" s="369"/>
      <c r="U1004" s="369"/>
      <c r="V1004" s="369"/>
      <c r="W1004" s="369"/>
      <c r="X1004" s="369"/>
      <c r="Y1004" s="369"/>
      <c r="Z1004" s="369"/>
    </row>
    <row r="1005" customFormat="false" ht="12.75" hidden="false" customHeight="false" outlineLevel="0" collapsed="false">
      <c r="A1005" s="368"/>
      <c r="B1005" s="368"/>
      <c r="P1005" s="40"/>
      <c r="Q1005" s="369"/>
      <c r="R1005" s="369"/>
      <c r="S1005" s="369"/>
      <c r="T1005" s="369"/>
      <c r="U1005" s="369"/>
      <c r="V1005" s="369"/>
      <c r="W1005" s="369"/>
      <c r="X1005" s="369"/>
      <c r="Y1005" s="369"/>
      <c r="Z1005" s="369"/>
    </row>
    <row r="1006" customFormat="false" ht="12.75" hidden="false" customHeight="false" outlineLevel="0" collapsed="false">
      <c r="A1006" s="368"/>
      <c r="B1006" s="368"/>
      <c r="P1006" s="40"/>
      <c r="Q1006" s="369"/>
      <c r="R1006" s="369"/>
      <c r="S1006" s="369"/>
      <c r="T1006" s="369"/>
      <c r="U1006" s="369"/>
      <c r="V1006" s="369"/>
      <c r="W1006" s="369"/>
      <c r="X1006" s="369"/>
      <c r="Y1006" s="369"/>
      <c r="Z1006" s="369"/>
    </row>
    <row r="1007" customFormat="false" ht="12.75" hidden="false" customHeight="false" outlineLevel="0" collapsed="false">
      <c r="A1007" s="368"/>
      <c r="B1007" s="368"/>
      <c r="P1007" s="40"/>
      <c r="Q1007" s="369"/>
      <c r="R1007" s="369"/>
      <c r="S1007" s="369"/>
      <c r="T1007" s="369"/>
      <c r="U1007" s="369"/>
      <c r="V1007" s="369"/>
      <c r="W1007" s="369"/>
      <c r="X1007" s="369"/>
      <c r="Y1007" s="369"/>
      <c r="Z1007" s="369"/>
    </row>
    <row r="1008" customFormat="false" ht="12.75" hidden="false" customHeight="false" outlineLevel="0" collapsed="false">
      <c r="A1008" s="368"/>
      <c r="B1008" s="368"/>
      <c r="P1008" s="40"/>
      <c r="Q1008" s="369"/>
      <c r="R1008" s="369"/>
      <c r="S1008" s="369"/>
      <c r="T1008" s="369"/>
      <c r="U1008" s="369"/>
      <c r="V1008" s="369"/>
      <c r="W1008" s="369"/>
      <c r="X1008" s="369"/>
      <c r="Y1008" s="369"/>
      <c r="Z1008" s="369"/>
    </row>
    <row r="1009" customFormat="false" ht="12.75" hidden="false" customHeight="false" outlineLevel="0" collapsed="false">
      <c r="A1009" s="368"/>
      <c r="B1009" s="368"/>
      <c r="P1009" s="40"/>
      <c r="Q1009" s="369"/>
      <c r="R1009" s="369"/>
      <c r="S1009" s="369"/>
      <c r="T1009" s="369"/>
      <c r="U1009" s="369"/>
      <c r="V1009" s="369"/>
      <c r="W1009" s="369"/>
      <c r="X1009" s="369"/>
      <c r="Y1009" s="369"/>
      <c r="Z1009" s="369"/>
    </row>
    <row r="1010" customFormat="false" ht="12.75" hidden="false" customHeight="false" outlineLevel="0" collapsed="false">
      <c r="A1010" s="368"/>
      <c r="B1010" s="368"/>
      <c r="P1010" s="40"/>
      <c r="Q1010" s="369"/>
      <c r="R1010" s="369"/>
      <c r="S1010" s="369"/>
      <c r="T1010" s="369"/>
      <c r="U1010" s="369"/>
      <c r="V1010" s="369"/>
      <c r="W1010" s="369"/>
      <c r="X1010" s="369"/>
      <c r="Y1010" s="369"/>
      <c r="Z1010" s="369"/>
    </row>
    <row r="1011" customFormat="false" ht="12.75" hidden="false" customHeight="false" outlineLevel="0" collapsed="false">
      <c r="A1011" s="368"/>
      <c r="B1011" s="368"/>
      <c r="P1011" s="40"/>
      <c r="Q1011" s="369"/>
      <c r="R1011" s="369"/>
      <c r="S1011" s="369"/>
      <c r="T1011" s="369"/>
      <c r="U1011" s="369"/>
      <c r="V1011" s="369"/>
      <c r="W1011" s="369"/>
      <c r="X1011" s="369"/>
      <c r="Y1011" s="369"/>
      <c r="Z1011" s="369"/>
    </row>
    <row r="1012" customFormat="false" ht="12.75" hidden="false" customHeight="false" outlineLevel="0" collapsed="false">
      <c r="A1012" s="368"/>
      <c r="B1012" s="368"/>
      <c r="P1012" s="40"/>
      <c r="Q1012" s="369"/>
      <c r="R1012" s="369"/>
      <c r="S1012" s="369"/>
      <c r="T1012" s="369"/>
      <c r="U1012" s="369"/>
      <c r="V1012" s="369"/>
      <c r="W1012" s="369"/>
      <c r="X1012" s="369"/>
      <c r="Y1012" s="369"/>
      <c r="Z1012" s="369"/>
    </row>
    <row r="1013" customFormat="false" ht="12.75" hidden="false" customHeight="false" outlineLevel="0" collapsed="false">
      <c r="A1013" s="368"/>
      <c r="B1013" s="368"/>
      <c r="P1013" s="40"/>
      <c r="Q1013" s="369"/>
      <c r="R1013" s="369"/>
      <c r="S1013" s="369"/>
      <c r="T1013" s="369"/>
      <c r="U1013" s="369"/>
      <c r="V1013" s="369"/>
      <c r="W1013" s="369"/>
      <c r="X1013" s="369"/>
      <c r="Y1013" s="369"/>
      <c r="Z1013" s="369"/>
    </row>
    <row r="1014" customFormat="false" ht="12.75" hidden="false" customHeight="false" outlineLevel="0" collapsed="false">
      <c r="A1014" s="368"/>
      <c r="B1014" s="368"/>
      <c r="P1014" s="40"/>
      <c r="Q1014" s="369"/>
      <c r="R1014" s="369"/>
      <c r="S1014" s="369"/>
      <c r="T1014" s="369"/>
      <c r="U1014" s="369"/>
      <c r="V1014" s="369"/>
      <c r="W1014" s="369"/>
      <c r="X1014" s="369"/>
      <c r="Y1014" s="369"/>
      <c r="Z1014" s="369"/>
    </row>
    <row r="1015" customFormat="false" ht="12.75" hidden="false" customHeight="false" outlineLevel="0" collapsed="false">
      <c r="A1015" s="368"/>
      <c r="B1015" s="368"/>
      <c r="P1015" s="40"/>
      <c r="Q1015" s="369"/>
      <c r="R1015" s="369"/>
      <c r="S1015" s="369"/>
      <c r="T1015" s="369"/>
      <c r="U1015" s="369"/>
      <c r="V1015" s="369"/>
      <c r="W1015" s="369"/>
      <c r="X1015" s="369"/>
      <c r="Y1015" s="369"/>
      <c r="Z1015" s="369"/>
    </row>
    <row r="1016" customFormat="false" ht="12.75" hidden="false" customHeight="false" outlineLevel="0" collapsed="false">
      <c r="A1016" s="368"/>
      <c r="B1016" s="368"/>
      <c r="P1016" s="40"/>
      <c r="Q1016" s="369"/>
      <c r="R1016" s="369"/>
      <c r="S1016" s="369"/>
      <c r="T1016" s="369"/>
      <c r="U1016" s="369"/>
      <c r="V1016" s="369"/>
      <c r="W1016" s="369"/>
      <c r="X1016" s="369"/>
      <c r="Y1016" s="369"/>
      <c r="Z1016" s="369"/>
    </row>
    <row r="1017" customFormat="false" ht="12.75" hidden="false" customHeight="false" outlineLevel="0" collapsed="false">
      <c r="A1017" s="368"/>
      <c r="B1017" s="368"/>
      <c r="P1017" s="40"/>
      <c r="Q1017" s="369"/>
      <c r="R1017" s="369"/>
      <c r="S1017" s="369"/>
      <c r="T1017" s="369"/>
      <c r="U1017" s="369"/>
      <c r="V1017" s="369"/>
      <c r="W1017" s="369"/>
      <c r="X1017" s="369"/>
      <c r="Y1017" s="369"/>
      <c r="Z1017" s="369"/>
    </row>
    <row r="1018" customFormat="false" ht="12.75" hidden="false" customHeight="false" outlineLevel="0" collapsed="false">
      <c r="A1018" s="368"/>
      <c r="B1018" s="368"/>
      <c r="P1018" s="40"/>
      <c r="Q1018" s="369"/>
      <c r="R1018" s="369"/>
      <c r="S1018" s="369"/>
      <c r="T1018" s="369"/>
      <c r="U1018" s="369"/>
      <c r="V1018" s="369"/>
      <c r="W1018" s="369"/>
      <c r="X1018" s="369"/>
      <c r="Y1018" s="369"/>
      <c r="Z1018" s="369"/>
    </row>
    <row r="1019" customFormat="false" ht="12.75" hidden="false" customHeight="false" outlineLevel="0" collapsed="false">
      <c r="A1019" s="368"/>
      <c r="B1019" s="368"/>
      <c r="P1019" s="40"/>
      <c r="Q1019" s="369"/>
      <c r="R1019" s="369"/>
      <c r="S1019" s="369"/>
      <c r="T1019" s="369"/>
      <c r="U1019" s="369"/>
      <c r="V1019" s="369"/>
      <c r="W1019" s="369"/>
      <c r="X1019" s="369"/>
      <c r="Y1019" s="369"/>
      <c r="Z1019" s="369"/>
    </row>
    <row r="1020" customFormat="false" ht="12.75" hidden="false" customHeight="false" outlineLevel="0" collapsed="false">
      <c r="A1020" s="368"/>
      <c r="B1020" s="368"/>
      <c r="P1020" s="40"/>
      <c r="Q1020" s="369"/>
      <c r="R1020" s="369"/>
      <c r="S1020" s="369"/>
      <c r="T1020" s="369"/>
      <c r="U1020" s="369"/>
      <c r="V1020" s="369"/>
      <c r="W1020" s="369"/>
      <c r="X1020" s="369"/>
      <c r="Y1020" s="369"/>
      <c r="Z1020" s="369"/>
    </row>
    <row r="1021" customFormat="false" ht="12.75" hidden="false" customHeight="false" outlineLevel="0" collapsed="false">
      <c r="A1021" s="368"/>
      <c r="B1021" s="368"/>
      <c r="P1021" s="40"/>
      <c r="Q1021" s="369"/>
      <c r="R1021" s="369"/>
      <c r="S1021" s="369"/>
      <c r="T1021" s="369"/>
      <c r="U1021" s="369"/>
      <c r="V1021" s="369"/>
      <c r="W1021" s="369"/>
      <c r="X1021" s="369"/>
      <c r="Y1021" s="369"/>
      <c r="Z1021" s="369"/>
    </row>
    <row r="1022" customFormat="false" ht="12.75" hidden="false" customHeight="false" outlineLevel="0" collapsed="false">
      <c r="A1022" s="368"/>
      <c r="B1022" s="368"/>
      <c r="P1022" s="40"/>
      <c r="Q1022" s="369"/>
      <c r="R1022" s="369"/>
      <c r="S1022" s="369"/>
      <c r="T1022" s="369"/>
      <c r="U1022" s="369"/>
      <c r="V1022" s="369"/>
      <c r="W1022" s="369"/>
      <c r="X1022" s="369"/>
      <c r="Y1022" s="369"/>
      <c r="Z1022" s="369"/>
    </row>
    <row r="1023" customFormat="false" ht="12.75" hidden="false" customHeight="false" outlineLevel="0" collapsed="false">
      <c r="A1023" s="368"/>
      <c r="B1023" s="368"/>
      <c r="P1023" s="40"/>
      <c r="Q1023" s="369"/>
      <c r="R1023" s="369"/>
      <c r="S1023" s="369"/>
      <c r="T1023" s="369"/>
      <c r="U1023" s="369"/>
      <c r="V1023" s="369"/>
      <c r="W1023" s="369"/>
      <c r="X1023" s="369"/>
      <c r="Y1023" s="369"/>
      <c r="Z1023" s="369"/>
    </row>
    <row r="1024" customFormat="false" ht="12.75" hidden="false" customHeight="false" outlineLevel="0" collapsed="false">
      <c r="A1024" s="368"/>
      <c r="B1024" s="368"/>
      <c r="P1024" s="40"/>
      <c r="Q1024" s="369"/>
      <c r="R1024" s="369"/>
      <c r="S1024" s="369"/>
      <c r="T1024" s="369"/>
      <c r="U1024" s="369"/>
      <c r="V1024" s="369"/>
      <c r="W1024" s="369"/>
      <c r="X1024" s="369"/>
      <c r="Y1024" s="369"/>
      <c r="Z1024" s="369"/>
    </row>
    <row r="1025" customFormat="false" ht="12.75" hidden="false" customHeight="false" outlineLevel="0" collapsed="false">
      <c r="A1025" s="368"/>
      <c r="B1025" s="368"/>
      <c r="P1025" s="40"/>
      <c r="Q1025" s="369"/>
      <c r="R1025" s="369"/>
      <c r="S1025" s="369"/>
      <c r="T1025" s="369"/>
      <c r="U1025" s="369"/>
      <c r="V1025" s="369"/>
      <c r="W1025" s="369"/>
      <c r="X1025" s="369"/>
      <c r="Y1025" s="369"/>
      <c r="Z1025" s="369"/>
    </row>
    <row r="1026" customFormat="false" ht="12.75" hidden="false" customHeight="false" outlineLevel="0" collapsed="false">
      <c r="A1026" s="368"/>
      <c r="B1026" s="368"/>
      <c r="P1026" s="40"/>
      <c r="Q1026" s="369"/>
      <c r="R1026" s="369"/>
      <c r="S1026" s="369"/>
      <c r="T1026" s="369"/>
      <c r="U1026" s="369"/>
      <c r="V1026" s="369"/>
      <c r="W1026" s="369"/>
      <c r="X1026" s="369"/>
      <c r="Y1026" s="369"/>
      <c r="Z1026" s="369"/>
    </row>
    <row r="1027" customFormat="false" ht="12.75" hidden="false" customHeight="false" outlineLevel="0" collapsed="false">
      <c r="A1027" s="368"/>
      <c r="B1027" s="368"/>
      <c r="P1027" s="40"/>
      <c r="Q1027" s="369"/>
      <c r="R1027" s="369"/>
      <c r="S1027" s="369"/>
      <c r="T1027" s="369"/>
      <c r="U1027" s="369"/>
      <c r="V1027" s="369"/>
      <c r="W1027" s="369"/>
      <c r="X1027" s="369"/>
      <c r="Y1027" s="369"/>
      <c r="Z1027" s="369"/>
    </row>
    <row r="1028" customFormat="false" ht="12.75" hidden="false" customHeight="false" outlineLevel="0" collapsed="false">
      <c r="A1028" s="368"/>
      <c r="B1028" s="368"/>
      <c r="P1028" s="40"/>
      <c r="Q1028" s="369"/>
      <c r="R1028" s="369"/>
      <c r="S1028" s="369"/>
      <c r="T1028" s="369"/>
      <c r="U1028" s="369"/>
      <c r="V1028" s="369"/>
      <c r="W1028" s="369"/>
      <c r="X1028" s="369"/>
      <c r="Y1028" s="369"/>
      <c r="Z1028" s="369"/>
    </row>
    <row r="1029" customFormat="false" ht="12.75" hidden="false" customHeight="false" outlineLevel="0" collapsed="false">
      <c r="A1029" s="368"/>
      <c r="B1029" s="368"/>
      <c r="P1029" s="40"/>
      <c r="Q1029" s="369"/>
      <c r="R1029" s="369"/>
      <c r="S1029" s="369"/>
      <c r="T1029" s="369"/>
      <c r="U1029" s="369"/>
      <c r="V1029" s="369"/>
      <c r="W1029" s="369"/>
      <c r="X1029" s="369"/>
      <c r="Y1029" s="369"/>
      <c r="Z1029" s="369"/>
    </row>
    <row r="1030" customFormat="false" ht="12.75" hidden="false" customHeight="false" outlineLevel="0" collapsed="false">
      <c r="A1030" s="368"/>
      <c r="B1030" s="368"/>
      <c r="P1030" s="40"/>
      <c r="Q1030" s="369"/>
      <c r="R1030" s="369"/>
      <c r="S1030" s="369"/>
      <c r="T1030" s="369"/>
      <c r="U1030" s="369"/>
      <c r="V1030" s="369"/>
      <c r="W1030" s="369"/>
      <c r="X1030" s="369"/>
      <c r="Y1030" s="369"/>
      <c r="Z1030" s="369"/>
    </row>
    <row r="1031" customFormat="false" ht="12.75" hidden="false" customHeight="false" outlineLevel="0" collapsed="false">
      <c r="A1031" s="368"/>
      <c r="B1031" s="368"/>
      <c r="P1031" s="40"/>
      <c r="Q1031" s="369"/>
      <c r="R1031" s="369"/>
      <c r="S1031" s="369"/>
      <c r="T1031" s="369"/>
      <c r="U1031" s="369"/>
      <c r="V1031" s="369"/>
      <c r="W1031" s="369"/>
      <c r="X1031" s="369"/>
      <c r="Y1031" s="369"/>
      <c r="Z1031" s="369"/>
    </row>
    <row r="1032" customFormat="false" ht="12.75" hidden="false" customHeight="false" outlineLevel="0" collapsed="false">
      <c r="A1032" s="368"/>
      <c r="B1032" s="368"/>
      <c r="P1032" s="40"/>
      <c r="Q1032" s="369"/>
      <c r="R1032" s="369"/>
      <c r="S1032" s="369"/>
      <c r="T1032" s="369"/>
      <c r="U1032" s="369"/>
      <c r="V1032" s="369"/>
      <c r="W1032" s="369"/>
      <c r="X1032" s="369"/>
      <c r="Y1032" s="369"/>
      <c r="Z1032" s="369"/>
    </row>
    <row r="1033" customFormat="false" ht="12.75" hidden="false" customHeight="false" outlineLevel="0" collapsed="false">
      <c r="A1033" s="368"/>
      <c r="B1033" s="368"/>
      <c r="P1033" s="40"/>
      <c r="Q1033" s="369"/>
      <c r="R1033" s="369"/>
      <c r="S1033" s="369"/>
      <c r="T1033" s="369"/>
      <c r="U1033" s="369"/>
      <c r="V1033" s="369"/>
      <c r="W1033" s="369"/>
      <c r="X1033" s="369"/>
      <c r="Y1033" s="369"/>
      <c r="Z1033" s="369"/>
    </row>
    <row r="1034" customFormat="false" ht="12.75" hidden="false" customHeight="false" outlineLevel="0" collapsed="false">
      <c r="A1034" s="368"/>
      <c r="B1034" s="368"/>
      <c r="P1034" s="40"/>
      <c r="Q1034" s="369"/>
      <c r="R1034" s="369"/>
      <c r="S1034" s="369"/>
      <c r="T1034" s="369"/>
      <c r="U1034" s="369"/>
      <c r="V1034" s="369"/>
      <c r="W1034" s="369"/>
      <c r="X1034" s="369"/>
      <c r="Y1034" s="369"/>
      <c r="Z1034" s="369"/>
    </row>
    <row r="1035" customFormat="false" ht="12.75" hidden="false" customHeight="false" outlineLevel="0" collapsed="false">
      <c r="A1035" s="368"/>
      <c r="B1035" s="368"/>
      <c r="P1035" s="40"/>
      <c r="Q1035" s="369"/>
      <c r="R1035" s="369"/>
      <c r="S1035" s="369"/>
      <c r="T1035" s="369"/>
      <c r="U1035" s="369"/>
      <c r="V1035" s="369"/>
      <c r="W1035" s="369"/>
      <c r="X1035" s="369"/>
      <c r="Y1035" s="369"/>
      <c r="Z1035" s="369"/>
    </row>
    <row r="1036" customFormat="false" ht="12.75" hidden="false" customHeight="false" outlineLevel="0" collapsed="false">
      <c r="A1036" s="368"/>
      <c r="B1036" s="368"/>
      <c r="P1036" s="40"/>
      <c r="Q1036" s="369"/>
      <c r="R1036" s="369"/>
      <c r="S1036" s="369"/>
      <c r="T1036" s="369"/>
      <c r="U1036" s="369"/>
      <c r="V1036" s="369"/>
      <c r="W1036" s="369"/>
      <c r="X1036" s="369"/>
      <c r="Y1036" s="369"/>
      <c r="Z1036" s="369"/>
    </row>
    <row r="1037" customFormat="false" ht="12.75" hidden="false" customHeight="false" outlineLevel="0" collapsed="false">
      <c r="A1037" s="368"/>
      <c r="B1037" s="368"/>
      <c r="P1037" s="40"/>
      <c r="Q1037" s="369"/>
      <c r="R1037" s="369"/>
      <c r="S1037" s="369"/>
      <c r="T1037" s="369"/>
      <c r="U1037" s="369"/>
      <c r="V1037" s="369"/>
      <c r="W1037" s="369"/>
      <c r="X1037" s="369"/>
      <c r="Y1037" s="369"/>
      <c r="Z1037" s="369"/>
    </row>
    <row r="1038" customFormat="false" ht="12.75" hidden="false" customHeight="false" outlineLevel="0" collapsed="false">
      <c r="A1038" s="368"/>
      <c r="B1038" s="368"/>
      <c r="P1038" s="40"/>
      <c r="Q1038" s="369"/>
      <c r="R1038" s="369"/>
      <c r="S1038" s="369"/>
      <c r="T1038" s="369"/>
      <c r="U1038" s="369"/>
      <c r="V1038" s="369"/>
      <c r="W1038" s="369"/>
      <c r="X1038" s="369"/>
      <c r="Y1038" s="369"/>
      <c r="Z1038" s="369"/>
    </row>
    <row r="1039" customFormat="false" ht="12.75" hidden="false" customHeight="false" outlineLevel="0" collapsed="false">
      <c r="A1039" s="368"/>
      <c r="B1039" s="368"/>
      <c r="P1039" s="40"/>
      <c r="Q1039" s="369"/>
      <c r="R1039" s="369"/>
      <c r="S1039" s="369"/>
      <c r="T1039" s="369"/>
      <c r="U1039" s="369"/>
      <c r="V1039" s="369"/>
      <c r="W1039" s="369"/>
      <c r="X1039" s="369"/>
      <c r="Y1039" s="369"/>
      <c r="Z1039" s="369"/>
    </row>
    <row r="1040" customFormat="false" ht="12.75" hidden="false" customHeight="false" outlineLevel="0" collapsed="false">
      <c r="A1040" s="368"/>
      <c r="B1040" s="368"/>
      <c r="P1040" s="40"/>
      <c r="Q1040" s="369"/>
      <c r="R1040" s="369"/>
      <c r="S1040" s="369"/>
      <c r="T1040" s="369"/>
      <c r="U1040" s="369"/>
      <c r="V1040" s="369"/>
      <c r="W1040" s="369"/>
      <c r="X1040" s="369"/>
      <c r="Y1040" s="369"/>
      <c r="Z1040" s="369"/>
    </row>
    <row r="1041" customFormat="false" ht="12.75" hidden="false" customHeight="false" outlineLevel="0" collapsed="false">
      <c r="A1041" s="368"/>
      <c r="B1041" s="368"/>
      <c r="P1041" s="40"/>
      <c r="Q1041" s="369"/>
      <c r="R1041" s="369"/>
      <c r="S1041" s="369"/>
      <c r="T1041" s="369"/>
      <c r="U1041" s="369"/>
      <c r="V1041" s="369"/>
      <c r="W1041" s="369"/>
      <c r="X1041" s="369"/>
      <c r="Y1041" s="369"/>
      <c r="Z1041" s="369"/>
    </row>
    <row r="1042" customFormat="false" ht="12.75" hidden="false" customHeight="false" outlineLevel="0" collapsed="false">
      <c r="A1042" s="368"/>
      <c r="B1042" s="368"/>
      <c r="P1042" s="40"/>
      <c r="Q1042" s="369"/>
      <c r="R1042" s="369"/>
      <c r="S1042" s="369"/>
      <c r="T1042" s="369"/>
      <c r="U1042" s="369"/>
      <c r="V1042" s="369"/>
      <c r="W1042" s="369"/>
      <c r="X1042" s="369"/>
      <c r="Y1042" s="369"/>
      <c r="Z1042" s="369"/>
    </row>
    <row r="1043" customFormat="false" ht="12.75" hidden="false" customHeight="false" outlineLevel="0" collapsed="false">
      <c r="A1043" s="368"/>
      <c r="B1043" s="368"/>
      <c r="P1043" s="40"/>
      <c r="Q1043" s="369"/>
      <c r="R1043" s="369"/>
      <c r="S1043" s="369"/>
      <c r="T1043" s="369"/>
      <c r="U1043" s="369"/>
      <c r="V1043" s="369"/>
      <c r="W1043" s="369"/>
      <c r="X1043" s="369"/>
      <c r="Y1043" s="369"/>
      <c r="Z1043" s="369"/>
    </row>
    <row r="1044" customFormat="false" ht="12.75" hidden="false" customHeight="false" outlineLevel="0" collapsed="false">
      <c r="A1044" s="368"/>
      <c r="B1044" s="368"/>
      <c r="P1044" s="40"/>
      <c r="Q1044" s="369"/>
      <c r="R1044" s="369"/>
      <c r="S1044" s="369"/>
      <c r="T1044" s="369"/>
      <c r="U1044" s="369"/>
      <c r="V1044" s="369"/>
      <c r="W1044" s="369"/>
      <c r="X1044" s="369"/>
      <c r="Y1044" s="369"/>
      <c r="Z1044" s="369"/>
    </row>
    <row r="1045" customFormat="false" ht="12.75" hidden="false" customHeight="false" outlineLevel="0" collapsed="false">
      <c r="A1045" s="368"/>
      <c r="B1045" s="368"/>
      <c r="P1045" s="40"/>
      <c r="Q1045" s="369"/>
      <c r="R1045" s="369"/>
      <c r="S1045" s="369"/>
      <c r="T1045" s="369"/>
      <c r="U1045" s="369"/>
      <c r="V1045" s="369"/>
      <c r="W1045" s="369"/>
      <c r="X1045" s="369"/>
      <c r="Y1045" s="369"/>
      <c r="Z1045" s="369"/>
    </row>
    <row r="1046" customFormat="false" ht="12.75" hidden="false" customHeight="false" outlineLevel="0" collapsed="false">
      <c r="A1046" s="368"/>
      <c r="B1046" s="368"/>
      <c r="P1046" s="40"/>
      <c r="Q1046" s="369"/>
      <c r="R1046" s="369"/>
      <c r="S1046" s="369"/>
      <c r="T1046" s="369"/>
      <c r="U1046" s="369"/>
      <c r="V1046" s="369"/>
      <c r="W1046" s="369"/>
      <c r="X1046" s="369"/>
      <c r="Y1046" s="369"/>
      <c r="Z1046" s="369"/>
    </row>
    <row r="1047" customFormat="false" ht="12.75" hidden="false" customHeight="false" outlineLevel="0" collapsed="false">
      <c r="A1047" s="368"/>
      <c r="B1047" s="368"/>
      <c r="P1047" s="40"/>
      <c r="Q1047" s="369"/>
      <c r="R1047" s="369"/>
      <c r="S1047" s="369"/>
      <c r="T1047" s="369"/>
      <c r="U1047" s="369"/>
      <c r="V1047" s="369"/>
      <c r="W1047" s="369"/>
      <c r="X1047" s="369"/>
      <c r="Y1047" s="369"/>
      <c r="Z1047" s="369"/>
    </row>
    <row r="1048" customFormat="false" ht="12.75" hidden="false" customHeight="false" outlineLevel="0" collapsed="false">
      <c r="A1048" s="368"/>
      <c r="B1048" s="368"/>
      <c r="P1048" s="40"/>
      <c r="Q1048" s="369"/>
      <c r="R1048" s="369"/>
      <c r="S1048" s="369"/>
      <c r="T1048" s="369"/>
      <c r="U1048" s="369"/>
      <c r="V1048" s="369"/>
      <c r="W1048" s="369"/>
      <c r="X1048" s="369"/>
      <c r="Y1048" s="369"/>
      <c r="Z1048" s="369"/>
    </row>
    <row r="1049" customFormat="false" ht="12.75" hidden="false" customHeight="false" outlineLevel="0" collapsed="false">
      <c r="A1049" s="368"/>
      <c r="B1049" s="368"/>
      <c r="P1049" s="40"/>
      <c r="Q1049" s="369"/>
      <c r="R1049" s="369"/>
      <c r="S1049" s="369"/>
      <c r="T1049" s="369"/>
      <c r="U1049" s="369"/>
      <c r="V1049" s="369"/>
      <c r="W1049" s="369"/>
      <c r="X1049" s="369"/>
      <c r="Y1049" s="369"/>
      <c r="Z1049" s="369"/>
    </row>
    <row r="1050" customFormat="false" ht="12.75" hidden="false" customHeight="false" outlineLevel="0" collapsed="false">
      <c r="A1050" s="368"/>
      <c r="B1050" s="368"/>
      <c r="P1050" s="40"/>
      <c r="Q1050" s="369"/>
      <c r="R1050" s="369"/>
      <c r="S1050" s="369"/>
      <c r="T1050" s="369"/>
      <c r="U1050" s="369"/>
      <c r="V1050" s="369"/>
      <c r="W1050" s="369"/>
      <c r="X1050" s="369"/>
      <c r="Y1050" s="369"/>
      <c r="Z1050" s="369"/>
    </row>
    <row r="1051" customFormat="false" ht="12.75" hidden="false" customHeight="false" outlineLevel="0" collapsed="false">
      <c r="A1051" s="368"/>
      <c r="B1051" s="368"/>
      <c r="P1051" s="40"/>
      <c r="Q1051" s="369"/>
      <c r="R1051" s="369"/>
      <c r="S1051" s="369"/>
      <c r="T1051" s="369"/>
      <c r="U1051" s="369"/>
      <c r="V1051" s="369"/>
      <c r="W1051" s="369"/>
      <c r="X1051" s="369"/>
      <c r="Y1051" s="369"/>
      <c r="Z1051" s="369"/>
    </row>
    <row r="1052" customFormat="false" ht="12.75" hidden="false" customHeight="false" outlineLevel="0" collapsed="false">
      <c r="A1052" s="368"/>
      <c r="B1052" s="368"/>
      <c r="P1052" s="40"/>
      <c r="Q1052" s="369"/>
      <c r="R1052" s="369"/>
      <c r="S1052" s="369"/>
      <c r="T1052" s="369"/>
      <c r="U1052" s="369"/>
      <c r="V1052" s="369"/>
      <c r="W1052" s="369"/>
      <c r="X1052" s="369"/>
      <c r="Y1052" s="369"/>
      <c r="Z1052" s="369"/>
    </row>
    <row r="1053" customFormat="false" ht="12.75" hidden="false" customHeight="false" outlineLevel="0" collapsed="false">
      <c r="A1053" s="368"/>
      <c r="B1053" s="368"/>
      <c r="P1053" s="40"/>
      <c r="Q1053" s="369"/>
      <c r="R1053" s="369"/>
      <c r="S1053" s="369"/>
      <c r="T1053" s="369"/>
      <c r="U1053" s="369"/>
      <c r="V1053" s="369"/>
      <c r="W1053" s="369"/>
      <c r="X1053" s="369"/>
      <c r="Y1053" s="369"/>
      <c r="Z1053" s="369"/>
    </row>
    <row r="1054" customFormat="false" ht="12.75" hidden="false" customHeight="false" outlineLevel="0" collapsed="false">
      <c r="A1054" s="368"/>
      <c r="B1054" s="368"/>
      <c r="P1054" s="40"/>
      <c r="Q1054" s="369"/>
      <c r="R1054" s="369"/>
      <c r="S1054" s="369"/>
      <c r="T1054" s="369"/>
      <c r="U1054" s="369"/>
      <c r="V1054" s="369"/>
      <c r="W1054" s="369"/>
      <c r="X1054" s="369"/>
      <c r="Y1054" s="369"/>
      <c r="Z1054" s="369"/>
    </row>
    <row r="1055" customFormat="false" ht="12.75" hidden="false" customHeight="false" outlineLevel="0" collapsed="false">
      <c r="A1055" s="368"/>
      <c r="B1055" s="368"/>
      <c r="P1055" s="40"/>
      <c r="Q1055" s="369"/>
      <c r="R1055" s="369"/>
      <c r="S1055" s="369"/>
      <c r="T1055" s="369"/>
      <c r="U1055" s="369"/>
      <c r="V1055" s="369"/>
      <c r="W1055" s="369"/>
      <c r="X1055" s="369"/>
      <c r="Y1055" s="369"/>
      <c r="Z1055" s="369"/>
    </row>
    <row r="1056" customFormat="false" ht="12.75" hidden="false" customHeight="false" outlineLevel="0" collapsed="false">
      <c r="A1056" s="368"/>
      <c r="B1056" s="368"/>
      <c r="P1056" s="40"/>
      <c r="Q1056" s="369"/>
      <c r="R1056" s="369"/>
      <c r="S1056" s="369"/>
      <c r="T1056" s="369"/>
      <c r="U1056" s="369"/>
      <c r="V1056" s="369"/>
      <c r="W1056" s="369"/>
      <c r="X1056" s="369"/>
      <c r="Y1056" s="369"/>
      <c r="Z1056" s="369"/>
    </row>
    <row r="1057" customFormat="false" ht="12.75" hidden="false" customHeight="false" outlineLevel="0" collapsed="false">
      <c r="A1057" s="368"/>
      <c r="B1057" s="368"/>
      <c r="P1057" s="40"/>
      <c r="Q1057" s="369"/>
      <c r="R1057" s="369"/>
      <c r="S1057" s="369"/>
      <c r="T1057" s="369"/>
      <c r="U1057" s="369"/>
      <c r="V1057" s="369"/>
      <c r="W1057" s="369"/>
      <c r="X1057" s="369"/>
      <c r="Y1057" s="369"/>
      <c r="Z1057" s="369"/>
    </row>
    <row r="1058" customFormat="false" ht="12.75" hidden="false" customHeight="false" outlineLevel="0" collapsed="false">
      <c r="A1058" s="368"/>
      <c r="B1058" s="368"/>
      <c r="P1058" s="40"/>
      <c r="Q1058" s="369"/>
      <c r="R1058" s="369"/>
      <c r="S1058" s="369"/>
      <c r="T1058" s="369"/>
      <c r="U1058" s="369"/>
      <c r="V1058" s="369"/>
      <c r="W1058" s="369"/>
      <c r="X1058" s="369"/>
      <c r="Y1058" s="369"/>
      <c r="Z1058" s="369"/>
    </row>
    <row r="1059" customFormat="false" ht="12.75" hidden="false" customHeight="false" outlineLevel="0" collapsed="false">
      <c r="A1059" s="368"/>
      <c r="B1059" s="368"/>
      <c r="P1059" s="40"/>
      <c r="Q1059" s="369"/>
      <c r="R1059" s="369"/>
      <c r="S1059" s="369"/>
      <c r="T1059" s="369"/>
      <c r="U1059" s="369"/>
      <c r="V1059" s="369"/>
      <c r="W1059" s="369"/>
      <c r="X1059" s="369"/>
      <c r="Y1059" s="369"/>
      <c r="Z1059" s="369"/>
    </row>
    <row r="1060" customFormat="false" ht="12.75" hidden="false" customHeight="false" outlineLevel="0" collapsed="false">
      <c r="A1060" s="368"/>
      <c r="B1060" s="368"/>
      <c r="P1060" s="40"/>
      <c r="Q1060" s="369"/>
      <c r="R1060" s="369"/>
      <c r="S1060" s="369"/>
      <c r="T1060" s="369"/>
      <c r="U1060" s="369"/>
      <c r="V1060" s="369"/>
      <c r="W1060" s="369"/>
      <c r="X1060" s="369"/>
      <c r="Y1060" s="369"/>
      <c r="Z1060" s="369"/>
    </row>
    <row r="1061" customFormat="false" ht="12.75" hidden="false" customHeight="false" outlineLevel="0" collapsed="false">
      <c r="A1061" s="368"/>
      <c r="B1061" s="368"/>
      <c r="P1061" s="40"/>
      <c r="Q1061" s="369"/>
      <c r="R1061" s="369"/>
      <c r="S1061" s="369"/>
      <c r="T1061" s="369"/>
      <c r="U1061" s="369"/>
      <c r="V1061" s="369"/>
      <c r="W1061" s="369"/>
      <c r="X1061" s="369"/>
      <c r="Y1061" s="369"/>
      <c r="Z1061" s="369"/>
    </row>
    <row r="1062" customFormat="false" ht="12.75" hidden="false" customHeight="false" outlineLevel="0" collapsed="false">
      <c r="A1062" s="368"/>
      <c r="B1062" s="368"/>
      <c r="P1062" s="40"/>
      <c r="Q1062" s="369"/>
      <c r="R1062" s="369"/>
      <c r="S1062" s="369"/>
      <c r="T1062" s="369"/>
      <c r="U1062" s="369"/>
      <c r="V1062" s="369"/>
      <c r="W1062" s="369"/>
      <c r="X1062" s="369"/>
      <c r="Y1062" s="369"/>
      <c r="Z1062" s="369"/>
    </row>
    <row r="1063" customFormat="false" ht="12.75" hidden="false" customHeight="false" outlineLevel="0" collapsed="false">
      <c r="A1063" s="368"/>
      <c r="B1063" s="368"/>
      <c r="P1063" s="40"/>
      <c r="Q1063" s="369"/>
      <c r="R1063" s="369"/>
      <c r="S1063" s="369"/>
      <c r="T1063" s="369"/>
      <c r="U1063" s="369"/>
      <c r="V1063" s="369"/>
      <c r="W1063" s="369"/>
      <c r="X1063" s="369"/>
      <c r="Y1063" s="369"/>
      <c r="Z1063" s="369"/>
    </row>
    <row r="1064" customFormat="false" ht="12.75" hidden="false" customHeight="false" outlineLevel="0" collapsed="false">
      <c r="A1064" s="368"/>
      <c r="B1064" s="368"/>
      <c r="P1064" s="40"/>
      <c r="Q1064" s="369"/>
      <c r="R1064" s="369"/>
      <c r="S1064" s="369"/>
      <c r="T1064" s="369"/>
      <c r="U1064" s="369"/>
      <c r="V1064" s="369"/>
      <c r="W1064" s="369"/>
      <c r="X1064" s="369"/>
      <c r="Y1064" s="369"/>
      <c r="Z1064" s="369"/>
    </row>
    <row r="1065" customFormat="false" ht="12.75" hidden="false" customHeight="false" outlineLevel="0" collapsed="false">
      <c r="A1065" s="368"/>
      <c r="B1065" s="368"/>
      <c r="P1065" s="40"/>
      <c r="Q1065" s="369"/>
      <c r="R1065" s="369"/>
      <c r="S1065" s="369"/>
      <c r="T1065" s="369"/>
      <c r="U1065" s="369"/>
      <c r="V1065" s="369"/>
      <c r="W1065" s="369"/>
      <c r="X1065" s="369"/>
      <c r="Y1065" s="369"/>
      <c r="Z1065" s="369"/>
    </row>
    <row r="1066" customFormat="false" ht="12.75" hidden="false" customHeight="false" outlineLevel="0" collapsed="false">
      <c r="A1066" s="368"/>
      <c r="B1066" s="368"/>
      <c r="P1066" s="40"/>
      <c r="Q1066" s="369"/>
      <c r="R1066" s="369"/>
      <c r="S1066" s="369"/>
      <c r="T1066" s="369"/>
      <c r="U1066" s="369"/>
      <c r="V1066" s="369"/>
      <c r="W1066" s="369"/>
      <c r="X1066" s="369"/>
      <c r="Y1066" s="369"/>
      <c r="Z1066" s="369"/>
    </row>
    <row r="1067" customFormat="false" ht="12.75" hidden="false" customHeight="false" outlineLevel="0" collapsed="false">
      <c r="A1067" s="368"/>
      <c r="B1067" s="368"/>
      <c r="P1067" s="40"/>
      <c r="Q1067" s="369"/>
      <c r="R1067" s="369"/>
      <c r="S1067" s="369"/>
      <c r="T1067" s="369"/>
      <c r="U1067" s="369"/>
      <c r="V1067" s="369"/>
      <c r="W1067" s="369"/>
      <c r="X1067" s="369"/>
      <c r="Y1067" s="369"/>
      <c r="Z1067" s="369"/>
    </row>
    <row r="1068" customFormat="false" ht="12.75" hidden="false" customHeight="false" outlineLevel="0" collapsed="false">
      <c r="A1068" s="368"/>
      <c r="B1068" s="368"/>
      <c r="P1068" s="40"/>
      <c r="Q1068" s="369"/>
      <c r="R1068" s="369"/>
      <c r="S1068" s="369"/>
      <c r="T1068" s="369"/>
      <c r="U1068" s="369"/>
      <c r="V1068" s="369"/>
      <c r="W1068" s="369"/>
      <c r="X1068" s="369"/>
      <c r="Y1068" s="369"/>
      <c r="Z1068" s="369"/>
    </row>
    <row r="1069" customFormat="false" ht="12.75" hidden="false" customHeight="false" outlineLevel="0" collapsed="false">
      <c r="A1069" s="368"/>
      <c r="B1069" s="368"/>
      <c r="P1069" s="40"/>
      <c r="Q1069" s="369"/>
      <c r="R1069" s="369"/>
      <c r="S1069" s="369"/>
      <c r="T1069" s="369"/>
      <c r="U1069" s="369"/>
      <c r="V1069" s="369"/>
      <c r="W1069" s="369"/>
      <c r="X1069" s="369"/>
      <c r="Y1069" s="369"/>
      <c r="Z1069" s="369"/>
    </row>
    <row r="1070" customFormat="false" ht="12.75" hidden="false" customHeight="false" outlineLevel="0" collapsed="false">
      <c r="A1070" s="368"/>
      <c r="B1070" s="368"/>
      <c r="P1070" s="40"/>
      <c r="Q1070" s="369"/>
      <c r="R1070" s="369"/>
      <c r="S1070" s="369"/>
      <c r="T1070" s="369"/>
      <c r="U1070" s="369"/>
      <c r="V1070" s="369"/>
      <c r="W1070" s="369"/>
      <c r="X1070" s="369"/>
      <c r="Y1070" s="369"/>
      <c r="Z1070" s="369"/>
    </row>
    <row r="1071" customFormat="false" ht="12.75" hidden="false" customHeight="false" outlineLevel="0" collapsed="false">
      <c r="A1071" s="368"/>
      <c r="B1071" s="368"/>
      <c r="P1071" s="40"/>
      <c r="Q1071" s="369"/>
      <c r="R1071" s="369"/>
      <c r="S1071" s="369"/>
      <c r="T1071" s="369"/>
      <c r="U1071" s="369"/>
      <c r="V1071" s="369"/>
      <c r="W1071" s="369"/>
      <c r="X1071" s="369"/>
      <c r="Y1071" s="369"/>
      <c r="Z1071" s="369"/>
    </row>
    <row r="1072" customFormat="false" ht="12.75" hidden="false" customHeight="false" outlineLevel="0" collapsed="false">
      <c r="A1072" s="368"/>
      <c r="B1072" s="368"/>
      <c r="P1072" s="40"/>
      <c r="Q1072" s="369"/>
      <c r="R1072" s="369"/>
      <c r="S1072" s="369"/>
      <c r="T1072" s="369"/>
      <c r="U1072" s="369"/>
      <c r="V1072" s="369"/>
      <c r="W1072" s="369"/>
      <c r="X1072" s="369"/>
      <c r="Y1072" s="369"/>
      <c r="Z1072" s="369"/>
    </row>
    <row r="1073" customFormat="false" ht="12.75" hidden="false" customHeight="false" outlineLevel="0" collapsed="false">
      <c r="A1073" s="368"/>
      <c r="B1073" s="368"/>
      <c r="P1073" s="40"/>
      <c r="Q1073" s="369"/>
      <c r="R1073" s="369"/>
      <c r="S1073" s="369"/>
      <c r="T1073" s="369"/>
      <c r="U1073" s="369"/>
      <c r="V1073" s="369"/>
      <c r="W1073" s="369"/>
      <c r="X1073" s="369"/>
      <c r="Y1073" s="369"/>
      <c r="Z1073" s="369"/>
    </row>
    <row r="1074" customFormat="false" ht="12.75" hidden="false" customHeight="false" outlineLevel="0" collapsed="false">
      <c r="A1074" s="368"/>
      <c r="B1074" s="368"/>
      <c r="P1074" s="40"/>
      <c r="Q1074" s="369"/>
      <c r="R1074" s="369"/>
      <c r="S1074" s="369"/>
      <c r="T1074" s="369"/>
      <c r="U1074" s="369"/>
      <c r="V1074" s="369"/>
      <c r="W1074" s="369"/>
      <c r="X1074" s="369"/>
      <c r="Y1074" s="369"/>
      <c r="Z1074" s="369"/>
    </row>
    <row r="1075" customFormat="false" ht="12.75" hidden="false" customHeight="false" outlineLevel="0" collapsed="false">
      <c r="A1075" s="368"/>
      <c r="B1075" s="368"/>
      <c r="P1075" s="40"/>
      <c r="Q1075" s="369"/>
      <c r="R1075" s="369"/>
      <c r="S1075" s="369"/>
      <c r="T1075" s="369"/>
      <c r="U1075" s="369"/>
      <c r="V1075" s="369"/>
      <c r="W1075" s="369"/>
      <c r="X1075" s="369"/>
      <c r="Y1075" s="369"/>
      <c r="Z1075" s="369"/>
    </row>
    <row r="1076" customFormat="false" ht="12.75" hidden="false" customHeight="false" outlineLevel="0" collapsed="false">
      <c r="A1076" s="368"/>
      <c r="B1076" s="368"/>
      <c r="P1076" s="40"/>
      <c r="Q1076" s="369"/>
      <c r="R1076" s="369"/>
      <c r="S1076" s="369"/>
      <c r="T1076" s="369"/>
      <c r="U1076" s="369"/>
      <c r="V1076" s="369"/>
      <c r="W1076" s="369"/>
      <c r="X1076" s="369"/>
      <c r="Y1076" s="369"/>
      <c r="Z1076" s="369"/>
    </row>
    <row r="1077" customFormat="false" ht="12.75" hidden="false" customHeight="false" outlineLevel="0" collapsed="false">
      <c r="A1077" s="368"/>
      <c r="B1077" s="368"/>
      <c r="P1077" s="40"/>
      <c r="Q1077" s="369"/>
      <c r="R1077" s="369"/>
      <c r="S1077" s="369"/>
      <c r="T1077" s="369"/>
      <c r="U1077" s="369"/>
      <c r="V1077" s="369"/>
      <c r="W1077" s="369"/>
      <c r="X1077" s="369"/>
      <c r="Y1077" s="369"/>
      <c r="Z1077" s="369"/>
    </row>
    <row r="1078" customFormat="false" ht="12.75" hidden="false" customHeight="false" outlineLevel="0" collapsed="false">
      <c r="A1078" s="368"/>
      <c r="B1078" s="368"/>
      <c r="P1078" s="40"/>
      <c r="Q1078" s="369"/>
      <c r="R1078" s="369"/>
      <c r="S1078" s="369"/>
      <c r="T1078" s="369"/>
      <c r="U1078" s="369"/>
      <c r="V1078" s="369"/>
      <c r="W1078" s="369"/>
      <c r="X1078" s="369"/>
      <c r="Y1078" s="369"/>
      <c r="Z1078" s="369"/>
    </row>
    <row r="1079" customFormat="false" ht="12.75" hidden="false" customHeight="false" outlineLevel="0" collapsed="false">
      <c r="A1079" s="368"/>
      <c r="B1079" s="368"/>
      <c r="P1079" s="40"/>
      <c r="Q1079" s="369"/>
      <c r="R1079" s="369"/>
      <c r="S1079" s="369"/>
      <c r="T1079" s="369"/>
      <c r="U1079" s="369"/>
      <c r="V1079" s="369"/>
      <c r="W1079" s="369"/>
      <c r="X1079" s="369"/>
      <c r="Y1079" s="369"/>
      <c r="Z1079" s="369"/>
    </row>
    <row r="1080" customFormat="false" ht="12.75" hidden="false" customHeight="false" outlineLevel="0" collapsed="false">
      <c r="A1080" s="368"/>
      <c r="B1080" s="368"/>
      <c r="P1080" s="40"/>
      <c r="Q1080" s="369"/>
      <c r="R1080" s="369"/>
      <c r="S1080" s="369"/>
      <c r="T1080" s="369"/>
      <c r="U1080" s="369"/>
      <c r="V1080" s="369"/>
      <c r="W1080" s="369"/>
      <c r="X1080" s="369"/>
      <c r="Y1080" s="369"/>
      <c r="Z1080" s="369"/>
    </row>
    <row r="1081" customFormat="false" ht="12.75" hidden="false" customHeight="false" outlineLevel="0" collapsed="false">
      <c r="A1081" s="368"/>
      <c r="B1081" s="368"/>
      <c r="P1081" s="40"/>
      <c r="Q1081" s="369"/>
      <c r="R1081" s="369"/>
      <c r="S1081" s="369"/>
      <c r="T1081" s="369"/>
      <c r="U1081" s="369"/>
      <c r="V1081" s="369"/>
      <c r="W1081" s="369"/>
      <c r="X1081" s="369"/>
      <c r="Y1081" s="369"/>
      <c r="Z1081" s="369"/>
    </row>
    <row r="1082" customFormat="false" ht="12.75" hidden="false" customHeight="false" outlineLevel="0" collapsed="false">
      <c r="A1082" s="368"/>
      <c r="B1082" s="368"/>
      <c r="P1082" s="40"/>
      <c r="Q1082" s="369"/>
      <c r="R1082" s="369"/>
      <c r="S1082" s="369"/>
      <c r="T1082" s="369"/>
      <c r="U1082" s="369"/>
      <c r="V1082" s="369"/>
      <c r="W1082" s="369"/>
      <c r="X1082" s="369"/>
      <c r="Y1082" s="369"/>
      <c r="Z1082" s="369"/>
    </row>
    <row r="1083" customFormat="false" ht="12.75" hidden="false" customHeight="false" outlineLevel="0" collapsed="false">
      <c r="A1083" s="368"/>
      <c r="B1083" s="368"/>
      <c r="P1083" s="40"/>
      <c r="Q1083" s="369"/>
      <c r="R1083" s="369"/>
      <c r="S1083" s="369"/>
      <c r="T1083" s="369"/>
      <c r="U1083" s="369"/>
      <c r="V1083" s="369"/>
      <c r="W1083" s="369"/>
      <c r="X1083" s="369"/>
      <c r="Y1083" s="369"/>
      <c r="Z1083" s="369"/>
    </row>
    <row r="1084" customFormat="false" ht="12.75" hidden="false" customHeight="false" outlineLevel="0" collapsed="false">
      <c r="A1084" s="368"/>
      <c r="B1084" s="368"/>
      <c r="P1084" s="40"/>
      <c r="Q1084" s="369"/>
      <c r="R1084" s="369"/>
      <c r="S1084" s="369"/>
      <c r="T1084" s="369"/>
      <c r="U1084" s="369"/>
      <c r="V1084" s="369"/>
      <c r="W1084" s="369"/>
      <c r="X1084" s="369"/>
      <c r="Y1084" s="369"/>
      <c r="Z1084" s="369"/>
    </row>
    <row r="1085" customFormat="false" ht="12.75" hidden="false" customHeight="false" outlineLevel="0" collapsed="false">
      <c r="A1085" s="368"/>
      <c r="B1085" s="368"/>
      <c r="P1085" s="40"/>
      <c r="Q1085" s="369"/>
      <c r="R1085" s="369"/>
      <c r="S1085" s="369"/>
      <c r="T1085" s="369"/>
      <c r="U1085" s="369"/>
      <c r="V1085" s="369"/>
      <c r="W1085" s="369"/>
      <c r="X1085" s="369"/>
      <c r="Y1085" s="369"/>
      <c r="Z1085" s="369"/>
    </row>
    <row r="1086" customFormat="false" ht="12.75" hidden="false" customHeight="false" outlineLevel="0" collapsed="false">
      <c r="A1086" s="368"/>
      <c r="B1086" s="368"/>
      <c r="P1086" s="40"/>
      <c r="Q1086" s="369"/>
      <c r="R1086" s="369"/>
      <c r="S1086" s="369"/>
      <c r="T1086" s="369"/>
      <c r="U1086" s="369"/>
      <c r="V1086" s="369"/>
      <c r="W1086" s="369"/>
      <c r="X1086" s="369"/>
      <c r="Y1086" s="369"/>
      <c r="Z1086" s="369"/>
    </row>
    <row r="1087" customFormat="false" ht="12.75" hidden="false" customHeight="false" outlineLevel="0" collapsed="false">
      <c r="A1087" s="368"/>
      <c r="B1087" s="368"/>
      <c r="P1087" s="40"/>
      <c r="Q1087" s="369"/>
      <c r="R1087" s="369"/>
      <c r="S1087" s="369"/>
      <c r="T1087" s="369"/>
      <c r="U1087" s="369"/>
      <c r="V1087" s="369"/>
      <c r="W1087" s="369"/>
      <c r="X1087" s="369"/>
      <c r="Y1087" s="369"/>
      <c r="Z1087" s="369"/>
    </row>
    <row r="1088" customFormat="false" ht="12.75" hidden="false" customHeight="false" outlineLevel="0" collapsed="false">
      <c r="A1088" s="368"/>
      <c r="B1088" s="368"/>
      <c r="P1088" s="40"/>
      <c r="Q1088" s="369"/>
      <c r="R1088" s="369"/>
      <c r="S1088" s="369"/>
      <c r="T1088" s="369"/>
      <c r="U1088" s="369"/>
      <c r="V1088" s="369"/>
      <c r="W1088" s="369"/>
      <c r="X1088" s="369"/>
      <c r="Y1088" s="369"/>
      <c r="Z1088" s="369"/>
    </row>
    <row r="1089" customFormat="false" ht="12.75" hidden="false" customHeight="false" outlineLevel="0" collapsed="false">
      <c r="A1089" s="368"/>
      <c r="B1089" s="368"/>
      <c r="P1089" s="40"/>
      <c r="Q1089" s="369"/>
      <c r="R1089" s="369"/>
      <c r="S1089" s="369"/>
      <c r="T1089" s="369"/>
      <c r="U1089" s="369"/>
      <c r="V1089" s="369"/>
      <c r="W1089" s="369"/>
      <c r="X1089" s="369"/>
      <c r="Y1089" s="369"/>
      <c r="Z1089" s="369"/>
    </row>
    <row r="1090" customFormat="false" ht="12.75" hidden="false" customHeight="false" outlineLevel="0" collapsed="false">
      <c r="A1090" s="368"/>
      <c r="B1090" s="368"/>
      <c r="P1090" s="40"/>
      <c r="Q1090" s="369"/>
      <c r="R1090" s="369"/>
      <c r="S1090" s="369"/>
      <c r="T1090" s="369"/>
      <c r="U1090" s="369"/>
      <c r="V1090" s="369"/>
      <c r="W1090" s="369"/>
      <c r="X1090" s="369"/>
      <c r="Y1090" s="369"/>
      <c r="Z1090" s="369"/>
    </row>
    <row r="1091" customFormat="false" ht="12.75" hidden="false" customHeight="false" outlineLevel="0" collapsed="false">
      <c r="A1091" s="368"/>
      <c r="B1091" s="368"/>
      <c r="P1091" s="40"/>
      <c r="Q1091" s="369"/>
      <c r="R1091" s="369"/>
      <c r="S1091" s="369"/>
      <c r="T1091" s="369"/>
      <c r="U1091" s="369"/>
      <c r="V1091" s="369"/>
      <c r="W1091" s="369"/>
      <c r="X1091" s="369"/>
      <c r="Y1091" s="369"/>
      <c r="Z1091" s="369"/>
    </row>
    <row r="1092" customFormat="false" ht="12.75" hidden="false" customHeight="false" outlineLevel="0" collapsed="false">
      <c r="A1092" s="368"/>
      <c r="B1092" s="368"/>
      <c r="P1092" s="40"/>
      <c r="Q1092" s="369"/>
      <c r="R1092" s="369"/>
      <c r="S1092" s="369"/>
      <c r="T1092" s="369"/>
      <c r="U1092" s="369"/>
      <c r="V1092" s="369"/>
      <c r="W1092" s="369"/>
      <c r="X1092" s="369"/>
      <c r="Y1092" s="369"/>
      <c r="Z1092" s="369"/>
    </row>
    <row r="1093" customFormat="false" ht="12.75" hidden="false" customHeight="false" outlineLevel="0" collapsed="false">
      <c r="A1093" s="368"/>
      <c r="B1093" s="368"/>
      <c r="P1093" s="40"/>
      <c r="Q1093" s="369"/>
      <c r="R1093" s="369"/>
      <c r="S1093" s="369"/>
      <c r="T1093" s="369"/>
      <c r="U1093" s="369"/>
      <c r="V1093" s="369"/>
      <c r="W1093" s="369"/>
      <c r="X1093" s="369"/>
      <c r="Y1093" s="369"/>
      <c r="Z1093" s="369"/>
    </row>
    <row r="1094" customFormat="false" ht="12.75" hidden="false" customHeight="false" outlineLevel="0" collapsed="false">
      <c r="A1094" s="368"/>
      <c r="B1094" s="368"/>
      <c r="P1094" s="40"/>
      <c r="Q1094" s="369"/>
      <c r="R1094" s="369"/>
      <c r="S1094" s="369"/>
      <c r="T1094" s="369"/>
      <c r="U1094" s="369"/>
      <c r="V1094" s="369"/>
      <c r="W1094" s="369"/>
      <c r="X1094" s="369"/>
      <c r="Y1094" s="369"/>
      <c r="Z1094" s="369"/>
    </row>
    <row r="1095" customFormat="false" ht="12.75" hidden="false" customHeight="false" outlineLevel="0" collapsed="false">
      <c r="A1095" s="368"/>
      <c r="B1095" s="368"/>
      <c r="P1095" s="40"/>
      <c r="Q1095" s="369"/>
      <c r="R1095" s="369"/>
      <c r="S1095" s="369"/>
      <c r="T1095" s="369"/>
      <c r="U1095" s="369"/>
      <c r="V1095" s="369"/>
      <c r="W1095" s="369"/>
      <c r="X1095" s="369"/>
      <c r="Y1095" s="369"/>
      <c r="Z1095" s="369"/>
    </row>
    <row r="1096" customFormat="false" ht="12.75" hidden="false" customHeight="false" outlineLevel="0" collapsed="false">
      <c r="A1096" s="368"/>
      <c r="B1096" s="368"/>
      <c r="P1096" s="40"/>
      <c r="Q1096" s="369"/>
      <c r="R1096" s="369"/>
      <c r="S1096" s="369"/>
      <c r="T1096" s="369"/>
      <c r="U1096" s="369"/>
      <c r="V1096" s="369"/>
      <c r="W1096" s="369"/>
      <c r="X1096" s="369"/>
      <c r="Y1096" s="369"/>
      <c r="Z1096" s="369"/>
    </row>
    <row r="1097" customFormat="false" ht="12.75" hidden="false" customHeight="false" outlineLevel="0" collapsed="false">
      <c r="A1097" s="368"/>
      <c r="B1097" s="368"/>
      <c r="P1097" s="40"/>
      <c r="Q1097" s="369"/>
      <c r="R1097" s="369"/>
      <c r="S1097" s="369"/>
      <c r="T1097" s="369"/>
      <c r="U1097" s="369"/>
      <c r="V1097" s="369"/>
      <c r="W1097" s="369"/>
      <c r="X1097" s="369"/>
      <c r="Y1097" s="369"/>
      <c r="Z1097" s="369"/>
    </row>
    <row r="1098" customFormat="false" ht="12.75" hidden="false" customHeight="false" outlineLevel="0" collapsed="false">
      <c r="A1098" s="368"/>
      <c r="B1098" s="368"/>
      <c r="P1098" s="40"/>
      <c r="Q1098" s="369"/>
      <c r="R1098" s="369"/>
      <c r="S1098" s="369"/>
      <c r="T1098" s="369"/>
      <c r="U1098" s="369"/>
      <c r="V1098" s="369"/>
      <c r="W1098" s="369"/>
      <c r="X1098" s="369"/>
      <c r="Y1098" s="369"/>
      <c r="Z1098" s="369"/>
    </row>
    <row r="1099" customFormat="false" ht="12.75" hidden="false" customHeight="false" outlineLevel="0" collapsed="false">
      <c r="A1099" s="368"/>
      <c r="B1099" s="368"/>
      <c r="P1099" s="40"/>
      <c r="Q1099" s="369"/>
      <c r="R1099" s="369"/>
      <c r="S1099" s="369"/>
      <c r="T1099" s="369"/>
      <c r="U1099" s="369"/>
      <c r="V1099" s="369"/>
      <c r="W1099" s="369"/>
      <c r="X1099" s="369"/>
      <c r="Y1099" s="369"/>
      <c r="Z1099" s="369"/>
    </row>
    <row r="1100" customFormat="false" ht="12.75" hidden="false" customHeight="false" outlineLevel="0" collapsed="false">
      <c r="A1100" s="368"/>
      <c r="B1100" s="368"/>
      <c r="P1100" s="40"/>
      <c r="Q1100" s="369"/>
      <c r="R1100" s="369"/>
      <c r="S1100" s="369"/>
      <c r="T1100" s="369"/>
      <c r="U1100" s="369"/>
      <c r="V1100" s="369"/>
      <c r="W1100" s="369"/>
      <c r="X1100" s="369"/>
      <c r="Y1100" s="369"/>
      <c r="Z1100" s="369"/>
    </row>
    <row r="1101" customFormat="false" ht="12.75" hidden="false" customHeight="false" outlineLevel="0" collapsed="false">
      <c r="A1101" s="368"/>
      <c r="B1101" s="368"/>
      <c r="P1101" s="40"/>
      <c r="Q1101" s="369"/>
      <c r="R1101" s="369"/>
      <c r="S1101" s="369"/>
      <c r="T1101" s="369"/>
      <c r="U1101" s="369"/>
      <c r="V1101" s="369"/>
      <c r="W1101" s="369"/>
      <c r="X1101" s="369"/>
      <c r="Y1101" s="369"/>
      <c r="Z1101" s="369"/>
    </row>
    <row r="1102" customFormat="false" ht="12.75" hidden="false" customHeight="false" outlineLevel="0" collapsed="false">
      <c r="A1102" s="368"/>
      <c r="B1102" s="368"/>
      <c r="P1102" s="40"/>
      <c r="Q1102" s="369"/>
      <c r="R1102" s="369"/>
      <c r="S1102" s="369"/>
      <c r="T1102" s="369"/>
      <c r="U1102" s="369"/>
      <c r="V1102" s="369"/>
      <c r="W1102" s="369"/>
      <c r="X1102" s="369"/>
      <c r="Y1102" s="369"/>
      <c r="Z1102" s="369"/>
    </row>
    <row r="1103" customFormat="false" ht="12.75" hidden="false" customHeight="false" outlineLevel="0" collapsed="false">
      <c r="A1103" s="368"/>
      <c r="B1103" s="368"/>
      <c r="P1103" s="40"/>
      <c r="Q1103" s="369"/>
      <c r="R1103" s="369"/>
      <c r="S1103" s="369"/>
      <c r="T1103" s="369"/>
      <c r="U1103" s="369"/>
      <c r="V1103" s="369"/>
      <c r="W1103" s="369"/>
      <c r="X1103" s="369"/>
      <c r="Y1103" s="369"/>
      <c r="Z1103" s="369"/>
    </row>
    <row r="1104" customFormat="false" ht="12.75" hidden="false" customHeight="false" outlineLevel="0" collapsed="false">
      <c r="A1104" s="368"/>
      <c r="B1104" s="368"/>
      <c r="P1104" s="40"/>
      <c r="Q1104" s="369"/>
      <c r="R1104" s="369"/>
      <c r="S1104" s="369"/>
      <c r="T1104" s="369"/>
      <c r="U1104" s="369"/>
      <c r="V1104" s="369"/>
      <c r="W1104" s="369"/>
      <c r="X1104" s="369"/>
      <c r="Y1104" s="369"/>
      <c r="Z1104" s="369"/>
    </row>
    <row r="1105" customFormat="false" ht="12.75" hidden="false" customHeight="false" outlineLevel="0" collapsed="false">
      <c r="A1105" s="368"/>
      <c r="B1105" s="368"/>
      <c r="P1105" s="40"/>
      <c r="Q1105" s="369"/>
      <c r="R1105" s="369"/>
      <c r="S1105" s="369"/>
      <c r="T1105" s="369"/>
      <c r="U1105" s="369"/>
      <c r="V1105" s="369"/>
      <c r="W1105" s="369"/>
      <c r="X1105" s="369"/>
      <c r="Y1105" s="369"/>
      <c r="Z1105" s="369"/>
    </row>
    <row r="1106" customFormat="false" ht="12.75" hidden="false" customHeight="false" outlineLevel="0" collapsed="false">
      <c r="A1106" s="368"/>
      <c r="B1106" s="368"/>
      <c r="P1106" s="40"/>
      <c r="Q1106" s="369"/>
      <c r="R1106" s="369"/>
      <c r="S1106" s="369"/>
      <c r="T1106" s="369"/>
      <c r="U1106" s="369"/>
      <c r="V1106" s="369"/>
      <c r="W1106" s="369"/>
      <c r="X1106" s="369"/>
      <c r="Y1106" s="369"/>
      <c r="Z1106" s="369"/>
    </row>
    <row r="1107" customFormat="false" ht="12.75" hidden="false" customHeight="false" outlineLevel="0" collapsed="false">
      <c r="A1107" s="368"/>
      <c r="B1107" s="368"/>
      <c r="P1107" s="40"/>
      <c r="Q1107" s="369"/>
      <c r="R1107" s="369"/>
      <c r="S1107" s="369"/>
      <c r="T1107" s="369"/>
      <c r="U1107" s="369"/>
      <c r="V1107" s="369"/>
      <c r="W1107" s="369"/>
      <c r="X1107" s="369"/>
      <c r="Y1107" s="369"/>
      <c r="Z1107" s="369"/>
    </row>
    <row r="1108" customFormat="false" ht="12.75" hidden="false" customHeight="false" outlineLevel="0" collapsed="false">
      <c r="A1108" s="368"/>
      <c r="B1108" s="368"/>
      <c r="P1108" s="40"/>
      <c r="Q1108" s="369"/>
      <c r="R1108" s="369"/>
      <c r="S1108" s="369"/>
      <c r="T1108" s="369"/>
      <c r="U1108" s="369"/>
      <c r="V1108" s="369"/>
      <c r="W1108" s="369"/>
      <c r="X1108" s="369"/>
      <c r="Y1108" s="369"/>
      <c r="Z1108" s="369"/>
    </row>
    <row r="1109" customFormat="false" ht="12.75" hidden="false" customHeight="false" outlineLevel="0" collapsed="false">
      <c r="A1109" s="368"/>
      <c r="B1109" s="368"/>
      <c r="P1109" s="40"/>
      <c r="Q1109" s="369"/>
      <c r="R1109" s="369"/>
      <c r="S1109" s="369"/>
      <c r="T1109" s="369"/>
      <c r="U1109" s="369"/>
      <c r="V1109" s="369"/>
      <c r="W1109" s="369"/>
      <c r="X1109" s="369"/>
      <c r="Y1109" s="369"/>
      <c r="Z1109" s="369"/>
    </row>
    <row r="1110" customFormat="false" ht="12.75" hidden="false" customHeight="false" outlineLevel="0" collapsed="false">
      <c r="A1110" s="368"/>
      <c r="B1110" s="368"/>
      <c r="P1110" s="40"/>
      <c r="Q1110" s="369"/>
      <c r="R1110" s="369"/>
      <c r="S1110" s="369"/>
      <c r="T1110" s="369"/>
      <c r="U1110" s="369"/>
      <c r="V1110" s="369"/>
      <c r="W1110" s="369"/>
      <c r="X1110" s="369"/>
      <c r="Y1110" s="369"/>
      <c r="Z1110" s="369"/>
    </row>
    <row r="1111" customFormat="false" ht="12.75" hidden="false" customHeight="false" outlineLevel="0" collapsed="false">
      <c r="A1111" s="368"/>
      <c r="B1111" s="368"/>
      <c r="P1111" s="40"/>
      <c r="Q1111" s="369"/>
      <c r="R1111" s="369"/>
      <c r="S1111" s="369"/>
      <c r="T1111" s="369"/>
      <c r="U1111" s="369"/>
      <c r="V1111" s="369"/>
      <c r="W1111" s="369"/>
      <c r="X1111" s="369"/>
      <c r="Y1111" s="369"/>
      <c r="Z1111" s="369"/>
    </row>
    <row r="1112" customFormat="false" ht="12.75" hidden="false" customHeight="false" outlineLevel="0" collapsed="false">
      <c r="A1112" s="368"/>
      <c r="B1112" s="368"/>
      <c r="P1112" s="40"/>
      <c r="Q1112" s="369"/>
      <c r="R1112" s="369"/>
      <c r="S1112" s="369"/>
      <c r="T1112" s="369"/>
      <c r="U1112" s="369"/>
      <c r="V1112" s="369"/>
      <c r="W1112" s="369"/>
      <c r="X1112" s="369"/>
      <c r="Y1112" s="369"/>
      <c r="Z1112" s="369"/>
    </row>
    <row r="1113" customFormat="false" ht="12.75" hidden="false" customHeight="false" outlineLevel="0" collapsed="false">
      <c r="A1113" s="368"/>
      <c r="B1113" s="368"/>
      <c r="P1113" s="40"/>
      <c r="Q1113" s="369"/>
      <c r="R1113" s="369"/>
      <c r="S1113" s="369"/>
      <c r="T1113" s="369"/>
      <c r="U1113" s="369"/>
      <c r="V1113" s="369"/>
      <c r="W1113" s="369"/>
      <c r="X1113" s="369"/>
      <c r="Y1113" s="369"/>
      <c r="Z1113" s="369"/>
    </row>
    <row r="1114" customFormat="false" ht="12.75" hidden="false" customHeight="false" outlineLevel="0" collapsed="false">
      <c r="A1114" s="368"/>
      <c r="B1114" s="368"/>
      <c r="P1114" s="40"/>
      <c r="Q1114" s="369"/>
      <c r="R1114" s="369"/>
      <c r="S1114" s="369"/>
      <c r="T1114" s="369"/>
      <c r="U1114" s="369"/>
      <c r="V1114" s="369"/>
      <c r="W1114" s="369"/>
      <c r="X1114" s="369"/>
      <c r="Y1114" s="369"/>
      <c r="Z1114" s="369"/>
    </row>
    <row r="1115" customFormat="false" ht="12.75" hidden="false" customHeight="false" outlineLevel="0" collapsed="false">
      <c r="A1115" s="368"/>
      <c r="B1115" s="368"/>
      <c r="P1115" s="40"/>
      <c r="Q1115" s="369"/>
      <c r="R1115" s="369"/>
      <c r="S1115" s="369"/>
      <c r="T1115" s="369"/>
      <c r="U1115" s="369"/>
      <c r="V1115" s="369"/>
      <c r="W1115" s="369"/>
      <c r="X1115" s="369"/>
      <c r="Y1115" s="369"/>
      <c r="Z1115" s="369"/>
    </row>
    <row r="1116" customFormat="false" ht="12.75" hidden="false" customHeight="false" outlineLevel="0" collapsed="false">
      <c r="A1116" s="368"/>
      <c r="B1116" s="368"/>
      <c r="P1116" s="40"/>
      <c r="Q1116" s="369"/>
      <c r="R1116" s="369"/>
      <c r="S1116" s="369"/>
      <c r="T1116" s="369"/>
      <c r="U1116" s="369"/>
      <c r="V1116" s="369"/>
      <c r="W1116" s="369"/>
      <c r="X1116" s="369"/>
      <c r="Y1116" s="369"/>
      <c r="Z1116" s="369"/>
    </row>
    <row r="1117" customFormat="false" ht="12.75" hidden="false" customHeight="false" outlineLevel="0" collapsed="false">
      <c r="A1117" s="368"/>
      <c r="B1117" s="368"/>
      <c r="P1117" s="40"/>
      <c r="Q1117" s="369"/>
      <c r="R1117" s="369"/>
      <c r="S1117" s="369"/>
      <c r="T1117" s="369"/>
      <c r="U1117" s="369"/>
      <c r="V1117" s="369"/>
      <c r="W1117" s="369"/>
      <c r="X1117" s="369"/>
      <c r="Y1117" s="369"/>
      <c r="Z1117" s="369"/>
    </row>
    <row r="1118" customFormat="false" ht="12.75" hidden="false" customHeight="false" outlineLevel="0" collapsed="false">
      <c r="A1118" s="368"/>
      <c r="B1118" s="368"/>
      <c r="P1118" s="40"/>
      <c r="Q1118" s="369"/>
      <c r="R1118" s="369"/>
      <c r="S1118" s="369"/>
      <c r="T1118" s="369"/>
      <c r="U1118" s="369"/>
      <c r="V1118" s="369"/>
      <c r="W1118" s="369"/>
      <c r="X1118" s="369"/>
      <c r="Y1118" s="369"/>
      <c r="Z1118" s="369"/>
    </row>
    <row r="1119" customFormat="false" ht="12.75" hidden="false" customHeight="false" outlineLevel="0" collapsed="false">
      <c r="A1119" s="368"/>
      <c r="B1119" s="368"/>
      <c r="P1119" s="40"/>
      <c r="Q1119" s="369"/>
      <c r="R1119" s="369"/>
      <c r="S1119" s="369"/>
      <c r="T1119" s="369"/>
      <c r="U1119" s="369"/>
      <c r="V1119" s="369"/>
      <c r="W1119" s="369"/>
      <c r="X1119" s="369"/>
      <c r="Y1119" s="369"/>
      <c r="Z1119" s="369"/>
    </row>
    <row r="1120" customFormat="false" ht="12.75" hidden="false" customHeight="false" outlineLevel="0" collapsed="false">
      <c r="A1120" s="368"/>
      <c r="B1120" s="368"/>
      <c r="P1120" s="40"/>
      <c r="Q1120" s="369"/>
      <c r="R1120" s="369"/>
      <c r="S1120" s="369"/>
      <c r="T1120" s="369"/>
      <c r="U1120" s="369"/>
      <c r="V1120" s="369"/>
      <c r="W1120" s="369"/>
      <c r="X1120" s="369"/>
      <c r="Y1120" s="369"/>
      <c r="Z1120" s="369"/>
    </row>
    <row r="1121" customFormat="false" ht="12.75" hidden="false" customHeight="false" outlineLevel="0" collapsed="false">
      <c r="A1121" s="368"/>
      <c r="B1121" s="368"/>
      <c r="P1121" s="40"/>
      <c r="Q1121" s="369"/>
      <c r="R1121" s="369"/>
      <c r="S1121" s="369"/>
      <c r="T1121" s="369"/>
      <c r="U1121" s="369"/>
      <c r="V1121" s="369"/>
      <c r="W1121" s="369"/>
      <c r="X1121" s="369"/>
      <c r="Y1121" s="369"/>
      <c r="Z1121" s="369"/>
    </row>
    <row r="1122" customFormat="false" ht="12.75" hidden="false" customHeight="false" outlineLevel="0" collapsed="false">
      <c r="A1122" s="368"/>
      <c r="B1122" s="368"/>
      <c r="P1122" s="40"/>
      <c r="Q1122" s="369"/>
      <c r="R1122" s="369"/>
      <c r="S1122" s="369"/>
      <c r="T1122" s="369"/>
      <c r="U1122" s="369"/>
      <c r="V1122" s="369"/>
      <c r="W1122" s="369"/>
      <c r="X1122" s="369"/>
      <c r="Y1122" s="369"/>
      <c r="Z1122" s="369"/>
    </row>
    <row r="1123" customFormat="false" ht="12.75" hidden="false" customHeight="false" outlineLevel="0" collapsed="false">
      <c r="A1123" s="368"/>
      <c r="B1123" s="368"/>
      <c r="P1123" s="40"/>
      <c r="Q1123" s="369"/>
      <c r="R1123" s="369"/>
      <c r="S1123" s="369"/>
      <c r="T1123" s="369"/>
      <c r="U1123" s="369"/>
      <c r="V1123" s="369"/>
      <c r="W1123" s="369"/>
      <c r="X1123" s="369"/>
      <c r="Y1123" s="369"/>
      <c r="Z1123" s="369"/>
    </row>
    <row r="1124" customFormat="false" ht="12.75" hidden="false" customHeight="false" outlineLevel="0" collapsed="false">
      <c r="A1124" s="368"/>
      <c r="B1124" s="368"/>
      <c r="P1124" s="40"/>
      <c r="Q1124" s="369"/>
      <c r="R1124" s="369"/>
      <c r="S1124" s="369"/>
      <c r="T1124" s="369"/>
      <c r="U1124" s="369"/>
      <c r="V1124" s="369"/>
      <c r="W1124" s="369"/>
      <c r="X1124" s="369"/>
      <c r="Y1124" s="369"/>
      <c r="Z1124" s="369"/>
    </row>
    <row r="1125" customFormat="false" ht="12.75" hidden="false" customHeight="false" outlineLevel="0" collapsed="false">
      <c r="A1125" s="368"/>
      <c r="B1125" s="368"/>
      <c r="P1125" s="40"/>
      <c r="Q1125" s="369"/>
      <c r="R1125" s="369"/>
      <c r="S1125" s="369"/>
      <c r="T1125" s="369"/>
      <c r="U1125" s="369"/>
      <c r="V1125" s="369"/>
      <c r="W1125" s="369"/>
      <c r="X1125" s="369"/>
      <c r="Y1125" s="369"/>
      <c r="Z1125" s="369"/>
    </row>
    <row r="1126" customFormat="false" ht="12.75" hidden="false" customHeight="false" outlineLevel="0" collapsed="false">
      <c r="A1126" s="368"/>
      <c r="B1126" s="368"/>
      <c r="P1126" s="40"/>
      <c r="Q1126" s="369"/>
      <c r="R1126" s="369"/>
      <c r="S1126" s="369"/>
      <c r="T1126" s="369"/>
      <c r="U1126" s="369"/>
      <c r="V1126" s="369"/>
      <c r="W1126" s="369"/>
      <c r="X1126" s="369"/>
      <c r="Y1126" s="369"/>
      <c r="Z1126" s="369"/>
    </row>
    <row r="1127" customFormat="false" ht="12.75" hidden="false" customHeight="false" outlineLevel="0" collapsed="false">
      <c r="A1127" s="368"/>
      <c r="B1127" s="368"/>
      <c r="P1127" s="40"/>
      <c r="Q1127" s="369"/>
      <c r="R1127" s="369"/>
      <c r="S1127" s="369"/>
      <c r="T1127" s="369"/>
      <c r="U1127" s="369"/>
      <c r="V1127" s="369"/>
      <c r="W1127" s="369"/>
      <c r="X1127" s="369"/>
      <c r="Y1127" s="369"/>
      <c r="Z1127" s="369"/>
    </row>
    <row r="1128" customFormat="false" ht="12.75" hidden="false" customHeight="false" outlineLevel="0" collapsed="false">
      <c r="A1128" s="368"/>
      <c r="B1128" s="368"/>
      <c r="P1128" s="40"/>
      <c r="Q1128" s="369"/>
      <c r="R1128" s="369"/>
      <c r="S1128" s="369"/>
      <c r="T1128" s="369"/>
      <c r="U1128" s="369"/>
      <c r="V1128" s="369"/>
      <c r="W1128" s="369"/>
      <c r="X1128" s="369"/>
      <c r="Y1128" s="369"/>
      <c r="Z1128" s="369"/>
    </row>
    <row r="1129" customFormat="false" ht="12.75" hidden="false" customHeight="false" outlineLevel="0" collapsed="false">
      <c r="A1129" s="368"/>
      <c r="B1129" s="368"/>
      <c r="P1129" s="40"/>
      <c r="Q1129" s="369"/>
      <c r="R1129" s="369"/>
      <c r="S1129" s="369"/>
      <c r="T1129" s="369"/>
      <c r="U1129" s="369"/>
      <c r="V1129" s="369"/>
      <c r="W1129" s="369"/>
      <c r="X1129" s="369"/>
      <c r="Y1129" s="369"/>
      <c r="Z1129" s="369"/>
    </row>
    <row r="1130" customFormat="false" ht="12.75" hidden="false" customHeight="false" outlineLevel="0" collapsed="false">
      <c r="A1130" s="368"/>
      <c r="B1130" s="368"/>
      <c r="P1130" s="40"/>
      <c r="Q1130" s="369"/>
      <c r="R1130" s="369"/>
      <c r="S1130" s="369"/>
      <c r="T1130" s="369"/>
      <c r="U1130" s="369"/>
      <c r="V1130" s="369"/>
      <c r="W1130" s="369"/>
      <c r="X1130" s="369"/>
      <c r="Y1130" s="369"/>
      <c r="Z1130" s="369"/>
    </row>
    <row r="1131" customFormat="false" ht="12.75" hidden="false" customHeight="false" outlineLevel="0" collapsed="false">
      <c r="A1131" s="368"/>
      <c r="B1131" s="368"/>
      <c r="P1131" s="40"/>
      <c r="Q1131" s="369"/>
      <c r="R1131" s="369"/>
      <c r="S1131" s="369"/>
      <c r="T1131" s="369"/>
      <c r="U1131" s="369"/>
      <c r="V1131" s="369"/>
      <c r="W1131" s="369"/>
      <c r="X1131" s="369"/>
      <c r="Y1131" s="369"/>
      <c r="Z1131" s="369"/>
    </row>
    <row r="1132" customFormat="false" ht="12.75" hidden="false" customHeight="false" outlineLevel="0" collapsed="false">
      <c r="A1132" s="368"/>
      <c r="B1132" s="368"/>
      <c r="P1132" s="40"/>
      <c r="Q1132" s="369"/>
      <c r="R1132" s="369"/>
      <c r="S1132" s="369"/>
      <c r="T1132" s="369"/>
      <c r="U1132" s="369"/>
      <c r="V1132" s="369"/>
      <c r="W1132" s="369"/>
      <c r="X1132" s="369"/>
      <c r="Y1132" s="369"/>
      <c r="Z1132" s="369"/>
    </row>
    <row r="1133" customFormat="false" ht="12.75" hidden="false" customHeight="false" outlineLevel="0" collapsed="false">
      <c r="A1133" s="368"/>
      <c r="B1133" s="368"/>
      <c r="P1133" s="40"/>
      <c r="Q1133" s="369"/>
      <c r="R1133" s="369"/>
      <c r="S1133" s="369"/>
      <c r="T1133" s="369"/>
      <c r="U1133" s="369"/>
      <c r="V1133" s="369"/>
      <c r="W1133" s="369"/>
      <c r="X1133" s="369"/>
      <c r="Y1133" s="369"/>
      <c r="Z1133" s="369"/>
    </row>
    <row r="1134" customFormat="false" ht="12.75" hidden="false" customHeight="false" outlineLevel="0" collapsed="false">
      <c r="A1134" s="368"/>
      <c r="B1134" s="368"/>
      <c r="P1134" s="40"/>
      <c r="Q1134" s="369"/>
      <c r="R1134" s="369"/>
      <c r="S1134" s="369"/>
      <c r="T1134" s="369"/>
      <c r="U1134" s="369"/>
      <c r="V1134" s="369"/>
      <c r="W1134" s="369"/>
      <c r="X1134" s="369"/>
      <c r="Y1134" s="369"/>
      <c r="Z1134" s="369"/>
    </row>
    <row r="1135" customFormat="false" ht="12.75" hidden="false" customHeight="false" outlineLevel="0" collapsed="false">
      <c r="A1135" s="368"/>
      <c r="B1135" s="368"/>
      <c r="P1135" s="40"/>
      <c r="Q1135" s="369"/>
      <c r="R1135" s="369"/>
      <c r="S1135" s="369"/>
      <c r="T1135" s="369"/>
      <c r="U1135" s="369"/>
      <c r="V1135" s="369"/>
      <c r="W1135" s="369"/>
      <c r="X1135" s="369"/>
      <c r="Y1135" s="369"/>
      <c r="Z1135" s="369"/>
    </row>
    <row r="1136" customFormat="false" ht="12.75" hidden="false" customHeight="false" outlineLevel="0" collapsed="false">
      <c r="A1136" s="368"/>
      <c r="B1136" s="368"/>
      <c r="P1136" s="40"/>
      <c r="Q1136" s="369"/>
      <c r="R1136" s="369"/>
      <c r="S1136" s="369"/>
      <c r="T1136" s="369"/>
      <c r="U1136" s="369"/>
      <c r="V1136" s="369"/>
      <c r="W1136" s="369"/>
      <c r="X1136" s="369"/>
      <c r="Y1136" s="369"/>
      <c r="Z1136" s="369"/>
    </row>
    <row r="1137" customFormat="false" ht="12.75" hidden="false" customHeight="false" outlineLevel="0" collapsed="false">
      <c r="A1137" s="368"/>
      <c r="B1137" s="368"/>
      <c r="P1137" s="40"/>
      <c r="Q1137" s="369"/>
      <c r="R1137" s="369"/>
      <c r="S1137" s="369"/>
      <c r="T1137" s="369"/>
      <c r="U1137" s="369"/>
      <c r="V1137" s="369"/>
      <c r="W1137" s="369"/>
      <c r="X1137" s="369"/>
      <c r="Y1137" s="369"/>
      <c r="Z1137" s="369"/>
    </row>
    <row r="1138" customFormat="false" ht="12.75" hidden="false" customHeight="false" outlineLevel="0" collapsed="false">
      <c r="A1138" s="368"/>
      <c r="B1138" s="368"/>
      <c r="P1138" s="40"/>
      <c r="Q1138" s="369"/>
      <c r="R1138" s="369"/>
      <c r="S1138" s="369"/>
      <c r="T1138" s="369"/>
      <c r="U1138" s="369"/>
      <c r="V1138" s="369"/>
      <c r="W1138" s="369"/>
      <c r="X1138" s="369"/>
      <c r="Y1138" s="369"/>
      <c r="Z1138" s="369"/>
    </row>
    <row r="1139" customFormat="false" ht="12.75" hidden="false" customHeight="false" outlineLevel="0" collapsed="false">
      <c r="A1139" s="368"/>
      <c r="B1139" s="368"/>
      <c r="P1139" s="40"/>
      <c r="Q1139" s="369"/>
      <c r="R1139" s="369"/>
      <c r="S1139" s="369"/>
      <c r="T1139" s="369"/>
      <c r="U1139" s="369"/>
      <c r="V1139" s="369"/>
      <c r="W1139" s="369"/>
      <c r="X1139" s="369"/>
      <c r="Y1139" s="369"/>
      <c r="Z1139" s="369"/>
    </row>
    <row r="1140" customFormat="false" ht="12.75" hidden="false" customHeight="false" outlineLevel="0" collapsed="false">
      <c r="A1140" s="368"/>
      <c r="B1140" s="368"/>
      <c r="P1140" s="40"/>
      <c r="Q1140" s="369"/>
      <c r="R1140" s="369"/>
      <c r="S1140" s="369"/>
      <c r="T1140" s="369"/>
      <c r="U1140" s="369"/>
      <c r="V1140" s="369"/>
      <c r="W1140" s="369"/>
      <c r="X1140" s="369"/>
      <c r="Y1140" s="369"/>
      <c r="Z1140" s="369"/>
    </row>
    <row r="1141" customFormat="false" ht="12.75" hidden="false" customHeight="false" outlineLevel="0" collapsed="false">
      <c r="A1141" s="368"/>
      <c r="B1141" s="368"/>
      <c r="P1141" s="40"/>
      <c r="Q1141" s="369"/>
      <c r="R1141" s="369"/>
      <c r="S1141" s="369"/>
      <c r="T1141" s="369"/>
      <c r="U1141" s="369"/>
      <c r="V1141" s="369"/>
      <c r="W1141" s="369"/>
      <c r="X1141" s="369"/>
      <c r="Y1141" s="369"/>
      <c r="Z1141" s="369"/>
    </row>
    <row r="1142" customFormat="false" ht="12.75" hidden="false" customHeight="false" outlineLevel="0" collapsed="false">
      <c r="A1142" s="368"/>
      <c r="B1142" s="368"/>
      <c r="P1142" s="40"/>
      <c r="Q1142" s="369"/>
      <c r="R1142" s="369"/>
      <c r="S1142" s="369"/>
      <c r="T1142" s="369"/>
      <c r="U1142" s="369"/>
      <c r="V1142" s="369"/>
      <c r="W1142" s="369"/>
      <c r="X1142" s="369"/>
      <c r="Y1142" s="369"/>
      <c r="Z1142" s="369"/>
    </row>
    <row r="1143" customFormat="false" ht="12.75" hidden="false" customHeight="false" outlineLevel="0" collapsed="false">
      <c r="A1143" s="368"/>
      <c r="B1143" s="368"/>
      <c r="P1143" s="40"/>
      <c r="Q1143" s="369"/>
      <c r="R1143" s="369"/>
      <c r="S1143" s="369"/>
      <c r="T1143" s="369"/>
      <c r="U1143" s="369"/>
      <c r="V1143" s="369"/>
      <c r="W1143" s="369"/>
      <c r="X1143" s="369"/>
      <c r="Y1143" s="369"/>
      <c r="Z1143" s="369"/>
    </row>
    <row r="1144" customFormat="false" ht="12.75" hidden="false" customHeight="false" outlineLevel="0" collapsed="false">
      <c r="A1144" s="368"/>
      <c r="B1144" s="368"/>
      <c r="P1144" s="40"/>
      <c r="Q1144" s="369"/>
      <c r="R1144" s="369"/>
      <c r="S1144" s="369"/>
      <c r="T1144" s="369"/>
      <c r="U1144" s="369"/>
      <c r="V1144" s="369"/>
      <c r="W1144" s="369"/>
      <c r="X1144" s="369"/>
      <c r="Y1144" s="369"/>
      <c r="Z1144" s="369"/>
    </row>
    <row r="1145" customFormat="false" ht="12.75" hidden="false" customHeight="false" outlineLevel="0" collapsed="false">
      <c r="A1145" s="368"/>
      <c r="B1145" s="368"/>
      <c r="P1145" s="40"/>
      <c r="Q1145" s="369"/>
      <c r="R1145" s="369"/>
      <c r="S1145" s="369"/>
      <c r="T1145" s="369"/>
      <c r="U1145" s="369"/>
      <c r="V1145" s="369"/>
      <c r="W1145" s="369"/>
      <c r="X1145" s="369"/>
      <c r="Y1145" s="369"/>
      <c r="Z1145" s="369"/>
    </row>
    <row r="1146" customFormat="false" ht="12.75" hidden="false" customHeight="false" outlineLevel="0" collapsed="false">
      <c r="A1146" s="368"/>
      <c r="B1146" s="368"/>
      <c r="P1146" s="40"/>
      <c r="Q1146" s="369"/>
      <c r="R1146" s="369"/>
      <c r="S1146" s="369"/>
      <c r="T1146" s="369"/>
      <c r="U1146" s="369"/>
      <c r="V1146" s="369"/>
      <c r="W1146" s="369"/>
      <c r="X1146" s="369"/>
      <c r="Y1146" s="369"/>
      <c r="Z1146" s="369"/>
    </row>
    <row r="1147" customFormat="false" ht="12.75" hidden="false" customHeight="false" outlineLevel="0" collapsed="false">
      <c r="A1147" s="368"/>
      <c r="B1147" s="368"/>
      <c r="P1147" s="40"/>
      <c r="Q1147" s="369"/>
      <c r="R1147" s="369"/>
      <c r="S1147" s="369"/>
      <c r="T1147" s="369"/>
      <c r="U1147" s="369"/>
      <c r="V1147" s="369"/>
      <c r="W1147" s="369"/>
      <c r="X1147" s="369"/>
      <c r="Y1147" s="369"/>
      <c r="Z1147" s="369"/>
    </row>
    <row r="1148" customFormat="false" ht="12.75" hidden="false" customHeight="false" outlineLevel="0" collapsed="false">
      <c r="A1148" s="368"/>
      <c r="B1148" s="368"/>
      <c r="P1148" s="40"/>
      <c r="Q1148" s="369"/>
      <c r="R1148" s="369"/>
      <c r="S1148" s="369"/>
      <c r="T1148" s="369"/>
      <c r="U1148" s="369"/>
      <c r="V1148" s="369"/>
      <c r="W1148" s="369"/>
      <c r="X1148" s="369"/>
      <c r="Y1148" s="369"/>
      <c r="Z1148" s="369"/>
    </row>
    <row r="1149" customFormat="false" ht="12.75" hidden="false" customHeight="false" outlineLevel="0" collapsed="false">
      <c r="A1149" s="368"/>
      <c r="B1149" s="368"/>
      <c r="P1149" s="40"/>
      <c r="Q1149" s="369"/>
      <c r="R1149" s="369"/>
      <c r="S1149" s="369"/>
      <c r="T1149" s="369"/>
      <c r="U1149" s="369"/>
      <c r="V1149" s="369"/>
      <c r="W1149" s="369"/>
      <c r="X1149" s="369"/>
      <c r="Y1149" s="369"/>
      <c r="Z1149" s="369"/>
    </row>
    <row r="1150" customFormat="false" ht="12.75" hidden="false" customHeight="false" outlineLevel="0" collapsed="false">
      <c r="A1150" s="368"/>
      <c r="B1150" s="368"/>
      <c r="P1150" s="40"/>
      <c r="Q1150" s="369"/>
      <c r="R1150" s="369"/>
      <c r="S1150" s="369"/>
      <c r="T1150" s="369"/>
      <c r="U1150" s="369"/>
      <c r="V1150" s="369"/>
      <c r="W1150" s="369"/>
      <c r="X1150" s="369"/>
      <c r="Y1150" s="369"/>
      <c r="Z1150" s="369"/>
    </row>
    <row r="1151" customFormat="false" ht="12.75" hidden="false" customHeight="false" outlineLevel="0" collapsed="false">
      <c r="A1151" s="368"/>
      <c r="B1151" s="368"/>
      <c r="P1151" s="40"/>
      <c r="Q1151" s="369"/>
      <c r="R1151" s="369"/>
      <c r="S1151" s="369"/>
      <c r="T1151" s="369"/>
      <c r="U1151" s="369"/>
      <c r="V1151" s="369"/>
      <c r="W1151" s="369"/>
      <c r="X1151" s="369"/>
      <c r="Y1151" s="369"/>
      <c r="Z1151" s="369"/>
    </row>
    <row r="1152" customFormat="false" ht="12.75" hidden="false" customHeight="false" outlineLevel="0" collapsed="false">
      <c r="A1152" s="368"/>
      <c r="B1152" s="368"/>
      <c r="P1152" s="40"/>
      <c r="Q1152" s="369"/>
      <c r="R1152" s="369"/>
      <c r="S1152" s="369"/>
      <c r="T1152" s="369"/>
      <c r="U1152" s="369"/>
      <c r="V1152" s="369"/>
      <c r="W1152" s="369"/>
      <c r="X1152" s="369"/>
      <c r="Y1152" s="369"/>
      <c r="Z1152" s="369"/>
    </row>
    <row r="1153" customFormat="false" ht="12.75" hidden="false" customHeight="false" outlineLevel="0" collapsed="false">
      <c r="A1153" s="368"/>
      <c r="B1153" s="368"/>
      <c r="P1153" s="40"/>
      <c r="Q1153" s="369"/>
      <c r="R1153" s="369"/>
      <c r="S1153" s="369"/>
      <c r="T1153" s="369"/>
      <c r="U1153" s="369"/>
      <c r="V1153" s="369"/>
      <c r="W1153" s="369"/>
      <c r="X1153" s="369"/>
      <c r="Y1153" s="369"/>
      <c r="Z1153" s="369"/>
    </row>
    <row r="1154" customFormat="false" ht="12.75" hidden="false" customHeight="false" outlineLevel="0" collapsed="false">
      <c r="A1154" s="368"/>
      <c r="B1154" s="368"/>
      <c r="P1154" s="40"/>
      <c r="Q1154" s="369"/>
      <c r="R1154" s="369"/>
      <c r="S1154" s="369"/>
      <c r="T1154" s="369"/>
      <c r="U1154" s="369"/>
      <c r="V1154" s="369"/>
      <c r="W1154" s="369"/>
      <c r="X1154" s="369"/>
      <c r="Y1154" s="369"/>
      <c r="Z1154" s="369"/>
    </row>
    <row r="1155" customFormat="false" ht="12.75" hidden="false" customHeight="false" outlineLevel="0" collapsed="false">
      <c r="A1155" s="368"/>
      <c r="B1155" s="368"/>
      <c r="P1155" s="40"/>
      <c r="Q1155" s="369"/>
      <c r="R1155" s="369"/>
      <c r="S1155" s="369"/>
      <c r="T1155" s="369"/>
      <c r="U1155" s="369"/>
      <c r="V1155" s="369"/>
      <c r="W1155" s="369"/>
      <c r="X1155" s="369"/>
      <c r="Y1155" s="369"/>
      <c r="Z1155" s="369"/>
    </row>
    <row r="1156" customFormat="false" ht="12.75" hidden="false" customHeight="false" outlineLevel="0" collapsed="false">
      <c r="A1156" s="368"/>
      <c r="B1156" s="368"/>
      <c r="P1156" s="40"/>
      <c r="Q1156" s="369"/>
      <c r="R1156" s="369"/>
      <c r="S1156" s="369"/>
      <c r="T1156" s="369"/>
      <c r="U1156" s="369"/>
      <c r="V1156" s="369"/>
      <c r="W1156" s="369"/>
      <c r="X1156" s="369"/>
      <c r="Y1156" s="369"/>
      <c r="Z1156" s="369"/>
    </row>
    <row r="1157" customFormat="false" ht="12.75" hidden="false" customHeight="false" outlineLevel="0" collapsed="false">
      <c r="A1157" s="368"/>
      <c r="B1157" s="368"/>
      <c r="P1157" s="40"/>
      <c r="Q1157" s="369"/>
      <c r="R1157" s="369"/>
      <c r="S1157" s="369"/>
      <c r="T1157" s="369"/>
      <c r="U1157" s="369"/>
      <c r="V1157" s="369"/>
      <c r="W1157" s="369"/>
      <c r="X1157" s="369"/>
      <c r="Y1157" s="369"/>
      <c r="Z1157" s="369"/>
    </row>
    <row r="1158" customFormat="false" ht="12.75" hidden="false" customHeight="false" outlineLevel="0" collapsed="false">
      <c r="A1158" s="368"/>
      <c r="B1158" s="368"/>
      <c r="P1158" s="40"/>
      <c r="Q1158" s="369"/>
      <c r="R1158" s="369"/>
      <c r="S1158" s="369"/>
      <c r="T1158" s="369"/>
      <c r="U1158" s="369"/>
      <c r="V1158" s="369"/>
      <c r="W1158" s="369"/>
      <c r="X1158" s="369"/>
      <c r="Y1158" s="369"/>
      <c r="Z1158" s="369"/>
    </row>
    <row r="1159" customFormat="false" ht="12.75" hidden="false" customHeight="false" outlineLevel="0" collapsed="false">
      <c r="A1159" s="368"/>
      <c r="B1159" s="368"/>
      <c r="P1159" s="40"/>
      <c r="Q1159" s="369"/>
      <c r="R1159" s="369"/>
      <c r="S1159" s="369"/>
      <c r="T1159" s="369"/>
      <c r="U1159" s="369"/>
      <c r="V1159" s="369"/>
      <c r="W1159" s="369"/>
      <c r="X1159" s="369"/>
      <c r="Y1159" s="369"/>
      <c r="Z1159" s="369"/>
    </row>
    <row r="1160" customFormat="false" ht="12.75" hidden="false" customHeight="false" outlineLevel="0" collapsed="false">
      <c r="A1160" s="368"/>
      <c r="B1160" s="368"/>
      <c r="P1160" s="40"/>
      <c r="Q1160" s="369"/>
      <c r="R1160" s="369"/>
      <c r="S1160" s="369"/>
      <c r="T1160" s="369"/>
      <c r="U1160" s="369"/>
      <c r="V1160" s="369"/>
      <c r="W1160" s="369"/>
      <c r="X1160" s="369"/>
      <c r="Y1160" s="369"/>
      <c r="Z1160" s="369"/>
    </row>
    <row r="1161" customFormat="false" ht="12.75" hidden="false" customHeight="false" outlineLevel="0" collapsed="false">
      <c r="A1161" s="368"/>
      <c r="B1161" s="368"/>
      <c r="P1161" s="40"/>
      <c r="Q1161" s="369"/>
      <c r="R1161" s="369"/>
      <c r="S1161" s="369"/>
      <c r="T1161" s="369"/>
      <c r="U1161" s="369"/>
      <c r="V1161" s="369"/>
      <c r="W1161" s="369"/>
      <c r="X1161" s="369"/>
      <c r="Y1161" s="369"/>
      <c r="Z1161" s="369"/>
    </row>
    <row r="1162" customFormat="false" ht="12.75" hidden="false" customHeight="false" outlineLevel="0" collapsed="false">
      <c r="A1162" s="368"/>
      <c r="B1162" s="368"/>
      <c r="P1162" s="40"/>
      <c r="Q1162" s="369"/>
      <c r="R1162" s="369"/>
      <c r="S1162" s="369"/>
      <c r="T1162" s="369"/>
      <c r="U1162" s="369"/>
      <c r="V1162" s="369"/>
      <c r="W1162" s="369"/>
      <c r="X1162" s="369"/>
      <c r="Y1162" s="369"/>
      <c r="Z1162" s="369"/>
    </row>
    <row r="1163" customFormat="false" ht="12.75" hidden="false" customHeight="false" outlineLevel="0" collapsed="false">
      <c r="A1163" s="368"/>
      <c r="B1163" s="368"/>
      <c r="P1163" s="40"/>
      <c r="Q1163" s="369"/>
      <c r="R1163" s="369"/>
      <c r="S1163" s="369"/>
      <c r="T1163" s="369"/>
      <c r="U1163" s="369"/>
      <c r="V1163" s="369"/>
      <c r="W1163" s="369"/>
      <c r="X1163" s="369"/>
      <c r="Y1163" s="369"/>
      <c r="Z1163" s="369"/>
    </row>
    <row r="1164" customFormat="false" ht="12.75" hidden="false" customHeight="false" outlineLevel="0" collapsed="false">
      <c r="A1164" s="368"/>
      <c r="B1164" s="368"/>
      <c r="P1164" s="40"/>
      <c r="Q1164" s="369"/>
      <c r="R1164" s="369"/>
      <c r="S1164" s="369"/>
      <c r="T1164" s="369"/>
      <c r="U1164" s="369"/>
      <c r="V1164" s="369"/>
      <c r="W1164" s="369"/>
      <c r="X1164" s="369"/>
      <c r="Y1164" s="369"/>
      <c r="Z1164" s="369"/>
    </row>
    <row r="1165" customFormat="false" ht="12.75" hidden="false" customHeight="false" outlineLevel="0" collapsed="false">
      <c r="A1165" s="368"/>
      <c r="B1165" s="368"/>
      <c r="P1165" s="40"/>
      <c r="Q1165" s="369"/>
      <c r="R1165" s="369"/>
      <c r="S1165" s="369"/>
      <c r="T1165" s="369"/>
      <c r="U1165" s="369"/>
      <c r="V1165" s="369"/>
      <c r="W1165" s="369"/>
      <c r="X1165" s="369"/>
      <c r="Y1165" s="369"/>
      <c r="Z1165" s="369"/>
    </row>
    <row r="1166" customFormat="false" ht="12.75" hidden="false" customHeight="false" outlineLevel="0" collapsed="false">
      <c r="A1166" s="368"/>
      <c r="B1166" s="368"/>
      <c r="P1166" s="40"/>
      <c r="Q1166" s="369"/>
      <c r="R1166" s="369"/>
      <c r="S1166" s="369"/>
      <c r="T1166" s="369"/>
      <c r="U1166" s="369"/>
      <c r="V1166" s="369"/>
      <c r="W1166" s="369"/>
      <c r="X1166" s="369"/>
      <c r="Y1166" s="369"/>
      <c r="Z1166" s="369"/>
    </row>
    <row r="1167" customFormat="false" ht="12.75" hidden="false" customHeight="false" outlineLevel="0" collapsed="false">
      <c r="A1167" s="368"/>
      <c r="B1167" s="368"/>
      <c r="P1167" s="40"/>
      <c r="Q1167" s="369"/>
      <c r="R1167" s="369"/>
      <c r="S1167" s="369"/>
      <c r="T1167" s="369"/>
      <c r="U1167" s="369"/>
      <c r="V1167" s="369"/>
      <c r="W1167" s="369"/>
      <c r="X1167" s="369"/>
      <c r="Y1167" s="369"/>
      <c r="Z1167" s="369"/>
    </row>
    <row r="1168" customFormat="false" ht="12.75" hidden="false" customHeight="false" outlineLevel="0" collapsed="false">
      <c r="A1168" s="368"/>
      <c r="B1168" s="368"/>
      <c r="P1168" s="40"/>
      <c r="Q1168" s="369"/>
      <c r="R1168" s="369"/>
      <c r="S1168" s="369"/>
      <c r="T1168" s="369"/>
      <c r="U1168" s="369"/>
      <c r="V1168" s="369"/>
      <c r="W1168" s="369"/>
      <c r="X1168" s="369"/>
      <c r="Y1168" s="369"/>
      <c r="Z1168" s="369"/>
    </row>
    <row r="1169" customFormat="false" ht="12.75" hidden="false" customHeight="false" outlineLevel="0" collapsed="false">
      <c r="A1169" s="368"/>
      <c r="B1169" s="368"/>
      <c r="P1169" s="40"/>
      <c r="Q1169" s="369"/>
      <c r="R1169" s="369"/>
      <c r="S1169" s="369"/>
      <c r="T1169" s="369"/>
      <c r="U1169" s="369"/>
      <c r="V1169" s="369"/>
      <c r="W1169" s="369"/>
      <c r="X1169" s="369"/>
      <c r="Y1169" s="369"/>
      <c r="Z1169" s="369"/>
    </row>
    <row r="1170" customFormat="false" ht="12.75" hidden="false" customHeight="false" outlineLevel="0" collapsed="false">
      <c r="A1170" s="368"/>
      <c r="B1170" s="368"/>
      <c r="P1170" s="40"/>
      <c r="Q1170" s="369"/>
      <c r="R1170" s="369"/>
      <c r="S1170" s="369"/>
      <c r="T1170" s="369"/>
      <c r="U1170" s="369"/>
      <c r="V1170" s="369"/>
      <c r="W1170" s="369"/>
      <c r="X1170" s="369"/>
      <c r="Y1170" s="369"/>
      <c r="Z1170" s="369"/>
    </row>
    <row r="1171" customFormat="false" ht="12.75" hidden="false" customHeight="false" outlineLevel="0" collapsed="false">
      <c r="A1171" s="368"/>
      <c r="B1171" s="368"/>
      <c r="P1171" s="40"/>
      <c r="Q1171" s="369"/>
      <c r="R1171" s="369"/>
      <c r="S1171" s="369"/>
      <c r="T1171" s="369"/>
      <c r="U1171" s="369"/>
      <c r="V1171" s="369"/>
      <c r="W1171" s="369"/>
      <c r="X1171" s="369"/>
      <c r="Y1171" s="369"/>
      <c r="Z1171" s="369"/>
    </row>
    <row r="1172" customFormat="false" ht="12.75" hidden="false" customHeight="false" outlineLevel="0" collapsed="false">
      <c r="A1172" s="368"/>
      <c r="B1172" s="368"/>
      <c r="P1172" s="40"/>
      <c r="Q1172" s="369"/>
      <c r="R1172" s="369"/>
      <c r="S1172" s="369"/>
      <c r="T1172" s="369"/>
      <c r="U1172" s="369"/>
      <c r="V1172" s="369"/>
      <c r="W1172" s="369"/>
      <c r="X1172" s="369"/>
      <c r="Y1172" s="369"/>
      <c r="Z1172" s="369"/>
    </row>
    <row r="1173" customFormat="false" ht="12.75" hidden="false" customHeight="false" outlineLevel="0" collapsed="false">
      <c r="A1173" s="368"/>
      <c r="B1173" s="368"/>
      <c r="P1173" s="40"/>
      <c r="Q1173" s="369"/>
      <c r="R1173" s="369"/>
      <c r="S1173" s="369"/>
      <c r="T1173" s="369"/>
      <c r="U1173" s="369"/>
      <c r="V1173" s="369"/>
      <c r="W1173" s="369"/>
      <c r="X1173" s="369"/>
      <c r="Y1173" s="369"/>
      <c r="Z1173" s="369"/>
    </row>
    <row r="1174" customFormat="false" ht="12.75" hidden="false" customHeight="false" outlineLevel="0" collapsed="false">
      <c r="A1174" s="368"/>
      <c r="B1174" s="368"/>
      <c r="P1174" s="40"/>
      <c r="Q1174" s="369"/>
      <c r="R1174" s="369"/>
      <c r="S1174" s="369"/>
      <c r="T1174" s="369"/>
      <c r="U1174" s="369"/>
      <c r="V1174" s="369"/>
      <c r="W1174" s="369"/>
      <c r="X1174" s="369"/>
      <c r="Y1174" s="369"/>
      <c r="Z1174" s="369"/>
    </row>
    <row r="1175" customFormat="false" ht="12.75" hidden="false" customHeight="false" outlineLevel="0" collapsed="false">
      <c r="A1175" s="368"/>
      <c r="B1175" s="368"/>
      <c r="P1175" s="40"/>
      <c r="Q1175" s="369"/>
      <c r="R1175" s="369"/>
      <c r="S1175" s="369"/>
      <c r="T1175" s="369"/>
      <c r="U1175" s="369"/>
      <c r="V1175" s="369"/>
      <c r="W1175" s="369"/>
      <c r="X1175" s="369"/>
      <c r="Y1175" s="369"/>
      <c r="Z1175" s="369"/>
    </row>
    <row r="1176" customFormat="false" ht="12.75" hidden="false" customHeight="false" outlineLevel="0" collapsed="false">
      <c r="A1176" s="368"/>
      <c r="B1176" s="368"/>
      <c r="P1176" s="40"/>
      <c r="Q1176" s="369"/>
      <c r="R1176" s="369"/>
      <c r="S1176" s="369"/>
      <c r="T1176" s="369"/>
      <c r="U1176" s="369"/>
      <c r="V1176" s="369"/>
      <c r="W1176" s="369"/>
      <c r="X1176" s="369"/>
      <c r="Y1176" s="369"/>
      <c r="Z1176" s="369"/>
    </row>
    <row r="1177" customFormat="false" ht="12.75" hidden="false" customHeight="false" outlineLevel="0" collapsed="false">
      <c r="A1177" s="368"/>
      <c r="B1177" s="368"/>
      <c r="P1177" s="40"/>
      <c r="Q1177" s="369"/>
      <c r="R1177" s="369"/>
      <c r="S1177" s="369"/>
      <c r="T1177" s="369"/>
      <c r="U1177" s="369"/>
      <c r="V1177" s="369"/>
      <c r="W1177" s="369"/>
      <c r="X1177" s="369"/>
      <c r="Y1177" s="369"/>
      <c r="Z1177" s="369"/>
    </row>
    <row r="1178" customFormat="false" ht="12.75" hidden="false" customHeight="false" outlineLevel="0" collapsed="false">
      <c r="A1178" s="368"/>
      <c r="B1178" s="368"/>
      <c r="P1178" s="40"/>
      <c r="Q1178" s="369"/>
      <c r="R1178" s="369"/>
      <c r="S1178" s="369"/>
      <c r="T1178" s="369"/>
      <c r="U1178" s="369"/>
      <c r="V1178" s="369"/>
      <c r="W1178" s="369"/>
      <c r="X1178" s="369"/>
      <c r="Y1178" s="369"/>
      <c r="Z1178" s="369"/>
    </row>
    <row r="1179" customFormat="false" ht="12.75" hidden="false" customHeight="false" outlineLevel="0" collapsed="false">
      <c r="A1179" s="368"/>
      <c r="B1179" s="368"/>
      <c r="P1179" s="40"/>
      <c r="Q1179" s="369"/>
      <c r="R1179" s="369"/>
      <c r="S1179" s="369"/>
      <c r="T1179" s="369"/>
      <c r="U1179" s="369"/>
      <c r="V1179" s="369"/>
      <c r="W1179" s="369"/>
      <c r="X1179" s="369"/>
      <c r="Y1179" s="369"/>
      <c r="Z1179" s="369"/>
    </row>
    <row r="1180" customFormat="false" ht="12.75" hidden="false" customHeight="false" outlineLevel="0" collapsed="false">
      <c r="A1180" s="368"/>
      <c r="B1180" s="368"/>
      <c r="P1180" s="40"/>
      <c r="Q1180" s="369"/>
      <c r="R1180" s="369"/>
      <c r="S1180" s="369"/>
      <c r="T1180" s="369"/>
      <c r="U1180" s="369"/>
      <c r="V1180" s="369"/>
      <c r="W1180" s="369"/>
      <c r="X1180" s="369"/>
      <c r="Y1180" s="369"/>
      <c r="Z1180" s="369"/>
    </row>
    <row r="1181" customFormat="false" ht="12.75" hidden="false" customHeight="false" outlineLevel="0" collapsed="false">
      <c r="A1181" s="368"/>
      <c r="B1181" s="368"/>
      <c r="P1181" s="40"/>
      <c r="Q1181" s="369"/>
      <c r="R1181" s="369"/>
      <c r="S1181" s="369"/>
      <c r="T1181" s="369"/>
      <c r="U1181" s="369"/>
      <c r="V1181" s="369"/>
      <c r="W1181" s="369"/>
      <c r="X1181" s="369"/>
      <c r="Y1181" s="369"/>
      <c r="Z1181" s="369"/>
    </row>
    <row r="1182" customFormat="false" ht="12.75" hidden="false" customHeight="false" outlineLevel="0" collapsed="false">
      <c r="A1182" s="368"/>
      <c r="B1182" s="368"/>
      <c r="P1182" s="40"/>
      <c r="Q1182" s="369"/>
      <c r="R1182" s="369"/>
      <c r="S1182" s="369"/>
      <c r="T1182" s="369"/>
      <c r="U1182" s="369"/>
      <c r="V1182" s="369"/>
      <c r="W1182" s="369"/>
      <c r="X1182" s="369"/>
      <c r="Y1182" s="369"/>
      <c r="Z1182" s="369"/>
    </row>
    <row r="1183" customFormat="false" ht="12.75" hidden="false" customHeight="false" outlineLevel="0" collapsed="false">
      <c r="A1183" s="368"/>
      <c r="B1183" s="368"/>
      <c r="P1183" s="40"/>
      <c r="Q1183" s="369"/>
      <c r="R1183" s="369"/>
      <c r="S1183" s="369"/>
      <c r="T1183" s="369"/>
      <c r="U1183" s="369"/>
      <c r="V1183" s="369"/>
      <c r="W1183" s="369"/>
      <c r="X1183" s="369"/>
      <c r="Y1183" s="369"/>
      <c r="Z1183" s="369"/>
    </row>
    <row r="1184" customFormat="false" ht="12.75" hidden="false" customHeight="false" outlineLevel="0" collapsed="false">
      <c r="A1184" s="368"/>
      <c r="B1184" s="368"/>
      <c r="P1184" s="40"/>
      <c r="Q1184" s="369"/>
      <c r="R1184" s="369"/>
      <c r="S1184" s="369"/>
      <c r="T1184" s="369"/>
      <c r="U1184" s="369"/>
      <c r="V1184" s="369"/>
      <c r="W1184" s="369"/>
      <c r="X1184" s="369"/>
      <c r="Y1184" s="369"/>
      <c r="Z1184" s="369"/>
    </row>
    <row r="1185" customFormat="false" ht="12.75" hidden="false" customHeight="false" outlineLevel="0" collapsed="false">
      <c r="A1185" s="368"/>
      <c r="B1185" s="368"/>
      <c r="P1185" s="40"/>
      <c r="Q1185" s="369"/>
      <c r="R1185" s="369"/>
      <c r="S1185" s="369"/>
      <c r="T1185" s="369"/>
      <c r="U1185" s="369"/>
      <c r="V1185" s="369"/>
      <c r="W1185" s="369"/>
      <c r="X1185" s="369"/>
      <c r="Y1185" s="369"/>
      <c r="Z1185" s="369"/>
    </row>
    <row r="1186" customFormat="false" ht="12.75" hidden="false" customHeight="false" outlineLevel="0" collapsed="false">
      <c r="A1186" s="368"/>
      <c r="B1186" s="368"/>
      <c r="P1186" s="40"/>
      <c r="Q1186" s="369"/>
      <c r="R1186" s="369"/>
      <c r="S1186" s="369"/>
      <c r="T1186" s="369"/>
      <c r="U1186" s="369"/>
      <c r="V1186" s="369"/>
      <c r="W1186" s="369"/>
      <c r="X1186" s="369"/>
      <c r="Y1186" s="369"/>
      <c r="Z1186" s="369"/>
    </row>
    <row r="1187" customFormat="false" ht="12.75" hidden="false" customHeight="false" outlineLevel="0" collapsed="false">
      <c r="A1187" s="368"/>
      <c r="B1187" s="368"/>
      <c r="P1187" s="40"/>
      <c r="Q1187" s="369"/>
      <c r="R1187" s="369"/>
      <c r="S1187" s="369"/>
      <c r="T1187" s="369"/>
      <c r="U1187" s="369"/>
      <c r="V1187" s="369"/>
      <c r="W1187" s="369"/>
      <c r="X1187" s="369"/>
      <c r="Y1187" s="369"/>
      <c r="Z1187" s="369"/>
    </row>
    <row r="1188" customFormat="false" ht="12.75" hidden="false" customHeight="false" outlineLevel="0" collapsed="false">
      <c r="A1188" s="368"/>
      <c r="B1188" s="368"/>
      <c r="P1188" s="40"/>
      <c r="Q1188" s="369"/>
      <c r="R1188" s="369"/>
      <c r="S1188" s="369"/>
      <c r="T1188" s="369"/>
      <c r="U1188" s="369"/>
      <c r="V1188" s="369"/>
      <c r="W1188" s="369"/>
      <c r="X1188" s="369"/>
      <c r="Y1188" s="369"/>
      <c r="Z1188" s="369"/>
    </row>
    <row r="1189" customFormat="false" ht="12.75" hidden="false" customHeight="false" outlineLevel="0" collapsed="false">
      <c r="A1189" s="368"/>
      <c r="B1189" s="368"/>
      <c r="P1189" s="40"/>
      <c r="Q1189" s="369"/>
      <c r="R1189" s="369"/>
      <c r="S1189" s="369"/>
      <c r="T1189" s="369"/>
      <c r="U1189" s="369"/>
      <c r="V1189" s="369"/>
      <c r="W1189" s="369"/>
      <c r="X1189" s="369"/>
      <c r="Y1189" s="369"/>
      <c r="Z1189" s="369"/>
    </row>
    <row r="1190" customFormat="false" ht="12.75" hidden="false" customHeight="false" outlineLevel="0" collapsed="false">
      <c r="A1190" s="368"/>
      <c r="B1190" s="368"/>
      <c r="P1190" s="40"/>
      <c r="Q1190" s="369"/>
      <c r="R1190" s="369"/>
      <c r="S1190" s="369"/>
      <c r="T1190" s="369"/>
      <c r="U1190" s="369"/>
      <c r="V1190" s="369"/>
      <c r="W1190" s="369"/>
      <c r="X1190" s="369"/>
      <c r="Y1190" s="369"/>
      <c r="Z1190" s="369"/>
    </row>
    <row r="1191" customFormat="false" ht="12.75" hidden="false" customHeight="false" outlineLevel="0" collapsed="false">
      <c r="A1191" s="368"/>
      <c r="B1191" s="368"/>
      <c r="P1191" s="40"/>
      <c r="Q1191" s="369"/>
      <c r="R1191" s="369"/>
      <c r="S1191" s="369"/>
      <c r="T1191" s="369"/>
      <c r="U1191" s="369"/>
      <c r="V1191" s="369"/>
      <c r="W1191" s="369"/>
      <c r="X1191" s="369"/>
      <c r="Y1191" s="369"/>
      <c r="Z1191" s="369"/>
    </row>
    <row r="1192" customFormat="false" ht="12.75" hidden="false" customHeight="false" outlineLevel="0" collapsed="false">
      <c r="A1192" s="368"/>
      <c r="B1192" s="368"/>
      <c r="P1192" s="40"/>
      <c r="Q1192" s="369"/>
      <c r="R1192" s="369"/>
      <c r="S1192" s="369"/>
      <c r="T1192" s="369"/>
      <c r="U1192" s="369"/>
      <c r="V1192" s="369"/>
      <c r="W1192" s="369"/>
      <c r="X1192" s="369"/>
      <c r="Y1192" s="369"/>
      <c r="Z1192" s="369"/>
    </row>
    <row r="1193" customFormat="false" ht="12.75" hidden="false" customHeight="false" outlineLevel="0" collapsed="false">
      <c r="A1193" s="368"/>
      <c r="B1193" s="368"/>
      <c r="P1193" s="40"/>
      <c r="Q1193" s="369"/>
      <c r="R1193" s="369"/>
      <c r="S1193" s="369"/>
      <c r="T1193" s="369"/>
      <c r="U1193" s="369"/>
      <c r="V1193" s="369"/>
      <c r="W1193" s="369"/>
      <c r="X1193" s="369"/>
      <c r="Y1193" s="369"/>
      <c r="Z1193" s="369"/>
    </row>
    <row r="1194" customFormat="false" ht="12.75" hidden="false" customHeight="false" outlineLevel="0" collapsed="false">
      <c r="A1194" s="368"/>
      <c r="B1194" s="368"/>
      <c r="P1194" s="40"/>
      <c r="Q1194" s="369"/>
      <c r="R1194" s="369"/>
      <c r="S1194" s="369"/>
      <c r="T1194" s="369"/>
      <c r="U1194" s="369"/>
      <c r="V1194" s="369"/>
      <c r="W1194" s="369"/>
      <c r="X1194" s="369"/>
      <c r="Y1194" s="369"/>
      <c r="Z1194" s="369"/>
    </row>
    <row r="1195" customFormat="false" ht="12.75" hidden="false" customHeight="false" outlineLevel="0" collapsed="false">
      <c r="A1195" s="368"/>
      <c r="B1195" s="368"/>
      <c r="P1195" s="40"/>
      <c r="Q1195" s="369"/>
      <c r="R1195" s="369"/>
      <c r="S1195" s="369"/>
      <c r="T1195" s="369"/>
      <c r="U1195" s="369"/>
      <c r="V1195" s="369"/>
      <c r="W1195" s="369"/>
      <c r="X1195" s="369"/>
      <c r="Y1195" s="369"/>
      <c r="Z1195" s="369"/>
    </row>
    <row r="1196" customFormat="false" ht="12.75" hidden="false" customHeight="false" outlineLevel="0" collapsed="false">
      <c r="A1196" s="368"/>
      <c r="B1196" s="368"/>
      <c r="P1196" s="40"/>
      <c r="Q1196" s="369"/>
      <c r="R1196" s="369"/>
      <c r="S1196" s="369"/>
      <c r="T1196" s="369"/>
      <c r="U1196" s="369"/>
      <c r="V1196" s="369"/>
      <c r="W1196" s="369"/>
      <c r="X1196" s="369"/>
      <c r="Y1196" s="369"/>
      <c r="Z1196" s="369"/>
    </row>
    <row r="1197" customFormat="false" ht="12.75" hidden="false" customHeight="false" outlineLevel="0" collapsed="false">
      <c r="A1197" s="368"/>
      <c r="B1197" s="368"/>
      <c r="P1197" s="40"/>
      <c r="Q1197" s="369"/>
      <c r="R1197" s="369"/>
      <c r="S1197" s="369"/>
      <c r="T1197" s="369"/>
      <c r="U1197" s="369"/>
      <c r="V1197" s="369"/>
      <c r="W1197" s="369"/>
      <c r="X1197" s="369"/>
      <c r="Y1197" s="369"/>
      <c r="Z1197" s="369"/>
    </row>
    <row r="1198" customFormat="false" ht="12.75" hidden="false" customHeight="false" outlineLevel="0" collapsed="false">
      <c r="A1198" s="368"/>
      <c r="B1198" s="368"/>
      <c r="P1198" s="40"/>
      <c r="Q1198" s="369"/>
      <c r="R1198" s="369"/>
      <c r="S1198" s="369"/>
      <c r="T1198" s="369"/>
      <c r="U1198" s="369"/>
      <c r="V1198" s="369"/>
      <c r="W1198" s="369"/>
      <c r="X1198" s="369"/>
      <c r="Y1198" s="369"/>
      <c r="Z1198" s="369"/>
    </row>
    <row r="1199" customFormat="false" ht="12.75" hidden="false" customHeight="false" outlineLevel="0" collapsed="false">
      <c r="A1199" s="368"/>
      <c r="B1199" s="368"/>
      <c r="P1199" s="40"/>
      <c r="Q1199" s="369"/>
      <c r="R1199" s="369"/>
      <c r="S1199" s="369"/>
      <c r="T1199" s="369"/>
      <c r="U1199" s="369"/>
      <c r="V1199" s="369"/>
      <c r="W1199" s="369"/>
      <c r="X1199" s="369"/>
      <c r="Y1199" s="369"/>
      <c r="Z1199" s="369"/>
    </row>
    <row r="1200" customFormat="false" ht="12.75" hidden="false" customHeight="false" outlineLevel="0" collapsed="false">
      <c r="A1200" s="368"/>
      <c r="B1200" s="368"/>
      <c r="P1200" s="40"/>
      <c r="Q1200" s="369"/>
      <c r="R1200" s="369"/>
      <c r="S1200" s="369"/>
      <c r="T1200" s="369"/>
      <c r="U1200" s="369"/>
      <c r="V1200" s="369"/>
      <c r="W1200" s="369"/>
      <c r="X1200" s="369"/>
      <c r="Y1200" s="369"/>
      <c r="Z1200" s="369"/>
    </row>
    <row r="1201" customFormat="false" ht="12.75" hidden="false" customHeight="false" outlineLevel="0" collapsed="false">
      <c r="A1201" s="368"/>
      <c r="B1201" s="368"/>
      <c r="P1201" s="40"/>
      <c r="Q1201" s="369"/>
      <c r="R1201" s="369"/>
      <c r="S1201" s="369"/>
      <c r="T1201" s="369"/>
      <c r="U1201" s="369"/>
      <c r="V1201" s="369"/>
      <c r="W1201" s="369"/>
      <c r="X1201" s="369"/>
      <c r="Y1201" s="369"/>
      <c r="Z1201" s="369"/>
    </row>
    <row r="1202" customFormat="false" ht="12.75" hidden="false" customHeight="false" outlineLevel="0" collapsed="false">
      <c r="A1202" s="368"/>
      <c r="B1202" s="368"/>
      <c r="P1202" s="40"/>
      <c r="Q1202" s="369"/>
      <c r="R1202" s="369"/>
      <c r="S1202" s="369"/>
      <c r="T1202" s="369"/>
      <c r="U1202" s="369"/>
      <c r="V1202" s="369"/>
      <c r="W1202" s="369"/>
      <c r="X1202" s="369"/>
      <c r="Y1202" s="369"/>
      <c r="Z1202" s="369"/>
    </row>
    <row r="1203" customFormat="false" ht="12.75" hidden="false" customHeight="false" outlineLevel="0" collapsed="false">
      <c r="A1203" s="368"/>
      <c r="B1203" s="368"/>
      <c r="P1203" s="40"/>
      <c r="Q1203" s="369"/>
      <c r="R1203" s="369"/>
      <c r="S1203" s="369"/>
      <c r="T1203" s="369"/>
      <c r="U1203" s="369"/>
      <c r="V1203" s="369"/>
      <c r="W1203" s="369"/>
      <c r="X1203" s="369"/>
      <c r="Y1203" s="369"/>
      <c r="Z1203" s="369"/>
    </row>
    <row r="1204" customFormat="false" ht="12.75" hidden="false" customHeight="false" outlineLevel="0" collapsed="false">
      <c r="A1204" s="368"/>
      <c r="B1204" s="368"/>
      <c r="P1204" s="40"/>
      <c r="Q1204" s="369"/>
      <c r="R1204" s="369"/>
      <c r="S1204" s="369"/>
      <c r="T1204" s="369"/>
      <c r="U1204" s="369"/>
      <c r="V1204" s="369"/>
      <c r="W1204" s="369"/>
      <c r="X1204" s="369"/>
      <c r="Y1204" s="369"/>
      <c r="Z1204" s="369"/>
    </row>
    <row r="1205" customFormat="false" ht="12.75" hidden="false" customHeight="false" outlineLevel="0" collapsed="false">
      <c r="A1205" s="368"/>
      <c r="B1205" s="368"/>
      <c r="P1205" s="40"/>
      <c r="Q1205" s="369"/>
      <c r="R1205" s="369"/>
      <c r="S1205" s="369"/>
      <c r="T1205" s="369"/>
      <c r="U1205" s="369"/>
      <c r="V1205" s="369"/>
      <c r="W1205" s="369"/>
      <c r="X1205" s="369"/>
      <c r="Y1205" s="369"/>
      <c r="Z1205" s="369"/>
    </row>
    <row r="1206" customFormat="false" ht="12.75" hidden="false" customHeight="false" outlineLevel="0" collapsed="false">
      <c r="A1206" s="368"/>
      <c r="B1206" s="368"/>
      <c r="P1206" s="40"/>
      <c r="Q1206" s="369"/>
      <c r="R1206" s="369"/>
      <c r="S1206" s="369"/>
      <c r="T1206" s="369"/>
      <c r="U1206" s="369"/>
      <c r="V1206" s="369"/>
      <c r="W1206" s="369"/>
      <c r="X1206" s="369"/>
      <c r="Y1206" s="369"/>
      <c r="Z1206" s="369"/>
    </row>
    <row r="1207" customFormat="false" ht="12.75" hidden="false" customHeight="false" outlineLevel="0" collapsed="false">
      <c r="A1207" s="368"/>
      <c r="B1207" s="368"/>
      <c r="P1207" s="40"/>
      <c r="Q1207" s="369"/>
      <c r="R1207" s="369"/>
      <c r="S1207" s="369"/>
      <c r="T1207" s="369"/>
      <c r="U1207" s="369"/>
      <c r="V1207" s="369"/>
      <c r="W1207" s="369"/>
      <c r="X1207" s="369"/>
      <c r="Y1207" s="369"/>
      <c r="Z1207" s="369"/>
    </row>
    <row r="1208" customFormat="false" ht="12.75" hidden="false" customHeight="false" outlineLevel="0" collapsed="false">
      <c r="A1208" s="368"/>
      <c r="B1208" s="368"/>
      <c r="P1208" s="40"/>
      <c r="Q1208" s="369"/>
      <c r="R1208" s="369"/>
      <c r="S1208" s="369"/>
      <c r="T1208" s="369"/>
      <c r="U1208" s="369"/>
      <c r="V1208" s="369"/>
      <c r="W1208" s="369"/>
      <c r="X1208" s="369"/>
      <c r="Y1208" s="369"/>
      <c r="Z1208" s="369"/>
    </row>
    <row r="1209" customFormat="false" ht="12.75" hidden="false" customHeight="false" outlineLevel="0" collapsed="false">
      <c r="A1209" s="368"/>
      <c r="B1209" s="368"/>
      <c r="P1209" s="40"/>
      <c r="Q1209" s="369"/>
      <c r="R1209" s="369"/>
      <c r="S1209" s="369"/>
      <c r="T1209" s="369"/>
      <c r="U1209" s="369"/>
      <c r="V1209" s="369"/>
      <c r="W1209" s="369"/>
      <c r="X1209" s="369"/>
      <c r="Y1209" s="369"/>
      <c r="Z1209" s="369"/>
    </row>
    <row r="1210" customFormat="false" ht="12.75" hidden="false" customHeight="false" outlineLevel="0" collapsed="false">
      <c r="A1210" s="368"/>
      <c r="B1210" s="368"/>
      <c r="P1210" s="40"/>
      <c r="Q1210" s="369"/>
      <c r="R1210" s="369"/>
      <c r="S1210" s="369"/>
      <c r="T1210" s="369"/>
      <c r="U1210" s="369"/>
      <c r="V1210" s="369"/>
      <c r="W1210" s="369"/>
      <c r="X1210" s="369"/>
      <c r="Y1210" s="369"/>
      <c r="Z1210" s="369"/>
    </row>
    <row r="1211" customFormat="false" ht="12.75" hidden="false" customHeight="false" outlineLevel="0" collapsed="false">
      <c r="A1211" s="368"/>
      <c r="B1211" s="368"/>
      <c r="P1211" s="40"/>
      <c r="Q1211" s="369"/>
      <c r="R1211" s="369"/>
      <c r="S1211" s="369"/>
      <c r="T1211" s="369"/>
      <c r="U1211" s="369"/>
      <c r="V1211" s="369"/>
      <c r="W1211" s="369"/>
      <c r="X1211" s="369"/>
      <c r="Y1211" s="369"/>
      <c r="Z1211" s="369"/>
    </row>
    <row r="1212" customFormat="false" ht="12.75" hidden="false" customHeight="false" outlineLevel="0" collapsed="false">
      <c r="A1212" s="368"/>
      <c r="B1212" s="368"/>
      <c r="P1212" s="40"/>
      <c r="Q1212" s="369"/>
      <c r="R1212" s="369"/>
      <c r="S1212" s="369"/>
      <c r="T1212" s="369"/>
      <c r="U1212" s="369"/>
      <c r="V1212" s="369"/>
      <c r="W1212" s="369"/>
      <c r="X1212" s="369"/>
      <c r="Y1212" s="369"/>
      <c r="Z1212" s="369"/>
    </row>
    <row r="1213" customFormat="false" ht="12.75" hidden="false" customHeight="false" outlineLevel="0" collapsed="false">
      <c r="A1213" s="368"/>
      <c r="B1213" s="368"/>
      <c r="P1213" s="40"/>
      <c r="Q1213" s="369"/>
      <c r="R1213" s="369"/>
      <c r="S1213" s="369"/>
      <c r="T1213" s="369"/>
      <c r="U1213" s="369"/>
      <c r="V1213" s="369"/>
      <c r="W1213" s="369"/>
      <c r="X1213" s="369"/>
      <c r="Y1213" s="369"/>
      <c r="Z1213" s="369"/>
    </row>
    <row r="1214" customFormat="false" ht="12.75" hidden="false" customHeight="false" outlineLevel="0" collapsed="false">
      <c r="A1214" s="368"/>
      <c r="B1214" s="368"/>
      <c r="P1214" s="40"/>
      <c r="Q1214" s="369"/>
      <c r="R1214" s="369"/>
      <c r="S1214" s="369"/>
      <c r="T1214" s="369"/>
      <c r="U1214" s="369"/>
      <c r="V1214" s="369"/>
      <c r="W1214" s="369"/>
      <c r="X1214" s="369"/>
      <c r="Y1214" s="369"/>
      <c r="Z1214" s="369"/>
    </row>
    <row r="1215" customFormat="false" ht="12.75" hidden="false" customHeight="false" outlineLevel="0" collapsed="false">
      <c r="A1215" s="368"/>
      <c r="B1215" s="368"/>
      <c r="P1215" s="40"/>
      <c r="Q1215" s="369"/>
      <c r="R1215" s="369"/>
      <c r="S1215" s="369"/>
      <c r="T1215" s="369"/>
      <c r="U1215" s="369"/>
      <c r="V1215" s="369"/>
      <c r="W1215" s="369"/>
      <c r="X1215" s="369"/>
      <c r="Y1215" s="369"/>
      <c r="Z1215" s="369"/>
    </row>
    <row r="1216" customFormat="false" ht="12.75" hidden="false" customHeight="false" outlineLevel="0" collapsed="false">
      <c r="A1216" s="368"/>
      <c r="B1216" s="368"/>
      <c r="P1216" s="40"/>
      <c r="Q1216" s="369"/>
      <c r="R1216" s="369"/>
      <c r="S1216" s="369"/>
      <c r="T1216" s="369"/>
      <c r="U1216" s="369"/>
      <c r="V1216" s="369"/>
      <c r="W1216" s="369"/>
      <c r="X1216" s="369"/>
      <c r="Y1216" s="369"/>
      <c r="Z1216" s="369"/>
    </row>
    <row r="1217" customFormat="false" ht="12.75" hidden="false" customHeight="false" outlineLevel="0" collapsed="false">
      <c r="A1217" s="368"/>
      <c r="B1217" s="368"/>
      <c r="P1217" s="40"/>
      <c r="Q1217" s="369"/>
      <c r="R1217" s="369"/>
      <c r="S1217" s="369"/>
      <c r="T1217" s="369"/>
      <c r="U1217" s="369"/>
      <c r="V1217" s="369"/>
      <c r="W1217" s="369"/>
      <c r="X1217" s="369"/>
      <c r="Y1217" s="369"/>
      <c r="Z1217" s="369"/>
    </row>
    <row r="1218" customFormat="false" ht="12.75" hidden="false" customHeight="false" outlineLevel="0" collapsed="false">
      <c r="A1218" s="368"/>
      <c r="B1218" s="368"/>
      <c r="P1218" s="40"/>
      <c r="Q1218" s="369"/>
      <c r="R1218" s="369"/>
      <c r="S1218" s="369"/>
      <c r="T1218" s="369"/>
      <c r="U1218" s="369"/>
      <c r="V1218" s="369"/>
      <c r="W1218" s="369"/>
      <c r="X1218" s="369"/>
      <c r="Y1218" s="369"/>
      <c r="Z1218" s="369"/>
    </row>
    <row r="1219" customFormat="false" ht="12.75" hidden="false" customHeight="false" outlineLevel="0" collapsed="false">
      <c r="A1219" s="368"/>
      <c r="B1219" s="368"/>
      <c r="P1219" s="40"/>
      <c r="Q1219" s="369"/>
      <c r="R1219" s="369"/>
      <c r="S1219" s="369"/>
      <c r="T1219" s="369"/>
      <c r="U1219" s="369"/>
      <c r="V1219" s="369"/>
      <c r="W1219" s="369"/>
      <c r="X1219" s="369"/>
      <c r="Y1219" s="369"/>
      <c r="Z1219" s="369"/>
    </row>
    <row r="1220" customFormat="false" ht="12.75" hidden="false" customHeight="false" outlineLevel="0" collapsed="false">
      <c r="A1220" s="368"/>
      <c r="B1220" s="368"/>
      <c r="P1220" s="40"/>
      <c r="Q1220" s="369"/>
      <c r="R1220" s="369"/>
      <c r="S1220" s="369"/>
      <c r="T1220" s="369"/>
      <c r="U1220" s="369"/>
      <c r="V1220" s="369"/>
      <c r="W1220" s="369"/>
      <c r="X1220" s="369"/>
      <c r="Y1220" s="369"/>
      <c r="Z1220" s="369"/>
    </row>
    <row r="1221" customFormat="false" ht="12.75" hidden="false" customHeight="false" outlineLevel="0" collapsed="false">
      <c r="A1221" s="368"/>
      <c r="B1221" s="368"/>
      <c r="P1221" s="40"/>
      <c r="Q1221" s="369"/>
      <c r="R1221" s="369"/>
      <c r="S1221" s="369"/>
      <c r="T1221" s="369"/>
      <c r="U1221" s="369"/>
      <c r="V1221" s="369"/>
      <c r="W1221" s="369"/>
      <c r="X1221" s="369"/>
      <c r="Y1221" s="369"/>
      <c r="Z1221" s="369"/>
    </row>
    <row r="1222" customFormat="false" ht="12.75" hidden="false" customHeight="false" outlineLevel="0" collapsed="false">
      <c r="A1222" s="368"/>
      <c r="B1222" s="368"/>
      <c r="P1222" s="40"/>
      <c r="Q1222" s="369"/>
      <c r="R1222" s="369"/>
      <c r="S1222" s="369"/>
      <c r="T1222" s="369"/>
      <c r="U1222" s="369"/>
      <c r="V1222" s="369"/>
      <c r="W1222" s="369"/>
      <c r="X1222" s="369"/>
      <c r="Y1222" s="369"/>
      <c r="Z1222" s="369"/>
    </row>
    <row r="1223" customFormat="false" ht="12.75" hidden="false" customHeight="false" outlineLevel="0" collapsed="false">
      <c r="A1223" s="368"/>
      <c r="B1223" s="368"/>
      <c r="P1223" s="40"/>
      <c r="Q1223" s="369"/>
      <c r="R1223" s="369"/>
      <c r="S1223" s="369"/>
      <c r="T1223" s="369"/>
      <c r="U1223" s="369"/>
      <c r="V1223" s="369"/>
      <c r="W1223" s="369"/>
      <c r="X1223" s="369"/>
      <c r="Y1223" s="369"/>
      <c r="Z1223" s="369"/>
    </row>
    <row r="1224" customFormat="false" ht="12.75" hidden="false" customHeight="false" outlineLevel="0" collapsed="false">
      <c r="A1224" s="368"/>
      <c r="B1224" s="368"/>
      <c r="P1224" s="40"/>
      <c r="Q1224" s="369"/>
      <c r="R1224" s="369"/>
      <c r="S1224" s="369"/>
      <c r="T1224" s="369"/>
      <c r="U1224" s="369"/>
      <c r="V1224" s="369"/>
      <c r="W1224" s="369"/>
      <c r="X1224" s="369"/>
      <c r="Y1224" s="369"/>
      <c r="Z1224" s="369"/>
    </row>
    <row r="1225" customFormat="false" ht="12.75" hidden="false" customHeight="false" outlineLevel="0" collapsed="false">
      <c r="A1225" s="368"/>
      <c r="B1225" s="368"/>
      <c r="P1225" s="40"/>
      <c r="Q1225" s="369"/>
      <c r="R1225" s="369"/>
      <c r="S1225" s="369"/>
      <c r="T1225" s="369"/>
      <c r="U1225" s="369"/>
      <c r="V1225" s="369"/>
      <c r="W1225" s="369"/>
      <c r="X1225" s="369"/>
      <c r="Y1225" s="369"/>
      <c r="Z1225" s="369"/>
    </row>
    <row r="1226" customFormat="false" ht="12.75" hidden="false" customHeight="false" outlineLevel="0" collapsed="false">
      <c r="A1226" s="368"/>
      <c r="B1226" s="368"/>
      <c r="P1226" s="40"/>
      <c r="Q1226" s="369"/>
      <c r="R1226" s="369"/>
      <c r="S1226" s="369"/>
      <c r="T1226" s="369"/>
      <c r="U1226" s="369"/>
      <c r="V1226" s="369"/>
      <c r="W1226" s="369"/>
      <c r="X1226" s="369"/>
      <c r="Y1226" s="369"/>
      <c r="Z1226" s="369"/>
    </row>
    <row r="1227" customFormat="false" ht="12.75" hidden="false" customHeight="false" outlineLevel="0" collapsed="false">
      <c r="A1227" s="368"/>
      <c r="B1227" s="368"/>
      <c r="P1227" s="40"/>
      <c r="Q1227" s="369"/>
      <c r="R1227" s="369"/>
      <c r="S1227" s="369"/>
      <c r="T1227" s="369"/>
      <c r="U1227" s="369"/>
      <c r="V1227" s="369"/>
      <c r="W1227" s="369"/>
      <c r="X1227" s="369"/>
      <c r="Y1227" s="369"/>
      <c r="Z1227" s="369"/>
    </row>
    <row r="1228" customFormat="false" ht="12.75" hidden="false" customHeight="false" outlineLevel="0" collapsed="false">
      <c r="A1228" s="368"/>
      <c r="B1228" s="368"/>
      <c r="P1228" s="40"/>
      <c r="Q1228" s="369"/>
      <c r="R1228" s="369"/>
      <c r="S1228" s="369"/>
      <c r="T1228" s="369"/>
      <c r="U1228" s="369"/>
      <c r="V1228" s="369"/>
      <c r="W1228" s="369"/>
      <c r="X1228" s="369"/>
      <c r="Y1228" s="369"/>
      <c r="Z1228" s="369"/>
    </row>
    <row r="1229" customFormat="false" ht="12.75" hidden="false" customHeight="false" outlineLevel="0" collapsed="false">
      <c r="A1229" s="368"/>
      <c r="B1229" s="368"/>
      <c r="P1229" s="40"/>
      <c r="Q1229" s="369"/>
      <c r="R1229" s="369"/>
      <c r="S1229" s="369"/>
      <c r="T1229" s="369"/>
      <c r="U1229" s="369"/>
      <c r="V1229" s="369"/>
      <c r="W1229" s="369"/>
      <c r="X1229" s="369"/>
      <c r="Y1229" s="369"/>
      <c r="Z1229" s="369"/>
    </row>
    <row r="1230" customFormat="false" ht="12.75" hidden="false" customHeight="false" outlineLevel="0" collapsed="false">
      <c r="A1230" s="368"/>
      <c r="B1230" s="368"/>
      <c r="P1230" s="40"/>
      <c r="Q1230" s="369"/>
      <c r="R1230" s="369"/>
      <c r="S1230" s="369"/>
      <c r="T1230" s="369"/>
      <c r="U1230" s="369"/>
      <c r="V1230" s="369"/>
      <c r="W1230" s="369"/>
      <c r="X1230" s="369"/>
      <c r="Y1230" s="369"/>
      <c r="Z1230" s="369"/>
    </row>
    <row r="1231" customFormat="false" ht="12.75" hidden="false" customHeight="false" outlineLevel="0" collapsed="false">
      <c r="A1231" s="368"/>
      <c r="B1231" s="368"/>
      <c r="P1231" s="40"/>
      <c r="Q1231" s="369"/>
      <c r="R1231" s="369"/>
      <c r="S1231" s="369"/>
      <c r="T1231" s="369"/>
      <c r="U1231" s="369"/>
      <c r="V1231" s="369"/>
      <c r="W1231" s="369"/>
      <c r="X1231" s="369"/>
      <c r="Y1231" s="369"/>
      <c r="Z1231" s="369"/>
    </row>
    <row r="1232" customFormat="false" ht="12.75" hidden="false" customHeight="false" outlineLevel="0" collapsed="false">
      <c r="A1232" s="368"/>
      <c r="B1232" s="368"/>
      <c r="P1232" s="40"/>
      <c r="Q1232" s="369"/>
      <c r="R1232" s="369"/>
      <c r="S1232" s="369"/>
      <c r="T1232" s="369"/>
      <c r="U1232" s="369"/>
      <c r="V1232" s="369"/>
      <c r="W1232" s="369"/>
      <c r="X1232" s="369"/>
      <c r="Y1232" s="369"/>
      <c r="Z1232" s="369"/>
    </row>
    <row r="1233" customFormat="false" ht="12.75" hidden="false" customHeight="false" outlineLevel="0" collapsed="false">
      <c r="A1233" s="368"/>
      <c r="B1233" s="368"/>
      <c r="P1233" s="40"/>
      <c r="Q1233" s="369"/>
      <c r="R1233" s="369"/>
      <c r="S1233" s="369"/>
      <c r="T1233" s="369"/>
      <c r="U1233" s="369"/>
      <c r="V1233" s="369"/>
      <c r="W1233" s="369"/>
      <c r="X1233" s="369"/>
      <c r="Y1233" s="369"/>
      <c r="Z1233" s="369"/>
    </row>
    <row r="1234" customFormat="false" ht="12.75" hidden="false" customHeight="false" outlineLevel="0" collapsed="false">
      <c r="A1234" s="368"/>
      <c r="B1234" s="368"/>
      <c r="P1234" s="40"/>
      <c r="Q1234" s="369"/>
      <c r="R1234" s="369"/>
      <c r="S1234" s="369"/>
      <c r="T1234" s="369"/>
      <c r="U1234" s="369"/>
      <c r="V1234" s="369"/>
      <c r="W1234" s="369"/>
      <c r="X1234" s="369"/>
      <c r="Y1234" s="369"/>
      <c r="Z1234" s="369"/>
    </row>
    <row r="1235" customFormat="false" ht="12.75" hidden="false" customHeight="false" outlineLevel="0" collapsed="false">
      <c r="A1235" s="368"/>
      <c r="B1235" s="368"/>
      <c r="P1235" s="40"/>
      <c r="Q1235" s="369"/>
      <c r="R1235" s="369"/>
      <c r="S1235" s="369"/>
      <c r="T1235" s="369"/>
      <c r="U1235" s="369"/>
      <c r="V1235" s="369"/>
      <c r="W1235" s="369"/>
      <c r="X1235" s="369"/>
      <c r="Y1235" s="369"/>
      <c r="Z1235" s="369"/>
    </row>
    <row r="1236" customFormat="false" ht="12.75" hidden="false" customHeight="false" outlineLevel="0" collapsed="false">
      <c r="A1236" s="368"/>
      <c r="B1236" s="368"/>
      <c r="P1236" s="40"/>
      <c r="Q1236" s="369"/>
      <c r="R1236" s="369"/>
      <c r="S1236" s="369"/>
      <c r="T1236" s="369"/>
      <c r="U1236" s="369"/>
      <c r="V1236" s="369"/>
      <c r="W1236" s="369"/>
      <c r="X1236" s="369"/>
      <c r="Y1236" s="369"/>
      <c r="Z1236" s="369"/>
    </row>
    <row r="1237" customFormat="false" ht="12.75" hidden="false" customHeight="false" outlineLevel="0" collapsed="false">
      <c r="A1237" s="368"/>
      <c r="B1237" s="368"/>
      <c r="P1237" s="40"/>
      <c r="Q1237" s="369"/>
      <c r="R1237" s="369"/>
      <c r="S1237" s="369"/>
      <c r="T1237" s="369"/>
      <c r="U1237" s="369"/>
      <c r="V1237" s="369"/>
      <c r="W1237" s="369"/>
      <c r="X1237" s="369"/>
      <c r="Y1237" s="369"/>
      <c r="Z1237" s="369"/>
    </row>
    <row r="1238" customFormat="false" ht="12.75" hidden="false" customHeight="false" outlineLevel="0" collapsed="false">
      <c r="A1238" s="368"/>
      <c r="B1238" s="368"/>
      <c r="P1238" s="40"/>
      <c r="Q1238" s="369"/>
      <c r="R1238" s="369"/>
      <c r="S1238" s="369"/>
      <c r="T1238" s="369"/>
      <c r="U1238" s="369"/>
      <c r="V1238" s="369"/>
      <c r="W1238" s="369"/>
      <c r="X1238" s="369"/>
      <c r="Y1238" s="369"/>
      <c r="Z1238" s="369"/>
    </row>
    <row r="1239" customFormat="false" ht="12.75" hidden="false" customHeight="false" outlineLevel="0" collapsed="false">
      <c r="A1239" s="368"/>
      <c r="B1239" s="368"/>
      <c r="P1239" s="40"/>
      <c r="Q1239" s="369"/>
      <c r="R1239" s="369"/>
      <c r="S1239" s="369"/>
      <c r="T1239" s="369"/>
      <c r="U1239" s="369"/>
      <c r="V1239" s="369"/>
      <c r="W1239" s="369"/>
      <c r="X1239" s="369"/>
      <c r="Y1239" s="369"/>
      <c r="Z1239" s="369"/>
    </row>
    <row r="1240" customFormat="false" ht="12.75" hidden="false" customHeight="false" outlineLevel="0" collapsed="false">
      <c r="A1240" s="368"/>
      <c r="B1240" s="368"/>
      <c r="P1240" s="40"/>
      <c r="Q1240" s="369"/>
      <c r="R1240" s="369"/>
      <c r="S1240" s="369"/>
      <c r="T1240" s="369"/>
      <c r="U1240" s="369"/>
      <c r="V1240" s="369"/>
      <c r="W1240" s="369"/>
      <c r="X1240" s="369"/>
      <c r="Y1240" s="369"/>
      <c r="Z1240" s="369"/>
    </row>
    <row r="1241" customFormat="false" ht="12.75" hidden="false" customHeight="false" outlineLevel="0" collapsed="false">
      <c r="A1241" s="368"/>
      <c r="B1241" s="368"/>
      <c r="P1241" s="40"/>
      <c r="Q1241" s="369"/>
      <c r="R1241" s="369"/>
      <c r="S1241" s="369"/>
      <c r="T1241" s="369"/>
      <c r="U1241" s="369"/>
      <c r="V1241" s="369"/>
      <c r="W1241" s="369"/>
      <c r="X1241" s="369"/>
      <c r="Y1241" s="369"/>
      <c r="Z1241" s="369"/>
    </row>
    <row r="1242" customFormat="false" ht="12.75" hidden="false" customHeight="false" outlineLevel="0" collapsed="false">
      <c r="A1242" s="368"/>
      <c r="B1242" s="368"/>
      <c r="P1242" s="40"/>
      <c r="Q1242" s="369"/>
      <c r="R1242" s="369"/>
      <c r="S1242" s="369"/>
      <c r="T1242" s="369"/>
      <c r="U1242" s="369"/>
      <c r="V1242" s="369"/>
      <c r="W1242" s="369"/>
      <c r="X1242" s="369"/>
      <c r="Y1242" s="369"/>
      <c r="Z1242" s="369"/>
    </row>
    <row r="1243" customFormat="false" ht="12.75" hidden="false" customHeight="false" outlineLevel="0" collapsed="false">
      <c r="A1243" s="368"/>
      <c r="B1243" s="368"/>
      <c r="P1243" s="40"/>
      <c r="Q1243" s="369"/>
      <c r="R1243" s="369"/>
      <c r="S1243" s="369"/>
      <c r="T1243" s="369"/>
      <c r="U1243" s="369"/>
      <c r="V1243" s="369"/>
      <c r="W1243" s="369"/>
      <c r="X1243" s="369"/>
      <c r="Y1243" s="369"/>
      <c r="Z1243" s="369"/>
    </row>
    <row r="1244" customFormat="false" ht="12.75" hidden="false" customHeight="false" outlineLevel="0" collapsed="false">
      <c r="A1244" s="368"/>
      <c r="B1244" s="368"/>
      <c r="P1244" s="40"/>
      <c r="Q1244" s="369"/>
      <c r="R1244" s="369"/>
      <c r="S1244" s="369"/>
      <c r="T1244" s="369"/>
      <c r="U1244" s="369"/>
      <c r="V1244" s="369"/>
      <c r="W1244" s="369"/>
      <c r="X1244" s="369"/>
      <c r="Y1244" s="369"/>
      <c r="Z1244" s="369"/>
    </row>
    <row r="1245" customFormat="false" ht="12.75" hidden="false" customHeight="false" outlineLevel="0" collapsed="false">
      <c r="A1245" s="368"/>
      <c r="B1245" s="368"/>
      <c r="P1245" s="40"/>
      <c r="Q1245" s="369"/>
      <c r="R1245" s="369"/>
      <c r="S1245" s="369"/>
      <c r="T1245" s="369"/>
      <c r="U1245" s="369"/>
      <c r="V1245" s="369"/>
      <c r="W1245" s="369"/>
      <c r="X1245" s="369"/>
      <c r="Y1245" s="369"/>
      <c r="Z1245" s="369"/>
    </row>
    <row r="1246" customFormat="false" ht="12.75" hidden="false" customHeight="false" outlineLevel="0" collapsed="false">
      <c r="A1246" s="368"/>
      <c r="B1246" s="368"/>
      <c r="P1246" s="40"/>
      <c r="Q1246" s="369"/>
      <c r="R1246" s="369"/>
      <c r="S1246" s="369"/>
      <c r="T1246" s="369"/>
      <c r="U1246" s="369"/>
      <c r="V1246" s="369"/>
      <c r="W1246" s="369"/>
      <c r="X1246" s="369"/>
      <c r="Y1246" s="369"/>
      <c r="Z1246" s="369"/>
    </row>
    <row r="1247" customFormat="false" ht="12.75" hidden="false" customHeight="false" outlineLevel="0" collapsed="false">
      <c r="A1247" s="368"/>
      <c r="B1247" s="368"/>
      <c r="P1247" s="40"/>
      <c r="Q1247" s="369"/>
      <c r="R1247" s="369"/>
      <c r="S1247" s="369"/>
      <c r="T1247" s="369"/>
      <c r="U1247" s="369"/>
      <c r="V1247" s="369"/>
      <c r="W1247" s="369"/>
      <c r="X1247" s="369"/>
      <c r="Y1247" s="369"/>
      <c r="Z1247" s="369"/>
    </row>
    <row r="1248" customFormat="false" ht="12.75" hidden="false" customHeight="false" outlineLevel="0" collapsed="false">
      <c r="A1248" s="368"/>
      <c r="B1248" s="368"/>
      <c r="P1248" s="40"/>
      <c r="Q1248" s="369"/>
      <c r="R1248" s="369"/>
      <c r="S1248" s="369"/>
      <c r="T1248" s="369"/>
      <c r="U1248" s="369"/>
      <c r="V1248" s="369"/>
      <c r="W1248" s="369"/>
      <c r="X1248" s="369"/>
      <c r="Y1248" s="369"/>
      <c r="Z1248" s="369"/>
    </row>
    <row r="1249" customFormat="false" ht="12.75" hidden="false" customHeight="false" outlineLevel="0" collapsed="false">
      <c r="A1249" s="368"/>
      <c r="B1249" s="368"/>
      <c r="P1249" s="40"/>
      <c r="Q1249" s="369"/>
      <c r="R1249" s="369"/>
      <c r="S1249" s="369"/>
      <c r="T1249" s="369"/>
      <c r="U1249" s="369"/>
      <c r="V1249" s="369"/>
      <c r="W1249" s="369"/>
      <c r="X1249" s="369"/>
      <c r="Y1249" s="369"/>
      <c r="Z1249" s="369"/>
    </row>
    <row r="1250" customFormat="false" ht="12.75" hidden="false" customHeight="false" outlineLevel="0" collapsed="false">
      <c r="A1250" s="368"/>
      <c r="B1250" s="368"/>
      <c r="P1250" s="40"/>
      <c r="Q1250" s="369"/>
      <c r="R1250" s="369"/>
      <c r="S1250" s="369"/>
      <c r="T1250" s="369"/>
      <c r="U1250" s="369"/>
      <c r="V1250" s="369"/>
      <c r="W1250" s="369"/>
      <c r="X1250" s="369"/>
      <c r="Y1250" s="369"/>
      <c r="Z1250" s="369"/>
    </row>
    <row r="1251" customFormat="false" ht="12.75" hidden="false" customHeight="false" outlineLevel="0" collapsed="false">
      <c r="A1251" s="368"/>
      <c r="B1251" s="368"/>
      <c r="P1251" s="40"/>
      <c r="Q1251" s="369"/>
      <c r="R1251" s="369"/>
      <c r="S1251" s="369"/>
      <c r="T1251" s="369"/>
      <c r="U1251" s="369"/>
      <c r="V1251" s="369"/>
      <c r="W1251" s="369"/>
      <c r="X1251" s="369"/>
      <c r="Y1251" s="369"/>
      <c r="Z1251" s="369"/>
    </row>
    <row r="1252" customFormat="false" ht="12.75" hidden="false" customHeight="false" outlineLevel="0" collapsed="false">
      <c r="A1252" s="368"/>
      <c r="B1252" s="368"/>
      <c r="P1252" s="40"/>
      <c r="Q1252" s="369"/>
      <c r="R1252" s="369"/>
      <c r="S1252" s="369"/>
      <c r="T1252" s="369"/>
      <c r="U1252" s="369"/>
      <c r="V1252" s="369"/>
      <c r="W1252" s="369"/>
      <c r="X1252" s="369"/>
      <c r="Y1252" s="369"/>
      <c r="Z1252" s="369"/>
    </row>
    <row r="1253" customFormat="false" ht="12.75" hidden="false" customHeight="false" outlineLevel="0" collapsed="false">
      <c r="A1253" s="368"/>
      <c r="B1253" s="368"/>
      <c r="P1253" s="40"/>
      <c r="Q1253" s="369"/>
      <c r="R1253" s="369"/>
      <c r="S1253" s="369"/>
      <c r="T1253" s="369"/>
      <c r="U1253" s="369"/>
      <c r="V1253" s="369"/>
      <c r="W1253" s="369"/>
      <c r="X1253" s="369"/>
      <c r="Y1253" s="369"/>
      <c r="Z1253" s="369"/>
    </row>
    <row r="1254" customFormat="false" ht="12.75" hidden="false" customHeight="false" outlineLevel="0" collapsed="false">
      <c r="A1254" s="368"/>
      <c r="B1254" s="368"/>
      <c r="P1254" s="40"/>
      <c r="Q1254" s="369"/>
      <c r="R1254" s="369"/>
      <c r="S1254" s="369"/>
      <c r="T1254" s="369"/>
      <c r="U1254" s="369"/>
      <c r="V1254" s="369"/>
      <c r="W1254" s="369"/>
      <c r="X1254" s="369"/>
      <c r="Y1254" s="369"/>
      <c r="Z1254" s="369"/>
    </row>
    <row r="1255" customFormat="false" ht="12.75" hidden="false" customHeight="false" outlineLevel="0" collapsed="false">
      <c r="A1255" s="368"/>
      <c r="B1255" s="368"/>
      <c r="P1255" s="40"/>
      <c r="Q1255" s="369"/>
      <c r="R1255" s="369"/>
      <c r="S1255" s="369"/>
      <c r="T1255" s="369"/>
      <c r="U1255" s="369"/>
      <c r="V1255" s="369"/>
      <c r="W1255" s="369"/>
      <c r="X1255" s="369"/>
      <c r="Y1255" s="369"/>
      <c r="Z1255" s="369"/>
    </row>
  </sheetData>
  <mergeCells count="15">
    <mergeCell ref="B1:H1"/>
    <mergeCell ref="I1:Q1"/>
    <mergeCell ref="R1:Z1"/>
    <mergeCell ref="AA1:AI1"/>
    <mergeCell ref="AJ1:AR1"/>
    <mergeCell ref="AS1:BA1"/>
    <mergeCell ref="BB1:BJ1"/>
    <mergeCell ref="BK1:BS1"/>
    <mergeCell ref="BT1:CB1"/>
    <mergeCell ref="CC1:CK1"/>
    <mergeCell ref="CL1:CX1"/>
    <mergeCell ref="CZ1:DD1"/>
    <mergeCell ref="DE1:DG1"/>
    <mergeCell ref="DH1:DI1"/>
    <mergeCell ref="DJ1:DM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446"/>
  <sheetViews>
    <sheetView showFormulas="false" showGridLines="fals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P39" activeCellId="0" sqref="P39:S29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0" width="10.85"/>
    <col collapsed="false" customWidth="true" hidden="false" outlineLevel="0" max="2" min="2" style="370" width="9.56"/>
    <col collapsed="false" customWidth="false" hidden="false" outlineLevel="0" max="8" min="3" style="370" width="9.14"/>
    <col collapsed="false" customWidth="true" hidden="false" outlineLevel="0" max="9" min="9" style="370" width="11.56"/>
    <col collapsed="false" customWidth="false" hidden="false" outlineLevel="0" max="10" min="10" style="370" width="9.14"/>
    <col collapsed="false" customWidth="true" hidden="false" outlineLevel="0" max="11" min="11" style="370" width="9.85"/>
    <col collapsed="false" customWidth="false" hidden="false" outlineLevel="0" max="12" min="12" style="370" width="9.14"/>
    <col collapsed="false" customWidth="true" hidden="false" outlineLevel="0" max="13" min="13" style="371" width="11.56"/>
    <col collapsed="false" customWidth="false" hidden="false" outlineLevel="0" max="14" min="14" style="371" width="9.14"/>
    <col collapsed="false" customWidth="true" hidden="false" outlineLevel="0" max="15" min="15" style="371" width="10.99"/>
    <col collapsed="false" customWidth="false" hidden="false" outlineLevel="0" max="16" min="16" style="371" width="9.14"/>
    <col collapsed="false" customWidth="true" hidden="false" outlineLevel="0" max="17" min="17" style="371" width="11.56"/>
    <col collapsed="false" customWidth="false" hidden="false" outlineLevel="0" max="18" min="18" style="371" width="9.14"/>
    <col collapsed="false" customWidth="true" hidden="false" outlineLevel="0" max="19" min="19" style="371" width="11.56"/>
    <col collapsed="false" customWidth="false" hidden="false" outlineLevel="0" max="23" min="20" style="371" width="9.14"/>
    <col collapsed="false" customWidth="false" hidden="false" outlineLevel="0" max="32" min="24" style="370" width="9.14"/>
    <col collapsed="false" customWidth="true" hidden="false" outlineLevel="0" max="33" min="33" style="370" width="5.41"/>
    <col collapsed="false" customWidth="true" hidden="false" outlineLevel="0" max="34" min="34" style="370" width="4.28"/>
    <col collapsed="false" customWidth="true" hidden="false" outlineLevel="0" max="35" min="35" style="370" width="5.85"/>
    <col collapsed="false" customWidth="true" hidden="false" outlineLevel="0" max="36" min="36" style="370" width="3.7"/>
    <col collapsed="false" customWidth="true" hidden="false" outlineLevel="0" max="37" min="37" style="370" width="4.85"/>
    <col collapsed="false" customWidth="false" hidden="false" outlineLevel="0" max="39" min="38" style="370" width="9.14"/>
    <col collapsed="false" customWidth="true" hidden="false" outlineLevel="0" max="40" min="40" style="370" width="2.99"/>
    <col collapsed="false" customWidth="true" hidden="false" outlineLevel="0" max="41" min="41" style="370" width="23.56"/>
    <col collapsed="false" customWidth="true" hidden="false" outlineLevel="0" max="42" min="42" style="370" width="5.71"/>
    <col collapsed="false" customWidth="true" hidden="false" outlineLevel="0" max="43" min="43" style="370" width="3.14"/>
    <col collapsed="false" customWidth="true" hidden="false" outlineLevel="0" max="44" min="44" style="370" width="21.28"/>
    <col collapsed="false" customWidth="false" hidden="false" outlineLevel="0" max="45" min="45" style="370" width="9.14"/>
    <col collapsed="false" customWidth="true" hidden="false" outlineLevel="0" max="46" min="46" style="370" width="3.7"/>
    <col collapsed="false" customWidth="true" hidden="false" outlineLevel="0" max="47" min="47" style="370" width="8.28"/>
    <col collapsed="false" customWidth="false" hidden="false" outlineLevel="0" max="48" min="48" style="370" width="9.14"/>
    <col collapsed="false" customWidth="true" hidden="false" outlineLevel="0" max="49" min="49" style="370" width="4.28"/>
    <col collapsed="false" customWidth="true" hidden="false" outlineLevel="0" max="50" min="50" style="370" width="22.42"/>
    <col collapsed="false" customWidth="false" hidden="false" outlineLevel="0" max="257" min="51" style="370" width="9.14"/>
  </cols>
  <sheetData>
    <row r="1" customFormat="false" ht="12.75" hidden="false" customHeight="false" outlineLevel="0" collapsed="false">
      <c r="A1" s="372" t="s">
        <v>1425</v>
      </c>
      <c r="G1" s="373" t="s">
        <v>1426</v>
      </c>
      <c r="H1" s="373" t="s">
        <v>1427</v>
      </c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AI1" s="161" t="s">
        <v>1428</v>
      </c>
    </row>
    <row r="2" customFormat="false" ht="12.75" hidden="false" customHeight="false" outlineLevel="0" collapsed="false">
      <c r="A2" s="160"/>
      <c r="B2" s="159" t="s">
        <v>107</v>
      </c>
      <c r="C2" s="159" t="s">
        <v>108</v>
      </c>
      <c r="D2" s="160"/>
      <c r="E2" s="160"/>
      <c r="G2" s="374" t="s">
        <v>1429</v>
      </c>
      <c r="H2" s="375" t="n">
        <f aca="false">IF(N13=2,AVERAGE(B14:M29),AVERAGE(B13:M28))</f>
        <v>1.00001500065403</v>
      </c>
      <c r="I2" s="160"/>
      <c r="J2" s="160"/>
      <c r="K2" s="160"/>
      <c r="L2" s="160"/>
      <c r="M2" s="160"/>
      <c r="N2" s="160"/>
      <c r="O2" s="376"/>
      <c r="P2" s="376"/>
      <c r="Q2" s="370"/>
      <c r="R2" s="370"/>
      <c r="S2" s="370"/>
      <c r="T2" s="370"/>
      <c r="U2" s="370"/>
      <c r="V2" s="370"/>
      <c r="W2" s="370"/>
      <c r="AG2" s="376" t="s">
        <v>1399</v>
      </c>
      <c r="AH2" s="376" t="s">
        <v>9</v>
      </c>
      <c r="AI2" s="221" t="s">
        <v>10</v>
      </c>
      <c r="AJ2" s="376" t="s">
        <v>1430</v>
      </c>
      <c r="AK2" s="376" t="s">
        <v>73</v>
      </c>
      <c r="AM2" s="377"/>
      <c r="AN2" s="377"/>
      <c r="AO2" s="377"/>
      <c r="AP2" s="377"/>
    </row>
    <row r="3" customFormat="false" ht="12.75" hidden="false" customHeight="false" outlineLevel="0" collapsed="false">
      <c r="A3" s="159" t="s">
        <v>71</v>
      </c>
      <c r="B3" s="378" t="n">
        <f aca="false">IF(N13=2,A14,A13)</f>
        <v>700</v>
      </c>
      <c r="C3" s="378" t="n">
        <f aca="false">IF(N29=1,A29,A28)</f>
        <v>2200</v>
      </c>
      <c r="D3" s="160"/>
      <c r="E3" s="160"/>
      <c r="G3" s="374" t="s">
        <v>1431</v>
      </c>
      <c r="H3" s="375" t="n">
        <f aca="false">AVERAGE(B7:M30)</f>
        <v>1.00000856196963</v>
      </c>
      <c r="I3" s="160"/>
      <c r="J3" s="160"/>
      <c r="K3" s="160"/>
      <c r="L3" s="160"/>
      <c r="M3" s="160"/>
      <c r="N3" s="160"/>
      <c r="O3" s="376"/>
      <c r="P3" s="376"/>
      <c r="Q3" s="370"/>
      <c r="R3" s="370"/>
      <c r="S3" s="370"/>
      <c r="T3" s="370"/>
      <c r="U3" s="370"/>
      <c r="V3" s="370"/>
      <c r="W3" s="370"/>
      <c r="AG3" s="376" t="s">
        <v>1420</v>
      </c>
      <c r="AH3" s="376" t="s">
        <v>1420</v>
      </c>
      <c r="AI3" s="221" t="s">
        <v>1421</v>
      </c>
      <c r="AJ3" s="376"/>
      <c r="AK3" s="376"/>
      <c r="AM3" s="377"/>
      <c r="AN3" s="379" t="n">
        <v>3</v>
      </c>
      <c r="AO3" s="29" t="s">
        <v>1432</v>
      </c>
      <c r="AP3" s="377"/>
      <c r="AQ3" s="380" t="n">
        <v>11</v>
      </c>
      <c r="AR3" s="381" t="s">
        <v>1433</v>
      </c>
      <c r="AY3" s="255"/>
    </row>
    <row r="4" customFormat="false" ht="12.75" hidden="false" customHeight="false" outlineLevel="0" collapsed="false">
      <c r="A4" s="382"/>
      <c r="B4" s="383" t="s">
        <v>1434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4"/>
      <c r="O4" s="385" t="s">
        <v>1435</v>
      </c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F4" s="386" t="n">
        <v>36557</v>
      </c>
      <c r="AG4" s="376" t="n">
        <v>21</v>
      </c>
      <c r="AH4" s="376" t="n">
        <v>4</v>
      </c>
      <c r="AI4" s="376" t="n">
        <v>4</v>
      </c>
      <c r="AJ4" s="376" t="n">
        <v>0</v>
      </c>
      <c r="AK4" s="376" t="n">
        <v>29</v>
      </c>
      <c r="AM4" s="387"/>
      <c r="AN4" s="388" t="n">
        <v>1</v>
      </c>
      <c r="AO4" s="389" t="s">
        <v>1436</v>
      </c>
      <c r="AP4" s="387"/>
      <c r="AQ4" s="390" t="n">
        <v>1</v>
      </c>
      <c r="AR4" s="385" t="s">
        <v>1437</v>
      </c>
      <c r="AS4" s="370" t="n">
        <v>24</v>
      </c>
      <c r="AY4" s="255"/>
    </row>
    <row r="5" customFormat="false" ht="12.75" hidden="false" customHeight="false" outlineLevel="0" collapsed="false">
      <c r="A5" s="178"/>
      <c r="B5" s="391" t="n">
        <v>1</v>
      </c>
      <c r="C5" s="391" t="n">
        <v>2</v>
      </c>
      <c r="D5" s="391" t="n">
        <v>3</v>
      </c>
      <c r="E5" s="391" t="n">
        <v>4</v>
      </c>
      <c r="F5" s="391" t="n">
        <v>5</v>
      </c>
      <c r="G5" s="391" t="n">
        <v>6</v>
      </c>
      <c r="H5" s="391" t="n">
        <v>7</v>
      </c>
      <c r="I5" s="391" t="n">
        <v>8</v>
      </c>
      <c r="J5" s="391" t="n">
        <v>9</v>
      </c>
      <c r="K5" s="391" t="n">
        <v>10</v>
      </c>
      <c r="L5" s="391" t="n">
        <v>11</v>
      </c>
      <c r="M5" s="391" t="n">
        <v>12</v>
      </c>
      <c r="N5" s="392"/>
      <c r="O5" s="393" t="n">
        <v>1</v>
      </c>
      <c r="P5" s="394" t="n">
        <v>2</v>
      </c>
      <c r="Q5" s="394" t="n">
        <v>3</v>
      </c>
      <c r="R5" s="394" t="n">
        <v>4</v>
      </c>
      <c r="S5" s="394" t="n">
        <v>5</v>
      </c>
      <c r="T5" s="394" t="n">
        <v>6</v>
      </c>
      <c r="U5" s="394" t="n">
        <v>7</v>
      </c>
      <c r="V5" s="394" t="n">
        <v>8</v>
      </c>
      <c r="W5" s="394" t="n">
        <v>9</v>
      </c>
      <c r="X5" s="394" t="n">
        <v>10</v>
      </c>
      <c r="Y5" s="394" t="n">
        <v>11</v>
      </c>
      <c r="Z5" s="395" t="n">
        <v>12</v>
      </c>
      <c r="AF5" s="386" t="n">
        <v>36586</v>
      </c>
      <c r="AG5" s="376" t="n">
        <v>23</v>
      </c>
      <c r="AH5" s="376" t="n">
        <v>4</v>
      </c>
      <c r="AI5" s="376" t="n">
        <v>4</v>
      </c>
      <c r="AJ5" s="376" t="n">
        <v>0</v>
      </c>
      <c r="AK5" s="376" t="n">
        <v>31</v>
      </c>
      <c r="AM5" s="377"/>
      <c r="AN5" s="388" t="n">
        <v>2</v>
      </c>
      <c r="AO5" s="389" t="s">
        <v>1438</v>
      </c>
      <c r="AP5" s="377"/>
      <c r="AQ5" s="390" t="n">
        <v>2</v>
      </c>
      <c r="AR5" s="385" t="s">
        <v>1439</v>
      </c>
      <c r="AS5" s="370" t="n">
        <v>24</v>
      </c>
      <c r="AY5" s="255"/>
    </row>
    <row r="6" customFormat="false" ht="12.75" hidden="false" customHeight="false" outlineLevel="0" collapsed="false">
      <c r="A6" s="159" t="s">
        <v>137</v>
      </c>
      <c r="B6" s="396" t="s">
        <v>1440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 t="s">
        <v>138</v>
      </c>
      <c r="O6" s="397"/>
      <c r="P6" s="255"/>
      <c r="Q6" s="398"/>
      <c r="R6" s="398"/>
      <c r="S6" s="398"/>
      <c r="T6" s="398"/>
      <c r="U6" s="398"/>
      <c r="V6" s="398"/>
      <c r="W6" s="398"/>
      <c r="X6" s="398"/>
      <c r="Y6" s="398"/>
      <c r="Z6" s="399"/>
      <c r="AF6" s="386" t="n">
        <v>36617</v>
      </c>
      <c r="AG6" s="376" t="n">
        <v>20</v>
      </c>
      <c r="AH6" s="376" t="n">
        <v>5</v>
      </c>
      <c r="AI6" s="376" t="n">
        <v>5</v>
      </c>
      <c r="AJ6" s="376" t="n">
        <v>0</v>
      </c>
      <c r="AK6" s="376" t="n">
        <v>30</v>
      </c>
      <c r="AM6" s="377"/>
      <c r="AN6" s="388" t="n">
        <v>3</v>
      </c>
      <c r="AO6" s="389" t="s">
        <v>1441</v>
      </c>
      <c r="AP6" s="377"/>
      <c r="AQ6" s="390" t="n">
        <v>3</v>
      </c>
      <c r="AR6" s="385" t="s">
        <v>1442</v>
      </c>
      <c r="AS6" s="370" t="n">
        <v>8</v>
      </c>
    </row>
    <row r="7" customFormat="false" ht="12.75" hidden="false" customHeight="false" outlineLevel="0" collapsed="false">
      <c r="A7" s="160" t="n">
        <v>100</v>
      </c>
      <c r="B7" s="400" t="n">
        <f aca="false">'Power Curves'!AR12</f>
        <v>0.95</v>
      </c>
      <c r="C7" s="400" t="n">
        <f aca="false">'Power Curves'!AS12</f>
        <v>0.95</v>
      </c>
      <c r="D7" s="400" t="n">
        <f aca="false">'Power Curves'!AT12</f>
        <v>0.970407745105669</v>
      </c>
      <c r="E7" s="400" t="n">
        <f aca="false">'Power Curves'!AU12</f>
        <v>0.995812581084143</v>
      </c>
      <c r="F7" s="400" t="n">
        <f aca="false">'Power Curves'!AV12</f>
        <v>0.934833865798727</v>
      </c>
      <c r="G7" s="400" t="n">
        <f aca="false">'Power Curves'!AW12</f>
        <v>1.02</v>
      </c>
      <c r="H7" s="400" t="n">
        <f aca="false">'Power Curves'!AX12</f>
        <v>1.10934059893359</v>
      </c>
      <c r="I7" s="400" t="n">
        <f aca="false">'Power Curves'!AY12</f>
        <v>1.10934059893359</v>
      </c>
      <c r="J7" s="400" t="n">
        <f aca="false">'Power Curves'!AZ12</f>
        <v>1.02</v>
      </c>
      <c r="K7" s="400" t="n">
        <f aca="false">'Power Curves'!BA12</f>
        <v>0.995812581084143</v>
      </c>
      <c r="L7" s="400" t="n">
        <f aca="false">'Power Curves'!BB12</f>
        <v>0.976</v>
      </c>
      <c r="M7" s="400" t="n">
        <f aca="false">'Power Curves'!BC12</f>
        <v>0.976</v>
      </c>
      <c r="N7" s="401" t="n">
        <f aca="false">VALUE('Power Curves'!BD12)</f>
        <v>2</v>
      </c>
      <c r="O7" s="402" t="n">
        <f aca="false">IF(AND($N7=1,$N14=1),AVERAGE(B7:B14),0)</f>
        <v>0</v>
      </c>
      <c r="P7" s="403" t="n">
        <f aca="false">IF(AND($N7=1,$N14=1),AVERAGE(C7:C14),0)</f>
        <v>0</v>
      </c>
      <c r="Q7" s="403" t="n">
        <f aca="false">IF(AND($N7=1,$N14=1),AVERAGE(D7:D14),0)</f>
        <v>0</v>
      </c>
      <c r="R7" s="403" t="n">
        <f aca="false">IF(AND($N7=1,$N14=1),AVERAGE(E7:E14),0)</f>
        <v>0</v>
      </c>
      <c r="S7" s="403" t="n">
        <f aca="false">IF(AND($N7=1,$N14=1),AVERAGE(F7:F14),0)</f>
        <v>0</v>
      </c>
      <c r="T7" s="403" t="n">
        <f aca="false">IF(AND($N7=1,$N14=1),AVERAGE(G7:G14),0)</f>
        <v>0</v>
      </c>
      <c r="U7" s="403" t="n">
        <f aca="false">IF(AND($N7=1,$N14=1),AVERAGE(H7:H14),0)</f>
        <v>0</v>
      </c>
      <c r="V7" s="403" t="n">
        <f aca="false">IF(AND($N7=1,$N14=1),AVERAGE(I7:I14),0)</f>
        <v>0</v>
      </c>
      <c r="W7" s="403" t="n">
        <f aca="false">IF(AND($N7=1,$N14=1),AVERAGE(J7:J14),0)</f>
        <v>0</v>
      </c>
      <c r="X7" s="403" t="n">
        <f aca="false">IF(AND($N7=1,$N14=1),AVERAGE(K7:K14),0)</f>
        <v>0</v>
      </c>
      <c r="Y7" s="403" t="n">
        <f aca="false">IF(AND($N7=1,$N14=1),AVERAGE(L7:L14),0)</f>
        <v>0</v>
      </c>
      <c r="Z7" s="404" t="n">
        <f aca="false">IF(AND($N7=1,$N14=1),AVERAGE(M7:M14),0)</f>
        <v>0</v>
      </c>
      <c r="AF7" s="386" t="n">
        <v>36647</v>
      </c>
      <c r="AG7" s="376" t="n">
        <v>22</v>
      </c>
      <c r="AH7" s="376" t="n">
        <v>4</v>
      </c>
      <c r="AI7" s="376" t="n">
        <v>5</v>
      </c>
      <c r="AJ7" s="376" t="n">
        <v>1</v>
      </c>
      <c r="AK7" s="376" t="n">
        <v>31</v>
      </c>
      <c r="AM7" s="377"/>
      <c r="AN7" s="377"/>
      <c r="AO7" s="377"/>
      <c r="AP7" s="377"/>
      <c r="AQ7" s="390" t="n">
        <v>4</v>
      </c>
      <c r="AR7" s="385" t="s">
        <v>1443</v>
      </c>
      <c r="AS7" s="370" t="n">
        <v>8</v>
      </c>
      <c r="AT7" s="405"/>
      <c r="AU7" s="405"/>
    </row>
    <row r="8" customFormat="false" ht="12.75" hidden="false" customHeight="false" outlineLevel="0" collapsed="false">
      <c r="A8" s="160" t="n">
        <v>200</v>
      </c>
      <c r="B8" s="400" t="n">
        <f aca="false">'Power Curves'!AR13</f>
        <v>0.9</v>
      </c>
      <c r="C8" s="400" t="n">
        <f aca="false">'Power Curves'!AS13</f>
        <v>0.9</v>
      </c>
      <c r="D8" s="400" t="n">
        <f aca="false">'Power Curves'!AT13</f>
        <v>0.934329009710238</v>
      </c>
      <c r="E8" s="400" t="n">
        <f aca="false">'Power Curves'!AU13</f>
        <v>0.867490109934275</v>
      </c>
      <c r="F8" s="400" t="n">
        <f aca="false">'Power Curves'!AV13</f>
        <v>0.93</v>
      </c>
      <c r="G8" s="400" t="n">
        <f aca="false">'Power Curves'!AW13</f>
        <v>0.95</v>
      </c>
      <c r="H8" s="400" t="n">
        <f aca="false">'Power Curves'!AX13</f>
        <v>0.940393910647401</v>
      </c>
      <c r="I8" s="400" t="n">
        <f aca="false">'Power Curves'!AY13</f>
        <v>0.940393910647401</v>
      </c>
      <c r="J8" s="400" t="n">
        <f aca="false">'Power Curves'!AZ13</f>
        <v>0.95</v>
      </c>
      <c r="K8" s="400" t="n">
        <f aca="false">'Power Curves'!BA13</f>
        <v>0.867490109934275</v>
      </c>
      <c r="L8" s="400" t="n">
        <f aca="false">'Power Curves'!BB13</f>
        <v>0.9</v>
      </c>
      <c r="M8" s="400" t="n">
        <f aca="false">'Power Curves'!BC13</f>
        <v>0.9</v>
      </c>
      <c r="N8" s="401" t="n">
        <f aca="false">VALUE('Power Curves'!BD13)</f>
        <v>2</v>
      </c>
      <c r="O8" s="402" t="n">
        <f aca="false">IF(AND($N8=1,$N15=1),AVERAGE(B8:B15),0)</f>
        <v>0</v>
      </c>
      <c r="P8" s="403" t="n">
        <f aca="false">IF(AND($N8=1,$N15=1),AVERAGE(C8:C15),0)</f>
        <v>0</v>
      </c>
      <c r="Q8" s="403" t="n">
        <f aca="false">IF(AND($N8=1,$N15=1),AVERAGE(D8:D15),0)</f>
        <v>0</v>
      </c>
      <c r="R8" s="403" t="n">
        <f aca="false">IF(AND($N8=1,$N15=1),AVERAGE(E8:E15),0)</f>
        <v>0</v>
      </c>
      <c r="S8" s="403" t="n">
        <f aca="false">IF(AND($N8=1,$N15=1),AVERAGE(F8:F15),0)</f>
        <v>0</v>
      </c>
      <c r="T8" s="403" t="n">
        <f aca="false">IF(AND($N8=1,$N15=1),AVERAGE(G8:G15),0)</f>
        <v>0</v>
      </c>
      <c r="U8" s="403" t="n">
        <f aca="false">IF(AND($N8=1,$N15=1),AVERAGE(H8:H15),0)</f>
        <v>0</v>
      </c>
      <c r="V8" s="403" t="n">
        <f aca="false">IF(AND($N8=1,$N15=1),AVERAGE(I8:I15),0)</f>
        <v>0</v>
      </c>
      <c r="W8" s="403" t="n">
        <f aca="false">IF(AND($N8=1,$N15=1),AVERAGE(J8:J15),0)</f>
        <v>0</v>
      </c>
      <c r="X8" s="403" t="n">
        <f aca="false">IF(AND($N8=1,$N15=1),AVERAGE(K8:K15),0)</f>
        <v>0</v>
      </c>
      <c r="Y8" s="403" t="n">
        <f aca="false">IF(AND($N8=1,$N15=1),AVERAGE(L8:L15),0)</f>
        <v>0</v>
      </c>
      <c r="Z8" s="404" t="n">
        <f aca="false">IF(AND($N8=1,$N15=1),AVERAGE(M8:M15),0)</f>
        <v>0</v>
      </c>
      <c r="AF8" s="386" t="n">
        <v>36678</v>
      </c>
      <c r="AG8" s="376" t="n">
        <v>22</v>
      </c>
      <c r="AH8" s="376" t="n">
        <v>4</v>
      </c>
      <c r="AI8" s="376" t="n">
        <v>4</v>
      </c>
      <c r="AJ8" s="376" t="n">
        <v>0</v>
      </c>
      <c r="AK8" s="376" t="n">
        <v>30</v>
      </c>
      <c r="AM8" s="377"/>
      <c r="AN8" s="406" t="n">
        <v>2</v>
      </c>
      <c r="AO8" s="407" t="s">
        <v>1432</v>
      </c>
      <c r="AP8" s="377"/>
      <c r="AQ8" s="390" t="n">
        <v>5</v>
      </c>
      <c r="AR8" s="385" t="s">
        <v>1444</v>
      </c>
      <c r="AS8" s="370" t="n">
        <v>8</v>
      </c>
      <c r="AT8" s="405"/>
    </row>
    <row r="9" customFormat="false" ht="12.75" hidden="false" customHeight="false" outlineLevel="0" collapsed="false">
      <c r="A9" s="160" t="n">
        <v>300</v>
      </c>
      <c r="B9" s="400" t="n">
        <f aca="false">'Power Curves'!AR14</f>
        <v>0.9</v>
      </c>
      <c r="C9" s="400" t="n">
        <f aca="false">'Power Curves'!AS14</f>
        <v>0.9</v>
      </c>
      <c r="D9" s="400" t="n">
        <f aca="false">'Power Curves'!AT14</f>
        <v>0.931716331023903</v>
      </c>
      <c r="E9" s="400" t="n">
        <f aca="false">'Power Curves'!AU14</f>
        <v>0.829968217715179</v>
      </c>
      <c r="F9" s="400" t="n">
        <f aca="false">'Power Curves'!AV14</f>
        <v>0.93</v>
      </c>
      <c r="G9" s="400" t="n">
        <f aca="false">'Power Curves'!AW14</f>
        <v>0.9</v>
      </c>
      <c r="H9" s="400" t="n">
        <f aca="false">'Power Curves'!AX14</f>
        <v>0.833717786208317</v>
      </c>
      <c r="I9" s="400" t="n">
        <f aca="false">'Power Curves'!AY14</f>
        <v>0.833717786208317</v>
      </c>
      <c r="J9" s="400" t="n">
        <f aca="false">'Power Curves'!AZ14</f>
        <v>0.9</v>
      </c>
      <c r="K9" s="400" t="n">
        <f aca="false">'Power Curves'!BA14</f>
        <v>0.829968217715179</v>
      </c>
      <c r="L9" s="400" t="n">
        <f aca="false">'Power Curves'!BB14</f>
        <v>0.9</v>
      </c>
      <c r="M9" s="400" t="n">
        <f aca="false">'Power Curves'!BC14</f>
        <v>0.9</v>
      </c>
      <c r="N9" s="401" t="n">
        <f aca="false">VALUE('Power Curves'!BD14)</f>
        <v>2</v>
      </c>
      <c r="O9" s="402" t="n">
        <f aca="false">IF(AND($N9=1,$N16=1),AVERAGE(B9:B16),0)</f>
        <v>0</v>
      </c>
      <c r="P9" s="403" t="n">
        <f aca="false">IF(AND($N9=1,$N16=1),AVERAGE(C9:C16),0)</f>
        <v>0</v>
      </c>
      <c r="Q9" s="403" t="n">
        <f aca="false">IF(AND($N9=1,$N16=1),AVERAGE(D9:D16),0)</f>
        <v>0</v>
      </c>
      <c r="R9" s="403" t="n">
        <f aca="false">IF(AND($N9=1,$N16=1),AVERAGE(E9:E16),0)</f>
        <v>0</v>
      </c>
      <c r="S9" s="403" t="n">
        <f aca="false">IF(AND($N9=1,$N16=1),AVERAGE(F9:F16),0)</f>
        <v>0</v>
      </c>
      <c r="T9" s="403" t="n">
        <f aca="false">IF(AND($N9=1,$N16=1),AVERAGE(G9:G16),0)</f>
        <v>0</v>
      </c>
      <c r="U9" s="403" t="n">
        <f aca="false">IF(AND($N9=1,$N16=1),AVERAGE(H9:H16),0)</f>
        <v>0</v>
      </c>
      <c r="V9" s="403" t="n">
        <f aca="false">IF(AND($N9=1,$N16=1),AVERAGE(I9:I16),0)</f>
        <v>0</v>
      </c>
      <c r="W9" s="403" t="n">
        <f aca="false">IF(AND($N9=1,$N16=1),AVERAGE(J9:J16),0)</f>
        <v>0</v>
      </c>
      <c r="X9" s="403" t="n">
        <f aca="false">IF(AND($N9=1,$N16=1),AVERAGE(K9:K16),0)</f>
        <v>0</v>
      </c>
      <c r="Y9" s="403" t="n">
        <f aca="false">IF(AND($N9=1,$N16=1),AVERAGE(L9:L16),0)</f>
        <v>0</v>
      </c>
      <c r="Z9" s="404" t="n">
        <f aca="false">IF(AND($N9=1,$N16=1),AVERAGE(M9:M16),0)</f>
        <v>0</v>
      </c>
      <c r="AF9" s="386" t="n">
        <v>36708</v>
      </c>
      <c r="AG9" s="376" t="n">
        <v>20</v>
      </c>
      <c r="AH9" s="376" t="n">
        <v>5</v>
      </c>
      <c r="AI9" s="376" t="n">
        <v>6</v>
      </c>
      <c r="AJ9" s="376" t="n">
        <v>1</v>
      </c>
      <c r="AK9" s="376" t="n">
        <v>31</v>
      </c>
      <c r="AN9" s="408" t="n">
        <v>1</v>
      </c>
      <c r="AO9" s="409" t="s">
        <v>1445</v>
      </c>
      <c r="AQ9" s="390" t="n">
        <v>6</v>
      </c>
      <c r="AR9" s="385" t="s">
        <v>1446</v>
      </c>
      <c r="AS9" s="370" t="n">
        <v>16</v>
      </c>
      <c r="AT9" s="405"/>
    </row>
    <row r="10" customFormat="false" ht="12.75" hidden="false" customHeight="false" outlineLevel="0" collapsed="false">
      <c r="A10" s="160" t="n">
        <v>400</v>
      </c>
      <c r="B10" s="400" t="n">
        <f aca="false">'Power Curves'!AR15</f>
        <v>0.9</v>
      </c>
      <c r="C10" s="400" t="n">
        <f aca="false">'Power Curves'!AS15</f>
        <v>0.9</v>
      </c>
      <c r="D10" s="400" t="n">
        <f aca="false">'Power Curves'!AT15</f>
        <v>0.931716331023903</v>
      </c>
      <c r="E10" s="400" t="n">
        <f aca="false">'Power Curves'!AU15</f>
        <v>0.829968217715179</v>
      </c>
      <c r="F10" s="400" t="n">
        <f aca="false">'Power Curves'!AV15</f>
        <v>0.936</v>
      </c>
      <c r="G10" s="400" t="n">
        <f aca="false">'Power Curves'!AW15</f>
        <v>0.85</v>
      </c>
      <c r="H10" s="400" t="n">
        <f aca="false">'Power Curves'!AX15</f>
        <v>0.795557301903125</v>
      </c>
      <c r="I10" s="400" t="n">
        <f aca="false">'Power Curves'!AY15</f>
        <v>0.795557301903125</v>
      </c>
      <c r="J10" s="400" t="n">
        <f aca="false">'Power Curves'!AZ15</f>
        <v>0.85</v>
      </c>
      <c r="K10" s="400" t="n">
        <f aca="false">'Power Curves'!BA15</f>
        <v>0.829968217715179</v>
      </c>
      <c r="L10" s="400" t="n">
        <f aca="false">'Power Curves'!BB15</f>
        <v>0.9</v>
      </c>
      <c r="M10" s="400" t="n">
        <f aca="false">'Power Curves'!BC15</f>
        <v>0.9</v>
      </c>
      <c r="N10" s="401" t="n">
        <f aca="false">VALUE('Power Curves'!BD15)</f>
        <v>2</v>
      </c>
      <c r="O10" s="402" t="n">
        <f aca="false">IF(AND($N10=1,$N17=1),AVERAGE(B10:B17),0)</f>
        <v>0</v>
      </c>
      <c r="P10" s="403" t="n">
        <f aca="false">IF(AND($N10=1,$N17=1),AVERAGE(C10:C17),0)</f>
        <v>0</v>
      </c>
      <c r="Q10" s="403" t="n">
        <f aca="false">IF(AND($N10=1,$N17=1),AVERAGE(D10:D17),0)</f>
        <v>0</v>
      </c>
      <c r="R10" s="403" t="n">
        <f aca="false">IF(AND($N10=1,$N17=1),AVERAGE(E10:E17),0)</f>
        <v>0</v>
      </c>
      <c r="S10" s="403" t="n">
        <f aca="false">IF(AND($N10=1,$N17=1),AVERAGE(F10:F17),0)</f>
        <v>0</v>
      </c>
      <c r="T10" s="403" t="n">
        <f aca="false">IF(AND($N10=1,$N17=1),AVERAGE(G10:G17),0)</f>
        <v>0</v>
      </c>
      <c r="U10" s="403" t="n">
        <f aca="false">IF(AND($N10=1,$N17=1),AVERAGE(H10:H17),0)</f>
        <v>0</v>
      </c>
      <c r="V10" s="403" t="n">
        <f aca="false">IF(AND($N10=1,$N17=1),AVERAGE(I10:I17),0)</f>
        <v>0</v>
      </c>
      <c r="W10" s="403" t="n">
        <f aca="false">IF(AND($N10=1,$N17=1),AVERAGE(J10:J17),0)</f>
        <v>0</v>
      </c>
      <c r="X10" s="403" t="n">
        <f aca="false">IF(AND($N10=1,$N17=1),AVERAGE(K10:K17),0)</f>
        <v>0</v>
      </c>
      <c r="Y10" s="403" t="n">
        <f aca="false">IF(AND($N10=1,$N17=1),AVERAGE(L10:L17),0)</f>
        <v>0</v>
      </c>
      <c r="Z10" s="404" t="n">
        <f aca="false">IF(AND($N10=1,$N17=1),AVERAGE(M10:M17),0)</f>
        <v>0</v>
      </c>
      <c r="AF10" s="386" t="n">
        <v>36739</v>
      </c>
      <c r="AG10" s="376" t="n">
        <v>23</v>
      </c>
      <c r="AH10" s="376" t="n">
        <v>4</v>
      </c>
      <c r="AI10" s="376" t="n">
        <v>4</v>
      </c>
      <c r="AJ10" s="376" t="n">
        <v>0</v>
      </c>
      <c r="AK10" s="376" t="n">
        <v>31</v>
      </c>
      <c r="AN10" s="408" t="n">
        <v>2</v>
      </c>
      <c r="AO10" s="409" t="s">
        <v>1447</v>
      </c>
      <c r="AQ10" s="390" t="n">
        <v>7</v>
      </c>
      <c r="AR10" s="385" t="s">
        <v>1448</v>
      </c>
      <c r="AS10" s="370" t="n">
        <v>16</v>
      </c>
      <c r="AT10" s="405"/>
    </row>
    <row r="11" customFormat="false" ht="12.75" hidden="false" customHeight="false" outlineLevel="0" collapsed="false">
      <c r="A11" s="160" t="n">
        <v>500</v>
      </c>
      <c r="B11" s="400" t="n">
        <f aca="false">'Power Curves'!AR16</f>
        <v>1</v>
      </c>
      <c r="C11" s="400" t="n">
        <f aca="false">'Power Curves'!AS16</f>
        <v>1</v>
      </c>
      <c r="D11" s="400" t="n">
        <f aca="false">'Power Curves'!AT16</f>
        <v>0.961008684423147</v>
      </c>
      <c r="E11" s="400" t="n">
        <f aca="false">'Power Curves'!AU16</f>
        <v>0.904126416732948</v>
      </c>
      <c r="F11" s="400" t="n">
        <f aca="false">'Power Curves'!AV16</f>
        <v>0.96</v>
      </c>
      <c r="G11" s="400" t="n">
        <f aca="false">'Power Curves'!AW16</f>
        <v>0.895</v>
      </c>
      <c r="H11" s="400" t="n">
        <f aca="false">'Power Curves'!AX16</f>
        <v>0.813654783608707</v>
      </c>
      <c r="I11" s="400" t="n">
        <f aca="false">'Power Curves'!AY16</f>
        <v>0.813654783608707</v>
      </c>
      <c r="J11" s="400" t="n">
        <f aca="false">'Power Curves'!AZ16</f>
        <v>0.895</v>
      </c>
      <c r="K11" s="400" t="n">
        <f aca="false">'Power Curves'!BA16</f>
        <v>0.904126416732948</v>
      </c>
      <c r="L11" s="400" t="n">
        <f aca="false">'Power Curves'!BB16</f>
        <v>0.95</v>
      </c>
      <c r="M11" s="400" t="n">
        <f aca="false">'Power Curves'!BC16</f>
        <v>0.95</v>
      </c>
      <c r="N11" s="401" t="n">
        <f aca="false">VALUE('Power Curves'!BD16)</f>
        <v>2</v>
      </c>
      <c r="O11" s="402" t="n">
        <f aca="false">IF(AND($N11=1,$N18=1),AVERAGE(B11:B18),0)</f>
        <v>0</v>
      </c>
      <c r="P11" s="403" t="n">
        <f aca="false">IF(AND($N11=1,$N18=1),AVERAGE(C11:C18),0)</f>
        <v>0</v>
      </c>
      <c r="Q11" s="403" t="n">
        <f aca="false">IF(AND($N11=1,$N18=1),AVERAGE(D11:D18),0)</f>
        <v>0</v>
      </c>
      <c r="R11" s="403" t="n">
        <f aca="false">IF(AND($N11=1,$N18=1),AVERAGE(E11:E18),0)</f>
        <v>0</v>
      </c>
      <c r="S11" s="403" t="n">
        <f aca="false">IF(AND($N11=1,$N18=1),AVERAGE(F11:F18),0)</f>
        <v>0</v>
      </c>
      <c r="T11" s="403" t="n">
        <f aca="false">IF(AND($N11=1,$N18=1),AVERAGE(G11:G18),0)</f>
        <v>0</v>
      </c>
      <c r="U11" s="403" t="n">
        <f aca="false">IF(AND($N11=1,$N18=1),AVERAGE(H11:H18),0)</f>
        <v>0</v>
      </c>
      <c r="V11" s="403" t="n">
        <f aca="false">IF(AND($N11=1,$N18=1),AVERAGE(I11:I18),0)</f>
        <v>0</v>
      </c>
      <c r="W11" s="403" t="n">
        <f aca="false">IF(AND($N11=1,$N18=1),AVERAGE(J11:J18),0)</f>
        <v>0</v>
      </c>
      <c r="X11" s="403" t="n">
        <f aca="false">IF(AND($N11=1,$N18=1),AVERAGE(K11:K18),0)</f>
        <v>0</v>
      </c>
      <c r="Y11" s="403" t="n">
        <f aca="false">IF(AND($N11=1,$N18=1),AVERAGE(L11:L18),0)</f>
        <v>0</v>
      </c>
      <c r="Z11" s="404" t="n">
        <f aca="false">IF(AND($N11=1,$N18=1),AVERAGE(M11:M18),0)</f>
        <v>0</v>
      </c>
      <c r="AF11" s="386" t="n">
        <v>36770</v>
      </c>
      <c r="AG11" s="376" t="n">
        <v>20</v>
      </c>
      <c r="AH11" s="376" t="n">
        <v>5</v>
      </c>
      <c r="AI11" s="376" t="n">
        <v>5</v>
      </c>
      <c r="AJ11" s="376" t="n">
        <v>1</v>
      </c>
      <c r="AK11" s="376" t="n">
        <v>30</v>
      </c>
      <c r="AQ11" s="390" t="n">
        <v>8</v>
      </c>
      <c r="AR11" s="385" t="s">
        <v>1449</v>
      </c>
      <c r="AS11" s="370" t="n">
        <v>16</v>
      </c>
      <c r="AT11" s="405"/>
      <c r="AU11" s="405"/>
      <c r="AV11" s="405"/>
    </row>
    <row r="12" customFormat="false" ht="12.75" hidden="false" customHeight="false" outlineLevel="0" collapsed="false">
      <c r="A12" s="160" t="n">
        <v>600</v>
      </c>
      <c r="B12" s="400" t="n">
        <f aca="false">'Power Curves'!AR17</f>
        <v>1.35</v>
      </c>
      <c r="C12" s="400" t="n">
        <f aca="false">'Power Curves'!AS17</f>
        <v>1.35</v>
      </c>
      <c r="D12" s="400" t="n">
        <f aca="false">'Power Curves'!AT17</f>
        <v>1.06600068971274</v>
      </c>
      <c r="E12" s="400" t="n">
        <f aca="false">'Power Curves'!AU17</f>
        <v>1.15346940651923</v>
      </c>
      <c r="F12" s="400" t="n">
        <f aca="false">'Power Curves'!AV17</f>
        <v>1.2</v>
      </c>
      <c r="G12" s="400" t="n">
        <f aca="false">'Power Curves'!AW17</f>
        <v>0.92</v>
      </c>
      <c r="H12" s="400" t="n">
        <f aca="false">'Power Curves'!AX17</f>
        <v>1.021367977662</v>
      </c>
      <c r="I12" s="400" t="n">
        <f aca="false">'Power Curves'!AY17</f>
        <v>1.021367977662</v>
      </c>
      <c r="J12" s="400" t="n">
        <f aca="false">'Power Curves'!AZ17</f>
        <v>0.92</v>
      </c>
      <c r="K12" s="400" t="n">
        <f aca="false">'Power Curves'!BA17</f>
        <v>1.15346940651923</v>
      </c>
      <c r="L12" s="400" t="n">
        <f aca="false">'Power Curves'!BB17</f>
        <v>1.2</v>
      </c>
      <c r="M12" s="400" t="n">
        <f aca="false">'Power Curves'!BC17</f>
        <v>1.15</v>
      </c>
      <c r="N12" s="401" t="n">
        <f aca="false">VALUE('Power Curves'!BD17)</f>
        <v>2</v>
      </c>
      <c r="O12" s="402" t="n">
        <f aca="false">IF(AND($N12=1,$N19=1),AVERAGE(B12:B19),0)</f>
        <v>0</v>
      </c>
      <c r="P12" s="403" t="n">
        <f aca="false">IF(AND($N12=1,$N19=1),AVERAGE(C12:C19),0)</f>
        <v>0</v>
      </c>
      <c r="Q12" s="403" t="n">
        <f aca="false">IF(AND($N12=1,$N19=1),AVERAGE(D12:D19),0)</f>
        <v>0</v>
      </c>
      <c r="R12" s="403" t="n">
        <f aca="false">IF(AND($N12=1,$N19=1),AVERAGE(E12:E19),0)</f>
        <v>0</v>
      </c>
      <c r="S12" s="403" t="n">
        <f aca="false">IF(AND($N12=1,$N19=1),AVERAGE(F12:F19),0)</f>
        <v>0</v>
      </c>
      <c r="T12" s="403" t="n">
        <f aca="false">IF(AND($N12=1,$N19=1),AVERAGE(G12:G19),0)</f>
        <v>0</v>
      </c>
      <c r="U12" s="403" t="n">
        <f aca="false">IF(AND($N12=1,$N19=1),AVERAGE(H12:H19),0)</f>
        <v>0</v>
      </c>
      <c r="V12" s="403" t="n">
        <f aca="false">IF(AND($N12=1,$N19=1),AVERAGE(I12:I19),0)</f>
        <v>0</v>
      </c>
      <c r="W12" s="403" t="n">
        <f aca="false">IF(AND($N12=1,$N19=1),AVERAGE(J12:J19),0)</f>
        <v>0</v>
      </c>
      <c r="X12" s="403" t="n">
        <f aca="false">IF(AND($N12=1,$N19=1),AVERAGE(K12:K19),0)</f>
        <v>0</v>
      </c>
      <c r="Y12" s="403" t="n">
        <f aca="false">IF(AND($N12=1,$N19=1),AVERAGE(L12:L19),0)</f>
        <v>0</v>
      </c>
      <c r="Z12" s="404" t="n">
        <f aca="false">IF(AND($N12=1,$N19=1),AVERAGE(M12:M19),0)</f>
        <v>0</v>
      </c>
      <c r="AF12" s="386" t="n">
        <v>36800</v>
      </c>
      <c r="AG12" s="376" t="n">
        <v>22</v>
      </c>
      <c r="AH12" s="376" t="n">
        <v>4</v>
      </c>
      <c r="AI12" s="376" t="n">
        <v>5</v>
      </c>
      <c r="AJ12" s="376" t="n">
        <v>0</v>
      </c>
      <c r="AK12" s="376" t="n">
        <v>31</v>
      </c>
      <c r="AN12" s="380" t="n">
        <v>2</v>
      </c>
      <c r="AO12" s="410" t="s">
        <v>1432</v>
      </c>
      <c r="AQ12" s="390" t="n">
        <v>9</v>
      </c>
      <c r="AR12" s="385" t="s">
        <v>1450</v>
      </c>
      <c r="AS12" s="370" t="n">
        <v>24</v>
      </c>
      <c r="AT12" s="405"/>
      <c r="AU12" s="405"/>
      <c r="AV12" s="405"/>
    </row>
    <row r="13" customFormat="false" ht="12.75" hidden="false" customHeight="false" outlineLevel="0" collapsed="false">
      <c r="A13" s="160" t="n">
        <v>700</v>
      </c>
      <c r="B13" s="400" t="n">
        <f aca="false">'Power Curves'!AR18</f>
        <v>1.35</v>
      </c>
      <c r="C13" s="400" t="n">
        <f aca="false">'Power Curves'!AS18</f>
        <v>1.35</v>
      </c>
      <c r="D13" s="400" t="n">
        <f aca="false">'Power Curves'!AT18</f>
        <v>1.1561</v>
      </c>
      <c r="E13" s="400" t="n">
        <f aca="false">'Power Curves'!AU18</f>
        <v>1.22</v>
      </c>
      <c r="F13" s="400" t="n">
        <f aca="false">'Power Curves'!AV18</f>
        <v>0.85</v>
      </c>
      <c r="G13" s="400" t="n">
        <f aca="false">'Power Curves'!AW18</f>
        <v>0.47</v>
      </c>
      <c r="H13" s="400" t="n">
        <f aca="false">'Power Curves'!AX18</f>
        <v>0.37</v>
      </c>
      <c r="I13" s="400" t="n">
        <f aca="false">'Power Curves'!AY18</f>
        <v>0.37</v>
      </c>
      <c r="J13" s="400" t="n">
        <f aca="false">'Power Curves'!AZ18</f>
        <v>0.45</v>
      </c>
      <c r="K13" s="400" t="n">
        <f aca="false">'Power Curves'!BA18</f>
        <v>1.22</v>
      </c>
      <c r="L13" s="400" t="n">
        <f aca="false">'Power Curves'!BB18</f>
        <v>0.8</v>
      </c>
      <c r="M13" s="400" t="n">
        <f aca="false">'Power Curves'!BC18</f>
        <v>1</v>
      </c>
      <c r="N13" s="401" t="n">
        <f aca="false">VALUE('Power Curves'!BD18)</f>
        <v>1</v>
      </c>
      <c r="O13" s="402" t="n">
        <f aca="false">IF(AND($N13=1,$N20=1),AVERAGE(B13:B20),0)</f>
        <v>1.02007383501259</v>
      </c>
      <c r="P13" s="403" t="n">
        <f aca="false">IF(AND($N13=1,$N20=1),AVERAGE(C13:C20),0)</f>
        <v>1.02007383501259</v>
      </c>
      <c r="Q13" s="403" t="n">
        <f aca="false">IF(AND($N13=1,$N20=1),AVERAGE(D13:D20),0)</f>
        <v>1.0173448699422</v>
      </c>
      <c r="R13" s="403" t="n">
        <f aca="false">IF(AND($N13=1,$N20=1),AVERAGE(E13:E20),0)</f>
        <v>1.005</v>
      </c>
      <c r="S13" s="403" t="n">
        <f aca="false">IF(AND($N13=1,$N20=1),AVERAGE(F13:F20),0)</f>
        <v>0.9509375</v>
      </c>
      <c r="T13" s="403" t="n">
        <f aca="false">IF(AND($N13=1,$N20=1),AVERAGE(G13:G20),0)</f>
        <v>0.735</v>
      </c>
      <c r="U13" s="403" t="n">
        <f aca="false">IF(AND($N13=1,$N20=1),AVERAGE(H13:H20),0)</f>
        <v>0.685</v>
      </c>
      <c r="V13" s="403" t="n">
        <f aca="false">IF(AND($N13=1,$N20=1),AVERAGE(I13:I20),0)</f>
        <v>0.685</v>
      </c>
      <c r="W13" s="403" t="n">
        <f aca="false">IF(AND($N13=1,$N20=1),AVERAGE(J13:J20),0)</f>
        <v>0.706343865313653</v>
      </c>
      <c r="X13" s="403" t="n">
        <f aca="false">IF(AND($N13=1,$N20=1),AVERAGE(K13:K20),0)</f>
        <v>1.005</v>
      </c>
      <c r="Y13" s="403" t="n">
        <f aca="false">IF(AND($N13=1,$N20=1),AVERAGE(L13:L20),0)</f>
        <v>0.917568493150685</v>
      </c>
      <c r="Z13" s="404" t="n">
        <f aca="false">IF(AND($N13=1,$N20=1),AVERAGE(M13:M20),0)</f>
        <v>0.978755993150685</v>
      </c>
      <c r="AF13" s="386" t="n">
        <v>36831</v>
      </c>
      <c r="AG13" s="376" t="n">
        <v>21</v>
      </c>
      <c r="AH13" s="376" t="n">
        <v>4</v>
      </c>
      <c r="AI13" s="376" t="n">
        <v>5</v>
      </c>
      <c r="AJ13" s="376" t="n">
        <v>1</v>
      </c>
      <c r="AK13" s="376" t="n">
        <v>30</v>
      </c>
      <c r="AN13" s="411" t="n">
        <v>1</v>
      </c>
      <c r="AO13" s="390" t="s">
        <v>1451</v>
      </c>
      <c r="AQ13" s="390" t="n">
        <v>10</v>
      </c>
      <c r="AR13" s="385" t="s">
        <v>1452</v>
      </c>
      <c r="AS13" s="370" t="n">
        <v>24</v>
      </c>
      <c r="AT13" s="405"/>
      <c r="AU13" s="405"/>
      <c r="AV13" s="405"/>
    </row>
    <row r="14" customFormat="false" ht="12.75" hidden="false" customHeight="false" outlineLevel="0" collapsed="false">
      <c r="A14" s="160" t="n">
        <v>800</v>
      </c>
      <c r="B14" s="400" t="n">
        <f aca="false">'Power Curves'!AR19</f>
        <v>1.3485</v>
      </c>
      <c r="C14" s="400" t="n">
        <f aca="false">'Power Curves'!AS19</f>
        <v>1.3485</v>
      </c>
      <c r="D14" s="400" t="n">
        <f aca="false">'Power Curves'!AT19</f>
        <v>1.2485549132948</v>
      </c>
      <c r="E14" s="400" t="n">
        <f aca="false">'Power Curves'!AU19</f>
        <v>1.22</v>
      </c>
      <c r="F14" s="400" t="n">
        <f aca="false">'Power Curves'!AV19</f>
        <v>0.9175</v>
      </c>
      <c r="G14" s="400" t="n">
        <f aca="false">'Power Curves'!AW19</f>
        <v>0.47</v>
      </c>
      <c r="H14" s="400" t="n">
        <f aca="false">'Power Curves'!AX19</f>
        <v>0.37</v>
      </c>
      <c r="I14" s="400" t="n">
        <f aca="false">'Power Curves'!AY19</f>
        <v>0.37</v>
      </c>
      <c r="J14" s="400" t="n">
        <f aca="false">'Power Curves'!AZ19</f>
        <v>0.531365313653137</v>
      </c>
      <c r="K14" s="400" t="n">
        <f aca="false">'Power Curves'!BA19</f>
        <v>1.22</v>
      </c>
      <c r="L14" s="400" t="n">
        <f aca="false">'Power Curves'!BB19</f>
        <v>1.15</v>
      </c>
      <c r="M14" s="400" t="n">
        <f aca="false">'Power Curves'!BC19</f>
        <v>1.2545</v>
      </c>
      <c r="N14" s="401" t="n">
        <f aca="false">VALUE('Power Curves'!BD19)</f>
        <v>1</v>
      </c>
      <c r="O14" s="402" t="n">
        <f aca="false">IF(AND($N14=1,$N21=1),AVERAGE(B14:B21),0)</f>
        <v>0.938823835012595</v>
      </c>
      <c r="P14" s="403" t="n">
        <f aca="false">IF(AND($N14=1,$N21=1),AVERAGE(C14:C21),0)</f>
        <v>0.938823835012595</v>
      </c>
      <c r="Q14" s="403" t="n">
        <f aca="false">IF(AND($N14=1,$N21=1),AVERAGE(D14:D21),0)</f>
        <v>0.976878612716763</v>
      </c>
      <c r="R14" s="403" t="n">
        <f aca="false">IF(AND($N14=1,$N21=1),AVERAGE(E14:E21),0)</f>
        <v>0.9625</v>
      </c>
      <c r="S14" s="403" t="n">
        <f aca="false">IF(AND($N14=1,$N21=1),AVERAGE(F14:F21),0)</f>
        <v>0.9759375</v>
      </c>
      <c r="T14" s="403" t="n">
        <f aca="false">IF(AND($N14=1,$N21=1),AVERAGE(G14:G21),0)</f>
        <v>0.8675</v>
      </c>
      <c r="U14" s="403" t="n">
        <f aca="false">IF(AND($N14=1,$N21=1),AVERAGE(H14:H21),0)</f>
        <v>0.8425</v>
      </c>
      <c r="V14" s="403" t="n">
        <f aca="false">IF(AND($N14=1,$N21=1),AVERAGE(I14:I21),0)</f>
        <v>0.8425</v>
      </c>
      <c r="W14" s="403" t="n">
        <f aca="false">IF(AND($N14=1,$N21=1),AVERAGE(J14:J21),0)</f>
        <v>0.822593865313653</v>
      </c>
      <c r="X14" s="403" t="n">
        <f aca="false">IF(AND($N14=1,$N21=1),AVERAGE(K14:K21),0)</f>
        <v>0.9625</v>
      </c>
      <c r="Y14" s="403" t="n">
        <f aca="false">IF(AND($N14=1,$N21=1),AVERAGE(L14:L21),0)</f>
        <v>0.905068493150685</v>
      </c>
      <c r="Z14" s="404" t="n">
        <f aca="false">IF(AND($N14=1,$N21=1),AVERAGE(M14:M21),0)</f>
        <v>0.945005993150685</v>
      </c>
      <c r="AF14" s="386" t="n">
        <v>36861</v>
      </c>
      <c r="AG14" s="376" t="n">
        <v>20</v>
      </c>
      <c r="AH14" s="376" t="n">
        <v>5</v>
      </c>
      <c r="AI14" s="376" t="n">
        <v>6</v>
      </c>
      <c r="AJ14" s="376" t="n">
        <v>1</v>
      </c>
      <c r="AK14" s="376" t="n">
        <v>31</v>
      </c>
      <c r="AN14" s="411" t="n">
        <v>2</v>
      </c>
      <c r="AO14" s="412" t="s">
        <v>1453</v>
      </c>
      <c r="AQ14" s="390" t="n">
        <v>11</v>
      </c>
      <c r="AR14" s="385" t="s">
        <v>1454</v>
      </c>
      <c r="AS14" s="370" t="n">
        <v>24</v>
      </c>
    </row>
    <row r="15" customFormat="false" ht="12.75" hidden="false" customHeight="false" outlineLevel="0" collapsed="false">
      <c r="A15" s="160" t="n">
        <v>900</v>
      </c>
      <c r="B15" s="400" t="n">
        <f aca="false">'Power Curves'!AR20</f>
        <v>1.35</v>
      </c>
      <c r="C15" s="400" t="n">
        <f aca="false">'Power Curves'!AS20</f>
        <v>1.35</v>
      </c>
      <c r="D15" s="400" t="n">
        <f aca="false">'Power Curves'!AT20</f>
        <v>1.2485549132948</v>
      </c>
      <c r="E15" s="400" t="n">
        <f aca="false">'Power Curves'!AU20</f>
        <v>1.15</v>
      </c>
      <c r="F15" s="400" t="n">
        <f aca="false">'Power Curves'!AV20</f>
        <v>0.95</v>
      </c>
      <c r="G15" s="400" t="n">
        <f aca="false">'Power Curves'!AW20</f>
        <v>0.47</v>
      </c>
      <c r="H15" s="400" t="n">
        <f aca="false">'Power Curves'!AX20</f>
        <v>0.37</v>
      </c>
      <c r="I15" s="400" t="n">
        <f aca="false">'Power Curves'!AY20</f>
        <v>0.37</v>
      </c>
      <c r="J15" s="400" t="n">
        <f aca="false">'Power Curves'!AZ20</f>
        <v>0.560885608856089</v>
      </c>
      <c r="K15" s="400" t="n">
        <f aca="false">'Power Curves'!BA20</f>
        <v>1.15</v>
      </c>
      <c r="L15" s="400" t="n">
        <f aca="false">'Power Curves'!BB20</f>
        <v>1.15</v>
      </c>
      <c r="M15" s="400" t="n">
        <f aca="false">'Power Curves'!BC20</f>
        <v>1.26</v>
      </c>
      <c r="N15" s="401" t="n">
        <f aca="false">VALUE('Power Curves'!BD20)</f>
        <v>1</v>
      </c>
      <c r="O15" s="402" t="n">
        <f aca="false">IF(AND($N15=1,$N22=1),AVERAGE(B15:B22),0)</f>
        <v>0.870261335012595</v>
      </c>
      <c r="P15" s="403" t="n">
        <f aca="false">IF(AND($N15=1,$N22=1),AVERAGE(C15:C22),0)</f>
        <v>0.870261335012595</v>
      </c>
      <c r="Q15" s="403" t="n">
        <f aca="false">IF(AND($N15=1,$N22=1),AVERAGE(D15:D22),0)</f>
        <v>0.92485549132948</v>
      </c>
      <c r="R15" s="403" t="n">
        <f aca="false">IF(AND($N15=1,$N22=1),AVERAGE(E15:E22),0)</f>
        <v>0.92</v>
      </c>
      <c r="S15" s="403" t="n">
        <f aca="false">IF(AND($N15=1,$N22=1),AVERAGE(F15:F22),0)</f>
        <v>0.99875</v>
      </c>
      <c r="T15" s="403" t="n">
        <f aca="false">IF(AND($N15=1,$N22=1),AVERAGE(G15:G22),0)</f>
        <v>1</v>
      </c>
      <c r="U15" s="403" t="n">
        <f aca="false">IF(AND($N15=1,$N22=1),AVERAGE(H15:H22),0)</f>
        <v>1</v>
      </c>
      <c r="V15" s="403" t="n">
        <f aca="false">IF(AND($N15=1,$N22=1),AVERAGE(I15:I22),0)</f>
        <v>1</v>
      </c>
      <c r="W15" s="403" t="n">
        <f aca="false">IF(AND($N15=1,$N22=1),AVERAGE(J15:J22),0)</f>
        <v>0.934923201107011</v>
      </c>
      <c r="X15" s="403" t="n">
        <f aca="false">IF(AND($N15=1,$N22=1),AVERAGE(K15:K22),0)</f>
        <v>0.92</v>
      </c>
      <c r="Y15" s="403" t="n">
        <f aca="false">IF(AND($N15=1,$N22=1),AVERAGE(L15:L22),0)</f>
        <v>0.848818493150685</v>
      </c>
      <c r="Z15" s="404" t="n">
        <f aca="false">IF(AND($N15=1,$N22=1),AVERAGE(M15:M22),0)</f>
        <v>0.880693493150685</v>
      </c>
      <c r="AF15" s="386" t="n">
        <v>36892</v>
      </c>
      <c r="AG15" s="376" t="n">
        <v>22</v>
      </c>
      <c r="AH15" s="376" t="n">
        <v>4</v>
      </c>
      <c r="AI15" s="376" t="n">
        <v>5</v>
      </c>
      <c r="AJ15" s="376" t="n">
        <v>1</v>
      </c>
      <c r="AK15" s="376" t="n">
        <v>31</v>
      </c>
    </row>
    <row r="16" customFormat="false" ht="12.75" hidden="false" customHeight="false" outlineLevel="0" collapsed="false">
      <c r="A16" s="160" t="n">
        <v>1000</v>
      </c>
      <c r="B16" s="400" t="n">
        <f aca="false">'Power Curves'!AR21</f>
        <v>1.1</v>
      </c>
      <c r="C16" s="400" t="n">
        <f aca="false">'Power Curves'!AS21</f>
        <v>1.1</v>
      </c>
      <c r="D16" s="400" t="n">
        <f aca="false">'Power Curves'!AT21</f>
        <v>1.10982658959538</v>
      </c>
      <c r="E16" s="400" t="n">
        <f aca="false">'Power Curves'!AU21</f>
        <v>1</v>
      </c>
      <c r="F16" s="400" t="n">
        <f aca="false">'Power Curves'!AV21</f>
        <v>0.97</v>
      </c>
      <c r="G16" s="400" t="n">
        <f aca="false">'Power Curves'!AW21</f>
        <v>0.47</v>
      </c>
      <c r="H16" s="400" t="n">
        <f aca="false">'Power Curves'!AX21</f>
        <v>0.37</v>
      </c>
      <c r="I16" s="400" t="n">
        <f aca="false">'Power Curves'!AY21</f>
        <v>0.37</v>
      </c>
      <c r="J16" s="400" t="n">
        <f aca="false">'Power Curves'!AZ21</f>
        <v>0.6</v>
      </c>
      <c r="K16" s="400" t="n">
        <f aca="false">'Power Curves'!BA21</f>
        <v>1</v>
      </c>
      <c r="L16" s="400" t="n">
        <f aca="false">'Power Curves'!BB21</f>
        <v>1.15</v>
      </c>
      <c r="M16" s="400" t="n">
        <f aca="false">'Power Curves'!BC21</f>
        <v>1.205</v>
      </c>
      <c r="N16" s="401" t="n">
        <f aca="false">VALUE('Power Curves'!BD21)</f>
        <v>1</v>
      </c>
      <c r="O16" s="402" t="n">
        <f aca="false">IF(AND($N16=1,$N23=1),AVERAGE(B16:B23),0)</f>
        <v>0.826511335012594</v>
      </c>
      <c r="P16" s="403" t="n">
        <f aca="false">IF(AND($N16=1,$N23=1),AVERAGE(C16:C23),0)</f>
        <v>0.826511335012594</v>
      </c>
      <c r="Q16" s="403" t="n">
        <f aca="false">IF(AND($N16=1,$N23=1),AVERAGE(D16:D23),0)</f>
        <v>0.895953757225434</v>
      </c>
      <c r="R16" s="403" t="n">
        <f aca="false">IF(AND($N16=1,$N23=1),AVERAGE(E16:E23),0)</f>
        <v>0.9075</v>
      </c>
      <c r="S16" s="403" t="n">
        <f aca="false">IF(AND($N16=1,$N23=1),AVERAGE(F16:F23),0)</f>
        <v>1.0175</v>
      </c>
      <c r="T16" s="403" t="n">
        <f aca="false">IF(AND($N16=1,$N23=1),AVERAGE(G16:G23),0)</f>
        <v>1.1325</v>
      </c>
      <c r="U16" s="403" t="n">
        <f aca="false">IF(AND($N16=1,$N23=1),AVERAGE(H16:H23),0)</f>
        <v>1.1575</v>
      </c>
      <c r="V16" s="403" t="n">
        <f aca="false">IF(AND($N16=1,$N23=1),AVERAGE(I16:I23),0)</f>
        <v>1.1575</v>
      </c>
      <c r="W16" s="403" t="n">
        <f aca="false">IF(AND($N16=1,$N23=1),AVERAGE(J16:J23),0)</f>
        <v>1.0585625</v>
      </c>
      <c r="X16" s="403" t="n">
        <f aca="false">IF(AND($N16=1,$N23=1),AVERAGE(K16:K23),0)</f>
        <v>0.9075</v>
      </c>
      <c r="Y16" s="403" t="n">
        <f aca="false">IF(AND($N16=1,$N23=1),AVERAGE(L16:L23),0)</f>
        <v>0.830068493150685</v>
      </c>
      <c r="Z16" s="404" t="n">
        <f aca="false">IF(AND($N16=1,$N23=1),AVERAGE(M16:M23),0)</f>
        <v>0.863193493150685</v>
      </c>
      <c r="AF16" s="386" t="n">
        <v>36923</v>
      </c>
      <c r="AG16" s="376" t="n">
        <v>20</v>
      </c>
      <c r="AH16" s="376" t="n">
        <v>4</v>
      </c>
      <c r="AI16" s="376" t="n">
        <v>4</v>
      </c>
      <c r="AJ16" s="376" t="n">
        <v>0</v>
      </c>
      <c r="AK16" s="376" t="n">
        <v>28</v>
      </c>
      <c r="AN16" s="379" t="n">
        <v>2</v>
      </c>
      <c r="AO16" s="29" t="s">
        <v>1432</v>
      </c>
    </row>
    <row r="17" customFormat="false" ht="12.75" hidden="false" customHeight="false" outlineLevel="0" collapsed="false">
      <c r="A17" s="160" t="n">
        <v>1100</v>
      </c>
      <c r="B17" s="400" t="n">
        <f aca="false">'Power Curves'!AR22</f>
        <v>0.886649874055416</v>
      </c>
      <c r="C17" s="400" t="n">
        <f aca="false">'Power Curves'!AS22</f>
        <v>0.886649874055416</v>
      </c>
      <c r="D17" s="400" t="n">
        <f aca="false">'Power Curves'!AT22</f>
        <v>0.878612716763006</v>
      </c>
      <c r="E17" s="400" t="n">
        <f aca="false">'Power Curves'!AU22</f>
        <v>0.9</v>
      </c>
      <c r="F17" s="400" t="n">
        <f aca="false">'Power Curves'!AV22</f>
        <v>0.975</v>
      </c>
      <c r="G17" s="400" t="n">
        <f aca="false">'Power Curves'!AW22</f>
        <v>0.47</v>
      </c>
      <c r="H17" s="400" t="n">
        <f aca="false">'Power Curves'!AX22</f>
        <v>0.37</v>
      </c>
      <c r="I17" s="400" t="n">
        <f aca="false">'Power Curves'!AY22</f>
        <v>0.37</v>
      </c>
      <c r="J17" s="400" t="n">
        <f aca="false">'Power Curves'!AZ22</f>
        <v>0.6635</v>
      </c>
      <c r="K17" s="400" t="n">
        <f aca="false">'Power Curves'!BA22</f>
        <v>0.9</v>
      </c>
      <c r="L17" s="400" t="n">
        <f aca="false">'Power Curves'!BB22</f>
        <v>0.920547945205479</v>
      </c>
      <c r="M17" s="400" t="n">
        <f aca="false">'Power Curves'!BC22</f>
        <v>0.920547945205479</v>
      </c>
      <c r="N17" s="401" t="n">
        <f aca="false">VALUE('Power Curves'!BD22)</f>
        <v>1</v>
      </c>
      <c r="O17" s="402" t="n">
        <f aca="false">IF(AND($N17=1,$N24=1),AVERAGE(B17:B24),0)</f>
        <v>0.851511335012595</v>
      </c>
      <c r="P17" s="403" t="n">
        <f aca="false">IF(AND($N17=1,$N24=1),AVERAGE(C17:C24),0)</f>
        <v>0.851511335012595</v>
      </c>
      <c r="Q17" s="403" t="n">
        <f aca="false">IF(AND($N17=1,$N24=1),AVERAGE(D17:D24),0)</f>
        <v>0.907514450867052</v>
      </c>
      <c r="R17" s="403" t="n">
        <f aca="false">IF(AND($N17=1,$N24=1),AVERAGE(E17:E24),0)</f>
        <v>0.9325</v>
      </c>
      <c r="S17" s="403" t="n">
        <f aca="false">IF(AND($N17=1,$N24=1),AVERAGE(F17:F24),0)</f>
        <v>1.03625</v>
      </c>
      <c r="T17" s="403" t="n">
        <f aca="false">IF(AND($N17=1,$N24=1),AVERAGE(G17:G24),0)</f>
        <v>1.265</v>
      </c>
      <c r="U17" s="403" t="n">
        <f aca="false">IF(AND($N17=1,$N24=1),AVERAGE(H17:H24),0)</f>
        <v>1.315</v>
      </c>
      <c r="V17" s="403" t="n">
        <f aca="false">IF(AND($N17=1,$N24=1),AVERAGE(I17:I24),0)</f>
        <v>1.315</v>
      </c>
      <c r="W17" s="403" t="n">
        <f aca="false">IF(AND($N17=1,$N24=1),AVERAGE(J17:J24),0)</f>
        <v>1.1710625</v>
      </c>
      <c r="X17" s="403" t="n">
        <f aca="false">IF(AND($N17=1,$N24=1),AVERAGE(K17:K24),0)</f>
        <v>0.9325</v>
      </c>
      <c r="Y17" s="403" t="n">
        <f aca="false">IF(AND($N17=1,$N24=1),AVERAGE(L17:L24),0)</f>
        <v>0.843193493150685</v>
      </c>
      <c r="Z17" s="404" t="n">
        <f aca="false">IF(AND($N17=1,$N24=1),AVERAGE(M17:M24),0)</f>
        <v>0.881318493150685</v>
      </c>
      <c r="AF17" s="386" t="n">
        <v>36951</v>
      </c>
      <c r="AG17" s="376" t="n">
        <v>22</v>
      </c>
      <c r="AH17" s="376" t="n">
        <v>5</v>
      </c>
      <c r="AI17" s="376" t="n">
        <v>4</v>
      </c>
      <c r="AJ17" s="376" t="n">
        <v>0</v>
      </c>
      <c r="AK17" s="376" t="n">
        <v>31</v>
      </c>
      <c r="AN17" s="388" t="n">
        <v>1</v>
      </c>
      <c r="AO17" s="389" t="s">
        <v>1455</v>
      </c>
      <c r="AR17" s="413" t="b">
        <f aca="false">FALSE()</f>
        <v>0</v>
      </c>
      <c r="AS17" s="376" t="s">
        <v>1456</v>
      </c>
    </row>
    <row r="18" customFormat="false" ht="12.75" hidden="false" customHeight="false" outlineLevel="0" collapsed="false">
      <c r="A18" s="160" t="n">
        <v>1200</v>
      </c>
      <c r="B18" s="400" t="n">
        <f aca="false">'Power Curves'!AR23</f>
        <v>0.72544080604534</v>
      </c>
      <c r="C18" s="400" t="n">
        <f aca="false">'Power Curves'!AS23</f>
        <v>0.72544080604534</v>
      </c>
      <c r="D18" s="400" t="n">
        <f aca="false">'Power Curves'!AT23</f>
        <v>0.832369942196532</v>
      </c>
      <c r="E18" s="400" t="n">
        <f aca="false">'Power Curves'!AU23</f>
        <v>0.85</v>
      </c>
      <c r="F18" s="400" t="n">
        <f aca="false">'Power Curves'!AV23</f>
        <v>0.98</v>
      </c>
      <c r="G18" s="400" t="n">
        <f aca="false">'Power Curves'!AW23</f>
        <v>0.47</v>
      </c>
      <c r="H18" s="400" t="n">
        <f aca="false">'Power Curves'!AX23</f>
        <v>0.37</v>
      </c>
      <c r="I18" s="400" t="n">
        <f aca="false">'Power Curves'!AY23</f>
        <v>0.37</v>
      </c>
      <c r="J18" s="400" t="n">
        <f aca="false">'Power Curves'!AZ23</f>
        <v>0.76</v>
      </c>
      <c r="K18" s="400" t="n">
        <f aca="false">'Power Curves'!BA23</f>
        <v>0.85</v>
      </c>
      <c r="L18" s="400" t="n">
        <f aca="false">'Power Curves'!BB23</f>
        <v>0.77</v>
      </c>
      <c r="M18" s="400" t="n">
        <f aca="false">'Power Curves'!BC23</f>
        <v>0.74</v>
      </c>
      <c r="N18" s="401" t="n">
        <f aca="false">VALUE('Power Curves'!BD23)</f>
        <v>1</v>
      </c>
      <c r="O18" s="402" t="n">
        <f aca="false">IF(AND($N18=1,$N25=1),AVERAGE(B18:B25),0)</f>
        <v>0.903180100755668</v>
      </c>
      <c r="P18" s="403" t="n">
        <f aca="false">IF(AND($N18=1,$N25=1),AVERAGE(C18:C25),0)</f>
        <v>0.903180100755668</v>
      </c>
      <c r="Q18" s="403" t="n">
        <f aca="false">IF(AND($N18=1,$N25=1),AVERAGE(D18:D25),0)</f>
        <v>0.947976878612717</v>
      </c>
      <c r="R18" s="403" t="n">
        <f aca="false">IF(AND($N18=1,$N25=1),AVERAGE(E18:E25),0)</f>
        <v>0.96375</v>
      </c>
      <c r="S18" s="403" t="n">
        <f aca="false">IF(AND($N18=1,$N25=1),AVERAGE(F18:F25),0)</f>
        <v>1.058125</v>
      </c>
      <c r="T18" s="403" t="n">
        <f aca="false">IF(AND($N18=1,$N25=1),AVERAGE(G18:G25),0)</f>
        <v>1.3975</v>
      </c>
      <c r="U18" s="403" t="n">
        <f aca="false">IF(AND($N18=1,$N25=1),AVERAGE(H18:H25),0)</f>
        <v>1.4725</v>
      </c>
      <c r="V18" s="403" t="n">
        <f aca="false">IF(AND($N18=1,$N25=1),AVERAGE(I18:I25),0)</f>
        <v>1.4725</v>
      </c>
      <c r="W18" s="403" t="n">
        <f aca="false">IF(AND($N18=1,$N25=1),AVERAGE(J18:J25),0)</f>
        <v>1.269375</v>
      </c>
      <c r="X18" s="403" t="n">
        <f aca="false">IF(AND($N18=1,$N25=1),AVERAGE(K18:K25),0)</f>
        <v>0.96375</v>
      </c>
      <c r="Y18" s="403" t="n">
        <f aca="false">IF(AND($N18=1,$N25=1),AVERAGE(L18:L25),0)</f>
        <v>0.920625</v>
      </c>
      <c r="Z18" s="404" t="n">
        <f aca="false">IF(AND($N18=1,$N25=1),AVERAGE(M18:M25),0)</f>
        <v>0.935</v>
      </c>
      <c r="AF18" s="386" t="n">
        <v>36982</v>
      </c>
      <c r="AG18" s="376" t="n">
        <v>21</v>
      </c>
      <c r="AH18" s="376" t="n">
        <v>4</v>
      </c>
      <c r="AI18" s="376" t="n">
        <v>5</v>
      </c>
      <c r="AJ18" s="376" t="n">
        <v>0</v>
      </c>
      <c r="AK18" s="376" t="n">
        <v>30</v>
      </c>
      <c r="AN18" s="388" t="n">
        <v>2</v>
      </c>
      <c r="AO18" s="389" t="s">
        <v>1457</v>
      </c>
    </row>
    <row r="19" customFormat="false" ht="12.75" hidden="false" customHeight="false" outlineLevel="0" collapsed="false">
      <c r="A19" s="160" t="n">
        <v>1300</v>
      </c>
      <c r="B19" s="400" t="n">
        <f aca="false">'Power Curves'!AR24</f>
        <v>0.7</v>
      </c>
      <c r="C19" s="400" t="n">
        <f aca="false">'Power Curves'!AS24</f>
        <v>0.7</v>
      </c>
      <c r="D19" s="400" t="n">
        <f aca="false">'Power Curves'!AT24</f>
        <v>0.832369942196532</v>
      </c>
      <c r="E19" s="400" t="n">
        <f aca="false">'Power Curves'!AU24</f>
        <v>0.85</v>
      </c>
      <c r="F19" s="400" t="n">
        <f aca="false">'Power Curves'!AV24</f>
        <v>0.975</v>
      </c>
      <c r="G19" s="400" t="n">
        <f aca="false">'Power Curves'!AW24</f>
        <v>1.53</v>
      </c>
      <c r="H19" s="400" t="n">
        <f aca="false">'Power Curves'!AX24</f>
        <v>1.63</v>
      </c>
      <c r="I19" s="400" t="n">
        <f aca="false">'Power Curves'!AY24</f>
        <v>1.63</v>
      </c>
      <c r="J19" s="400" t="n">
        <f aca="false">'Power Curves'!AZ24</f>
        <v>0.935</v>
      </c>
      <c r="K19" s="400" t="n">
        <f aca="false">'Power Curves'!BA24</f>
        <v>0.85</v>
      </c>
      <c r="L19" s="400" t="n">
        <f aca="false">'Power Curves'!BB24</f>
        <v>0.7</v>
      </c>
      <c r="M19" s="400" t="n">
        <f aca="false">'Power Curves'!BC24</f>
        <v>0.73</v>
      </c>
      <c r="N19" s="401" t="n">
        <f aca="false">VALUE('Power Curves'!BD24)</f>
        <v>1</v>
      </c>
      <c r="O19" s="402" t="n">
        <f aca="false">IF(AND($N19=1,$N26=1),AVERAGE(B19:B26),0)</f>
        <v>0.95625</v>
      </c>
      <c r="P19" s="403" t="n">
        <f aca="false">IF(AND($N19=1,$N26=1),AVERAGE(C19:C26),0)</f>
        <v>0.95625</v>
      </c>
      <c r="Q19" s="403" t="n">
        <f aca="false">IF(AND($N19=1,$N26=1),AVERAGE(D19:D26),0)</f>
        <v>0.971098265895954</v>
      </c>
      <c r="R19" s="403" t="n">
        <f aca="false">IF(AND($N19=1,$N26=1),AVERAGE(E19:E26),0)</f>
        <v>0.98875</v>
      </c>
      <c r="S19" s="403" t="n">
        <f aca="false">IF(AND($N19=1,$N26=1),AVERAGE(F19:F26),0)</f>
        <v>1.075625</v>
      </c>
      <c r="T19" s="403" t="n">
        <f aca="false">IF(AND($N19=1,$N26=1),AVERAGE(G19:G26),0)</f>
        <v>1.53</v>
      </c>
      <c r="U19" s="403" t="n">
        <f aca="false">IF(AND($N19=1,$N26=1),AVERAGE(H19:H26),0)</f>
        <v>1.63</v>
      </c>
      <c r="V19" s="403" t="n">
        <f aca="false">IF(AND($N19=1,$N26=1),AVERAGE(I19:I26),0)</f>
        <v>1.63</v>
      </c>
      <c r="W19" s="403" t="n">
        <f aca="false">IF(AND($N19=1,$N26=1),AVERAGE(J19:J26),0)</f>
        <v>1.343125</v>
      </c>
      <c r="X19" s="403" t="n">
        <f aca="false">IF(AND($N19=1,$N26=1),AVERAGE(K19:K26),0)</f>
        <v>0.98875</v>
      </c>
      <c r="Y19" s="403" t="n">
        <f aca="false">IF(AND($N19=1,$N26=1),AVERAGE(L19:L26),0)</f>
        <v>1.016875</v>
      </c>
      <c r="Z19" s="404" t="n">
        <f aca="false">IF(AND($N19=1,$N26=1),AVERAGE(M19:M26),0)</f>
        <v>0.99375</v>
      </c>
      <c r="AF19" s="386" t="n">
        <v>37012</v>
      </c>
      <c r="AG19" s="376" t="n">
        <v>22</v>
      </c>
      <c r="AH19" s="376" t="n">
        <v>4</v>
      </c>
      <c r="AI19" s="376" t="n">
        <v>5</v>
      </c>
      <c r="AJ19" s="376" t="n">
        <v>1</v>
      </c>
      <c r="AK19" s="376" t="n">
        <v>31</v>
      </c>
      <c r="AN19" s="388" t="n">
        <v>3</v>
      </c>
      <c r="AO19" s="389" t="s">
        <v>1458</v>
      </c>
      <c r="AR19" s="414" t="b">
        <f aca="false">TRUE()</f>
        <v>1</v>
      </c>
      <c r="AS19" s="415" t="s">
        <v>1459</v>
      </c>
    </row>
    <row r="20" customFormat="false" ht="12.75" hidden="false" customHeight="false" outlineLevel="0" collapsed="false">
      <c r="A20" s="160" t="n">
        <v>1400</v>
      </c>
      <c r="B20" s="400" t="n">
        <f aca="false">'Power Curves'!AR25</f>
        <v>0.7</v>
      </c>
      <c r="C20" s="400" t="n">
        <f aca="false">'Power Curves'!AS25</f>
        <v>0.7</v>
      </c>
      <c r="D20" s="400" t="n">
        <f aca="false">'Power Curves'!AT25</f>
        <v>0.832369942196532</v>
      </c>
      <c r="E20" s="400" t="n">
        <f aca="false">'Power Curves'!AU25</f>
        <v>0.85</v>
      </c>
      <c r="F20" s="400" t="n">
        <f aca="false">'Power Curves'!AV25</f>
        <v>0.99</v>
      </c>
      <c r="G20" s="400" t="n">
        <f aca="false">'Power Curves'!AW25</f>
        <v>1.53</v>
      </c>
      <c r="H20" s="400" t="n">
        <f aca="false">'Power Curves'!AX25</f>
        <v>1.63</v>
      </c>
      <c r="I20" s="400" t="n">
        <f aca="false">'Power Curves'!AY25</f>
        <v>1.63</v>
      </c>
      <c r="J20" s="400" t="n">
        <f aca="false">'Power Curves'!AZ25</f>
        <v>1.15</v>
      </c>
      <c r="K20" s="400" t="n">
        <f aca="false">'Power Curves'!BA25</f>
        <v>0.85</v>
      </c>
      <c r="L20" s="400" t="n">
        <f aca="false">'Power Curves'!BB25</f>
        <v>0.7</v>
      </c>
      <c r="M20" s="400" t="n">
        <f aca="false">'Power Curves'!BC25</f>
        <v>0.72</v>
      </c>
      <c r="N20" s="401" t="n">
        <f aca="false">VALUE('Power Curves'!BD25)</f>
        <v>1</v>
      </c>
      <c r="O20" s="402" t="n">
        <f aca="false">IF(AND($N20=1,$N27=1),AVERAGE(B20:B27),0)</f>
        <v>0.96875</v>
      </c>
      <c r="P20" s="403" t="n">
        <f aca="false">IF(AND($N20=1,$N27=1),AVERAGE(C20:C27),0)</f>
        <v>0.96875</v>
      </c>
      <c r="Q20" s="403" t="n">
        <f aca="false">IF(AND($N20=1,$N27=1),AVERAGE(D20:D27),0)</f>
        <v>0.982658959537572</v>
      </c>
      <c r="R20" s="403" t="n">
        <f aca="false">IF(AND($N20=1,$N27=1),AVERAGE(E20:E27),0)</f>
        <v>0.995</v>
      </c>
      <c r="S20" s="403" t="n">
        <f aca="false">IF(AND($N20=1,$N27=1),AVERAGE(F20:F27),0)</f>
        <v>1.0666026645768</v>
      </c>
      <c r="T20" s="403" t="n">
        <f aca="false">IF(AND($N20=1,$N27=1),AVERAGE(G20:G27),0)</f>
        <v>1.3975</v>
      </c>
      <c r="U20" s="403" t="n">
        <f aca="false">IF(AND($N20=1,$N27=1),AVERAGE(H20:H27),0)</f>
        <v>1.4725</v>
      </c>
      <c r="V20" s="403" t="n">
        <f aca="false">IF(AND($N20=1,$N27=1),AVERAGE(I20:I27),0)</f>
        <v>1.4725</v>
      </c>
      <c r="W20" s="403" t="n">
        <f aca="false">IF(AND($N20=1,$N27=1),AVERAGE(J20:J27),0)</f>
        <v>1.35125</v>
      </c>
      <c r="X20" s="403" t="n">
        <f aca="false">IF(AND($N20=1,$N27=1),AVERAGE(K20:K27),0)</f>
        <v>0.995</v>
      </c>
      <c r="Y20" s="403" t="n">
        <f aca="false">IF(AND($N20=1,$N27=1),AVERAGE(L20:L27),0)</f>
        <v>1.08</v>
      </c>
      <c r="Z20" s="404" t="n">
        <f aca="false">IF(AND($N20=1,$N27=1),AVERAGE(M20:M27),0)</f>
        <v>1.02125</v>
      </c>
      <c r="AF20" s="386" t="n">
        <v>37043</v>
      </c>
      <c r="AG20" s="376" t="n">
        <v>21</v>
      </c>
      <c r="AH20" s="376" t="n">
        <v>5</v>
      </c>
      <c r="AI20" s="376" t="n">
        <v>4</v>
      </c>
      <c r="AJ20" s="376" t="n">
        <v>0</v>
      </c>
      <c r="AK20" s="376" t="n">
        <v>30</v>
      </c>
    </row>
    <row r="21" customFormat="false" ht="12.75" hidden="false" customHeight="false" outlineLevel="0" collapsed="false">
      <c r="A21" s="160" t="n">
        <v>1500</v>
      </c>
      <c r="B21" s="400" t="n">
        <f aca="false">'Power Curves'!AR26</f>
        <v>0.7</v>
      </c>
      <c r="C21" s="400" t="n">
        <f aca="false">'Power Curves'!AS26</f>
        <v>0.7</v>
      </c>
      <c r="D21" s="400" t="n">
        <f aca="false">'Power Curves'!AT26</f>
        <v>0.832369942196532</v>
      </c>
      <c r="E21" s="400" t="n">
        <f aca="false">'Power Curves'!AU26</f>
        <v>0.88</v>
      </c>
      <c r="F21" s="400" t="n">
        <f aca="false">'Power Curves'!AV26</f>
        <v>1.05</v>
      </c>
      <c r="G21" s="400" t="n">
        <f aca="false">'Power Curves'!AW26</f>
        <v>1.53</v>
      </c>
      <c r="H21" s="400" t="n">
        <f aca="false">'Power Curves'!AX26</f>
        <v>1.63</v>
      </c>
      <c r="I21" s="400" t="n">
        <f aca="false">'Power Curves'!AY26</f>
        <v>1.63</v>
      </c>
      <c r="J21" s="400" t="n">
        <f aca="false">'Power Curves'!AZ26</f>
        <v>1.38</v>
      </c>
      <c r="K21" s="400" t="n">
        <f aca="false">'Power Curves'!BA26</f>
        <v>0.88</v>
      </c>
      <c r="L21" s="400" t="n">
        <f aca="false">'Power Curves'!BB26</f>
        <v>0.7</v>
      </c>
      <c r="M21" s="400" t="n">
        <f aca="false">'Power Curves'!BC26</f>
        <v>0.73</v>
      </c>
      <c r="N21" s="401" t="n">
        <f aca="false">VALUE('Power Curves'!BD26)</f>
        <v>1</v>
      </c>
      <c r="O21" s="402" t="n">
        <f aca="false">IF(AND($N21=1,$N28=1),AVERAGE(B21:B28),0)</f>
        <v>0.98</v>
      </c>
      <c r="P21" s="403" t="n">
        <f aca="false">IF(AND($N21=1,$N28=1),AVERAGE(C21:C28),0)</f>
        <v>0.98</v>
      </c>
      <c r="Q21" s="403" t="n">
        <f aca="false">IF(AND($N21=1,$N28=1),AVERAGE(D21:D28),0)</f>
        <v>0.982658959537572</v>
      </c>
      <c r="R21" s="403" t="n">
        <f aca="false">IF(AND($N21=1,$N28=1),AVERAGE(E21:E28),0)</f>
        <v>0.995</v>
      </c>
      <c r="S21" s="403" t="n">
        <f aca="false">IF(AND($N21=1,$N28=1),AVERAGE(F21:F28),0)</f>
        <v>1.0491026645768</v>
      </c>
      <c r="T21" s="403" t="n">
        <f aca="false">IF(AND($N21=1,$N28=1),AVERAGE(G21:G28),0)</f>
        <v>1.265</v>
      </c>
      <c r="U21" s="403" t="n">
        <f aca="false">IF(AND($N21=1,$N28=1),AVERAGE(H21:H28),0)</f>
        <v>1.315</v>
      </c>
      <c r="V21" s="403" t="n">
        <f aca="false">IF(AND($N21=1,$N28=1),AVERAGE(I21:I28),0)</f>
        <v>1.315</v>
      </c>
      <c r="W21" s="403" t="n">
        <f aca="false">IF(AND($N21=1,$N28=1),AVERAGE(J21:J28),0)</f>
        <v>1.29375</v>
      </c>
      <c r="X21" s="403" t="n">
        <f aca="false">IF(AND($N21=1,$N28=1),AVERAGE(K21:K28),0)</f>
        <v>0.995</v>
      </c>
      <c r="Y21" s="403" t="n">
        <f aca="false">IF(AND($N21=1,$N28=1),AVERAGE(L21:L28),0)</f>
        <v>1.0825</v>
      </c>
      <c r="Z21" s="404" t="n">
        <f aca="false">IF(AND($N21=1,$N28=1),AVERAGE(M21:M28),0)</f>
        <v>1.02125</v>
      </c>
      <c r="AF21" s="386" t="n">
        <v>37073</v>
      </c>
      <c r="AG21" s="376" t="n">
        <v>21</v>
      </c>
      <c r="AH21" s="376" t="n">
        <v>4</v>
      </c>
      <c r="AI21" s="376" t="n">
        <v>6</v>
      </c>
      <c r="AJ21" s="376" t="n">
        <v>1</v>
      </c>
      <c r="AK21" s="376" t="n">
        <v>31</v>
      </c>
      <c r="AN21" s="380" t="n">
        <v>2</v>
      </c>
      <c r="AO21" s="410" t="s">
        <v>1432</v>
      </c>
      <c r="AR21" s="414" t="b">
        <f aca="false">TRUE()</f>
        <v>1</v>
      </c>
      <c r="AS21" s="415" t="s">
        <v>1460</v>
      </c>
    </row>
    <row r="22" customFormat="false" ht="12.75" hidden="false" customHeight="false" outlineLevel="0" collapsed="false">
      <c r="A22" s="160" t="n">
        <v>1600</v>
      </c>
      <c r="B22" s="400" t="n">
        <f aca="false">'Power Curves'!AR27</f>
        <v>0.8</v>
      </c>
      <c r="C22" s="400" t="n">
        <f aca="false">'Power Curves'!AS27</f>
        <v>0.8</v>
      </c>
      <c r="D22" s="400" t="n">
        <f aca="false">'Power Curves'!AT27</f>
        <v>0.832369942196532</v>
      </c>
      <c r="E22" s="400" t="n">
        <f aca="false">'Power Curves'!AU27</f>
        <v>0.88</v>
      </c>
      <c r="F22" s="400" t="n">
        <f aca="false">'Power Curves'!AV27</f>
        <v>1.1</v>
      </c>
      <c r="G22" s="400" t="n">
        <f aca="false">'Power Curves'!AW27</f>
        <v>1.53</v>
      </c>
      <c r="H22" s="400" t="n">
        <f aca="false">'Power Curves'!AX27</f>
        <v>1.63</v>
      </c>
      <c r="I22" s="400" t="n">
        <f aca="false">'Power Curves'!AY27</f>
        <v>1.63</v>
      </c>
      <c r="J22" s="400" t="n">
        <f aca="false">'Power Curves'!AZ27</f>
        <v>1.43</v>
      </c>
      <c r="K22" s="400" t="n">
        <f aca="false">'Power Curves'!BA27</f>
        <v>0.88</v>
      </c>
      <c r="L22" s="400" t="n">
        <f aca="false">'Power Curves'!BB27</f>
        <v>0.7</v>
      </c>
      <c r="M22" s="400" t="n">
        <f aca="false">'Power Curves'!BC27</f>
        <v>0.74</v>
      </c>
      <c r="N22" s="401" t="n">
        <f aca="false">VALUE('Power Curves'!BD27)</f>
        <v>1</v>
      </c>
      <c r="O22" s="402" t="n">
        <f aca="false">IF(AND($N22=1,$N29=1),AVERAGE(B22:B29),0)</f>
        <v>0</v>
      </c>
      <c r="P22" s="403" t="n">
        <f aca="false">IF(AND($N22=1,$N29=1),AVERAGE(C22:C29),0)</f>
        <v>0</v>
      </c>
      <c r="Q22" s="403" t="n">
        <f aca="false">IF(AND($N22=1,$N29=1),AVERAGE(D22:D29),0)</f>
        <v>0</v>
      </c>
      <c r="R22" s="403" t="n">
        <f aca="false">IF(AND($N22=1,$N29=1),AVERAGE(E22:E29),0)</f>
        <v>0</v>
      </c>
      <c r="S22" s="403" t="n">
        <f aca="false">IF(AND($N22=1,$N29=1),AVERAGE(F22:F29),0)</f>
        <v>0</v>
      </c>
      <c r="T22" s="403" t="n">
        <f aca="false">IF(AND($N22=1,$N29=1),AVERAGE(G22:G29),0)</f>
        <v>0</v>
      </c>
      <c r="U22" s="403" t="n">
        <f aca="false">IF(AND($N22=1,$N29=1),AVERAGE(H22:H29),0)</f>
        <v>0</v>
      </c>
      <c r="V22" s="403" t="n">
        <f aca="false">IF(AND($N22=1,$N29=1),AVERAGE(I22:I29),0)</f>
        <v>0</v>
      </c>
      <c r="W22" s="403" t="n">
        <f aca="false">IF(AND($N22=1,$N29=1),AVERAGE(J22:J29),0)</f>
        <v>0</v>
      </c>
      <c r="X22" s="403" t="n">
        <f aca="false">IF(AND($N22=1,$N29=1),AVERAGE(K22:K29),0)</f>
        <v>0</v>
      </c>
      <c r="Y22" s="403" t="n">
        <f aca="false">IF(AND($N22=1,$N29=1),AVERAGE(L22:L29),0)</f>
        <v>0</v>
      </c>
      <c r="Z22" s="404" t="n">
        <f aca="false">IF(AND($N22=1,$N29=1),AVERAGE(M22:M29),0)</f>
        <v>0</v>
      </c>
      <c r="AF22" s="386" t="n">
        <v>37104</v>
      </c>
      <c r="AG22" s="376" t="n">
        <v>23</v>
      </c>
      <c r="AH22" s="376" t="n">
        <v>4</v>
      </c>
      <c r="AI22" s="376" t="n">
        <v>4</v>
      </c>
      <c r="AJ22" s="376" t="n">
        <v>0</v>
      </c>
      <c r="AK22" s="376" t="n">
        <v>31</v>
      </c>
      <c r="AN22" s="411" t="n">
        <v>1</v>
      </c>
      <c r="AO22" s="390" t="s">
        <v>1461</v>
      </c>
    </row>
    <row r="23" customFormat="false" ht="12.75" hidden="false" customHeight="false" outlineLevel="0" collapsed="false">
      <c r="A23" s="160" t="n">
        <v>1700</v>
      </c>
      <c r="B23" s="400" t="n">
        <f aca="false">'Power Curves'!AR28</f>
        <v>1</v>
      </c>
      <c r="C23" s="400" t="n">
        <f aca="false">'Power Curves'!AS28</f>
        <v>1</v>
      </c>
      <c r="D23" s="400" t="n">
        <f aca="false">'Power Curves'!AT28</f>
        <v>1.01734104046243</v>
      </c>
      <c r="E23" s="400" t="n">
        <f aca="false">'Power Curves'!AU28</f>
        <v>1.05</v>
      </c>
      <c r="F23" s="400" t="n">
        <f aca="false">'Power Curves'!AV28</f>
        <v>1.1</v>
      </c>
      <c r="G23" s="400" t="n">
        <f aca="false">'Power Curves'!AW28</f>
        <v>1.53</v>
      </c>
      <c r="H23" s="400" t="n">
        <f aca="false">'Power Curves'!AX28</f>
        <v>1.63</v>
      </c>
      <c r="I23" s="400" t="n">
        <f aca="false">'Power Curves'!AY28</f>
        <v>1.63</v>
      </c>
      <c r="J23" s="400" t="n">
        <f aca="false">'Power Curves'!AZ28</f>
        <v>1.55</v>
      </c>
      <c r="K23" s="400" t="n">
        <f aca="false">'Power Curves'!BA28</f>
        <v>1.05</v>
      </c>
      <c r="L23" s="400" t="n">
        <f aca="false">'Power Curves'!BB28</f>
        <v>1</v>
      </c>
      <c r="M23" s="400" t="n">
        <f aca="false">'Power Curves'!BC28</f>
        <v>1.12</v>
      </c>
      <c r="N23" s="401" t="n">
        <f aca="false">VALUE('Power Curves'!BD28)</f>
        <v>1</v>
      </c>
      <c r="O23" s="402" t="n">
        <f aca="false">IF(AND($N23=1,$N30=1),AVERAGE(B23:B30),0)</f>
        <v>0</v>
      </c>
      <c r="P23" s="403" t="n">
        <f aca="false">IF(AND($N23=1,$N30=1),AVERAGE(C23:C30),0)</f>
        <v>0</v>
      </c>
      <c r="Q23" s="403" t="n">
        <f aca="false">IF(AND($N23=1,$N30=1),AVERAGE(D23:D30),0)</f>
        <v>0</v>
      </c>
      <c r="R23" s="403" t="n">
        <f aca="false">IF(AND($N23=1,$N30=1),AVERAGE(E23:E30),0)</f>
        <v>0</v>
      </c>
      <c r="S23" s="403" t="n">
        <f aca="false">IF(AND($N23=1,$N30=1),AVERAGE(F23:F30),0)</f>
        <v>0</v>
      </c>
      <c r="T23" s="403" t="n">
        <f aca="false">IF(AND($N23=1,$N30=1),AVERAGE(G23:G30),0)</f>
        <v>0</v>
      </c>
      <c r="U23" s="403" t="n">
        <f aca="false">IF(AND($N23=1,$N30=1),AVERAGE(H23:H30),0)</f>
        <v>0</v>
      </c>
      <c r="V23" s="403" t="n">
        <f aca="false">IF(AND($N23=1,$N30=1),AVERAGE(I23:I30),0)</f>
        <v>0</v>
      </c>
      <c r="W23" s="403" t="n">
        <f aca="false">IF(AND($N23=1,$N30=1),AVERAGE(J23:J30),0)</f>
        <v>0</v>
      </c>
      <c r="X23" s="403" t="n">
        <f aca="false">IF(AND($N23=1,$N30=1),AVERAGE(K23:K30),0)</f>
        <v>0</v>
      </c>
      <c r="Y23" s="403" t="n">
        <f aca="false">IF(AND($N23=1,$N30=1),AVERAGE(L23:L30),0)</f>
        <v>0</v>
      </c>
      <c r="Z23" s="404" t="n">
        <f aca="false">IF(AND($N23=1,$N30=1),AVERAGE(M23:M30),0)</f>
        <v>0</v>
      </c>
      <c r="AF23" s="386" t="n">
        <v>37135</v>
      </c>
      <c r="AG23" s="376" t="n">
        <v>19</v>
      </c>
      <c r="AH23" s="376" t="n">
        <v>5</v>
      </c>
      <c r="AI23" s="376" t="n">
        <v>6</v>
      </c>
      <c r="AJ23" s="376" t="n">
        <v>1</v>
      </c>
      <c r="AK23" s="376" t="n">
        <v>30</v>
      </c>
      <c r="AN23" s="411" t="n">
        <v>2</v>
      </c>
      <c r="AO23" s="412" t="s">
        <v>1462</v>
      </c>
      <c r="AR23" s="414" t="b">
        <f aca="false">FALSE()</f>
        <v>0</v>
      </c>
      <c r="AS23" s="415" t="s">
        <v>1463</v>
      </c>
    </row>
    <row r="24" customFormat="false" ht="12.75" hidden="false" customHeight="false" outlineLevel="0" collapsed="false">
      <c r="A24" s="160" t="n">
        <v>1800</v>
      </c>
      <c r="B24" s="400" t="n">
        <f aca="false">'Power Curves'!AR29</f>
        <v>1.3</v>
      </c>
      <c r="C24" s="400" t="n">
        <f aca="false">'Power Curves'!AS29</f>
        <v>1.3</v>
      </c>
      <c r="D24" s="400" t="n">
        <f aca="false">'Power Curves'!AT29</f>
        <v>1.20231213872832</v>
      </c>
      <c r="E24" s="400" t="n">
        <f aca="false">'Power Curves'!AU29</f>
        <v>1.2</v>
      </c>
      <c r="F24" s="400" t="n">
        <f aca="false">'Power Curves'!AV29</f>
        <v>1.12</v>
      </c>
      <c r="G24" s="400" t="n">
        <f aca="false">'Power Curves'!AW29</f>
        <v>1.53</v>
      </c>
      <c r="H24" s="400" t="n">
        <f aca="false">'Power Curves'!AX29</f>
        <v>1.63</v>
      </c>
      <c r="I24" s="400" t="n">
        <f aca="false">'Power Curves'!AY29</f>
        <v>1.63</v>
      </c>
      <c r="J24" s="400" t="n">
        <f aca="false">'Power Curves'!AZ29</f>
        <v>1.5</v>
      </c>
      <c r="K24" s="400" t="n">
        <f aca="false">'Power Curves'!BA29</f>
        <v>1.2</v>
      </c>
      <c r="L24" s="400" t="n">
        <f aca="false">'Power Curves'!BB29</f>
        <v>1.255</v>
      </c>
      <c r="M24" s="400" t="n">
        <f aca="false">'Power Curves'!BC29</f>
        <v>1.35</v>
      </c>
      <c r="N24" s="401" t="n">
        <f aca="false">VALUE('Power Curves'!BD29)</f>
        <v>1</v>
      </c>
      <c r="O24" s="397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416"/>
      <c r="AF24" s="386" t="n">
        <v>37165</v>
      </c>
      <c r="AG24" s="376" t="n">
        <v>23</v>
      </c>
      <c r="AH24" s="376" t="n">
        <v>4</v>
      </c>
      <c r="AI24" s="376" t="n">
        <v>4</v>
      </c>
      <c r="AJ24" s="376" t="n">
        <v>0</v>
      </c>
      <c r="AK24" s="376" t="n">
        <v>31</v>
      </c>
    </row>
    <row r="25" customFormat="false" ht="12.75" hidden="false" customHeight="false" outlineLevel="0" collapsed="false">
      <c r="A25" s="160" t="n">
        <v>1900</v>
      </c>
      <c r="B25" s="400" t="n">
        <f aca="false">'Power Curves'!AR30</f>
        <v>1.3</v>
      </c>
      <c r="C25" s="400" t="n">
        <f aca="false">'Power Curves'!AS30</f>
        <v>1.3</v>
      </c>
      <c r="D25" s="400" t="n">
        <f aca="false">'Power Curves'!AT30</f>
        <v>1.20231213872832</v>
      </c>
      <c r="E25" s="400" t="n">
        <f aca="false">'Power Curves'!AU30</f>
        <v>1.15</v>
      </c>
      <c r="F25" s="400" t="n">
        <f aca="false">'Power Curves'!AV30</f>
        <v>1.15</v>
      </c>
      <c r="G25" s="400" t="n">
        <f aca="false">'Power Curves'!AW30</f>
        <v>1.53</v>
      </c>
      <c r="H25" s="400" t="n">
        <f aca="false">'Power Curves'!AX30</f>
        <v>1.63</v>
      </c>
      <c r="I25" s="400" t="n">
        <f aca="false">'Power Curves'!AY30</f>
        <v>1.63</v>
      </c>
      <c r="J25" s="400" t="n">
        <f aca="false">'Power Curves'!AZ30</f>
        <v>1.45</v>
      </c>
      <c r="K25" s="400" t="n">
        <f aca="false">'Power Curves'!BA30</f>
        <v>1.15</v>
      </c>
      <c r="L25" s="400" t="n">
        <f aca="false">'Power Curves'!BB30</f>
        <v>1.54</v>
      </c>
      <c r="M25" s="400" t="n">
        <f aca="false">'Power Curves'!BC30</f>
        <v>1.35</v>
      </c>
      <c r="N25" s="401" t="n">
        <f aca="false">VALUE('Power Curves'!BD30)</f>
        <v>1</v>
      </c>
      <c r="O25" s="397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416"/>
      <c r="AF25" s="386" t="n">
        <v>37196</v>
      </c>
      <c r="AG25" s="376" t="n">
        <v>21</v>
      </c>
      <c r="AH25" s="376" t="n">
        <v>4</v>
      </c>
      <c r="AI25" s="376" t="n">
        <v>5</v>
      </c>
      <c r="AJ25" s="376" t="n">
        <v>1</v>
      </c>
      <c r="AK25" s="376" t="n">
        <v>30</v>
      </c>
      <c r="AN25" s="380" t="n">
        <v>2</v>
      </c>
      <c r="AO25" s="410" t="s">
        <v>1432</v>
      </c>
      <c r="AR25" s="414" t="b">
        <f aca="false">TRUE()</f>
        <v>1</v>
      </c>
      <c r="AS25" s="415" t="s">
        <v>1464</v>
      </c>
    </row>
    <row r="26" customFormat="false" ht="12.75" hidden="false" customHeight="false" outlineLevel="0" collapsed="false">
      <c r="A26" s="160" t="n">
        <v>2000</v>
      </c>
      <c r="B26" s="400" t="n">
        <f aca="false">'Power Curves'!AR31</f>
        <v>1.15</v>
      </c>
      <c r="C26" s="400" t="n">
        <f aca="false">'Power Curves'!AS31</f>
        <v>1.15</v>
      </c>
      <c r="D26" s="400" t="n">
        <f aca="false">'Power Curves'!AT31</f>
        <v>1.01734104046243</v>
      </c>
      <c r="E26" s="400" t="n">
        <f aca="false">'Power Curves'!AU31</f>
        <v>1.05</v>
      </c>
      <c r="F26" s="400" t="n">
        <f aca="false">'Power Curves'!AV31</f>
        <v>1.12</v>
      </c>
      <c r="G26" s="400" t="n">
        <f aca="false">'Power Curves'!AW31</f>
        <v>1.53</v>
      </c>
      <c r="H26" s="400" t="n">
        <f aca="false">'Power Curves'!AX31</f>
        <v>1.63</v>
      </c>
      <c r="I26" s="400" t="n">
        <f aca="false">'Power Curves'!AY31</f>
        <v>1.63</v>
      </c>
      <c r="J26" s="400" t="n">
        <f aca="false">'Power Curves'!AZ31</f>
        <v>1.35</v>
      </c>
      <c r="K26" s="400" t="n">
        <f aca="false">'Power Curves'!BA31</f>
        <v>1.05</v>
      </c>
      <c r="L26" s="400" t="n">
        <f aca="false">'Power Curves'!BB31</f>
        <v>1.54</v>
      </c>
      <c r="M26" s="400" t="n">
        <f aca="false">'Power Curves'!BC31</f>
        <v>1.21</v>
      </c>
      <c r="N26" s="401" t="n">
        <f aca="false">VALUE('Power Curves'!BD31)</f>
        <v>1</v>
      </c>
      <c r="O26" s="397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416"/>
      <c r="AF26" s="386" t="n">
        <v>37226</v>
      </c>
      <c r="AG26" s="376" t="n">
        <v>20</v>
      </c>
      <c r="AH26" s="376" t="n">
        <v>5</v>
      </c>
      <c r="AI26" s="376" t="n">
        <v>6</v>
      </c>
      <c r="AJ26" s="376" t="n">
        <v>1</v>
      </c>
      <c r="AK26" s="376" t="n">
        <v>31</v>
      </c>
      <c r="AN26" s="411" t="n">
        <v>1</v>
      </c>
      <c r="AO26" s="390" t="s">
        <v>1465</v>
      </c>
    </row>
    <row r="27" customFormat="false" ht="12.75" hidden="false" customHeight="false" outlineLevel="0" collapsed="false">
      <c r="A27" s="160" t="n">
        <v>2100</v>
      </c>
      <c r="B27" s="400" t="n">
        <f aca="false">'Power Curves'!AR32</f>
        <v>0.8</v>
      </c>
      <c r="C27" s="400" t="n">
        <f aca="false">'Power Curves'!AS32</f>
        <v>0.8</v>
      </c>
      <c r="D27" s="400" t="n">
        <f aca="false">'Power Curves'!AT32</f>
        <v>0.92485549132948</v>
      </c>
      <c r="E27" s="400" t="n">
        <f aca="false">'Power Curves'!AU32</f>
        <v>0.9</v>
      </c>
      <c r="F27" s="400" t="n">
        <f aca="false">'Power Curves'!AV32</f>
        <v>0.90282131661442</v>
      </c>
      <c r="G27" s="400" t="n">
        <f aca="false">'Power Curves'!AW32</f>
        <v>0.47</v>
      </c>
      <c r="H27" s="400" t="n">
        <f aca="false">'Power Curves'!AX32</f>
        <v>0.37</v>
      </c>
      <c r="I27" s="400" t="n">
        <f aca="false">'Power Curves'!AY32</f>
        <v>0.37</v>
      </c>
      <c r="J27" s="400" t="n">
        <f aca="false">'Power Curves'!AZ32</f>
        <v>1</v>
      </c>
      <c r="K27" s="400" t="n">
        <f aca="false">'Power Curves'!BA32</f>
        <v>0.9</v>
      </c>
      <c r="L27" s="400" t="n">
        <f aca="false">'Power Curves'!BB32</f>
        <v>1.205</v>
      </c>
      <c r="M27" s="400" t="n">
        <f aca="false">'Power Curves'!BC32</f>
        <v>0.95</v>
      </c>
      <c r="N27" s="401" t="n">
        <f aca="false">VALUE('Power Curves'!BD32)</f>
        <v>1</v>
      </c>
      <c r="O27" s="397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416"/>
      <c r="AF27" s="386" t="n">
        <v>37257</v>
      </c>
      <c r="AG27" s="376" t="n">
        <v>22</v>
      </c>
      <c r="AH27" s="376" t="n">
        <v>4</v>
      </c>
      <c r="AI27" s="376" t="n">
        <v>5</v>
      </c>
      <c r="AJ27" s="376" t="n">
        <v>1</v>
      </c>
      <c r="AK27" s="376" t="n">
        <v>31</v>
      </c>
      <c r="AN27" s="411" t="n">
        <v>2</v>
      </c>
      <c r="AO27" s="412" t="s">
        <v>1466</v>
      </c>
    </row>
    <row r="28" customFormat="false" ht="12.75" hidden="false" customHeight="false" outlineLevel="0" collapsed="false">
      <c r="A28" s="160" t="n">
        <v>2200</v>
      </c>
      <c r="B28" s="400" t="n">
        <f aca="false">'Power Curves'!AR33</f>
        <v>0.79</v>
      </c>
      <c r="C28" s="400" t="n">
        <f aca="false">'Power Curves'!AS33</f>
        <v>0.79</v>
      </c>
      <c r="D28" s="400" t="n">
        <f aca="false">'Power Curves'!AT33</f>
        <v>0.832369942196532</v>
      </c>
      <c r="E28" s="400" t="n">
        <f aca="false">'Power Curves'!AU33</f>
        <v>0.85</v>
      </c>
      <c r="F28" s="400" t="n">
        <f aca="false">'Power Curves'!AV33</f>
        <v>0.85</v>
      </c>
      <c r="G28" s="400" t="n">
        <f aca="false">'Power Curves'!AW33</f>
        <v>0.47</v>
      </c>
      <c r="H28" s="400" t="n">
        <f aca="false">'Power Curves'!AX33</f>
        <v>0.37</v>
      </c>
      <c r="I28" s="400" t="n">
        <f aca="false">'Power Curves'!AY33</f>
        <v>0.37</v>
      </c>
      <c r="J28" s="400" t="n">
        <f aca="false">'Power Curves'!AZ33</f>
        <v>0.69</v>
      </c>
      <c r="K28" s="400" t="n">
        <f aca="false">'Power Curves'!BA33</f>
        <v>0.85</v>
      </c>
      <c r="L28" s="400" t="n">
        <f aca="false">'Power Curves'!BB33</f>
        <v>0.72</v>
      </c>
      <c r="M28" s="400" t="n">
        <f aca="false">'Power Curves'!BC33</f>
        <v>0.72</v>
      </c>
      <c r="N28" s="401" t="n">
        <f aca="false">VALUE('Power Curves'!BD33)</f>
        <v>1</v>
      </c>
      <c r="O28" s="397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416"/>
      <c r="AF28" s="386" t="n">
        <v>37288</v>
      </c>
      <c r="AG28" s="376" t="n">
        <v>20</v>
      </c>
      <c r="AH28" s="376" t="n">
        <v>4</v>
      </c>
      <c r="AI28" s="376" t="n">
        <v>4</v>
      </c>
      <c r="AJ28" s="376" t="n">
        <v>0</v>
      </c>
      <c r="AK28" s="376" t="n">
        <v>28</v>
      </c>
    </row>
    <row r="29" customFormat="false" ht="12.75" hidden="false" customHeight="false" outlineLevel="0" collapsed="false">
      <c r="A29" s="160" t="n">
        <v>2300</v>
      </c>
      <c r="B29" s="400" t="n">
        <f aca="false">'Power Curves'!AR34</f>
        <v>1.05</v>
      </c>
      <c r="C29" s="400" t="n">
        <f aca="false">'Power Curves'!AS34</f>
        <v>1.05</v>
      </c>
      <c r="D29" s="400" t="n">
        <f aca="false">'Power Curves'!AT34</f>
        <v>1.13942581548393</v>
      </c>
      <c r="E29" s="400" t="n">
        <f aca="false">'Power Curves'!AU34</f>
        <v>1.26515386305201</v>
      </c>
      <c r="F29" s="400" t="n">
        <f aca="false">'Power Curves'!AV34</f>
        <v>1.15</v>
      </c>
      <c r="G29" s="400" t="n">
        <f aca="false">'Power Curves'!AW34</f>
        <v>1.25</v>
      </c>
      <c r="H29" s="400" t="n">
        <f aca="false">'Power Curves'!AX34</f>
        <v>1.29465582024753</v>
      </c>
      <c r="I29" s="400" t="n">
        <f aca="false">'Power Curves'!AY34</f>
        <v>1.29465582024753</v>
      </c>
      <c r="J29" s="400" t="n">
        <f aca="false">'Power Curves'!AZ34</f>
        <v>1.25</v>
      </c>
      <c r="K29" s="400" t="n">
        <f aca="false">'Power Curves'!BA34</f>
        <v>1.26515386305201</v>
      </c>
      <c r="L29" s="400" t="n">
        <f aca="false">'Power Curves'!BB34</f>
        <v>1.11998824052749</v>
      </c>
      <c r="M29" s="400" t="n">
        <f aca="false">'Power Curves'!BC34</f>
        <v>1.11998824052749</v>
      </c>
      <c r="N29" s="401" t="n">
        <f aca="false">VALUE('Power Curves'!BD34)</f>
        <v>2</v>
      </c>
      <c r="O29" s="397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416"/>
      <c r="AF29" s="386" t="n">
        <v>37316</v>
      </c>
      <c r="AG29" s="376" t="n">
        <v>21</v>
      </c>
      <c r="AH29" s="376" t="n">
        <v>5</v>
      </c>
      <c r="AI29" s="376" t="n">
        <v>5</v>
      </c>
      <c r="AJ29" s="376" t="n">
        <v>0</v>
      </c>
      <c r="AK29" s="376" t="n">
        <v>31</v>
      </c>
      <c r="AN29" s="380" t="n">
        <v>1</v>
      </c>
      <c r="AO29" s="410" t="s">
        <v>1432</v>
      </c>
    </row>
    <row r="30" customFormat="false" ht="12.75" hidden="false" customHeight="false" outlineLevel="0" collapsed="false">
      <c r="A30" s="160" t="n">
        <v>2400</v>
      </c>
      <c r="B30" s="400" t="n">
        <f aca="false">'Power Curves'!AR35</f>
        <v>0.95</v>
      </c>
      <c r="C30" s="400" t="n">
        <f aca="false">'Power Curves'!AS35</f>
        <v>0.95</v>
      </c>
      <c r="D30" s="400" t="n">
        <f aca="false">'Power Curves'!AT35</f>
        <v>1.06539539351647</v>
      </c>
      <c r="E30" s="400" t="n">
        <f aca="false">'Power Curves'!AU35</f>
        <v>1.15401118724704</v>
      </c>
      <c r="F30" s="400" t="n">
        <f aca="false">'Power Curves'!AV35</f>
        <v>0.958807332906934</v>
      </c>
      <c r="G30" s="400" t="n">
        <f aca="false">'Power Curves'!AW35</f>
        <v>1.21505912963884</v>
      </c>
      <c r="H30" s="400" t="n">
        <f aca="false">'Power Curves'!AX35</f>
        <v>1.19131182078933</v>
      </c>
      <c r="I30" s="400" t="n">
        <f aca="false">'Power Curves'!AY35</f>
        <v>1.19131182078933</v>
      </c>
      <c r="J30" s="400" t="n">
        <f aca="false">'Power Curves'!AZ35</f>
        <v>1.21505912963884</v>
      </c>
      <c r="K30" s="400" t="n">
        <f aca="false">'Power Curves'!BA35</f>
        <v>1.15401118724704</v>
      </c>
      <c r="L30" s="400" t="n">
        <f aca="false">'Power Curves'!BB35</f>
        <v>1.05392489132036</v>
      </c>
      <c r="M30" s="400" t="n">
        <f aca="false">'Power Curves'!BC35</f>
        <v>1.10392489132036</v>
      </c>
      <c r="N30" s="401" t="n">
        <f aca="false">VALUE('Power Curves'!BD35)</f>
        <v>2</v>
      </c>
      <c r="O30" s="397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416"/>
      <c r="AF30" s="386" t="n">
        <v>37347</v>
      </c>
      <c r="AG30" s="376" t="n">
        <v>22</v>
      </c>
      <c r="AH30" s="376" t="n">
        <v>4</v>
      </c>
      <c r="AI30" s="376" t="n">
        <v>4</v>
      </c>
      <c r="AJ30" s="376" t="n">
        <v>0</v>
      </c>
      <c r="AK30" s="376" t="n">
        <v>30</v>
      </c>
      <c r="AN30" s="411" t="n">
        <v>1</v>
      </c>
      <c r="AO30" s="390" t="s">
        <v>1467</v>
      </c>
    </row>
    <row r="31" customFormat="false" ht="12.75" hidden="false" customHeight="false" outlineLevel="0" collapsed="false">
      <c r="A31" s="376"/>
      <c r="B31" s="373" t="n">
        <v>1</v>
      </c>
      <c r="C31" s="373" t="n">
        <f aca="false">+B31+1</f>
        <v>2</v>
      </c>
      <c r="D31" s="373" t="n">
        <f aca="false">+C31+1</f>
        <v>3</v>
      </c>
      <c r="E31" s="373" t="n">
        <f aca="false">+D31+1</f>
        <v>4</v>
      </c>
      <c r="F31" s="373" t="n">
        <f aca="false">+E31+1</f>
        <v>5</v>
      </c>
      <c r="G31" s="373" t="n">
        <f aca="false">+F31+1</f>
        <v>6</v>
      </c>
      <c r="H31" s="373" t="n">
        <f aca="false">+G31+1</f>
        <v>7</v>
      </c>
      <c r="I31" s="373" t="n">
        <f aca="false">+H31+1</f>
        <v>8</v>
      </c>
      <c r="J31" s="373" t="n">
        <f aca="false">+I31+1</f>
        <v>9</v>
      </c>
      <c r="K31" s="373" t="n">
        <f aca="false">+J31+1</f>
        <v>10</v>
      </c>
      <c r="L31" s="373" t="n">
        <f aca="false">+K31+1</f>
        <v>11</v>
      </c>
      <c r="M31" s="373" t="n">
        <f aca="false">+L31+1</f>
        <v>12</v>
      </c>
      <c r="N31" s="376"/>
      <c r="O31" s="397"/>
      <c r="P31" s="255"/>
      <c r="Q31" s="398"/>
      <c r="R31" s="398"/>
      <c r="S31" s="398"/>
      <c r="T31" s="398"/>
      <c r="U31" s="398"/>
      <c r="V31" s="398"/>
      <c r="W31" s="398"/>
      <c r="X31" s="398"/>
      <c r="Y31" s="398"/>
      <c r="Z31" s="399"/>
      <c r="AF31" s="386" t="n">
        <v>37377</v>
      </c>
      <c r="AG31" s="376" t="n">
        <v>22</v>
      </c>
      <c r="AH31" s="376" t="n">
        <v>4</v>
      </c>
      <c r="AI31" s="376" t="n">
        <v>5</v>
      </c>
      <c r="AJ31" s="376" t="n">
        <v>1</v>
      </c>
      <c r="AK31" s="376" t="n">
        <v>31</v>
      </c>
      <c r="AN31" s="411" t="n">
        <v>2</v>
      </c>
      <c r="AO31" s="412" t="s">
        <v>1468</v>
      </c>
    </row>
    <row r="32" customFormat="false" ht="12.75" hidden="false" customHeight="false" outlineLevel="0" collapsed="false">
      <c r="A32" s="417" t="s">
        <v>1469</v>
      </c>
      <c r="B32" s="418" t="n">
        <f aca="false">O32</f>
        <v>1.02007383501259</v>
      </c>
      <c r="C32" s="418" t="n">
        <f aca="false">P32</f>
        <v>1.02007383501259</v>
      </c>
      <c r="D32" s="418" t="n">
        <f aca="false">Q32</f>
        <v>1.0173448699422</v>
      </c>
      <c r="E32" s="418" t="n">
        <f aca="false">R32</f>
        <v>1.005</v>
      </c>
      <c r="F32" s="418" t="n">
        <f aca="false">S32</f>
        <v>1.075625</v>
      </c>
      <c r="G32" s="418" t="n">
        <f aca="false">T32</f>
        <v>1.53</v>
      </c>
      <c r="H32" s="418" t="n">
        <f aca="false">U32</f>
        <v>1.63</v>
      </c>
      <c r="I32" s="418" t="n">
        <f aca="false">V32</f>
        <v>1.63</v>
      </c>
      <c r="J32" s="418" t="n">
        <f aca="false">W32</f>
        <v>1.35125</v>
      </c>
      <c r="K32" s="418" t="n">
        <f aca="false">X32</f>
        <v>1.005</v>
      </c>
      <c r="L32" s="418" t="n">
        <f aca="false">Y32</f>
        <v>1.0825</v>
      </c>
      <c r="M32" s="418" t="n">
        <f aca="false">Z32</f>
        <v>1.02125</v>
      </c>
      <c r="N32" s="376"/>
      <c r="O32" s="419" t="n">
        <f aca="false">MAX(O7:O30)</f>
        <v>1.02007383501259</v>
      </c>
      <c r="P32" s="420" t="n">
        <f aca="false">MAX(P7:P30)</f>
        <v>1.02007383501259</v>
      </c>
      <c r="Q32" s="420" t="n">
        <f aca="false">MAX(Q7:Q30)</f>
        <v>1.0173448699422</v>
      </c>
      <c r="R32" s="420" t="n">
        <f aca="false">MAX(R7:R30)</f>
        <v>1.005</v>
      </c>
      <c r="S32" s="420" t="n">
        <f aca="false">MAX(S7:S30)</f>
        <v>1.075625</v>
      </c>
      <c r="T32" s="420" t="n">
        <f aca="false">MAX(T7:T30)</f>
        <v>1.53</v>
      </c>
      <c r="U32" s="420" t="n">
        <f aca="false">MAX(U7:U30)</f>
        <v>1.63</v>
      </c>
      <c r="V32" s="420" t="n">
        <f aca="false">MAX(V7:V30)</f>
        <v>1.63</v>
      </c>
      <c r="W32" s="420" t="n">
        <f aca="false">MAX(W7:W30)</f>
        <v>1.35125</v>
      </c>
      <c r="X32" s="420" t="n">
        <f aca="false">MAX(X7:X30)</f>
        <v>1.005</v>
      </c>
      <c r="Y32" s="420" t="n">
        <f aca="false">MAX(Y7:Y30)</f>
        <v>1.0825</v>
      </c>
      <c r="Z32" s="421" t="n">
        <f aca="false">MAX(Z7:Z30)</f>
        <v>1.02125</v>
      </c>
      <c r="AF32" s="386" t="n">
        <v>37408</v>
      </c>
      <c r="AG32" s="376" t="n">
        <v>20</v>
      </c>
      <c r="AH32" s="376" t="n">
        <v>5</v>
      </c>
      <c r="AI32" s="376" t="n">
        <v>5</v>
      </c>
      <c r="AJ32" s="376" t="n">
        <v>0</v>
      </c>
      <c r="AK32" s="376" t="n">
        <v>30</v>
      </c>
    </row>
    <row r="33" customFormat="false" ht="12.75" hidden="false" customHeight="false" outlineLevel="0" collapsed="false">
      <c r="A33" s="422" t="s">
        <v>1470</v>
      </c>
      <c r="B33" s="423"/>
      <c r="C33" s="423"/>
      <c r="D33" s="423"/>
      <c r="E33" s="423"/>
      <c r="F33" s="423"/>
      <c r="G33" s="423"/>
      <c r="H33" s="423"/>
      <c r="I33" s="423"/>
      <c r="J33" s="423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AF33" s="386" t="n">
        <v>37438</v>
      </c>
      <c r="AG33" s="376" t="n">
        <v>22</v>
      </c>
      <c r="AH33" s="376" t="n">
        <v>4</v>
      </c>
      <c r="AI33" s="376" t="n">
        <v>5</v>
      </c>
      <c r="AJ33" s="376" t="n">
        <v>1</v>
      </c>
      <c r="AK33" s="376" t="n">
        <v>31</v>
      </c>
    </row>
    <row r="34" customFormat="false" ht="12.75" hidden="false" customHeight="false" outlineLevel="0" collapsed="false">
      <c r="M34" s="370"/>
      <c r="N34" s="370"/>
      <c r="O34" s="370" t="s">
        <v>1471</v>
      </c>
      <c r="P34" s="370"/>
      <c r="Q34" s="370"/>
      <c r="R34" s="370"/>
      <c r="S34" s="370"/>
      <c r="T34" s="370"/>
      <c r="U34" s="370"/>
      <c r="V34" s="370"/>
      <c r="W34" s="370"/>
      <c r="AF34" s="386" t="n">
        <v>37469</v>
      </c>
      <c r="AG34" s="376" t="n">
        <v>22</v>
      </c>
      <c r="AH34" s="376" t="n">
        <v>5</v>
      </c>
      <c r="AI34" s="376" t="n">
        <v>4</v>
      </c>
      <c r="AJ34" s="376" t="n">
        <v>0</v>
      </c>
      <c r="AK34" s="376" t="n">
        <v>31</v>
      </c>
    </row>
    <row r="35" customFormat="false" ht="13.5" hidden="false" customHeight="false" outlineLevel="0" collapsed="false">
      <c r="A35" s="221" t="n">
        <v>1</v>
      </c>
      <c r="B35" s="221" t="n">
        <f aca="false">A35+1</f>
        <v>2</v>
      </c>
      <c r="C35" s="221" t="n">
        <f aca="false">B35+1</f>
        <v>3</v>
      </c>
      <c r="D35" s="221" t="n">
        <f aca="false">C35+1</f>
        <v>4</v>
      </c>
      <c r="E35" s="221" t="n">
        <f aca="false">D35+1</f>
        <v>5</v>
      </c>
      <c r="F35" s="221" t="n">
        <f aca="false">E35+1</f>
        <v>6</v>
      </c>
      <c r="G35" s="221" t="n">
        <f aca="false">F35+1</f>
        <v>7</v>
      </c>
      <c r="H35" s="221" t="n">
        <f aca="false">G35+1</f>
        <v>8</v>
      </c>
      <c r="I35" s="221" t="n">
        <f aca="false">H35+1</f>
        <v>9</v>
      </c>
      <c r="J35" s="221" t="n">
        <f aca="false">I35+1</f>
        <v>10</v>
      </c>
      <c r="K35" s="221" t="n">
        <f aca="false">J35+1</f>
        <v>11</v>
      </c>
      <c r="L35" s="221" t="n">
        <f aca="false">K35+1</f>
        <v>12</v>
      </c>
      <c r="M35" s="221" t="n">
        <f aca="false">L35+1</f>
        <v>13</v>
      </c>
      <c r="N35" s="221" t="n">
        <f aca="false">M35+1</f>
        <v>14</v>
      </c>
      <c r="O35" s="370"/>
      <c r="P35" s="370"/>
      <c r="Q35" s="370"/>
      <c r="R35" s="370"/>
      <c r="S35" s="370"/>
      <c r="T35" s="370"/>
      <c r="U35" s="370"/>
      <c r="V35" s="370"/>
      <c r="W35" s="370"/>
      <c r="AF35" s="386" t="n">
        <v>37500</v>
      </c>
      <c r="AG35" s="376" t="n">
        <v>20</v>
      </c>
      <c r="AH35" s="376" t="n">
        <v>4</v>
      </c>
      <c r="AI35" s="376" t="n">
        <v>6</v>
      </c>
      <c r="AJ35" s="376" t="n">
        <v>1</v>
      </c>
      <c r="AK35" s="376" t="n">
        <v>30</v>
      </c>
    </row>
    <row r="36" customFormat="false" ht="13.5" hidden="false" customHeight="false" outlineLevel="0" collapsed="false">
      <c r="B36" s="424" t="s">
        <v>1472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370"/>
      <c r="N36" s="425"/>
      <c r="O36" s="425"/>
      <c r="P36" s="424" t="s">
        <v>1473</v>
      </c>
      <c r="Q36" s="424"/>
      <c r="R36" s="424"/>
      <c r="S36" s="424"/>
      <c r="T36" s="424"/>
      <c r="U36" s="424"/>
      <c r="V36" s="424"/>
      <c r="W36" s="424"/>
      <c r="X36" s="424"/>
      <c r="Y36" s="424"/>
      <c r="AF36" s="386" t="n">
        <v>37530</v>
      </c>
      <c r="AG36" s="376" t="n">
        <v>23</v>
      </c>
      <c r="AH36" s="376" t="n">
        <v>4</v>
      </c>
      <c r="AI36" s="376" t="n">
        <v>4</v>
      </c>
      <c r="AJ36" s="376" t="n">
        <v>0</v>
      </c>
      <c r="AK36" s="376" t="n">
        <v>31</v>
      </c>
    </row>
    <row r="37" customFormat="false" ht="12.75" hidden="false" customHeight="false" outlineLevel="0" collapsed="false">
      <c r="B37" s="426" t="s">
        <v>1474</v>
      </c>
      <c r="C37" s="427" t="s">
        <v>1475</v>
      </c>
      <c r="D37" s="428" t="s">
        <v>1476</v>
      </c>
      <c r="E37" s="429" t="s">
        <v>14</v>
      </c>
      <c r="F37" s="281" t="s">
        <v>1477</v>
      </c>
      <c r="G37" s="281" t="s">
        <v>1478</v>
      </c>
      <c r="H37" s="430" t="s">
        <v>1479</v>
      </c>
      <c r="I37" s="429" t="s">
        <v>15</v>
      </c>
      <c r="J37" s="281" t="s">
        <v>1477</v>
      </c>
      <c r="K37" s="281" t="s">
        <v>1478</v>
      </c>
      <c r="L37" s="430" t="s">
        <v>1479</v>
      </c>
      <c r="M37" s="431" t="s">
        <v>1480</v>
      </c>
      <c r="N37" s="432" t="s">
        <v>1481</v>
      </c>
      <c r="O37" s="433" t="str">
        <f aca="false">PositionRegion</f>
        <v>REGION 4</v>
      </c>
      <c r="P37" s="417" t="s">
        <v>1482</v>
      </c>
      <c r="Q37" s="417" t="s">
        <v>1483</v>
      </c>
      <c r="R37" s="417" t="s">
        <v>1484</v>
      </c>
      <c r="S37" s="417" t="s">
        <v>1485</v>
      </c>
      <c r="T37" s="417" t="s">
        <v>1486</v>
      </c>
      <c r="U37" s="417" t="s">
        <v>335</v>
      </c>
      <c r="V37" s="417" t="s">
        <v>336</v>
      </c>
      <c r="W37" s="417" t="s">
        <v>1487</v>
      </c>
      <c r="X37" s="417" t="s">
        <v>1488</v>
      </c>
      <c r="Y37" s="417" t="s">
        <v>1489</v>
      </c>
      <c r="AF37" s="386" t="n">
        <v>37561</v>
      </c>
      <c r="AG37" s="376" t="n">
        <v>20</v>
      </c>
      <c r="AH37" s="376" t="n">
        <v>5</v>
      </c>
      <c r="AI37" s="376" t="n">
        <v>5</v>
      </c>
      <c r="AJ37" s="376" t="n">
        <v>1</v>
      </c>
      <c r="AK37" s="376" t="n">
        <v>30</v>
      </c>
    </row>
    <row r="38" customFormat="false" ht="12.75" hidden="false" customHeight="false" outlineLevel="0" collapsed="false">
      <c r="A38" s="221" t="s">
        <v>1406</v>
      </c>
      <c r="B38" s="426" t="s">
        <v>71</v>
      </c>
      <c r="C38" s="427" t="s">
        <v>71</v>
      </c>
      <c r="D38" s="428" t="s">
        <v>71</v>
      </c>
      <c r="E38" s="429" t="s">
        <v>1490</v>
      </c>
      <c r="F38" s="281" t="s">
        <v>1413</v>
      </c>
      <c r="G38" s="281" t="s">
        <v>1413</v>
      </c>
      <c r="H38" s="430" t="s">
        <v>1413</v>
      </c>
      <c r="I38" s="429" t="s">
        <v>1490</v>
      </c>
      <c r="J38" s="281" t="s">
        <v>1413</v>
      </c>
      <c r="K38" s="281" t="s">
        <v>1413</v>
      </c>
      <c r="L38" s="430" t="s">
        <v>1413</v>
      </c>
      <c r="M38" s="426" t="s">
        <v>1491</v>
      </c>
      <c r="N38" s="428" t="s">
        <v>1413</v>
      </c>
      <c r="O38" s="370"/>
      <c r="P38" s="417" t="s">
        <v>1413</v>
      </c>
      <c r="Q38" s="417" t="s">
        <v>1413</v>
      </c>
      <c r="R38" s="417" t="s">
        <v>1413</v>
      </c>
      <c r="S38" s="417" t="s">
        <v>1491</v>
      </c>
      <c r="T38" s="417" t="s">
        <v>1492</v>
      </c>
      <c r="U38" s="417" t="s">
        <v>1492</v>
      </c>
      <c r="V38" s="417" t="s">
        <v>1493</v>
      </c>
      <c r="W38" s="417" t="s">
        <v>1493</v>
      </c>
      <c r="X38" s="417" t="s">
        <v>1493</v>
      </c>
      <c r="Y38" s="417" t="s">
        <v>1414</v>
      </c>
      <c r="AF38" s="386" t="n">
        <v>37591</v>
      </c>
      <c r="AG38" s="376" t="n">
        <v>21</v>
      </c>
      <c r="AH38" s="376" t="n">
        <v>4</v>
      </c>
      <c r="AI38" s="376" t="n">
        <v>6</v>
      </c>
      <c r="AJ38" s="376" t="n">
        <v>1</v>
      </c>
      <c r="AK38" s="376" t="n">
        <v>31</v>
      </c>
    </row>
    <row r="39" customFormat="false" ht="12.75" hidden="false" customHeight="false" outlineLevel="0" collapsed="false">
      <c r="A39" s="434" t="n">
        <f aca="false">Calculations!A4</f>
        <v>37135</v>
      </c>
      <c r="B39" s="435" t="n">
        <f aca="false">IF(A39="N/A"," ",P39*VLOOKUP(MONTH(A39),Curveadj,3))</f>
        <v>38.3250007629395</v>
      </c>
      <c r="C39" s="436" t="n">
        <f aca="false">IF(A39="N/A"," ",Q39*VLOOKUP(MONTH(A39),Curveadj,3))</f>
        <v>23</v>
      </c>
      <c r="D39" s="437" t="n">
        <f aca="false">IF(A39="N/A"," ",R39*VLOOKUP(MONTH(A39),Curveadj,3))</f>
        <v>23</v>
      </c>
      <c r="E39" s="438" t="n">
        <f aca="false">IF(A39="N/A"," ",IF(Scalers=1,(IF(AND(Dynamic=1,MONTH(A39)&gt;=6,MONTH(A39)&lt;=8,OR($O$37="REGION 2",$O$37="REGION 2A",$O$37="REGION 2B",$O$37="REGION 3",$O$37="REGION 3A",$O$37="REGION 3B",$O$37="REGION 3C",$O$37="REGION 4",$O$37="REGION 4B",$O$37="REGION 4C",$O$37="REGION 5",$O$37="REGION 5A")),((0.059228/(B39/100))-(0.4980013/(SQRT(B39/100)))+2.137988),HLOOKUP(MONTH(A39),ScalarTable,28))),1))</f>
        <v>1</v>
      </c>
      <c r="F39" s="439" t="n">
        <f aca="false">IF(A39="N/A"," ",B39*E39)</f>
        <v>38.3250007629395</v>
      </c>
      <c r="G39" s="439" t="n">
        <f aca="false">IF(A39="N/A"," ",C39*E39)</f>
        <v>23</v>
      </c>
      <c r="H39" s="440" t="n">
        <f aca="false">IF(A39="N/A"," ",D39*E39)</f>
        <v>23</v>
      </c>
      <c r="I39" s="402" t="n">
        <f aca="false">IF(A39="N/A"," ",2-E39)</f>
        <v>1</v>
      </c>
      <c r="J39" s="439" t="n">
        <f aca="false">IF(A39="N/A"," ",B39*I39)</f>
        <v>38.3250007629395</v>
      </c>
      <c r="K39" s="439" t="n">
        <f aca="false">IF(A39="N/A"," ",C39*I39)</f>
        <v>23</v>
      </c>
      <c r="L39" s="440" t="n">
        <f aca="false">IF(A39="N/A"," ",D39*I39)</f>
        <v>23</v>
      </c>
      <c r="M39" s="441" t="n">
        <f aca="false">IF(A39="N/A"," ",S39)</f>
        <v>13</v>
      </c>
      <c r="N39" s="442" t="e">
        <f aca="false">IF(A39="N/A"," ",SUM(T39:X39))</f>
        <v>#N/A</v>
      </c>
      <c r="O39" s="370"/>
      <c r="P39" s="436" t="n">
        <f aca="false">IF(A39="N/A"," ",VLOOKUP(A39,PeakPowerCurves,(IF(BMO=2,3,IF(BMO=1,2,4))),FALSE())+Inputs!N22)</f>
        <v>38.3250007629395</v>
      </c>
      <c r="Q39" s="436" t="n">
        <f aca="false">IF(A39="N/A"," ",VLOOKUP(A39,SatSunPeakPwr,(IF(BMO=2,3,IF(BMO=1,2,4))),FALSE())+Inputs!$N$23)</f>
        <v>23</v>
      </c>
      <c r="R39" s="436" t="n">
        <f aca="false">IF(A39="N/A"," ",VLOOKUP(A39,SatSunPeakPwr,(IF(BMO=2,7,IF(BMO=1,6,8))),FALSE())+Inputs!$N$23)</f>
        <v>23</v>
      </c>
      <c r="S39" s="443" t="n">
        <f aca="false">IF(A39="N/A"," ",(VLOOKUP(A39,OPPowerPrices,(IF(BMO=2,7,IF(BMO=1,6,8))),FALSE())+Inputs!$N$23))</f>
        <v>13</v>
      </c>
      <c r="T39" s="444" t="e">
        <f aca="false">IF(A39="N/A"," ",(VLOOKUP(A39,GasCurves,9,FALSE()))+IF(BMO=1,Gasbmo,IF(BMO=3,-Gasbmo,0)))</f>
        <v>#N/A</v>
      </c>
      <c r="U39" s="444" t="e">
        <f aca="false">IF(A39="N/A"," ",IF(Basischeck=TRUE(),(VLOOKUP(A39,GasCurves,IF(MONTH(A39)&gt;=4,IF(MONTH(A39)&lt;=10,11,12),12),FALSE())),0))</f>
        <v>#N/A</v>
      </c>
      <c r="V39" s="444" t="e">
        <f aca="false">IF(A39="N/A"," ",IF(Indexcheck=TRUE(),(IF(MONTH(A39)&gt;=4,IF(MONTH(A39)&lt;=10,VLOOKUP(A39,'Gas Curves'!B17:O377,13),VLOOKUP(A39,'Gas Curves'!B17:O377,14)),VLOOKUP(A39,'Gas Curves'!B17:O377,14))),0))</f>
        <v>#N/A</v>
      </c>
      <c r="W39" s="444" t="e">
        <f aca="false">IF(A39="N/A"," ",((SUM(T39:V39))/(1-Inputs!$S$11)-(SUM(T39:V39))))</f>
        <v>#N/A</v>
      </c>
      <c r="X39" s="444" t="n">
        <f aca="false">IF(A39="N/A"," ",(IF(MONTH(A39)&gt;=4,IF(MONTH(A39)&lt;=10,Inputs!$S$9,Inputs!$S$10),Inputs!$S$10)))</f>
        <v>0</v>
      </c>
      <c r="Y39" s="445" t="n">
        <f aca="false">IF(A39="N/A"," ",(VLOOKUP($A39,InterestRatesTable,2)))</f>
        <v>2</v>
      </c>
      <c r="AF39" s="386" t="n">
        <v>37622</v>
      </c>
      <c r="AG39" s="376" t="n">
        <v>22</v>
      </c>
      <c r="AH39" s="376" t="n">
        <v>4</v>
      </c>
      <c r="AI39" s="376" t="n">
        <v>5</v>
      </c>
      <c r="AJ39" s="376" t="n">
        <v>1</v>
      </c>
      <c r="AK39" s="376" t="n">
        <v>31</v>
      </c>
    </row>
    <row r="40" customFormat="false" ht="12.75" hidden="false" customHeight="false" outlineLevel="0" collapsed="false">
      <c r="A40" s="434" t="n">
        <f aca="false">Calculations!A5</f>
        <v>37165</v>
      </c>
      <c r="B40" s="435" t="n">
        <f aca="false">IF(A40="N/A"," ",P40*VLOOKUP(MONTH(A40),Curveadj,3))</f>
        <v>29.2450007629395</v>
      </c>
      <c r="C40" s="436" t="n">
        <f aca="false">IF(A40="N/A"," ",Q40*VLOOKUP(MONTH(A40),Curveadj,3))</f>
        <v>26.746000289917</v>
      </c>
      <c r="D40" s="437" t="n">
        <f aca="false">IF(A40="N/A"," ",R40*VLOOKUP(MONTH(A40),Curveadj,3))</f>
        <v>26.7465000152588</v>
      </c>
      <c r="E40" s="438" t="n">
        <f aca="false">IF(A40="N/A"," ",IF(Scalers=1,(IF(AND(Dynamic=1,MONTH(A40)&gt;=6,MONTH(A40)&lt;=8,OR($O$37="REGION 2",$O$37="REGION 2A",$O$37="REGION 2B",$O$37="REGION 3",$O$37="REGION 3A",$O$37="REGION 3B",$O$37="REGION 3C",$O$37="REGION 4",$O$37="REGION 4B",$O$37="REGION 4C",$O$37="REGION 5",$O$37="REGION 5A")),((0.059228/(B40/100))-(0.4980013/(SQRT(B40/100)))+2.137988),HLOOKUP(MONTH(A40),ScalarTable,28))),1))</f>
        <v>1</v>
      </c>
      <c r="F40" s="439" t="n">
        <f aca="false">IF(A40="N/A"," ",B40*E40)</f>
        <v>29.2450007629395</v>
      </c>
      <c r="G40" s="439" t="n">
        <f aca="false">IF(A40="N/A"," ",C40*E40)</f>
        <v>26.746000289917</v>
      </c>
      <c r="H40" s="440" t="n">
        <f aca="false">IF(A40="N/A"," ",D40*E40)</f>
        <v>26.7465000152588</v>
      </c>
      <c r="I40" s="402" t="n">
        <f aca="false">IF(A40="N/A"," ",2-E40)</f>
        <v>1</v>
      </c>
      <c r="J40" s="439" t="n">
        <f aca="false">IF(A40="N/A"," ",B40*I40)</f>
        <v>29.2450007629395</v>
      </c>
      <c r="K40" s="439" t="n">
        <f aca="false">IF(A40="N/A"," ",C40*I40)</f>
        <v>26.746000289917</v>
      </c>
      <c r="L40" s="440" t="n">
        <f aca="false">IF(A40="N/A"," ",D40*I40)</f>
        <v>26.7465000152588</v>
      </c>
      <c r="M40" s="441" t="n">
        <f aca="false">IF(A40="N/A"," ",S40)</f>
        <v>16.2500038146973</v>
      </c>
      <c r="N40" s="442" t="e">
        <f aca="false">IF(A40="N/A"," ",SUM(T40:X40))</f>
        <v>#N/A</v>
      </c>
      <c r="O40" s="370"/>
      <c r="P40" s="436" t="n">
        <f aca="false">IF(A40="N/A"," ",VLOOKUP(A40,PeakPowerCurves,(IF(BMO=2,3,IF(BMO=1,2,4))),FALSE())+Inputs!N23)</f>
        <v>29.2450007629395</v>
      </c>
      <c r="Q40" s="436" t="n">
        <f aca="false">IF(A40="N/A"," ",VLOOKUP(A40,SatSunPeakPwr,(IF(BMO=2,3,IF(BMO=1,2,4))),FALSE())+Inputs!$N$23)</f>
        <v>26.746000289917</v>
      </c>
      <c r="R40" s="436" t="n">
        <f aca="false">IF(A40="N/A"," ",VLOOKUP(A40,SatSunPeakPwr,(IF(BMO=2,7,IF(BMO=1,6,8))),FALSE())+Inputs!$N$23)</f>
        <v>26.7465000152588</v>
      </c>
      <c r="S40" s="443" t="n">
        <f aca="false">IF(A40="N/A"," ",(VLOOKUP(A40,OPPowerPrices,(IF(BMO=2,7,IF(BMO=1,6,8))),FALSE())+Inputs!$N$23))</f>
        <v>16.2500038146973</v>
      </c>
      <c r="T40" s="444" t="e">
        <f aca="false">IF(A40="N/A"," ",(VLOOKUP(A40,GasCurves,9,FALSE()))+IF(BMO=1,Gasbmo,IF(BMO=3,-Gasbmo,0)))</f>
        <v>#N/A</v>
      </c>
      <c r="U40" s="444" t="e">
        <f aca="false">IF(A40="N/A"," ",IF(Basischeck=TRUE(),(VLOOKUP(A40,GasCurves,IF(MONTH(A40)&gt;=4,IF(MONTH(A40)&lt;=10,11,12),12),FALSE())),0))</f>
        <v>#N/A</v>
      </c>
      <c r="V40" s="444" t="e">
        <f aca="false">IF(A40="N/A"," ",IF(Indexcheck=TRUE(),(IF(MONTH(A40)&gt;=4,IF(MONTH(A40)&lt;=10,VLOOKUP(A40,'Gas Curves'!B18:O378,13),VLOOKUP(A40,'Gas Curves'!B18:O378,14)),VLOOKUP(A40,'Gas Curves'!B18:O378,14))),0))</f>
        <v>#N/A</v>
      </c>
      <c r="W40" s="444" t="e">
        <f aca="false">IF(A40="N/A"," ",((SUM(T40:V40))/(1-Inputs!$S$11)-(SUM(T40:V40))))</f>
        <v>#N/A</v>
      </c>
      <c r="X40" s="444" t="n">
        <f aca="false">IF(A40="N/A"," ",(IF(MONTH(A40)&gt;=4,IF(MONTH(A40)&lt;=10,Inputs!$S$9,Inputs!$S$10),Inputs!$S$10)))</f>
        <v>0</v>
      </c>
      <c r="Y40" s="445" t="n">
        <f aca="false">IF(A40="N/A"," ",(VLOOKUP($A40,InterestRatesTable,2)))</f>
        <v>2</v>
      </c>
      <c r="AF40" s="386" t="n">
        <v>37653</v>
      </c>
      <c r="AG40" s="376" t="n">
        <v>20</v>
      </c>
      <c r="AH40" s="376" t="n">
        <v>4</v>
      </c>
      <c r="AI40" s="376" t="n">
        <v>4</v>
      </c>
      <c r="AJ40" s="376" t="n">
        <v>0</v>
      </c>
      <c r="AK40" s="376" t="n">
        <v>28</v>
      </c>
    </row>
    <row r="41" customFormat="false" ht="12.75" hidden="false" customHeight="false" outlineLevel="0" collapsed="false">
      <c r="A41" s="434" t="n">
        <f aca="false">Calculations!A6</f>
        <v>37196</v>
      </c>
      <c r="B41" s="435" t="n">
        <f aca="false">IF(A41="N/A"," ",P41*VLOOKUP(MONTH(A41),Curveadj,3))</f>
        <v>28</v>
      </c>
      <c r="C41" s="436" t="n">
        <f aca="false">IF(A41="N/A"," ",Q41*VLOOKUP(MONTH(A41),Curveadj,3))</f>
        <v>31</v>
      </c>
      <c r="D41" s="437" t="n">
        <f aca="false">IF(A41="N/A"," ",R41*VLOOKUP(MONTH(A41),Curveadj,3))</f>
        <v>31</v>
      </c>
      <c r="E41" s="438" t="n">
        <f aca="false">IF(A41="N/A"," ",IF(Scalers=1,(IF(AND(Dynamic=1,MONTH(A41)&gt;=6,MONTH(A41)&lt;=8,OR($O$37="REGION 2",$O$37="REGION 2A",$O$37="REGION 2B",$O$37="REGION 3",$O$37="REGION 3A",$O$37="REGION 3B",$O$37="REGION 3C",$O$37="REGION 4",$O$37="REGION 4B",$O$37="REGION 4C",$O$37="REGION 5",$O$37="REGION 5A")),((0.059228/(B41/100))-(0.4980013/(SQRT(B41/100)))+2.137988),HLOOKUP(MONTH(A41),ScalarTable,28))),1))</f>
        <v>1</v>
      </c>
      <c r="F41" s="439" t="n">
        <f aca="false">IF(A41="N/A"," ",B41*E41)</f>
        <v>28</v>
      </c>
      <c r="G41" s="439" t="n">
        <f aca="false">IF(A41="N/A"," ",C41*E41)</f>
        <v>31</v>
      </c>
      <c r="H41" s="440" t="n">
        <f aca="false">IF(A41="N/A"," ",D41*E41)</f>
        <v>31</v>
      </c>
      <c r="I41" s="402" t="n">
        <f aca="false">IF(A41="N/A"," ",2-E41)</f>
        <v>1</v>
      </c>
      <c r="J41" s="439" t="n">
        <f aca="false">IF(A41="N/A"," ",B41*I41)</f>
        <v>28</v>
      </c>
      <c r="K41" s="439" t="n">
        <f aca="false">IF(A41="N/A"," ",C41*I41)</f>
        <v>31</v>
      </c>
      <c r="L41" s="440" t="n">
        <f aca="false">IF(A41="N/A"," ",D41*I41)</f>
        <v>31</v>
      </c>
      <c r="M41" s="441" t="n">
        <f aca="false">IF(A41="N/A"," ",S41)</f>
        <v>16.5000009536743</v>
      </c>
      <c r="N41" s="442" t="e">
        <f aca="false">IF(A41="N/A"," ",SUM(T41:X41))</f>
        <v>#N/A</v>
      </c>
      <c r="O41" s="370"/>
      <c r="P41" s="436" t="n">
        <f aca="false">IF(A41="N/A"," ",VLOOKUP(A41,PeakPowerCurves,(IF(BMO=2,3,IF(BMO=1,2,4))),FALSE())+Inputs!N24)</f>
        <v>28</v>
      </c>
      <c r="Q41" s="436" t="n">
        <f aca="false">IF(A41="N/A"," ",VLOOKUP(A41,SatSunPeakPwr,(IF(BMO=2,3,IF(BMO=1,2,4))),FALSE())+Inputs!$N$23)</f>
        <v>31</v>
      </c>
      <c r="R41" s="436" t="n">
        <f aca="false">IF(A41="N/A"," ",VLOOKUP(A41,SatSunPeakPwr,(IF(BMO=2,7,IF(BMO=1,6,8))),FALSE())+Inputs!$N$23)</f>
        <v>31</v>
      </c>
      <c r="S41" s="443" t="n">
        <f aca="false">IF(A41="N/A"," ",(VLOOKUP(A41,OPPowerPrices,(IF(BMO=2,7,IF(BMO=1,6,8))),FALSE())+Inputs!$N$23))</f>
        <v>16.5000009536743</v>
      </c>
      <c r="T41" s="444" t="e">
        <f aca="false">IF(A41="N/A"," ",(VLOOKUP(A41,GasCurves,9,FALSE()))+IF(BMO=1,Gasbmo,IF(BMO=3,-Gasbmo,0)))</f>
        <v>#N/A</v>
      </c>
      <c r="U41" s="444" t="e">
        <f aca="false">IF(A41="N/A"," ",IF(Basischeck=TRUE(),(VLOOKUP(A41,GasCurves,IF(MONTH(A41)&gt;=4,IF(MONTH(A41)&lt;=10,11,12),12),FALSE())),0))</f>
        <v>#N/A</v>
      </c>
      <c r="V41" s="444" t="e">
        <f aca="false">IF(A41="N/A"," ",IF(Indexcheck=TRUE(),(IF(MONTH(A41)&gt;=4,IF(MONTH(A41)&lt;=10,VLOOKUP(A41,'Gas Curves'!B19:O379,13),VLOOKUP(A41,'Gas Curves'!B19:O379,14)),VLOOKUP(A41,'Gas Curves'!B19:O379,14))),0))</f>
        <v>#N/A</v>
      </c>
      <c r="W41" s="444" t="e">
        <f aca="false">IF(A41="N/A"," ",((SUM(T41:V41))/(1-Inputs!$S$11)-(SUM(T41:V41))))</f>
        <v>#N/A</v>
      </c>
      <c r="X41" s="444" t="n">
        <f aca="false">IF(A41="N/A"," ",(IF(MONTH(A41)&gt;=4,IF(MONTH(A41)&lt;=10,Inputs!$S$9,Inputs!$S$10),Inputs!$S$10)))</f>
        <v>0</v>
      </c>
      <c r="Y41" s="445" t="n">
        <f aca="false">IF(A41="N/A"," ",(VLOOKUP($A41,InterestRatesTable,2)))</f>
        <v>2</v>
      </c>
      <c r="AF41" s="386" t="n">
        <v>37681</v>
      </c>
      <c r="AG41" s="376" t="n">
        <v>21</v>
      </c>
      <c r="AH41" s="376" t="n">
        <v>5</v>
      </c>
      <c r="AI41" s="376" t="n">
        <v>5</v>
      </c>
      <c r="AJ41" s="376" t="n">
        <v>0</v>
      </c>
      <c r="AK41" s="376" t="n">
        <v>31</v>
      </c>
    </row>
    <row r="42" customFormat="false" ht="12.75" hidden="false" customHeight="false" outlineLevel="0" collapsed="false">
      <c r="A42" s="434" t="n">
        <f aca="false">Calculations!A7</f>
        <v>37226</v>
      </c>
      <c r="B42" s="435" t="n">
        <f aca="false">IF(A42="N/A"," ",P42*VLOOKUP(MONTH(A42),Curveadj,3))</f>
        <v>30</v>
      </c>
      <c r="C42" s="436" t="n">
        <f aca="false">IF(A42="N/A"," ",Q42*VLOOKUP(MONTH(A42),Curveadj,3))</f>
        <v>27.75</v>
      </c>
      <c r="D42" s="437" t="n">
        <f aca="false">IF(A42="N/A"," ",R42*VLOOKUP(MONTH(A42),Curveadj,3))</f>
        <v>27.75</v>
      </c>
      <c r="E42" s="438" t="n">
        <f aca="false">IF(A42="N/A"," ",IF(Scalers=1,(IF(AND(Dynamic=1,MONTH(A42)&gt;=6,MONTH(A42)&lt;=8,OR($O$37="REGION 2",$O$37="REGION 2A",$O$37="REGION 2B",$O$37="REGION 3",$O$37="REGION 3A",$O$37="REGION 3B",$O$37="REGION 3C",$O$37="REGION 4",$O$37="REGION 4B",$O$37="REGION 4C",$O$37="REGION 5",$O$37="REGION 5A")),((0.059228/(B42/100))-(0.4980013/(SQRT(B42/100)))+2.137988),HLOOKUP(MONTH(A42),ScalarTable,28))),1))</f>
        <v>1</v>
      </c>
      <c r="F42" s="439" t="n">
        <f aca="false">IF(A42="N/A"," ",B42*E42)</f>
        <v>30</v>
      </c>
      <c r="G42" s="439" t="n">
        <f aca="false">IF(A42="N/A"," ",C42*E42)</f>
        <v>27.75</v>
      </c>
      <c r="H42" s="440" t="n">
        <f aca="false">IF(A42="N/A"," ",D42*E42)</f>
        <v>27.75</v>
      </c>
      <c r="I42" s="402" t="n">
        <f aca="false">IF(A42="N/A"," ",2-E42)</f>
        <v>1</v>
      </c>
      <c r="J42" s="439" t="n">
        <f aca="false">IF(A42="N/A"," ",B42*I42)</f>
        <v>30</v>
      </c>
      <c r="K42" s="439" t="n">
        <f aca="false">IF(A42="N/A"," ",C42*I42)</f>
        <v>27.75</v>
      </c>
      <c r="L42" s="440" t="n">
        <f aca="false">IF(A42="N/A"," ",D42*I42)</f>
        <v>27.75</v>
      </c>
      <c r="M42" s="441" t="n">
        <f aca="false">IF(A42="N/A"," ",S42)</f>
        <v>17.5</v>
      </c>
      <c r="N42" s="442" t="e">
        <f aca="false">IF(A42="N/A"," ",SUM(T42:X42))</f>
        <v>#N/A</v>
      </c>
      <c r="O42" s="370"/>
      <c r="P42" s="436" t="n">
        <f aca="false">IF(A42="N/A"," ",VLOOKUP(A42,PeakPowerCurves,(IF(BMO=2,3,IF(BMO=1,2,4))),FALSE())+Inputs!N25)</f>
        <v>30</v>
      </c>
      <c r="Q42" s="436" t="n">
        <f aca="false">IF(A42="N/A"," ",VLOOKUP(A42,SatSunPeakPwr,(IF(BMO=2,3,IF(BMO=1,2,4))),FALSE())+Inputs!$N$23)</f>
        <v>27.75</v>
      </c>
      <c r="R42" s="436" t="n">
        <f aca="false">IF(A42="N/A"," ",VLOOKUP(A42,SatSunPeakPwr,(IF(BMO=2,7,IF(BMO=1,6,8))),FALSE())+Inputs!$N$23)</f>
        <v>27.75</v>
      </c>
      <c r="S42" s="443" t="n">
        <f aca="false">IF(A42="N/A"," ",(VLOOKUP(A42,OPPowerPrices,(IF(BMO=2,7,IF(BMO=1,6,8))),FALSE())+Inputs!$N$23))</f>
        <v>17.5</v>
      </c>
      <c r="T42" s="444" t="e">
        <f aca="false">IF(A42="N/A"," ",(VLOOKUP(A42,GasCurves,9,FALSE()))+IF(BMO=1,Gasbmo,IF(BMO=3,-Gasbmo,0)))</f>
        <v>#N/A</v>
      </c>
      <c r="U42" s="444" t="e">
        <f aca="false">IF(A42="N/A"," ",IF(Basischeck=TRUE(),(VLOOKUP(A42,GasCurves,IF(MONTH(A42)&gt;=4,IF(MONTH(A42)&lt;=10,11,12),12),FALSE())),0))</f>
        <v>#N/A</v>
      </c>
      <c r="V42" s="444" t="e">
        <f aca="false">IF(A42="N/A"," ",IF(Indexcheck=TRUE(),(IF(MONTH(A42)&gt;=4,IF(MONTH(A42)&lt;=10,VLOOKUP(A42,'Gas Curves'!B20:O380,13),VLOOKUP(A42,'Gas Curves'!B20:O380,14)),VLOOKUP(A42,'Gas Curves'!B20:O380,14))),0))</f>
        <v>#N/A</v>
      </c>
      <c r="W42" s="444" t="e">
        <f aca="false">IF(A42="N/A"," ",((SUM(T42:V42))/(1-Inputs!$S$11)-(SUM(T42:V42))))</f>
        <v>#N/A</v>
      </c>
      <c r="X42" s="444" t="n">
        <f aca="false">IF(A42="N/A"," ",(IF(MONTH(A42)&gt;=4,IF(MONTH(A42)&lt;=10,Inputs!$S$9,Inputs!$S$10),Inputs!$S$10)))</f>
        <v>0</v>
      </c>
      <c r="Y42" s="445" t="n">
        <f aca="false">IF(A42="N/A"," ",(VLOOKUP($A42,InterestRatesTable,2)))</f>
        <v>2</v>
      </c>
      <c r="AF42" s="386" t="n">
        <v>37712</v>
      </c>
      <c r="AG42" s="376" t="n">
        <v>22</v>
      </c>
      <c r="AH42" s="376" t="n">
        <v>4</v>
      </c>
      <c r="AI42" s="376" t="n">
        <v>4</v>
      </c>
      <c r="AJ42" s="376" t="n">
        <v>0</v>
      </c>
      <c r="AK42" s="376" t="n">
        <v>30</v>
      </c>
    </row>
    <row r="43" customFormat="false" ht="12.75" hidden="false" customHeight="false" outlineLevel="0" collapsed="false">
      <c r="A43" s="434" t="n">
        <f aca="false">Calculations!A8</f>
        <v>37257</v>
      </c>
      <c r="B43" s="435" t="n">
        <f aca="false">IF(A43="N/A"," ",P43*VLOOKUP(MONTH(A43),Curveadj,3))</f>
        <v>32.2166679382324</v>
      </c>
      <c r="C43" s="436" t="n">
        <f aca="false">IF(A43="N/A"," ",Q43*VLOOKUP(MONTH(A43),Curveadj,3))</f>
        <v>29.8200016021729</v>
      </c>
      <c r="D43" s="437" t="n">
        <f aca="false">IF(A43="N/A"," ",R43*VLOOKUP(MONTH(A43),Curveadj,3))</f>
        <v>20.3200016021729</v>
      </c>
      <c r="E43" s="438" t="n">
        <f aca="false">IF(A43="N/A"," ",IF(Scalers=1,(IF(AND(Dynamic=1,MONTH(A43)&gt;=6,MONTH(A43)&lt;=8,OR($O$37="REGION 2",$O$37="REGION 2A",$O$37="REGION 2B",$O$37="REGION 3",$O$37="REGION 3A",$O$37="REGION 3B",$O$37="REGION 3C",$O$37="REGION 4",$O$37="REGION 4B",$O$37="REGION 4C",$O$37="REGION 5",$O$37="REGION 5A")),((0.059228/(B43/100))-(0.4980013/(SQRT(B43/100)))+2.137988),HLOOKUP(MONTH(A43),ScalarTable,28))),1))</f>
        <v>1</v>
      </c>
      <c r="F43" s="439" t="n">
        <f aca="false">IF(A43="N/A"," ",B43*E43)</f>
        <v>32.2166679382324</v>
      </c>
      <c r="G43" s="439" t="n">
        <f aca="false">IF(A43="N/A"," ",C43*E43)</f>
        <v>29.8200016021729</v>
      </c>
      <c r="H43" s="440" t="n">
        <f aca="false">IF(A43="N/A"," ",D43*E43)</f>
        <v>20.3200016021729</v>
      </c>
      <c r="I43" s="402" t="n">
        <f aca="false">IF(A43="N/A"," ",2-E43)</f>
        <v>1</v>
      </c>
      <c r="J43" s="439" t="n">
        <f aca="false">IF(A43="N/A"," ",B43*I43)</f>
        <v>32.2166679382324</v>
      </c>
      <c r="K43" s="439" t="n">
        <f aca="false">IF(A43="N/A"," ",C43*I43)</f>
        <v>29.8200016021729</v>
      </c>
      <c r="L43" s="440" t="n">
        <f aca="false">IF(A43="N/A"," ",D43*I43)</f>
        <v>20.3200016021729</v>
      </c>
      <c r="M43" s="441" t="n">
        <f aca="false">IF(A43="N/A"," ",S43)</f>
        <v>19.25</v>
      </c>
      <c r="N43" s="442" t="e">
        <f aca="false">IF(A43="N/A"," ",SUM(T43:X43))</f>
        <v>#N/A</v>
      </c>
      <c r="O43" s="370"/>
      <c r="P43" s="436" t="n">
        <f aca="false">IF(A43="N/A"," ",VLOOKUP(A43,PeakPowerCurves,(IF(BMO=2,3,IF(BMO=1,2,4))),FALSE())+Inputs!N26)</f>
        <v>32.2166679382324</v>
      </c>
      <c r="Q43" s="436" t="n">
        <f aca="false">IF(A43="N/A"," ",VLOOKUP(A43,SatSunPeakPwr,(IF(BMO=2,3,IF(BMO=1,2,4))),FALSE())+Inputs!$N$23)</f>
        <v>29.8200016021729</v>
      </c>
      <c r="R43" s="436" t="n">
        <f aca="false">IF(A43="N/A"," ",VLOOKUP(A43,SatSunPeakPwr,(IF(BMO=2,7,IF(BMO=1,6,8))),FALSE())+Inputs!$N$23)</f>
        <v>20.3200016021729</v>
      </c>
      <c r="S43" s="443" t="n">
        <f aca="false">IF(A43="N/A"," ",(VLOOKUP(A43,OPPowerPrices,(IF(BMO=2,7,IF(BMO=1,6,8))),FALSE())+Inputs!$N$23))</f>
        <v>19.25</v>
      </c>
      <c r="T43" s="444" t="e">
        <f aca="false">IF(A43="N/A"," ",(VLOOKUP(A43,GasCurves,9,FALSE()))+IF(BMO=1,Gasbmo,IF(BMO=3,-Gasbmo,0)))</f>
        <v>#N/A</v>
      </c>
      <c r="U43" s="444" t="e">
        <f aca="false">IF(A43="N/A"," ",IF(Basischeck=TRUE(),(VLOOKUP(A43,GasCurves,IF(MONTH(A43)&gt;=4,IF(MONTH(A43)&lt;=10,11,12),12),FALSE())),0))</f>
        <v>#N/A</v>
      </c>
      <c r="V43" s="444" t="e">
        <f aca="false">IF(A43="N/A"," ",IF(Indexcheck=TRUE(),(IF(MONTH(A43)&gt;=4,IF(MONTH(A43)&lt;=10,VLOOKUP(A43,'Gas Curves'!B21:O381,13),VLOOKUP(A43,'Gas Curves'!B21:O381,14)),VLOOKUP(A43,'Gas Curves'!B21:O381,14))),0))</f>
        <v>#N/A</v>
      </c>
      <c r="W43" s="444" t="e">
        <f aca="false">IF(A43="N/A"," ",((SUM(T43:V43))/(1-Inputs!$S$11)-(SUM(T43:V43))))</f>
        <v>#N/A</v>
      </c>
      <c r="X43" s="444" t="n">
        <f aca="false">IF(A43="N/A"," ",(IF(MONTH(A43)&gt;=4,IF(MONTH(A43)&lt;=10,Inputs!$S$9,Inputs!$S$10),Inputs!$S$10)))</f>
        <v>0</v>
      </c>
      <c r="Y43" s="445" t="n">
        <f aca="false">IF(A43="N/A"," ",(VLOOKUP($A43,InterestRatesTable,2)))</f>
        <v>2</v>
      </c>
      <c r="AF43" s="386" t="n">
        <v>37742</v>
      </c>
      <c r="AG43" s="376" t="n">
        <v>21</v>
      </c>
      <c r="AH43" s="376" t="n">
        <v>5</v>
      </c>
      <c r="AI43" s="376" t="n">
        <v>5</v>
      </c>
      <c r="AJ43" s="376" t="n">
        <v>1</v>
      </c>
      <c r="AK43" s="376" t="n">
        <v>31</v>
      </c>
    </row>
    <row r="44" customFormat="false" ht="12.75" hidden="false" customHeight="false" outlineLevel="0" collapsed="false">
      <c r="A44" s="434" t="n">
        <f aca="false">Calculations!A9</f>
        <v>37288</v>
      </c>
      <c r="B44" s="435" t="n">
        <f aca="false">IF(A44="N/A"," ",P44*VLOOKUP(MONTH(A44),Curveadj,3))</f>
        <v>31.8666656494141</v>
      </c>
      <c r="C44" s="436" t="n">
        <f aca="false">IF(A44="N/A"," ",Q44*VLOOKUP(MONTH(A44),Curveadj,3))</f>
        <v>27.4160003662109</v>
      </c>
      <c r="D44" s="437" t="n">
        <f aca="false">IF(A44="N/A"," ",R44*VLOOKUP(MONTH(A44),Curveadj,3))</f>
        <v>18.9165000915527</v>
      </c>
      <c r="E44" s="438" t="n">
        <f aca="false">IF(A44="N/A"," ",IF(Scalers=1,(IF(AND(Dynamic=1,MONTH(A44)&gt;=6,MONTH(A44)&lt;=8,OR($O$37="REGION 2",$O$37="REGION 2A",$O$37="REGION 2B",$O$37="REGION 3",$O$37="REGION 3A",$O$37="REGION 3B",$O$37="REGION 3C",$O$37="REGION 4",$O$37="REGION 4B",$O$37="REGION 4C",$O$37="REGION 5",$O$37="REGION 5A")),((0.059228/(B44/100))-(0.4980013/(SQRT(B44/100)))+2.137988),HLOOKUP(MONTH(A44),ScalarTable,28))),1))</f>
        <v>1</v>
      </c>
      <c r="F44" s="439" t="n">
        <f aca="false">IF(A44="N/A"," ",B44*E44)</f>
        <v>31.8666656494141</v>
      </c>
      <c r="G44" s="439" t="n">
        <f aca="false">IF(A44="N/A"," ",C44*E44)</f>
        <v>27.4160003662109</v>
      </c>
      <c r="H44" s="440" t="n">
        <f aca="false">IF(A44="N/A"," ",D44*E44)</f>
        <v>18.9165000915527</v>
      </c>
      <c r="I44" s="402" t="n">
        <f aca="false">IF(A44="N/A"," ",2-E44)</f>
        <v>1</v>
      </c>
      <c r="J44" s="439" t="n">
        <f aca="false">IF(A44="N/A"," ",B44*I44)</f>
        <v>31.8666656494141</v>
      </c>
      <c r="K44" s="439" t="n">
        <f aca="false">IF(A44="N/A"," ",C44*I44)</f>
        <v>27.4160003662109</v>
      </c>
      <c r="L44" s="440" t="n">
        <f aca="false">IF(A44="N/A"," ",D44*I44)</f>
        <v>18.9165000915527</v>
      </c>
      <c r="M44" s="441" t="n">
        <f aca="false">IF(A44="N/A"," ",S44)</f>
        <v>17.75</v>
      </c>
      <c r="N44" s="442" t="e">
        <f aca="false">IF(A44="N/A"," ",SUM(T44:X44))</f>
        <v>#N/A</v>
      </c>
      <c r="O44" s="370"/>
      <c r="P44" s="436" t="n">
        <f aca="false">IF(A44="N/A"," ",VLOOKUP(A44,PeakPowerCurves,(IF(BMO=2,3,IF(BMO=1,2,4))),FALSE())+Inputs!N27)</f>
        <v>31.8666656494141</v>
      </c>
      <c r="Q44" s="436" t="n">
        <f aca="false">IF(A44="N/A"," ",VLOOKUP(A44,SatSunPeakPwr,(IF(BMO=2,3,IF(BMO=1,2,4))),FALSE())+Inputs!$N$23)</f>
        <v>27.4160003662109</v>
      </c>
      <c r="R44" s="436" t="n">
        <f aca="false">IF(A44="N/A"," ",VLOOKUP(A44,SatSunPeakPwr,(IF(BMO=2,7,IF(BMO=1,6,8))),FALSE())+Inputs!$N$23)</f>
        <v>18.9165000915527</v>
      </c>
      <c r="S44" s="443" t="n">
        <f aca="false">IF(A44="N/A"," ",(VLOOKUP(A44,OPPowerPrices,(IF(BMO=2,7,IF(BMO=1,6,8))),FALSE())+Inputs!$N$23))</f>
        <v>17.75</v>
      </c>
      <c r="T44" s="444" t="e">
        <f aca="false">IF(A44="N/A"," ",(VLOOKUP(A44,GasCurves,9,FALSE()))+IF(BMO=1,Gasbmo,IF(BMO=3,-Gasbmo,0)))</f>
        <v>#N/A</v>
      </c>
      <c r="U44" s="444" t="e">
        <f aca="false">IF(A44="N/A"," ",IF(Basischeck=TRUE(),(VLOOKUP(A44,GasCurves,IF(MONTH(A44)&gt;=4,IF(MONTH(A44)&lt;=10,11,12),12),FALSE())),0))</f>
        <v>#N/A</v>
      </c>
      <c r="V44" s="444" t="e">
        <f aca="false">IF(A44="N/A"," ",IF(Indexcheck=TRUE(),(IF(MONTH(A44)&gt;=4,IF(MONTH(A44)&lt;=10,VLOOKUP(A44,'Gas Curves'!B22:O382,13),VLOOKUP(A44,'Gas Curves'!B22:O382,14)),VLOOKUP(A44,'Gas Curves'!B22:O382,14))),0))</f>
        <v>#N/A</v>
      </c>
      <c r="W44" s="444" t="e">
        <f aca="false">IF(A44="N/A"," ",((SUM(T44:V44))/(1-Inputs!$S$11)-(SUM(T44:V44))))</f>
        <v>#N/A</v>
      </c>
      <c r="X44" s="444" t="n">
        <f aca="false">IF(A44="N/A"," ",(IF(MONTH(A44)&gt;=4,IF(MONTH(A44)&lt;=10,Inputs!$S$9,Inputs!$S$10),Inputs!$S$10)))</f>
        <v>0</v>
      </c>
      <c r="Y44" s="445" t="n">
        <f aca="false">IF(A44="N/A"," ",(VLOOKUP($A44,InterestRatesTable,2)))</f>
        <v>2</v>
      </c>
      <c r="AF44" s="386" t="n">
        <v>37773</v>
      </c>
      <c r="AG44" s="376" t="n">
        <v>21</v>
      </c>
      <c r="AH44" s="376" t="n">
        <v>4</v>
      </c>
      <c r="AI44" s="376" t="n">
        <v>5</v>
      </c>
      <c r="AJ44" s="376" t="n">
        <v>0</v>
      </c>
      <c r="AK44" s="376" t="n">
        <v>30</v>
      </c>
    </row>
    <row r="45" customFormat="false" ht="12.75" hidden="false" customHeight="false" outlineLevel="0" collapsed="false">
      <c r="A45" s="434" t="n">
        <f aca="false">Calculations!A10</f>
        <v>37316</v>
      </c>
      <c r="B45" s="435" t="n">
        <f aca="false">IF(A45="N/A"," ",P45*VLOOKUP(MONTH(A45),Curveadj,3))</f>
        <v>30.7697677612305</v>
      </c>
      <c r="C45" s="436" t="n">
        <f aca="false">IF(A45="N/A"," ",Q45*VLOOKUP(MONTH(A45),Curveadj,3))</f>
        <v>22.4199981689453</v>
      </c>
      <c r="D45" s="437" t="n">
        <f aca="false">IF(A45="N/A"," ",R45*VLOOKUP(MONTH(A45),Curveadj,3))</f>
        <v>16.9200000762939</v>
      </c>
      <c r="E45" s="438" t="n">
        <f aca="false">IF(A45="N/A"," ",IF(Scalers=1,(IF(AND(Dynamic=1,MONTH(A45)&gt;=6,MONTH(A45)&lt;=8,OR($O$37="REGION 2",$O$37="REGION 2A",$O$37="REGION 2B",$O$37="REGION 3",$O$37="REGION 3A",$O$37="REGION 3B",$O$37="REGION 3C",$O$37="REGION 4",$O$37="REGION 4B",$O$37="REGION 4C",$O$37="REGION 5",$O$37="REGION 5A")),((0.059228/(B45/100))-(0.4980013/(SQRT(B45/100)))+2.137988),HLOOKUP(MONTH(A45),ScalarTable,28))),1))</f>
        <v>1</v>
      </c>
      <c r="F45" s="439" t="n">
        <f aca="false">IF(A45="N/A"," ",B45*E45)</f>
        <v>30.7697677612305</v>
      </c>
      <c r="G45" s="439" t="n">
        <f aca="false">IF(A45="N/A"," ",C45*E45)</f>
        <v>22.4199981689453</v>
      </c>
      <c r="H45" s="440" t="n">
        <f aca="false">IF(A45="N/A"," ",D45*E45)</f>
        <v>16.9200000762939</v>
      </c>
      <c r="I45" s="402" t="n">
        <f aca="false">IF(A45="N/A"," ",2-E45)</f>
        <v>1</v>
      </c>
      <c r="J45" s="439" t="n">
        <f aca="false">IF(A45="N/A"," ",B45*I45)</f>
        <v>30.7697677612305</v>
      </c>
      <c r="K45" s="439" t="n">
        <f aca="false">IF(A45="N/A"," ",C45*I45)</f>
        <v>22.4199981689453</v>
      </c>
      <c r="L45" s="440" t="n">
        <f aca="false">IF(A45="N/A"," ",D45*I45)</f>
        <v>16.9200000762939</v>
      </c>
      <c r="M45" s="441" t="n">
        <f aca="false">IF(A45="N/A"," ",S45)</f>
        <v>18.75</v>
      </c>
      <c r="N45" s="442" t="e">
        <f aca="false">IF(A45="N/A"," ",SUM(T45:X45))</f>
        <v>#N/A</v>
      </c>
      <c r="O45" s="370"/>
      <c r="P45" s="436" t="n">
        <f aca="false">IF(A45="N/A"," ",VLOOKUP(A45,PeakPowerCurves,(IF(BMO=2,3,IF(BMO=1,2,4))),FALSE())+Inputs!N28)</f>
        <v>30.7697677612305</v>
      </c>
      <c r="Q45" s="436" t="n">
        <f aca="false">IF(A45="N/A"," ",VLOOKUP(A45,SatSunPeakPwr,(IF(BMO=2,3,IF(BMO=1,2,4))),FALSE())+Inputs!$N$23)</f>
        <v>22.4199981689453</v>
      </c>
      <c r="R45" s="436" t="n">
        <f aca="false">IF(A45="N/A"," ",VLOOKUP(A45,SatSunPeakPwr,(IF(BMO=2,7,IF(BMO=1,6,8))),FALSE())+Inputs!$N$23)</f>
        <v>16.9200000762939</v>
      </c>
      <c r="S45" s="443" t="n">
        <f aca="false">IF(A45="N/A"," ",(VLOOKUP(A45,OPPowerPrices,(IF(BMO=2,7,IF(BMO=1,6,8))),FALSE())+Inputs!$N$23))</f>
        <v>18.75</v>
      </c>
      <c r="T45" s="444" t="e">
        <f aca="false">IF(A45="N/A"," ",(VLOOKUP(A45,GasCurves,9,FALSE()))+IF(BMO=1,Gasbmo,IF(BMO=3,-Gasbmo,0)))</f>
        <v>#N/A</v>
      </c>
      <c r="U45" s="444" t="e">
        <f aca="false">IF(A45="N/A"," ",IF(Basischeck=TRUE(),(VLOOKUP(A45,GasCurves,IF(MONTH(A45)&gt;=4,IF(MONTH(A45)&lt;=10,11,12),12),FALSE())),0))</f>
        <v>#N/A</v>
      </c>
      <c r="V45" s="444" t="e">
        <f aca="false">IF(A45="N/A"," ",IF(Indexcheck=TRUE(),(IF(MONTH(A45)&gt;=4,IF(MONTH(A45)&lt;=10,VLOOKUP(A45,'Gas Curves'!B23:O383,13),VLOOKUP(A45,'Gas Curves'!B23:O383,14)),VLOOKUP(A45,'Gas Curves'!B23:O383,14))),0))</f>
        <v>#N/A</v>
      </c>
      <c r="W45" s="444" t="e">
        <f aca="false">IF(A45="N/A"," ",((SUM(T45:V45))/(1-Inputs!$S$11)-(SUM(T45:V45))))</f>
        <v>#N/A</v>
      </c>
      <c r="X45" s="444" t="n">
        <f aca="false">IF(A45="N/A"," ",(IF(MONTH(A45)&gt;=4,IF(MONTH(A45)&lt;=10,Inputs!$S$9,Inputs!$S$10),Inputs!$S$10)))</f>
        <v>0</v>
      </c>
      <c r="Y45" s="445" t="n">
        <f aca="false">IF(A45="N/A"," ",(VLOOKUP($A45,InterestRatesTable,2)))</f>
        <v>2</v>
      </c>
      <c r="AF45" s="386" t="n">
        <v>37803</v>
      </c>
      <c r="AG45" s="376" t="n">
        <v>22</v>
      </c>
      <c r="AH45" s="376" t="n">
        <v>4</v>
      </c>
      <c r="AI45" s="376" t="n">
        <v>5</v>
      </c>
      <c r="AJ45" s="376" t="n">
        <v>1</v>
      </c>
      <c r="AK45" s="376" t="n">
        <v>31</v>
      </c>
    </row>
    <row r="46" customFormat="false" ht="12.75" hidden="false" customHeight="false" outlineLevel="0" collapsed="false">
      <c r="A46" s="434" t="n">
        <f aca="false">Calculations!A11</f>
        <v>37347</v>
      </c>
      <c r="B46" s="435" t="n">
        <f aca="false">IF(A46="N/A"," ",P46*VLOOKUP(MONTH(A46),Curveadj,3))</f>
        <v>31.7197685241699</v>
      </c>
      <c r="C46" s="436" t="n">
        <f aca="false">IF(A46="N/A"," ",Q46*VLOOKUP(MONTH(A46),Curveadj,3))</f>
        <v>22.4199981689453</v>
      </c>
      <c r="D46" s="437" t="n">
        <f aca="false">IF(A46="N/A"," ",R46*VLOOKUP(MONTH(A46),Curveadj,3))</f>
        <v>16.9150009155273</v>
      </c>
      <c r="E46" s="438" t="n">
        <f aca="false">IF(A46="N/A"," ",IF(Scalers=1,(IF(AND(Dynamic=1,MONTH(A46)&gt;=6,MONTH(A46)&lt;=8,OR($O$37="REGION 2",$O$37="REGION 2A",$O$37="REGION 2B",$O$37="REGION 3",$O$37="REGION 3A",$O$37="REGION 3B",$O$37="REGION 3C",$O$37="REGION 4",$O$37="REGION 4B",$O$37="REGION 4C",$O$37="REGION 5",$O$37="REGION 5A")),((0.059228/(B46/100))-(0.4980013/(SQRT(B46/100)))+2.137988),HLOOKUP(MONTH(A46),ScalarTable,28))),1))</f>
        <v>1</v>
      </c>
      <c r="F46" s="439" t="n">
        <f aca="false">IF(A46="N/A"," ",B46*E46)</f>
        <v>31.7197685241699</v>
      </c>
      <c r="G46" s="439" t="n">
        <f aca="false">IF(A46="N/A"," ",C46*E46)</f>
        <v>22.4199981689453</v>
      </c>
      <c r="H46" s="440" t="n">
        <f aca="false">IF(A46="N/A"," ",D46*E46)</f>
        <v>16.9150009155273</v>
      </c>
      <c r="I46" s="402" t="n">
        <f aca="false">IF(A46="N/A"," ",2-E46)</f>
        <v>1</v>
      </c>
      <c r="J46" s="439" t="n">
        <f aca="false">IF(A46="N/A"," ",B46*I46)</f>
        <v>31.7197685241699</v>
      </c>
      <c r="K46" s="439" t="n">
        <f aca="false">IF(A46="N/A"," ",C46*I46)</f>
        <v>22.4199981689453</v>
      </c>
      <c r="L46" s="440" t="n">
        <f aca="false">IF(A46="N/A"," ",D46*I46)</f>
        <v>16.9150009155273</v>
      </c>
      <c r="M46" s="441" t="n">
        <f aca="false">IF(A46="N/A"," ",S46)</f>
        <v>16.7500009536743</v>
      </c>
      <c r="N46" s="442" t="e">
        <f aca="false">IF(A46="N/A"," ",SUM(T46:X46))</f>
        <v>#N/A</v>
      </c>
      <c r="O46" s="370"/>
      <c r="P46" s="436" t="n">
        <f aca="false">IF(A46="N/A"," ",VLOOKUP(A46,PeakPowerCurves,(IF(BMO=2,3,IF(BMO=1,2,4))),FALSE())+Inputs!N29)</f>
        <v>31.7197685241699</v>
      </c>
      <c r="Q46" s="436" t="n">
        <f aca="false">IF(A46="N/A"," ",VLOOKUP(A46,SatSunPeakPwr,(IF(BMO=2,3,IF(BMO=1,2,4))),FALSE())+Inputs!$N$23)</f>
        <v>22.4199981689453</v>
      </c>
      <c r="R46" s="436" t="n">
        <f aca="false">IF(A46="N/A"," ",VLOOKUP(A46,SatSunPeakPwr,(IF(BMO=2,7,IF(BMO=1,6,8))),FALSE())+Inputs!$N$23)</f>
        <v>16.9150009155273</v>
      </c>
      <c r="S46" s="443" t="n">
        <f aca="false">IF(A46="N/A"," ",(VLOOKUP(A46,OPPowerPrices,(IF(BMO=2,7,IF(BMO=1,6,8))),FALSE())+Inputs!$N$23))</f>
        <v>16.7500009536743</v>
      </c>
      <c r="T46" s="444" t="e">
        <f aca="false">IF(A46="N/A"," ",(VLOOKUP(A46,GasCurves,9,FALSE()))+IF(BMO=1,Gasbmo,IF(BMO=3,-Gasbmo,0)))</f>
        <v>#N/A</v>
      </c>
      <c r="U46" s="444" t="e">
        <f aca="false">IF(A46="N/A"," ",IF(Basischeck=TRUE(),(VLOOKUP(A46,GasCurves,IF(MONTH(A46)&gt;=4,IF(MONTH(A46)&lt;=10,11,12),12),FALSE())),0))</f>
        <v>#N/A</v>
      </c>
      <c r="V46" s="444" t="e">
        <f aca="false">IF(A46="N/A"," ",IF(Indexcheck=TRUE(),(IF(MONTH(A46)&gt;=4,IF(MONTH(A46)&lt;=10,VLOOKUP(A46,'Gas Curves'!B24:O384,13),VLOOKUP(A46,'Gas Curves'!B24:O384,14)),VLOOKUP(A46,'Gas Curves'!B24:O384,14))),0))</f>
        <v>#N/A</v>
      </c>
      <c r="W46" s="444" t="e">
        <f aca="false">IF(A46="N/A"," ",((SUM(T46:V46))/(1-Inputs!$S$11)-(SUM(T46:V46))))</f>
        <v>#N/A</v>
      </c>
      <c r="X46" s="444" t="n">
        <f aca="false">IF(A46="N/A"," ",(IF(MONTH(A46)&gt;=4,IF(MONTH(A46)&lt;=10,Inputs!$S$9,Inputs!$S$10),Inputs!$S$10)))</f>
        <v>0</v>
      </c>
      <c r="Y46" s="445" t="n">
        <f aca="false">IF(A46="N/A"," ",(VLOOKUP($A46,InterestRatesTable,2)))</f>
        <v>2</v>
      </c>
      <c r="AF46" s="386" t="n">
        <v>37834</v>
      </c>
      <c r="AG46" s="376" t="n">
        <v>21</v>
      </c>
      <c r="AH46" s="376" t="n">
        <v>5</v>
      </c>
      <c r="AI46" s="376" t="n">
        <v>5</v>
      </c>
      <c r="AJ46" s="376" t="n">
        <v>0</v>
      </c>
      <c r="AK46" s="376" t="n">
        <v>31</v>
      </c>
    </row>
    <row r="47" customFormat="false" ht="12.75" hidden="false" customHeight="false" outlineLevel="0" collapsed="false">
      <c r="A47" s="434" t="n">
        <f aca="false">Calculations!A12</f>
        <v>37377</v>
      </c>
      <c r="B47" s="435" t="n">
        <f aca="false">IF(A47="N/A"," ",P47*VLOOKUP(MONTH(A47),Curveadj,3))</f>
        <v>35.625</v>
      </c>
      <c r="C47" s="436" t="n">
        <f aca="false">IF(A47="N/A"," ",Q47*VLOOKUP(MONTH(A47),Curveadj,3))</f>
        <v>24.4199981689453</v>
      </c>
      <c r="D47" s="437" t="n">
        <f aca="false">IF(A47="N/A"," ",R47*VLOOKUP(MONTH(A47),Curveadj,3))</f>
        <v>17.9249973297119</v>
      </c>
      <c r="E47" s="438" t="n">
        <f aca="false">IF(A47="N/A"," ",IF(Scalers=1,(IF(AND(Dynamic=1,MONTH(A47)&gt;=6,MONTH(A47)&lt;=8,OR($O$37="REGION 2",$O$37="REGION 2A",$O$37="REGION 2B",$O$37="REGION 3",$O$37="REGION 3A",$O$37="REGION 3B",$O$37="REGION 3C",$O$37="REGION 4",$O$37="REGION 4B",$O$37="REGION 4C",$O$37="REGION 5",$O$37="REGION 5A")),((0.059228/(B47/100))-(0.4980013/(SQRT(B47/100)))+2.137988),HLOOKUP(MONTH(A47),ScalarTable,28))),1))</f>
        <v>1</v>
      </c>
      <c r="F47" s="439" t="n">
        <f aca="false">IF(A47="N/A"," ",B47*E47)</f>
        <v>35.625</v>
      </c>
      <c r="G47" s="439" t="n">
        <f aca="false">IF(A47="N/A"," ",C47*E47)</f>
        <v>24.4199981689453</v>
      </c>
      <c r="H47" s="440" t="n">
        <f aca="false">IF(A47="N/A"," ",D47*E47)</f>
        <v>17.9249973297119</v>
      </c>
      <c r="I47" s="402" t="n">
        <f aca="false">IF(A47="N/A"," ",2-E47)</f>
        <v>1</v>
      </c>
      <c r="J47" s="439" t="n">
        <f aca="false">IF(A47="N/A"," ",B47*I47)</f>
        <v>35.625</v>
      </c>
      <c r="K47" s="439" t="n">
        <f aca="false">IF(A47="N/A"," ",C47*I47)</f>
        <v>24.4199981689453</v>
      </c>
      <c r="L47" s="440" t="n">
        <f aca="false">IF(A47="N/A"," ",D47*I47)</f>
        <v>17.9249973297119</v>
      </c>
      <c r="M47" s="441" t="n">
        <f aca="false">IF(A47="N/A"," ",S47)</f>
        <v>18.75</v>
      </c>
      <c r="N47" s="442" t="e">
        <f aca="false">IF(A47="N/A"," ",SUM(T47:X47))</f>
        <v>#N/A</v>
      </c>
      <c r="O47" s="370"/>
      <c r="P47" s="436" t="n">
        <f aca="false">IF(A47="N/A"," ",VLOOKUP(A47,PeakPowerCurves,(IF(BMO=2,3,IF(BMO=1,2,4))),FALSE())+Inputs!N30)</f>
        <v>35.625</v>
      </c>
      <c r="Q47" s="436" t="n">
        <f aca="false">IF(A47="N/A"," ",VLOOKUP(A47,SatSunPeakPwr,(IF(BMO=2,3,IF(BMO=1,2,4))),FALSE())+Inputs!$N$23)</f>
        <v>24.4199981689453</v>
      </c>
      <c r="R47" s="436" t="n">
        <f aca="false">IF(A47="N/A"," ",VLOOKUP(A47,SatSunPeakPwr,(IF(BMO=2,7,IF(BMO=1,6,8))),FALSE())+Inputs!$N$23)</f>
        <v>17.9249973297119</v>
      </c>
      <c r="S47" s="443" t="n">
        <f aca="false">IF(A47="N/A"," ",(VLOOKUP(A47,OPPowerPrices,(IF(BMO=2,7,IF(BMO=1,6,8))),FALSE())+Inputs!$N$23))</f>
        <v>18.75</v>
      </c>
      <c r="T47" s="444" t="e">
        <f aca="false">IF(A47="N/A"," ",(VLOOKUP(A47,GasCurves,9,FALSE()))+IF(BMO=1,Gasbmo,IF(BMO=3,-Gasbmo,0)))</f>
        <v>#N/A</v>
      </c>
      <c r="U47" s="444" t="e">
        <f aca="false">IF(A47="N/A"," ",IF(Basischeck=TRUE(),(VLOOKUP(A47,GasCurves,IF(MONTH(A47)&gt;=4,IF(MONTH(A47)&lt;=10,11,12),12),FALSE())),0))</f>
        <v>#N/A</v>
      </c>
      <c r="V47" s="444" t="e">
        <f aca="false">IF(A47="N/A"," ",IF(Indexcheck=TRUE(),(IF(MONTH(A47)&gt;=4,IF(MONTH(A47)&lt;=10,VLOOKUP(A47,'Gas Curves'!B25:O385,13),VLOOKUP(A47,'Gas Curves'!B25:O385,14)),VLOOKUP(A47,'Gas Curves'!B25:O385,14))),0))</f>
        <v>#N/A</v>
      </c>
      <c r="W47" s="444" t="e">
        <f aca="false">IF(A47="N/A"," ",((SUM(T47:V47))/(1-Inputs!$S$11)-(SUM(T47:V47))))</f>
        <v>#N/A</v>
      </c>
      <c r="X47" s="444" t="n">
        <f aca="false">IF(A47="N/A"," ",(IF(MONTH(A47)&gt;=4,IF(MONTH(A47)&lt;=10,Inputs!$S$9,Inputs!$S$10),Inputs!$S$10)))</f>
        <v>0</v>
      </c>
      <c r="Y47" s="445" t="n">
        <f aca="false">IF(A47="N/A"," ",(VLOOKUP($A47,InterestRatesTable,2)))</f>
        <v>2</v>
      </c>
      <c r="AF47" s="386" t="n">
        <v>37865</v>
      </c>
      <c r="AG47" s="376" t="n">
        <v>21</v>
      </c>
      <c r="AH47" s="376" t="n">
        <v>4</v>
      </c>
      <c r="AI47" s="376" t="n">
        <v>5</v>
      </c>
      <c r="AJ47" s="376" t="n">
        <v>1</v>
      </c>
      <c r="AK47" s="376" t="n">
        <v>30</v>
      </c>
    </row>
    <row r="48" customFormat="false" ht="12.75" hidden="false" customHeight="false" outlineLevel="0" collapsed="false">
      <c r="A48" s="434" t="n">
        <f aca="false">Calculations!A13</f>
        <v>37408</v>
      </c>
      <c r="B48" s="435" t="n">
        <f aca="false">IF(A48="N/A"," ",P48*VLOOKUP(MONTH(A48),Curveadj,3))</f>
        <v>47.75</v>
      </c>
      <c r="C48" s="436" t="n">
        <f aca="false">IF(A48="N/A"," ",Q48*VLOOKUP(MONTH(A48),Curveadj,3))</f>
        <v>31.4199981689453</v>
      </c>
      <c r="D48" s="437" t="n">
        <f aca="false">IF(A48="N/A"," ",R48*VLOOKUP(MONTH(A48),Curveadj,3))</f>
        <v>21.9199981689453</v>
      </c>
      <c r="E48" s="438" t="n">
        <f aca="false">IF(A48="N/A"," ",IF(Scalers=1,(IF(AND(Dynamic=1,MONTH(A48)&gt;=6,MONTH(A48)&lt;=8,OR($O$37="REGION 2",$O$37="REGION 2A",$O$37="REGION 2B",$O$37="REGION 3",$O$37="REGION 3A",$O$37="REGION 3B",$O$37="REGION 3C",$O$37="REGION 4",$O$37="REGION 4B",$O$37="REGION 4C",$O$37="REGION 5",$O$37="REGION 5A")),((0.059228/(B48/100))-(0.4980013/(SQRT(B48/100)))+2.137988),HLOOKUP(MONTH(A48),ScalarTable,28))),1))</f>
        <v>1</v>
      </c>
      <c r="F48" s="439" t="n">
        <f aca="false">IF(A48="N/A"," ",B48*E48)</f>
        <v>47.75</v>
      </c>
      <c r="G48" s="439" t="n">
        <f aca="false">IF(A48="N/A"," ",C48*E48)</f>
        <v>31.4199981689453</v>
      </c>
      <c r="H48" s="440" t="n">
        <f aca="false">IF(A48="N/A"," ",D48*E48)</f>
        <v>21.9199981689453</v>
      </c>
      <c r="I48" s="402" t="n">
        <f aca="false">IF(A48="N/A"," ",2-E48)</f>
        <v>1</v>
      </c>
      <c r="J48" s="439" t="n">
        <f aca="false">IF(A48="N/A"," ",B48*I48)</f>
        <v>47.75</v>
      </c>
      <c r="K48" s="439" t="n">
        <f aca="false">IF(A48="N/A"," ",C48*I48)</f>
        <v>31.4199981689453</v>
      </c>
      <c r="L48" s="440" t="n">
        <f aca="false">IF(A48="N/A"," ",D48*I48)</f>
        <v>21.9199981689453</v>
      </c>
      <c r="M48" s="441" t="n">
        <f aca="false">IF(A48="N/A"," ",S48)</f>
        <v>21.75</v>
      </c>
      <c r="N48" s="442" t="e">
        <f aca="false">IF(A48="N/A"," ",SUM(T48:X48))</f>
        <v>#N/A</v>
      </c>
      <c r="O48" s="370"/>
      <c r="P48" s="436" t="n">
        <f aca="false">IF(A48="N/A"," ",VLOOKUP(A48,PeakPowerCurves,(IF(BMO=2,3,IF(BMO=1,2,4))),FALSE())+Inputs!N31)</f>
        <v>47.75</v>
      </c>
      <c r="Q48" s="436" t="n">
        <f aca="false">IF(A48="N/A"," ",VLOOKUP(A48,SatSunPeakPwr,(IF(BMO=2,3,IF(BMO=1,2,4))),FALSE())+Inputs!$N$23)</f>
        <v>31.4199981689453</v>
      </c>
      <c r="R48" s="436" t="n">
        <f aca="false">IF(A48="N/A"," ",VLOOKUP(A48,SatSunPeakPwr,(IF(BMO=2,7,IF(BMO=1,6,8))),FALSE())+Inputs!$N$23)</f>
        <v>21.9199981689453</v>
      </c>
      <c r="S48" s="443" t="n">
        <f aca="false">IF(A48="N/A"," ",(VLOOKUP(A48,OPPowerPrices,(IF(BMO=2,7,IF(BMO=1,6,8))),FALSE())+Inputs!$N$23))</f>
        <v>21.75</v>
      </c>
      <c r="T48" s="444" t="e">
        <f aca="false">IF(A48="N/A"," ",(VLOOKUP(A48,GasCurves,9,FALSE()))+IF(BMO=1,Gasbmo,IF(BMO=3,-Gasbmo,0)))</f>
        <v>#N/A</v>
      </c>
      <c r="U48" s="444" t="e">
        <f aca="false">IF(A48="N/A"," ",IF(Basischeck=TRUE(),(VLOOKUP(A48,GasCurves,IF(MONTH(A48)&gt;=4,IF(MONTH(A48)&lt;=10,11,12),12),FALSE())),0))</f>
        <v>#N/A</v>
      </c>
      <c r="V48" s="444" t="e">
        <f aca="false">IF(A48="N/A"," ",IF(Indexcheck=TRUE(),(IF(MONTH(A48)&gt;=4,IF(MONTH(A48)&lt;=10,VLOOKUP(A48,'Gas Curves'!B26:O386,13),VLOOKUP(A48,'Gas Curves'!B26:O386,14)),VLOOKUP(A48,'Gas Curves'!B26:O386,14))),0))</f>
        <v>#N/A</v>
      </c>
      <c r="W48" s="444" t="e">
        <f aca="false">IF(A48="N/A"," ",((SUM(T48:V48))/(1-Inputs!$S$11)-(SUM(T48:V48))))</f>
        <v>#N/A</v>
      </c>
      <c r="X48" s="444" t="n">
        <f aca="false">IF(A48="N/A"," ",(IF(MONTH(A48)&gt;=4,IF(MONTH(A48)&lt;=10,Inputs!$S$9,Inputs!$S$10),Inputs!$S$10)))</f>
        <v>0</v>
      </c>
      <c r="Y48" s="445" t="n">
        <f aca="false">IF(A48="N/A"," ",(VLOOKUP($A48,InterestRatesTable,2)))</f>
        <v>2</v>
      </c>
      <c r="AF48" s="386" t="n">
        <v>37895</v>
      </c>
      <c r="AG48" s="376" t="n">
        <v>23</v>
      </c>
      <c r="AH48" s="376" t="n">
        <v>4</v>
      </c>
      <c r="AI48" s="376" t="n">
        <v>4</v>
      </c>
      <c r="AJ48" s="376" t="n">
        <v>0</v>
      </c>
      <c r="AK48" s="376" t="n">
        <v>31</v>
      </c>
    </row>
    <row r="49" customFormat="false" ht="12.75" hidden="false" customHeight="false" outlineLevel="0" collapsed="false">
      <c r="A49" s="434" t="n">
        <f aca="false">Calculations!A14</f>
        <v>37438</v>
      </c>
      <c r="B49" s="435" t="n">
        <f aca="false">IF(A49="N/A"," ",P49*VLOOKUP(MONTH(A49),Curveadj,3))</f>
        <v>64.5</v>
      </c>
      <c r="C49" s="436" t="n">
        <f aca="false">IF(A49="N/A"," ",Q49*VLOOKUP(MONTH(A49),Curveadj,3))</f>
        <v>37.4199981689453</v>
      </c>
      <c r="D49" s="437" t="n">
        <f aca="false">IF(A49="N/A"," ",R49*VLOOKUP(MONTH(A49),Curveadj,3))</f>
        <v>27.9199981689453</v>
      </c>
      <c r="E49" s="438" t="n">
        <f aca="false">IF(A49="N/A"," ",IF(Scalers=1,(IF(AND(Dynamic=1,MONTH(A49)&gt;=6,MONTH(A49)&lt;=8,OR($O$37="REGION 2",$O$37="REGION 2A",$O$37="REGION 2B",$O$37="REGION 3",$O$37="REGION 3A",$O$37="REGION 3B",$O$37="REGION 3C",$O$37="REGION 4",$O$37="REGION 4B",$O$37="REGION 4C",$O$37="REGION 5",$O$37="REGION 5A")),((0.059228/(B49/100))-(0.4980013/(SQRT(B49/100)))+2.137988),HLOOKUP(MONTH(A49),ScalarTable,28))),1))</f>
        <v>1</v>
      </c>
      <c r="F49" s="439" t="n">
        <f aca="false">IF(A49="N/A"," ",B49*E49)</f>
        <v>64.5</v>
      </c>
      <c r="G49" s="439" t="n">
        <f aca="false">IF(A49="N/A"," ",C49*E49)</f>
        <v>37.4199981689453</v>
      </c>
      <c r="H49" s="440" t="n">
        <f aca="false">IF(A49="N/A"," ",D49*E49)</f>
        <v>27.9199981689453</v>
      </c>
      <c r="I49" s="402" t="n">
        <f aca="false">IF(A49="N/A"," ",2-E49)</f>
        <v>1</v>
      </c>
      <c r="J49" s="439" t="n">
        <f aca="false">IF(A49="N/A"," ",B49*I49)</f>
        <v>64.5</v>
      </c>
      <c r="K49" s="439" t="n">
        <f aca="false">IF(A49="N/A"," ",C49*I49)</f>
        <v>37.4199981689453</v>
      </c>
      <c r="L49" s="440" t="n">
        <f aca="false">IF(A49="N/A"," ",D49*I49)</f>
        <v>27.9199981689453</v>
      </c>
      <c r="M49" s="441" t="n">
        <f aca="false">IF(A49="N/A"," ",S49)</f>
        <v>22.25</v>
      </c>
      <c r="N49" s="442" t="e">
        <f aca="false">IF(A49="N/A"," ",SUM(T49:X49))</f>
        <v>#N/A</v>
      </c>
      <c r="O49" s="370"/>
      <c r="P49" s="436" t="n">
        <f aca="false">IF(A49="N/A"," ",VLOOKUP(A49,PeakPowerCurves,(IF(BMO=2,3,IF(BMO=1,2,4))),FALSE())+Inputs!N32)</f>
        <v>64.5</v>
      </c>
      <c r="Q49" s="436" t="n">
        <f aca="false">IF(A49="N/A"," ",VLOOKUP(A49,SatSunPeakPwr,(IF(BMO=2,3,IF(BMO=1,2,4))),FALSE())+Inputs!$N$23)</f>
        <v>37.4199981689453</v>
      </c>
      <c r="R49" s="436" t="n">
        <f aca="false">IF(A49="N/A"," ",VLOOKUP(A49,SatSunPeakPwr,(IF(BMO=2,7,IF(BMO=1,6,8))),FALSE())+Inputs!$N$23)</f>
        <v>27.9199981689453</v>
      </c>
      <c r="S49" s="443" t="n">
        <f aca="false">IF(A49="N/A"," ",(VLOOKUP(A49,OPPowerPrices,(IF(BMO=2,7,IF(BMO=1,6,8))),FALSE())+Inputs!$N$23))</f>
        <v>22.25</v>
      </c>
      <c r="T49" s="444" t="e">
        <f aca="false">IF(A49="N/A"," ",(VLOOKUP(A49,GasCurves,9,FALSE()))+IF(BMO=1,Gasbmo,IF(BMO=3,-Gasbmo,0)))</f>
        <v>#N/A</v>
      </c>
      <c r="U49" s="444" t="e">
        <f aca="false">IF(A49="N/A"," ",IF(Basischeck=TRUE(),(VLOOKUP(A49,GasCurves,IF(MONTH(A49)&gt;=4,IF(MONTH(A49)&lt;=10,11,12),12),FALSE())),0))</f>
        <v>#N/A</v>
      </c>
      <c r="V49" s="444" t="e">
        <f aca="false">IF(A49="N/A"," ",IF(Indexcheck=TRUE(),(IF(MONTH(A49)&gt;=4,IF(MONTH(A49)&lt;=10,VLOOKUP(A49,'Gas Curves'!B27:O387,13),VLOOKUP(A49,'Gas Curves'!B27:O387,14)),VLOOKUP(A49,'Gas Curves'!B27:O387,14))),0))</f>
        <v>#N/A</v>
      </c>
      <c r="W49" s="444" t="e">
        <f aca="false">IF(A49="N/A"," ",((SUM(T49:V49))/(1-Inputs!$S$11)-(SUM(T49:V49))))</f>
        <v>#N/A</v>
      </c>
      <c r="X49" s="444" t="n">
        <f aca="false">IF(A49="N/A"," ",(IF(MONTH(A49)&gt;=4,IF(MONTH(A49)&lt;=10,Inputs!$S$9,Inputs!$S$10),Inputs!$S$10)))</f>
        <v>0</v>
      </c>
      <c r="Y49" s="445" t="n">
        <f aca="false">IF(A49="N/A"," ",(VLOOKUP($A49,InterestRatesTable,2)))</f>
        <v>2</v>
      </c>
      <c r="AF49" s="386" t="n">
        <v>37926</v>
      </c>
      <c r="AG49" s="376" t="n">
        <v>19</v>
      </c>
      <c r="AH49" s="376" t="n">
        <v>5</v>
      </c>
      <c r="AI49" s="376" t="n">
        <v>6</v>
      </c>
      <c r="AJ49" s="376" t="n">
        <v>1</v>
      </c>
      <c r="AK49" s="376" t="n">
        <v>30</v>
      </c>
    </row>
    <row r="50" customFormat="false" ht="12.75" hidden="false" customHeight="false" outlineLevel="0" collapsed="false">
      <c r="A50" s="434" t="n">
        <f aca="false">Calculations!A15</f>
        <v>37469</v>
      </c>
      <c r="B50" s="435" t="n">
        <f aca="false">IF(A50="N/A"," ",P50*VLOOKUP(MONTH(A50),Curveadj,3))</f>
        <v>64.5</v>
      </c>
      <c r="C50" s="436" t="n">
        <f aca="false">IF(A50="N/A"," ",Q50*VLOOKUP(MONTH(A50),Curveadj,3))</f>
        <v>35.4200019836426</v>
      </c>
      <c r="D50" s="437" t="n">
        <f aca="false">IF(A50="N/A"," ",R50*VLOOKUP(MONTH(A50),Curveadj,3))</f>
        <v>27.9199981689453</v>
      </c>
      <c r="E50" s="438" t="n">
        <f aca="false">IF(A50="N/A"," ",IF(Scalers=1,(IF(AND(Dynamic=1,MONTH(A50)&gt;=6,MONTH(A50)&lt;=8,OR($O$37="REGION 2",$O$37="REGION 2A",$O$37="REGION 2B",$O$37="REGION 3",$O$37="REGION 3A",$O$37="REGION 3B",$O$37="REGION 3C",$O$37="REGION 4",$O$37="REGION 4B",$O$37="REGION 4C",$O$37="REGION 5",$O$37="REGION 5A")),((0.059228/(B50/100))-(0.4980013/(SQRT(B50/100)))+2.137988),HLOOKUP(MONTH(A50),ScalarTable,28))),1))</f>
        <v>1</v>
      </c>
      <c r="F50" s="439" t="n">
        <f aca="false">IF(A50="N/A"," ",B50*E50)</f>
        <v>64.5</v>
      </c>
      <c r="G50" s="439" t="n">
        <f aca="false">IF(A50="N/A"," ",C50*E50)</f>
        <v>35.4200019836426</v>
      </c>
      <c r="H50" s="440" t="n">
        <f aca="false">IF(A50="N/A"," ",D50*E50)</f>
        <v>27.9199981689453</v>
      </c>
      <c r="I50" s="402" t="n">
        <f aca="false">IF(A50="N/A"," ",2-E50)</f>
        <v>1</v>
      </c>
      <c r="J50" s="439" t="n">
        <f aca="false">IF(A50="N/A"," ",B50*I50)</f>
        <v>64.5</v>
      </c>
      <c r="K50" s="439" t="n">
        <f aca="false">IF(A50="N/A"," ",C50*I50)</f>
        <v>35.4200019836426</v>
      </c>
      <c r="L50" s="440" t="n">
        <f aca="false">IF(A50="N/A"," ",D50*I50)</f>
        <v>27.9199981689453</v>
      </c>
      <c r="M50" s="441" t="n">
        <f aca="false">IF(A50="N/A"," ",S50)</f>
        <v>23.25</v>
      </c>
      <c r="N50" s="442" t="e">
        <f aca="false">IF(A50="N/A"," ",SUM(T50:X50))</f>
        <v>#N/A</v>
      </c>
      <c r="O50" s="370"/>
      <c r="P50" s="436" t="n">
        <f aca="false">IF(A50="N/A"," ",VLOOKUP(A50,PeakPowerCurves,(IF(BMO=2,3,IF(BMO=1,2,4))),FALSE())+Inputs!N33)</f>
        <v>64.5</v>
      </c>
      <c r="Q50" s="436" t="n">
        <f aca="false">IF(A50="N/A"," ",VLOOKUP(A50,SatSunPeakPwr,(IF(BMO=2,3,IF(BMO=1,2,4))),FALSE())+Inputs!$N$23)</f>
        <v>35.4200019836426</v>
      </c>
      <c r="R50" s="436" t="n">
        <f aca="false">IF(A50="N/A"," ",VLOOKUP(A50,SatSunPeakPwr,(IF(BMO=2,7,IF(BMO=1,6,8))),FALSE())+Inputs!$N$23)</f>
        <v>27.9199981689453</v>
      </c>
      <c r="S50" s="443" t="n">
        <f aca="false">IF(A50="N/A"," ",(VLOOKUP(A50,OPPowerPrices,(IF(BMO=2,7,IF(BMO=1,6,8))),FALSE())+Inputs!$N$23))</f>
        <v>23.25</v>
      </c>
      <c r="T50" s="444" t="e">
        <f aca="false">IF(A50="N/A"," ",(VLOOKUP(A50,GasCurves,9,FALSE()))+IF(BMO=1,Gasbmo,IF(BMO=3,-Gasbmo,0)))</f>
        <v>#N/A</v>
      </c>
      <c r="U50" s="444" t="e">
        <f aca="false">IF(A50="N/A"," ",IF(Basischeck=TRUE(),(VLOOKUP(A50,GasCurves,IF(MONTH(A50)&gt;=4,IF(MONTH(A50)&lt;=10,11,12),12),FALSE())),0))</f>
        <v>#N/A</v>
      </c>
      <c r="V50" s="444" t="e">
        <f aca="false">IF(A50="N/A"," ",IF(Indexcheck=TRUE(),(IF(MONTH(A50)&gt;=4,IF(MONTH(A50)&lt;=10,VLOOKUP(A50,'Gas Curves'!B28:O388,13),VLOOKUP(A50,'Gas Curves'!B28:O388,14)),VLOOKUP(A50,'Gas Curves'!B28:O388,14))),0))</f>
        <v>#N/A</v>
      </c>
      <c r="W50" s="444" t="e">
        <f aca="false">IF(A50="N/A"," ",((SUM(T50:V50))/(1-Inputs!$S$11)-(SUM(T50:V50))))</f>
        <v>#N/A</v>
      </c>
      <c r="X50" s="444" t="n">
        <f aca="false">IF(A50="N/A"," ",(IF(MONTH(A50)&gt;=4,IF(MONTH(A50)&lt;=10,Inputs!$S$9,Inputs!$S$10),Inputs!$S$10)))</f>
        <v>0</v>
      </c>
      <c r="Y50" s="445" t="n">
        <f aca="false">IF(A50="N/A"," ",(VLOOKUP($A50,InterestRatesTable,2)))</f>
        <v>2</v>
      </c>
      <c r="AF50" s="386" t="n">
        <v>37956</v>
      </c>
      <c r="AG50" s="376" t="n">
        <v>22</v>
      </c>
      <c r="AH50" s="376" t="n">
        <v>4</v>
      </c>
      <c r="AI50" s="376" t="n">
        <v>5</v>
      </c>
      <c r="AJ50" s="376" t="n">
        <v>1</v>
      </c>
      <c r="AK50" s="376" t="n">
        <v>31</v>
      </c>
    </row>
    <row r="51" customFormat="false" ht="12.75" hidden="false" customHeight="false" outlineLevel="0" collapsed="false">
      <c r="A51" s="434" t="n">
        <f aca="false">Calculations!A16</f>
        <v>37500</v>
      </c>
      <c r="B51" s="435" t="n">
        <f aca="false">IF(A51="N/A"," ",IF(ISERROR(P51),B39*Pwresc,P51)*VLOOKUP(MONTH(A51),Curveadj,3))</f>
        <v>31.3</v>
      </c>
      <c r="C51" s="436" t="n">
        <f aca="false">IF(A51="N/A"," ",IF(ISERROR(Q51),C39*Pwresc,Q51)*VLOOKUP(MONTH(A51),Curveadj,3))</f>
        <v>27.4199981689453</v>
      </c>
      <c r="D51" s="437" t="n">
        <f aca="false">IF(A51="N/A"," ",IF(ISERROR(R51),D39*Pwresc,R51)*VLOOKUP(MONTH(A51),Curveadj,3))</f>
        <v>21.9199981689453</v>
      </c>
      <c r="E51" s="438" t="n">
        <f aca="false">IF(A51="N/A"," ",IF(Scalers=1,(IF(AND(Dynamic=1,MONTH(A51)&gt;=6,MONTH(A51)&lt;=8,OR($O$37="REGION 2",$O$37="REGION 2A",$O$37="REGION 2B",$O$37="REGION 3",$O$37="REGION 3A",$O$37="REGION 3B",$O$37="REGION 3C",$O$37="REGION 4",$O$37="REGION 4B",$O$37="REGION 4C",$O$37="REGION 5",$O$37="REGION 5A")),((0.059228/(B51/100))-(0.4980013/(SQRT(B51/100)))+2.137988),HLOOKUP(MONTH(A51),ScalarTable,28))),1))</f>
        <v>1</v>
      </c>
      <c r="F51" s="439" t="n">
        <f aca="false">IF(A51="N/A"," ",B51*E51)</f>
        <v>31.3</v>
      </c>
      <c r="G51" s="439" t="n">
        <f aca="false">IF(A51="N/A"," ",C51*E51)</f>
        <v>27.4199981689453</v>
      </c>
      <c r="H51" s="440" t="n">
        <f aca="false">IF(A51="N/A"," ",D51*E51)</f>
        <v>21.9199981689453</v>
      </c>
      <c r="I51" s="402" t="n">
        <f aca="false">IF(A51="N/A"," ",2-E51)</f>
        <v>1</v>
      </c>
      <c r="J51" s="439" t="n">
        <f aca="false">IF(A51="N/A"," ",B51*I51)</f>
        <v>31.3</v>
      </c>
      <c r="K51" s="439" t="n">
        <f aca="false">IF(A51="N/A"," ",C51*I51)</f>
        <v>27.4199981689453</v>
      </c>
      <c r="L51" s="440" t="n">
        <f aca="false">IF(A51="N/A"," ",D51*I51)</f>
        <v>21.9199981689453</v>
      </c>
      <c r="M51" s="441" t="n">
        <f aca="false">IF(A51="N/A"," ",IF(ISERROR(S51),M39*Pwresc,S51))</f>
        <v>17.25</v>
      </c>
      <c r="N51" s="442" t="e">
        <f aca="false">IF(A51="N/A"," ",SUM(T51:X51))</f>
        <v>#N/A</v>
      </c>
      <c r="O51" s="370"/>
      <c r="P51" s="436" t="n">
        <f aca="false">IF(A51="N/A"," ",VLOOKUP(A51,PeakPowerCurves,(IF(BMO=2,3,IF(BMO=1,2,4))),FALSE())+Inputs!N34)</f>
        <v>31.3</v>
      </c>
      <c r="Q51" s="436" t="n">
        <f aca="false">IF(A51="N/A"," ",VLOOKUP(A51,SatSunPeakPwr,(IF(BMO=2,3,IF(BMO=1,2,4))),FALSE())+Inputs!$N$23)</f>
        <v>27.4199981689453</v>
      </c>
      <c r="R51" s="436" t="n">
        <f aca="false">IF(A51="N/A"," ",VLOOKUP(A51,SatSunPeakPwr,(IF(BMO=2,7,IF(BMO=1,6,8))),FALSE())+Inputs!$N$23)</f>
        <v>21.9199981689453</v>
      </c>
      <c r="S51" s="443" t="n">
        <f aca="false">IF(A51="N/A"," ",(VLOOKUP(A51,OPPowerPrices,(IF(BMO=2,7,IF(BMO=1,6,8))),FALSE())+Inputs!$N$23))</f>
        <v>17.25</v>
      </c>
      <c r="T51" s="444" t="e">
        <f aca="false">IF(A51="N/A"," ",(VLOOKUP(A51,GasCurves,9,FALSE()))+IF(BMO=1,Gasbmo,IF(BMO=3,-Gasbmo,0)))</f>
        <v>#N/A</v>
      </c>
      <c r="U51" s="444" t="e">
        <f aca="false">IF(A51="N/A"," ",IF(Basischeck=TRUE(),(VLOOKUP(A51,GasCurves,IF(MONTH(A51)&gt;=4,IF(MONTH(A51)&lt;=10,11,12),12),FALSE())),0))</f>
        <v>#N/A</v>
      </c>
      <c r="V51" s="444" t="e">
        <f aca="false">IF(A51="N/A"," ",IF(Indexcheck=TRUE(),(IF(MONTH(A51)&gt;=4,IF(MONTH(A51)&lt;=10,VLOOKUP(A51,'Gas Curves'!B29:O389,13),VLOOKUP(A51,'Gas Curves'!B29:O389,14)),VLOOKUP(A51,'Gas Curves'!B29:O389,14))),0))</f>
        <v>#N/A</v>
      </c>
      <c r="W51" s="444" t="e">
        <f aca="false">IF(A51="N/A"," ",((SUM(T51:V51))/(1-Inputs!$S$11)-(SUM(T51:V51))))</f>
        <v>#N/A</v>
      </c>
      <c r="X51" s="444" t="n">
        <f aca="false">IF(A51="N/A"," ",(IF(MONTH(A51)&gt;=4,IF(MONTH(A51)&lt;=10,Inputs!$S$9,Inputs!$S$10),Inputs!$S$10)))</f>
        <v>0</v>
      </c>
      <c r="Y51" s="445" t="n">
        <f aca="false">IF(A51="N/A"," ",(VLOOKUP($A51,InterestRatesTable,2)))</f>
        <v>2</v>
      </c>
      <c r="AF51" s="386" t="n">
        <v>37987</v>
      </c>
      <c r="AG51" s="376" t="n">
        <v>21</v>
      </c>
      <c r="AH51" s="376" t="n">
        <v>5</v>
      </c>
      <c r="AI51" s="376" t="n">
        <v>5</v>
      </c>
      <c r="AJ51" s="376" t="n">
        <v>1</v>
      </c>
      <c r="AK51" s="376" t="n">
        <v>31</v>
      </c>
    </row>
    <row r="52" customFormat="false" ht="12.75" hidden="false" customHeight="false" outlineLevel="0" collapsed="false">
      <c r="A52" s="434" t="n">
        <f aca="false">Calculations!A17</f>
        <v>37530</v>
      </c>
      <c r="B52" s="435" t="n">
        <f aca="false">IF(A52="N/A"," ",IF(ISERROR(P52),B40*Pwresc,P52)*VLOOKUP(MONTH(A52),Curveadj,3))</f>
        <v>30.3562496185303</v>
      </c>
      <c r="C52" s="436" t="n">
        <f aca="false">IF(A52="N/A"," ",IF(ISERROR(Q52),C40*Pwresc,Q52)*VLOOKUP(MONTH(A52),Curveadj,3))</f>
        <v>22.4159984588623</v>
      </c>
      <c r="D52" s="437" t="n">
        <f aca="false">IF(A52="N/A"," ",IF(ISERROR(R52),D40*Pwresc,R52)*VLOOKUP(MONTH(A52),Curveadj,3))</f>
        <v>16.9165000915527</v>
      </c>
      <c r="E52" s="438" t="n">
        <f aca="false">IF(A52="N/A"," ",IF(Scalers=1,(IF(AND(Dynamic=1,MONTH(A52)&gt;=6,MONTH(A52)&lt;=8,OR($O$37="REGION 2",$O$37="REGION 2A",$O$37="REGION 2B",$O$37="REGION 3",$O$37="REGION 3A",$O$37="REGION 3B",$O$37="REGION 3C",$O$37="REGION 4",$O$37="REGION 4B",$O$37="REGION 4C",$O$37="REGION 5",$O$37="REGION 5A")),((0.059228/(B52/100))-(0.4980013/(SQRT(B52/100)))+2.137988),HLOOKUP(MONTH(A52),ScalarTable,28))),1))</f>
        <v>1</v>
      </c>
      <c r="F52" s="439" t="n">
        <f aca="false">IF(A52="N/A"," ",B52*E52)</f>
        <v>30.3562496185303</v>
      </c>
      <c r="G52" s="439" t="n">
        <f aca="false">IF(A52="N/A"," ",C52*E52)</f>
        <v>22.4159984588623</v>
      </c>
      <c r="H52" s="440" t="n">
        <f aca="false">IF(A52="N/A"," ",D52*E52)</f>
        <v>16.9165000915527</v>
      </c>
      <c r="I52" s="402" t="n">
        <f aca="false">IF(A52="N/A"," ",2-E52)</f>
        <v>1</v>
      </c>
      <c r="J52" s="439" t="n">
        <f aca="false">IF(A52="N/A"," ",B52*I52)</f>
        <v>30.3562496185303</v>
      </c>
      <c r="K52" s="439" t="n">
        <f aca="false">IF(A52="N/A"," ",C52*I52)</f>
        <v>22.4159984588623</v>
      </c>
      <c r="L52" s="440" t="n">
        <f aca="false">IF(A52="N/A"," ",D52*I52)</f>
        <v>16.9165000915527</v>
      </c>
      <c r="M52" s="441" t="n">
        <f aca="false">IF(A52="N/A"," ",IF(ISERROR(S52),M40*Pwresc,S52))</f>
        <v>16.750002861023</v>
      </c>
      <c r="N52" s="442" t="e">
        <f aca="false">IF(A52="N/A"," ",SUM(T52:X52))</f>
        <v>#N/A</v>
      </c>
      <c r="O52" s="370"/>
      <c r="P52" s="436" t="n">
        <f aca="false">IF(A52="N/A"," ",VLOOKUP(A52,PeakPowerCurves,(IF(BMO=2,3,IF(BMO=1,2,4))),FALSE())+Inputs!N35)</f>
        <v>30.3562496185303</v>
      </c>
      <c r="Q52" s="436" t="n">
        <f aca="false">IF(A52="N/A"," ",VLOOKUP(A52,SatSunPeakPwr,(IF(BMO=2,3,IF(BMO=1,2,4))),FALSE())+Inputs!$N$23)</f>
        <v>22.4159984588623</v>
      </c>
      <c r="R52" s="436" t="n">
        <f aca="false">IF(A52="N/A"," ",VLOOKUP(A52,SatSunPeakPwr,(IF(BMO=2,7,IF(BMO=1,6,8))),FALSE())+Inputs!$N$23)</f>
        <v>16.9165000915527</v>
      </c>
      <c r="S52" s="443" t="n">
        <f aca="false">IF(A52="N/A"," ",(VLOOKUP(A52,OPPowerPrices,(IF(BMO=2,7,IF(BMO=1,6,8))),FALSE())+Inputs!$N$23))</f>
        <v>16.750002861023</v>
      </c>
      <c r="T52" s="444" t="e">
        <f aca="false">IF(A52="N/A"," ",(VLOOKUP(A52,GasCurves,9,FALSE()))+IF(BMO=1,Gasbmo,IF(BMO=3,-Gasbmo,0)))</f>
        <v>#N/A</v>
      </c>
      <c r="U52" s="444" t="e">
        <f aca="false">IF(A52="N/A"," ",IF(Basischeck=TRUE(),(VLOOKUP(A52,GasCurves,IF(MONTH(A52)&gt;=4,IF(MONTH(A52)&lt;=10,11,12),12),FALSE())),0))</f>
        <v>#N/A</v>
      </c>
      <c r="V52" s="444" t="e">
        <f aca="false">IF(A52="N/A"," ",IF(Indexcheck=TRUE(),(IF(MONTH(A52)&gt;=4,IF(MONTH(A52)&lt;=10,VLOOKUP(A52,'Gas Curves'!B30:O390,13),VLOOKUP(A52,'Gas Curves'!B30:O390,14)),VLOOKUP(A52,'Gas Curves'!B30:O390,14))),0))</f>
        <v>#N/A</v>
      </c>
      <c r="W52" s="444" t="e">
        <f aca="false">IF(A52="N/A"," ",((SUM(T52:V52))/(1-Inputs!$S$11)-(SUM(T52:V52))))</f>
        <v>#N/A</v>
      </c>
      <c r="X52" s="444" t="n">
        <f aca="false">IF(A52="N/A"," ",(IF(MONTH(A52)&gt;=4,IF(MONTH(A52)&lt;=10,Inputs!$S$9,Inputs!$S$10),Inputs!$S$10)))</f>
        <v>0</v>
      </c>
      <c r="Y52" s="445" t="n">
        <f aca="false">IF(A52="N/A"," ",(VLOOKUP($A52,InterestRatesTable,2)))</f>
        <v>2</v>
      </c>
      <c r="AF52" s="386" t="n">
        <v>38018</v>
      </c>
      <c r="AG52" s="376" t="n">
        <v>20</v>
      </c>
      <c r="AH52" s="376" t="n">
        <v>4</v>
      </c>
      <c r="AI52" s="376" t="n">
        <v>5</v>
      </c>
      <c r="AJ52" s="376" t="n">
        <v>0</v>
      </c>
      <c r="AK52" s="376" t="n">
        <v>29</v>
      </c>
    </row>
    <row r="53" customFormat="false" ht="12.75" hidden="false" customHeight="false" outlineLevel="0" collapsed="false">
      <c r="A53" s="434" t="n">
        <f aca="false">Calculations!A18</f>
        <v>37561</v>
      </c>
      <c r="B53" s="435" t="n">
        <f aca="false">IF(A53="N/A"," ",IF(ISERROR(P53),B41*Pwresc,P53)*VLOOKUP(MONTH(A53),Curveadj,3))</f>
        <v>30.5562522888184</v>
      </c>
      <c r="C53" s="436" t="n">
        <f aca="false">IF(A53="N/A"," ",IF(ISERROR(Q53),C41*Pwresc,Q53)*VLOOKUP(MONTH(A53),Curveadj,3))</f>
        <v>24.4199981689453</v>
      </c>
      <c r="D53" s="437" t="n">
        <f aca="false">IF(A53="N/A"," ",IF(ISERROR(R53),D41*Pwresc,R53)*VLOOKUP(MONTH(A53),Curveadj,3))</f>
        <v>16.9200000762939</v>
      </c>
      <c r="E53" s="438" t="n">
        <f aca="false">IF(A53="N/A"," ",IF(Scalers=1,(IF(AND(Dynamic=1,MONTH(A53)&gt;=6,MONTH(A53)&lt;=8,OR($O$37="REGION 2",$O$37="REGION 2A",$O$37="REGION 2B",$O$37="REGION 3",$O$37="REGION 3A",$O$37="REGION 3B",$O$37="REGION 3C",$O$37="REGION 4",$O$37="REGION 4B",$O$37="REGION 4C",$O$37="REGION 5",$O$37="REGION 5A")),((0.059228/(B53/100))-(0.4980013/(SQRT(B53/100)))+2.137988),HLOOKUP(MONTH(A53),ScalarTable,28))),1))</f>
        <v>1</v>
      </c>
      <c r="F53" s="439" t="n">
        <f aca="false">IF(A53="N/A"," ",B53*E53)</f>
        <v>30.5562522888184</v>
      </c>
      <c r="G53" s="439" t="n">
        <f aca="false">IF(A53="N/A"," ",C53*E53)</f>
        <v>24.4199981689453</v>
      </c>
      <c r="H53" s="440" t="n">
        <f aca="false">IF(A53="N/A"," ",D53*E53)</f>
        <v>16.9200000762939</v>
      </c>
      <c r="I53" s="402" t="n">
        <f aca="false">IF(A53="N/A"," ",2-E53)</f>
        <v>1</v>
      </c>
      <c r="J53" s="439" t="n">
        <f aca="false">IF(A53="N/A"," ",B53*I53)</f>
        <v>30.5562522888184</v>
      </c>
      <c r="K53" s="439" t="n">
        <f aca="false">IF(A53="N/A"," ",C53*I53)</f>
        <v>24.4199981689453</v>
      </c>
      <c r="L53" s="440" t="n">
        <f aca="false">IF(A53="N/A"," ",D53*I53)</f>
        <v>16.9200000762939</v>
      </c>
      <c r="M53" s="441" t="n">
        <f aca="false">IF(A53="N/A"," ",IF(ISERROR(S53),M41*Pwresc,S53))</f>
        <v>17.75</v>
      </c>
      <c r="N53" s="442" t="e">
        <f aca="false">IF(A53="N/A"," ",SUM(T53:X53))</f>
        <v>#N/A</v>
      </c>
      <c r="O53" s="370"/>
      <c r="P53" s="436" t="n">
        <f aca="false">IF(A53="N/A"," ",VLOOKUP(A53,PeakPowerCurves,(IF(BMO=2,3,IF(BMO=1,2,4))),FALSE())+Inputs!N36)</f>
        <v>30.5562522888184</v>
      </c>
      <c r="Q53" s="436" t="n">
        <f aca="false">IF(A53="N/A"," ",VLOOKUP(A53,SatSunPeakPwr,(IF(BMO=2,3,IF(BMO=1,2,4))),FALSE())+Inputs!$N$23)</f>
        <v>24.4199981689453</v>
      </c>
      <c r="R53" s="436" t="n">
        <f aca="false">IF(A53="N/A"," ",VLOOKUP(A53,SatSunPeakPwr,(IF(BMO=2,7,IF(BMO=1,6,8))),FALSE())+Inputs!$N$23)</f>
        <v>16.9200000762939</v>
      </c>
      <c r="S53" s="443" t="n">
        <f aca="false">IF(A53="N/A"," ",(VLOOKUP(A53,OPPowerPrices,(IF(BMO=2,7,IF(BMO=1,6,8))),FALSE())+Inputs!$N$23))</f>
        <v>17.75</v>
      </c>
      <c r="T53" s="444" t="e">
        <f aca="false">IF(A53="N/A"," ",(VLOOKUP(A53,GasCurves,9,FALSE()))+IF(BMO=1,Gasbmo,IF(BMO=3,-Gasbmo,0)))</f>
        <v>#N/A</v>
      </c>
      <c r="U53" s="444" t="e">
        <f aca="false">IF(A53="N/A"," ",IF(Basischeck=TRUE(),(VLOOKUP(A53,GasCurves,IF(MONTH(A53)&gt;=4,IF(MONTH(A53)&lt;=10,11,12),12),FALSE())),0))</f>
        <v>#N/A</v>
      </c>
      <c r="V53" s="444" t="e">
        <f aca="false">IF(A53="N/A"," ",IF(Indexcheck=TRUE(),(IF(MONTH(A53)&gt;=4,IF(MONTH(A53)&lt;=10,VLOOKUP(A53,'Gas Curves'!B31:O391,13),VLOOKUP(A53,'Gas Curves'!B31:O391,14)),VLOOKUP(A53,'Gas Curves'!B31:O391,14))),0))</f>
        <v>#N/A</v>
      </c>
      <c r="W53" s="444" t="e">
        <f aca="false">IF(A53="N/A"," ",((SUM(T53:V53))/(1-Inputs!$S$11)-(SUM(T53:V53))))</f>
        <v>#N/A</v>
      </c>
      <c r="X53" s="444" t="n">
        <f aca="false">IF(A53="N/A"," ",(IF(MONTH(A53)&gt;=4,IF(MONTH(A53)&lt;=10,Inputs!$S$9,Inputs!$S$10),Inputs!$S$10)))</f>
        <v>0</v>
      </c>
      <c r="Y53" s="445" t="n">
        <f aca="false">IF(A53="N/A"," ",(VLOOKUP($A53,InterestRatesTable,2)))</f>
        <v>2</v>
      </c>
      <c r="AF53" s="386" t="n">
        <v>38047</v>
      </c>
      <c r="AG53" s="376" t="n">
        <v>23</v>
      </c>
      <c r="AH53" s="376" t="n">
        <v>4</v>
      </c>
      <c r="AI53" s="376" t="n">
        <v>4</v>
      </c>
      <c r="AJ53" s="376" t="n">
        <v>0</v>
      </c>
      <c r="AK53" s="376" t="n">
        <v>31</v>
      </c>
    </row>
    <row r="54" customFormat="false" ht="12.75" hidden="false" customHeight="false" outlineLevel="0" collapsed="false">
      <c r="A54" s="434" t="n">
        <f aca="false">Calculations!A19</f>
        <v>37591</v>
      </c>
      <c r="B54" s="435" t="n">
        <f aca="false">IF(A54="N/A"," ",IF(ISERROR(P54),B42*Pwresc,P54)*VLOOKUP(MONTH(A54),Curveadj,3))</f>
        <v>30.7562492370605</v>
      </c>
      <c r="C54" s="436" t="n">
        <f aca="false">IF(A54="N/A"," ",IF(ISERROR(Q54),C42*Pwresc,Q54)*VLOOKUP(MONTH(A54),Curveadj,3))</f>
        <v>29.4199981689453</v>
      </c>
      <c r="D54" s="437" t="n">
        <f aca="false">IF(A54="N/A"," ",IF(ISERROR(R54),D42*Pwresc,R54)*VLOOKUP(MONTH(A54),Curveadj,3))</f>
        <v>23.9199981689453</v>
      </c>
      <c r="E54" s="438" t="n">
        <f aca="false">IF(A54="N/A"," ",IF(Scalers=1,(IF(AND(Dynamic=1,MONTH(A54)&gt;=6,MONTH(A54)&lt;=8,OR($O$37="REGION 2",$O$37="REGION 2A",$O$37="REGION 2B",$O$37="REGION 3",$O$37="REGION 3A",$O$37="REGION 3B",$O$37="REGION 3C",$O$37="REGION 4",$O$37="REGION 4B",$O$37="REGION 4C",$O$37="REGION 5",$O$37="REGION 5A")),((0.059228/(B54/100))-(0.4980013/(SQRT(B54/100)))+2.137988),HLOOKUP(MONTH(A54),ScalarTable,28))),1))</f>
        <v>1</v>
      </c>
      <c r="F54" s="439" t="n">
        <f aca="false">IF(A54="N/A"," ",B54*E54)</f>
        <v>30.7562492370605</v>
      </c>
      <c r="G54" s="439" t="n">
        <f aca="false">IF(A54="N/A"," ",C54*E54)</f>
        <v>29.4199981689453</v>
      </c>
      <c r="H54" s="440" t="n">
        <f aca="false">IF(A54="N/A"," ",D54*E54)</f>
        <v>23.9199981689453</v>
      </c>
      <c r="I54" s="402" t="n">
        <f aca="false">IF(A54="N/A"," ",2-E54)</f>
        <v>1</v>
      </c>
      <c r="J54" s="439" t="n">
        <f aca="false">IF(A54="N/A"," ",B54*I54)</f>
        <v>30.7562492370605</v>
      </c>
      <c r="K54" s="439" t="n">
        <f aca="false">IF(A54="N/A"," ",C54*I54)</f>
        <v>29.4199981689453</v>
      </c>
      <c r="L54" s="440" t="n">
        <f aca="false">IF(A54="N/A"," ",D54*I54)</f>
        <v>23.9199981689453</v>
      </c>
      <c r="M54" s="441" t="n">
        <f aca="false">IF(A54="N/A"," ",IF(ISERROR(S54),M42*Pwresc,S54))</f>
        <v>20</v>
      </c>
      <c r="N54" s="442" t="e">
        <f aca="false">IF(A54="N/A"," ",SUM(T54:X54))</f>
        <v>#N/A</v>
      </c>
      <c r="O54" s="370"/>
      <c r="P54" s="436" t="n">
        <f aca="false">IF(A54="N/A"," ",VLOOKUP(A54,PeakPowerCurves,(IF(BMO=2,3,IF(BMO=1,2,4))),FALSE())+Inputs!N37)</f>
        <v>30.7562492370605</v>
      </c>
      <c r="Q54" s="436" t="n">
        <f aca="false">IF(A54="N/A"," ",VLOOKUP(A54,SatSunPeakPwr,(IF(BMO=2,3,IF(BMO=1,2,4))),FALSE())+Inputs!$N$23)</f>
        <v>29.4199981689453</v>
      </c>
      <c r="R54" s="436" t="n">
        <f aca="false">IF(A54="N/A"," ",VLOOKUP(A54,SatSunPeakPwr,(IF(BMO=2,7,IF(BMO=1,6,8))),FALSE())+Inputs!$N$23)</f>
        <v>23.9199981689453</v>
      </c>
      <c r="S54" s="443" t="n">
        <f aca="false">IF(A54="N/A"," ",(VLOOKUP(A54,OPPowerPrices,(IF(BMO=2,7,IF(BMO=1,6,8))),FALSE())+Inputs!$N$23))</f>
        <v>20</v>
      </c>
      <c r="T54" s="444" t="e">
        <f aca="false">IF(A54="N/A"," ",(VLOOKUP(A54,GasCurves,9,FALSE()))+IF(BMO=1,Gasbmo,IF(BMO=3,-Gasbmo,0)))</f>
        <v>#N/A</v>
      </c>
      <c r="U54" s="444" t="e">
        <f aca="false">IF(A54="N/A"," ",IF(Basischeck=TRUE(),(VLOOKUP(A54,GasCurves,IF(MONTH(A54)&gt;=4,IF(MONTH(A54)&lt;=10,11,12),12),FALSE())),0))</f>
        <v>#N/A</v>
      </c>
      <c r="V54" s="444" t="e">
        <f aca="false">IF(A54="N/A"," ",IF(Indexcheck=TRUE(),(IF(MONTH(A54)&gt;=4,IF(MONTH(A54)&lt;=10,VLOOKUP(A54,'Gas Curves'!B32:O392,13),VLOOKUP(A54,'Gas Curves'!B32:O392,14)),VLOOKUP(A54,'Gas Curves'!B32:O392,14))),0))</f>
        <v>#N/A</v>
      </c>
      <c r="W54" s="444" t="e">
        <f aca="false">IF(A54="N/A"," ",((SUM(T54:V54))/(1-Inputs!$S$11)-(SUM(T54:V54))))</f>
        <v>#N/A</v>
      </c>
      <c r="X54" s="444" t="n">
        <f aca="false">IF(A54="N/A"," ",(IF(MONTH(A54)&gt;=4,IF(MONTH(A54)&lt;=10,Inputs!$S$9,Inputs!$S$10),Inputs!$S$10)))</f>
        <v>0</v>
      </c>
      <c r="Y54" s="445" t="n">
        <f aca="false">IF(A54="N/A"," ",(VLOOKUP($A54,InterestRatesTable,2)))</f>
        <v>2</v>
      </c>
      <c r="AF54" s="386" t="n">
        <v>38078</v>
      </c>
      <c r="AG54" s="376" t="n">
        <v>22</v>
      </c>
      <c r="AH54" s="376" t="n">
        <v>4</v>
      </c>
      <c r="AI54" s="376" t="n">
        <v>4</v>
      </c>
      <c r="AJ54" s="376" t="n">
        <v>0</v>
      </c>
      <c r="AK54" s="376" t="n">
        <v>30</v>
      </c>
    </row>
    <row r="55" customFormat="false" ht="12.75" hidden="false" customHeight="false" outlineLevel="0" collapsed="false">
      <c r="A55" s="434" t="n">
        <f aca="false">Calculations!A20</f>
        <v>37622</v>
      </c>
      <c r="B55" s="435" t="n">
        <f aca="false">IF(A55="N/A"," ",IF(ISERROR(P55),B43*Pwresc,P55)*VLOOKUP(MONTH(A55),Curveadj,3))</f>
        <v>33.6357170104981</v>
      </c>
      <c r="C55" s="436" t="n">
        <f aca="false">IF(A55="N/A"," ",IF(ISERROR(Q55),C43*Pwresc,Q55)*VLOOKUP(MONTH(A55),Curveadj,3))</f>
        <v>36.2699966430664</v>
      </c>
      <c r="D55" s="437" t="n">
        <f aca="false">IF(A55="N/A"," ",IF(ISERROR(R55),D43*Pwresc,R55)*VLOOKUP(MONTH(A55),Curveadj,3))</f>
        <v>25.7699966430664</v>
      </c>
      <c r="E55" s="438" t="n">
        <f aca="false">IF(A55="N/A"," ",IF(Scalers=1,(IF(AND(Dynamic=1,MONTH(A55)&gt;=6,MONTH(A55)&lt;=8,OR($O$37="REGION 2",$O$37="REGION 2A",$O$37="REGION 2B",$O$37="REGION 3",$O$37="REGION 3A",$O$37="REGION 3B",$O$37="REGION 3C",$O$37="REGION 4",$O$37="REGION 4B",$O$37="REGION 4C",$O$37="REGION 5",$O$37="REGION 5A")),((0.059228/(B55/100))-(0.4980013/(SQRT(B55/100)))+2.137988),HLOOKUP(MONTH(A55),ScalarTable,28))),1))</f>
        <v>1</v>
      </c>
      <c r="F55" s="439" t="n">
        <f aca="false">IF(A55="N/A"," ",B55*E55)</f>
        <v>33.6357170104981</v>
      </c>
      <c r="G55" s="439" t="n">
        <f aca="false">IF(A55="N/A"," ",C55*E55)</f>
        <v>36.2699966430664</v>
      </c>
      <c r="H55" s="440" t="n">
        <f aca="false">IF(A55="N/A"," ",D55*E55)</f>
        <v>25.7699966430664</v>
      </c>
      <c r="I55" s="402" t="n">
        <f aca="false">IF(A55="N/A"," ",2-E55)</f>
        <v>1</v>
      </c>
      <c r="J55" s="439" t="n">
        <f aca="false">IF(A55="N/A"," ",B55*I55)</f>
        <v>33.6357170104981</v>
      </c>
      <c r="K55" s="439" t="n">
        <f aca="false">IF(A55="N/A"," ",C55*I55)</f>
        <v>36.2699966430664</v>
      </c>
      <c r="L55" s="440" t="n">
        <f aca="false">IF(A55="N/A"," ",D55*I55)</f>
        <v>25.7699966430664</v>
      </c>
      <c r="M55" s="441" t="n">
        <f aca="false">IF(A55="N/A"," ",IF(ISERROR(S55),M43*Pwresc,S55))</f>
        <v>21.8899993896484</v>
      </c>
      <c r="N55" s="442" t="e">
        <f aca="false">IF(A55="N/A"," ",SUM(T55:X55))</f>
        <v>#N/A</v>
      </c>
      <c r="O55" s="370"/>
      <c r="P55" s="436" t="n">
        <f aca="false">IF(A55="N/A"," ",VLOOKUP(A55,PeakPowerCurves,(IF(BMO=2,3,IF(BMO=1,2,4))),FALSE())+Inputs!N38)</f>
        <v>33.6357170104981</v>
      </c>
      <c r="Q55" s="436" t="n">
        <f aca="false">IF(A55="N/A"," ",VLOOKUP(A55,SatSunPeakPwr,(IF(BMO=2,3,IF(BMO=1,2,4))),FALSE())+Inputs!$N$23)</f>
        <v>36.2699966430664</v>
      </c>
      <c r="R55" s="436" t="n">
        <f aca="false">IF(A55="N/A"," ",VLOOKUP(A55,SatSunPeakPwr,(IF(BMO=2,7,IF(BMO=1,6,8))),FALSE())+Inputs!$N$23)</f>
        <v>25.7699966430664</v>
      </c>
      <c r="S55" s="443" t="n">
        <f aca="false">IF(A55="N/A"," ",(VLOOKUP(A55,OPPowerPrices,(IF(BMO=2,7,IF(BMO=1,6,8))),FALSE())+Inputs!$N$23))</f>
        <v>21.8899993896484</v>
      </c>
      <c r="T55" s="444" t="e">
        <f aca="false">IF(A55="N/A"," ",(VLOOKUP(A55,GasCurves,9,FALSE()))+IF(BMO=1,Gasbmo,IF(BMO=3,-Gasbmo,0)))</f>
        <v>#N/A</v>
      </c>
      <c r="U55" s="444" t="e">
        <f aca="false">IF(A55="N/A"," ",IF(Basischeck=TRUE(),(VLOOKUP(A55,GasCurves,IF(MONTH(A55)&gt;=4,IF(MONTH(A55)&lt;=10,11,12),12),FALSE())),0))</f>
        <v>#N/A</v>
      </c>
      <c r="V55" s="444" t="e">
        <f aca="false">IF(A55="N/A"," ",IF(Indexcheck=TRUE(),(IF(MONTH(A55)&gt;=4,IF(MONTH(A55)&lt;=10,VLOOKUP(A55,'Gas Curves'!B33:O393,13),VLOOKUP(A55,'Gas Curves'!B33:O393,14)),VLOOKUP(A55,'Gas Curves'!B33:O393,14))),0))</f>
        <v>#N/A</v>
      </c>
      <c r="W55" s="444" t="e">
        <f aca="false">IF(A55="N/A"," ",((SUM(T55:V55))/(1-Inputs!$S$11)-(SUM(T55:V55))))</f>
        <v>#N/A</v>
      </c>
      <c r="X55" s="444" t="n">
        <f aca="false">IF(A55="N/A"," ",(IF(MONTH(A55)&gt;=4,IF(MONTH(A55)&lt;=10,Inputs!$S$9,Inputs!$S$10),Inputs!$S$10)))</f>
        <v>0</v>
      </c>
      <c r="Y55" s="445" t="n">
        <f aca="false">IF(A55="N/A"," ",(VLOOKUP($A55,InterestRatesTable,2)))</f>
        <v>2</v>
      </c>
      <c r="AF55" s="386" t="n">
        <v>38108</v>
      </c>
      <c r="AG55" s="376" t="n">
        <v>20</v>
      </c>
      <c r="AH55" s="376" t="n">
        <v>5</v>
      </c>
      <c r="AI55" s="376" t="n">
        <v>6</v>
      </c>
      <c r="AJ55" s="376" t="n">
        <v>1</v>
      </c>
      <c r="AK55" s="376" t="n">
        <v>31</v>
      </c>
    </row>
    <row r="56" customFormat="false" ht="12.75" hidden="false" customHeight="false" outlineLevel="0" collapsed="false">
      <c r="A56" s="434" t="n">
        <f aca="false">Calculations!A21</f>
        <v>37653</v>
      </c>
      <c r="B56" s="435" t="n">
        <f aca="false">IF(A56="N/A"," ",IF(ISERROR(P56),B44*Pwresc,P56)*VLOOKUP(MONTH(A56),Curveadj,3))</f>
        <v>33.0357147216797</v>
      </c>
      <c r="C56" s="436" t="n">
        <f aca="false">IF(A56="N/A"," ",IF(ISERROR(Q56),C44*Pwresc,Q56)*VLOOKUP(MONTH(A56),Curveadj,3))</f>
        <v>31.765998840332</v>
      </c>
      <c r="D56" s="437" t="n">
        <f aca="false">IF(A56="N/A"," ",IF(ISERROR(R56),D44*Pwresc,R56)*VLOOKUP(MONTH(A56),Curveadj,3))</f>
        <v>23.2664985656738</v>
      </c>
      <c r="E56" s="438" t="n">
        <f aca="false">IF(A56="N/A"," ",IF(Scalers=1,(IF(AND(Dynamic=1,MONTH(A56)&gt;=6,MONTH(A56)&lt;=8,OR($O$37="REGION 2",$O$37="REGION 2A",$O$37="REGION 2B",$O$37="REGION 3",$O$37="REGION 3A",$O$37="REGION 3B",$O$37="REGION 3C",$O$37="REGION 4",$O$37="REGION 4B",$O$37="REGION 4C",$O$37="REGION 5",$O$37="REGION 5A")),((0.059228/(B56/100))-(0.4980013/(SQRT(B56/100)))+2.137988),HLOOKUP(MONTH(A56),ScalarTable,28))),1))</f>
        <v>1</v>
      </c>
      <c r="F56" s="439" t="n">
        <f aca="false">IF(A56="N/A"," ",B56*E56)</f>
        <v>33.0357147216797</v>
      </c>
      <c r="G56" s="439" t="n">
        <f aca="false">IF(A56="N/A"," ",C56*E56)</f>
        <v>31.765998840332</v>
      </c>
      <c r="H56" s="440" t="n">
        <f aca="false">IF(A56="N/A"," ",D56*E56)</f>
        <v>23.2664985656738</v>
      </c>
      <c r="I56" s="402" t="n">
        <f aca="false">IF(A56="N/A"," ",2-E56)</f>
        <v>1</v>
      </c>
      <c r="J56" s="439" t="n">
        <f aca="false">IF(A56="N/A"," ",B56*I56)</f>
        <v>33.0357147216797</v>
      </c>
      <c r="K56" s="439" t="n">
        <f aca="false">IF(A56="N/A"," ",C56*I56)</f>
        <v>31.765998840332</v>
      </c>
      <c r="L56" s="440" t="n">
        <f aca="false">IF(A56="N/A"," ",D56*I56)</f>
        <v>23.2664985656738</v>
      </c>
      <c r="M56" s="441" t="n">
        <f aca="false">IF(A56="N/A"," ",IF(ISERROR(S56),M44*Pwresc,S56))</f>
        <v>20.3899993896484</v>
      </c>
      <c r="N56" s="442" t="e">
        <f aca="false">IF(A56="N/A"," ",SUM(T56:X56))</f>
        <v>#N/A</v>
      </c>
      <c r="O56" s="370"/>
      <c r="P56" s="436" t="n">
        <f aca="false">IF(A56="N/A"," ",VLOOKUP(A56,PeakPowerCurves,(IF(BMO=2,3,IF(BMO=1,2,4))),FALSE())+Inputs!N39)</f>
        <v>33.0357147216797</v>
      </c>
      <c r="Q56" s="436" t="n">
        <f aca="false">IF(A56="N/A"," ",VLOOKUP(A56,SatSunPeakPwr,(IF(BMO=2,3,IF(BMO=1,2,4))),FALSE())+Inputs!$N$23)</f>
        <v>31.765998840332</v>
      </c>
      <c r="R56" s="436" t="n">
        <f aca="false">IF(A56="N/A"," ",VLOOKUP(A56,SatSunPeakPwr,(IF(BMO=2,7,IF(BMO=1,6,8))),FALSE())+Inputs!$N$23)</f>
        <v>23.2664985656738</v>
      </c>
      <c r="S56" s="443" t="n">
        <f aca="false">IF(A56="N/A"," ",(VLOOKUP(A56,OPPowerPrices,(IF(BMO=2,7,IF(BMO=1,6,8))),FALSE())+Inputs!$N$23))</f>
        <v>20.3899993896484</v>
      </c>
      <c r="T56" s="444" t="e">
        <f aca="false">IF(A56="N/A"," ",(VLOOKUP(A56,GasCurves,9,FALSE()))+IF(BMO=1,Gasbmo,IF(BMO=3,-Gasbmo,0)))</f>
        <v>#N/A</v>
      </c>
      <c r="U56" s="444" t="e">
        <f aca="false">IF(A56="N/A"," ",IF(Basischeck=TRUE(),(VLOOKUP(A56,GasCurves,IF(MONTH(A56)&gt;=4,IF(MONTH(A56)&lt;=10,11,12),12),FALSE())),0))</f>
        <v>#N/A</v>
      </c>
      <c r="V56" s="444" t="e">
        <f aca="false">IF(A56="N/A"," ",IF(Indexcheck=TRUE(),(IF(MONTH(A56)&gt;=4,IF(MONTH(A56)&lt;=10,VLOOKUP(A56,'Gas Curves'!B34:O394,13),VLOOKUP(A56,'Gas Curves'!B34:O394,14)),VLOOKUP(A56,'Gas Curves'!B34:O394,14))),0))</f>
        <v>#N/A</v>
      </c>
      <c r="W56" s="444" t="e">
        <f aca="false">IF(A56="N/A"," ",((SUM(T56:V56))/(1-Inputs!$S$11)-(SUM(T56:V56))))</f>
        <v>#N/A</v>
      </c>
      <c r="X56" s="444" t="n">
        <f aca="false">IF(A56="N/A"," ",(IF(MONTH(A56)&gt;=4,IF(MONTH(A56)&lt;=10,Inputs!$S$9,Inputs!$S$10),Inputs!$S$10)))</f>
        <v>0</v>
      </c>
      <c r="Y56" s="445" t="n">
        <f aca="false">IF(A56="N/A"," ",(VLOOKUP($A56,InterestRatesTable,2)))</f>
        <v>2</v>
      </c>
      <c r="AF56" s="386" t="n">
        <v>38139</v>
      </c>
      <c r="AG56" s="376" t="n">
        <v>22</v>
      </c>
      <c r="AH56" s="376" t="n">
        <v>4</v>
      </c>
      <c r="AI56" s="376" t="n">
        <v>4</v>
      </c>
      <c r="AJ56" s="376" t="n">
        <v>0</v>
      </c>
      <c r="AK56" s="376" t="n">
        <v>30</v>
      </c>
    </row>
    <row r="57" customFormat="false" ht="12.75" hidden="false" customHeight="false" outlineLevel="0" collapsed="false">
      <c r="A57" s="434" t="n">
        <f aca="false">Calculations!A22</f>
        <v>37681</v>
      </c>
      <c r="B57" s="435" t="n">
        <f aca="false">IF(A57="N/A"," ",IF(ISERROR(P57),B45*Pwresc,P57)*VLOOKUP(MONTH(A57),Curveadj,3))</f>
        <v>32.1976783752441</v>
      </c>
      <c r="C57" s="436" t="n">
        <f aca="false">IF(A57="N/A"," ",IF(ISERROR(Q57),C45*Pwresc,Q57)*VLOOKUP(MONTH(A57),Curveadj,3))</f>
        <v>26.0199966430664</v>
      </c>
      <c r="D57" s="437" t="n">
        <f aca="false">IF(A57="N/A"," ",IF(ISERROR(R57),D45*Pwresc,R57)*VLOOKUP(MONTH(A57),Curveadj,3))</f>
        <v>20.5199966430664</v>
      </c>
      <c r="E57" s="438" t="n">
        <f aca="false">IF(A57="N/A"," ",IF(Scalers=1,(IF(AND(Dynamic=1,MONTH(A57)&gt;=6,MONTH(A57)&lt;=8,OR($O$37="REGION 2",$O$37="REGION 2A",$O$37="REGION 2B",$O$37="REGION 3",$O$37="REGION 3A",$O$37="REGION 3B",$O$37="REGION 3C",$O$37="REGION 4",$O$37="REGION 4B",$O$37="REGION 4C",$O$37="REGION 5",$O$37="REGION 5A")),((0.059228/(B57/100))-(0.4980013/(SQRT(B57/100)))+2.137988),HLOOKUP(MONTH(A57),ScalarTable,28))),1))</f>
        <v>1</v>
      </c>
      <c r="F57" s="439" t="n">
        <f aca="false">IF(A57="N/A"," ",B57*E57)</f>
        <v>32.1976783752441</v>
      </c>
      <c r="G57" s="439" t="n">
        <f aca="false">IF(A57="N/A"," ",C57*E57)</f>
        <v>26.0199966430664</v>
      </c>
      <c r="H57" s="440" t="n">
        <f aca="false">IF(A57="N/A"," ",D57*E57)</f>
        <v>20.5199966430664</v>
      </c>
      <c r="I57" s="402" t="n">
        <f aca="false">IF(A57="N/A"," ",2-E57)</f>
        <v>1</v>
      </c>
      <c r="J57" s="439" t="n">
        <f aca="false">IF(A57="N/A"," ",B57*I57)</f>
        <v>32.1976783752441</v>
      </c>
      <c r="K57" s="439" t="n">
        <f aca="false">IF(A57="N/A"," ",C57*I57)</f>
        <v>26.0199966430664</v>
      </c>
      <c r="L57" s="440" t="n">
        <f aca="false">IF(A57="N/A"," ",D57*I57)</f>
        <v>20.5199966430664</v>
      </c>
      <c r="M57" s="441" t="n">
        <f aca="false">IF(A57="N/A"," ",IF(ISERROR(S57),M45*Pwresc,S57))</f>
        <v>21.3899993896484</v>
      </c>
      <c r="N57" s="442" t="e">
        <f aca="false">IF(A57="N/A"," ",SUM(T57:X57))</f>
        <v>#N/A</v>
      </c>
      <c r="O57" s="370"/>
      <c r="P57" s="436" t="n">
        <f aca="false">IF(A57="N/A"," ",VLOOKUP(A57,PeakPowerCurves,(IF(BMO=2,3,IF(BMO=1,2,4))),FALSE())+Inputs!N40)</f>
        <v>32.1976783752441</v>
      </c>
      <c r="Q57" s="436" t="n">
        <f aca="false">IF(A57="N/A"," ",VLOOKUP(A57,SatSunPeakPwr,(IF(BMO=2,3,IF(BMO=1,2,4))),FALSE())+Inputs!$N$23)</f>
        <v>26.0199966430664</v>
      </c>
      <c r="R57" s="436" t="n">
        <f aca="false">IF(A57="N/A"," ",VLOOKUP(A57,SatSunPeakPwr,(IF(BMO=2,7,IF(BMO=1,6,8))),FALSE())+Inputs!$N$23)</f>
        <v>20.5199966430664</v>
      </c>
      <c r="S57" s="443" t="n">
        <f aca="false">IF(A57="N/A"," ",(VLOOKUP(A57,OPPowerPrices,(IF(BMO=2,7,IF(BMO=1,6,8))),FALSE())+Inputs!$N$23))</f>
        <v>21.3899993896484</v>
      </c>
      <c r="T57" s="444" t="e">
        <f aca="false">IF(A57="N/A"," ",(VLOOKUP(A57,GasCurves,9,FALSE()))+IF(BMO=1,Gasbmo,IF(BMO=3,-Gasbmo,0)))</f>
        <v>#N/A</v>
      </c>
      <c r="U57" s="444" t="e">
        <f aca="false">IF(A57="N/A"," ",IF(Basischeck=TRUE(),(VLOOKUP(A57,GasCurves,IF(MONTH(A57)&gt;=4,IF(MONTH(A57)&lt;=10,11,12),12),FALSE())),0))</f>
        <v>#N/A</v>
      </c>
      <c r="V57" s="444" t="e">
        <f aca="false">IF(A57="N/A"," ",IF(Indexcheck=TRUE(),(IF(MONTH(A57)&gt;=4,IF(MONTH(A57)&lt;=10,VLOOKUP(A57,'Gas Curves'!B35:O395,13),VLOOKUP(A57,'Gas Curves'!B35:O395,14)),VLOOKUP(A57,'Gas Curves'!B35:O395,14))),0))</f>
        <v>#N/A</v>
      </c>
      <c r="W57" s="444" t="e">
        <f aca="false">IF(A57="N/A"," ",((SUM(T57:V57))/(1-Inputs!$S$11)-(SUM(T57:V57))))</f>
        <v>#N/A</v>
      </c>
      <c r="X57" s="444" t="n">
        <f aca="false">IF(A57="N/A"," ",(IF(MONTH(A57)&gt;=4,IF(MONTH(A57)&lt;=10,Inputs!$S$9,Inputs!$S$10),Inputs!$S$10)))</f>
        <v>0</v>
      </c>
      <c r="Y57" s="445" t="n">
        <f aca="false">IF(A57="N/A"," ",(VLOOKUP($A57,InterestRatesTable,2)))</f>
        <v>2</v>
      </c>
      <c r="AF57" s="386" t="n">
        <v>38169</v>
      </c>
      <c r="AG57" s="376" t="n">
        <v>21</v>
      </c>
      <c r="AH57" s="376" t="n">
        <v>5</v>
      </c>
      <c r="AI57" s="376" t="n">
        <v>5</v>
      </c>
      <c r="AJ57" s="376" t="n">
        <v>1</v>
      </c>
      <c r="AK57" s="376" t="n">
        <v>31</v>
      </c>
    </row>
    <row r="58" customFormat="false" ht="12.75" hidden="false" customHeight="false" outlineLevel="0" collapsed="false">
      <c r="A58" s="434" t="n">
        <f aca="false">Calculations!A23</f>
        <v>37712</v>
      </c>
      <c r="B58" s="435" t="n">
        <f aca="false">IF(A58="N/A"," ",IF(ISERROR(P58),B46*Pwresc,P58)*VLOOKUP(MONTH(A58),Curveadj,3))</f>
        <v>32.8976715087891</v>
      </c>
      <c r="C58" s="436" t="n">
        <f aca="false">IF(A58="N/A"," ",IF(ISERROR(Q58),C46*Pwresc,Q58)*VLOOKUP(MONTH(A58),Curveadj,3))</f>
        <v>22.5199966430664</v>
      </c>
      <c r="D58" s="437" t="n">
        <f aca="false">IF(A58="N/A"," ",IF(ISERROR(R58),D46*Pwresc,R58)*VLOOKUP(MONTH(A58),Curveadj,3))</f>
        <v>17.0149993896484</v>
      </c>
      <c r="E58" s="438" t="n">
        <f aca="false">IF(A58="N/A"," ",IF(Scalers=1,(IF(AND(Dynamic=1,MONTH(A58)&gt;=6,MONTH(A58)&lt;=8,OR($O$37="REGION 2",$O$37="REGION 2A",$O$37="REGION 2B",$O$37="REGION 3",$O$37="REGION 3A",$O$37="REGION 3B",$O$37="REGION 3C",$O$37="REGION 4",$O$37="REGION 4B",$O$37="REGION 4C",$O$37="REGION 5",$O$37="REGION 5A")),((0.059228/(B58/100))-(0.4980013/(SQRT(B58/100)))+2.137988),HLOOKUP(MONTH(A58),ScalarTable,28))),1))</f>
        <v>1</v>
      </c>
      <c r="F58" s="439" t="n">
        <f aca="false">IF(A58="N/A"," ",B58*E58)</f>
        <v>32.8976715087891</v>
      </c>
      <c r="G58" s="439" t="n">
        <f aca="false">IF(A58="N/A"," ",C58*E58)</f>
        <v>22.5199966430664</v>
      </c>
      <c r="H58" s="440" t="n">
        <f aca="false">IF(A58="N/A"," ",D58*E58)</f>
        <v>17.0149993896484</v>
      </c>
      <c r="I58" s="402" t="n">
        <f aca="false">IF(A58="N/A"," ",2-E58)</f>
        <v>1</v>
      </c>
      <c r="J58" s="439" t="n">
        <f aca="false">IF(A58="N/A"," ",B58*I58)</f>
        <v>32.8976715087891</v>
      </c>
      <c r="K58" s="439" t="n">
        <f aca="false">IF(A58="N/A"," ",C58*I58)</f>
        <v>22.5199966430664</v>
      </c>
      <c r="L58" s="440" t="n">
        <f aca="false">IF(A58="N/A"," ",D58*I58)</f>
        <v>17.0149993896484</v>
      </c>
      <c r="M58" s="441" t="n">
        <f aca="false">IF(A58="N/A"," ",IF(ISERROR(S58),M46*Pwresc,S58))</f>
        <v>18.3899993896484</v>
      </c>
      <c r="N58" s="442" t="e">
        <f aca="false">IF(A58="N/A"," ",SUM(T58:X58))</f>
        <v>#N/A</v>
      </c>
      <c r="O58" s="370"/>
      <c r="P58" s="436" t="n">
        <f aca="false">IF(A58="N/A"," ",VLOOKUP(A58,PeakPowerCurves,(IF(BMO=2,3,IF(BMO=1,2,4))),FALSE())+Inputs!N41)</f>
        <v>32.8976715087891</v>
      </c>
      <c r="Q58" s="436" t="n">
        <f aca="false">IF(A58="N/A"," ",VLOOKUP(A58,SatSunPeakPwr,(IF(BMO=2,3,IF(BMO=1,2,4))),FALSE())+Inputs!$N$23)</f>
        <v>22.5199966430664</v>
      </c>
      <c r="R58" s="436" t="n">
        <f aca="false">IF(A58="N/A"," ",VLOOKUP(A58,SatSunPeakPwr,(IF(BMO=2,7,IF(BMO=1,6,8))),FALSE())+Inputs!$N$23)</f>
        <v>17.0149993896484</v>
      </c>
      <c r="S58" s="443" t="n">
        <f aca="false">IF(A58="N/A"," ",(VLOOKUP(A58,OPPowerPrices,(IF(BMO=2,7,IF(BMO=1,6,8))),FALSE())+Inputs!$N$23))</f>
        <v>18.3899993896484</v>
      </c>
      <c r="T58" s="444" t="e">
        <f aca="false">IF(A58="N/A"," ",(VLOOKUP(A58,GasCurves,9,FALSE()))+IF(BMO=1,Gasbmo,IF(BMO=3,-Gasbmo,0)))</f>
        <v>#N/A</v>
      </c>
      <c r="U58" s="444" t="e">
        <f aca="false">IF(A58="N/A"," ",IF(Basischeck=TRUE(),(VLOOKUP(A58,GasCurves,IF(MONTH(A58)&gt;=4,IF(MONTH(A58)&lt;=10,11,12),12),FALSE())),0))</f>
        <v>#N/A</v>
      </c>
      <c r="V58" s="444" t="e">
        <f aca="false">IF(A58="N/A"," ",IF(Indexcheck=TRUE(),(IF(MONTH(A58)&gt;=4,IF(MONTH(A58)&lt;=10,VLOOKUP(A58,'Gas Curves'!B36:O396,13),VLOOKUP(A58,'Gas Curves'!B36:O396,14)),VLOOKUP(A58,'Gas Curves'!B36:O396,14))),0))</f>
        <v>#N/A</v>
      </c>
      <c r="W58" s="444" t="e">
        <f aca="false">IF(A58="N/A"," ",((SUM(T58:V58))/(1-Inputs!$S$11)-(SUM(T58:V58))))</f>
        <v>#N/A</v>
      </c>
      <c r="X58" s="444" t="n">
        <f aca="false">IF(A58="N/A"," ",(IF(MONTH(A58)&gt;=4,IF(MONTH(A58)&lt;=10,Inputs!$S$9,Inputs!$S$10),Inputs!$S$10)))</f>
        <v>0</v>
      </c>
      <c r="Y58" s="445" t="n">
        <f aca="false">IF(A58="N/A"," ",(VLOOKUP($A58,InterestRatesTable,2)))</f>
        <v>2</v>
      </c>
      <c r="AF58" s="386" t="n">
        <v>38200</v>
      </c>
      <c r="AG58" s="376" t="n">
        <v>22</v>
      </c>
      <c r="AH58" s="376" t="n">
        <v>4</v>
      </c>
      <c r="AI58" s="376" t="n">
        <v>5</v>
      </c>
      <c r="AJ58" s="376" t="n">
        <v>0</v>
      </c>
      <c r="AK58" s="376" t="n">
        <v>31</v>
      </c>
    </row>
    <row r="59" customFormat="false" ht="12.75" hidden="false" customHeight="false" outlineLevel="0" collapsed="false">
      <c r="A59" s="434" t="n">
        <f aca="false">Calculations!A24</f>
        <v>37742</v>
      </c>
      <c r="B59" s="435" t="n">
        <f aca="false">IF(A59="N/A"," ",IF(ISERROR(P59),B47*Pwresc,P59)*VLOOKUP(MONTH(A59),Curveadj,3))</f>
        <v>36.175</v>
      </c>
      <c r="C59" s="436" t="n">
        <f aca="false">IF(A59="N/A"," ",IF(ISERROR(Q59),C47*Pwresc,Q59)*VLOOKUP(MONTH(A59),Curveadj,3))</f>
        <v>22.8399982452393</v>
      </c>
      <c r="D59" s="437" t="n">
        <f aca="false">IF(A59="N/A"," ",IF(ISERROR(R59),D47*Pwresc,R59)*VLOOKUP(MONTH(A59),Curveadj,3))</f>
        <v>16.3450012207031</v>
      </c>
      <c r="E59" s="438" t="n">
        <f aca="false">IF(A59="N/A"," ",IF(Scalers=1,(IF(AND(Dynamic=1,MONTH(A59)&gt;=6,MONTH(A59)&lt;=8,OR($O$37="REGION 2",$O$37="REGION 2A",$O$37="REGION 2B",$O$37="REGION 3",$O$37="REGION 3A",$O$37="REGION 3B",$O$37="REGION 3C",$O$37="REGION 4",$O$37="REGION 4B",$O$37="REGION 4C",$O$37="REGION 5",$O$37="REGION 5A")),((0.059228/(B59/100))-(0.4980013/(SQRT(B59/100)))+2.137988),HLOOKUP(MONTH(A59),ScalarTable,28))),1))</f>
        <v>1</v>
      </c>
      <c r="F59" s="439" t="n">
        <f aca="false">IF(A59="N/A"," ",B59*E59)</f>
        <v>36.175</v>
      </c>
      <c r="G59" s="439" t="n">
        <f aca="false">IF(A59="N/A"," ",C59*E59)</f>
        <v>22.8399982452393</v>
      </c>
      <c r="H59" s="440" t="n">
        <f aca="false">IF(A59="N/A"," ",D59*E59)</f>
        <v>16.3450012207031</v>
      </c>
      <c r="I59" s="402" t="n">
        <f aca="false">IF(A59="N/A"," ",2-E59)</f>
        <v>1</v>
      </c>
      <c r="J59" s="439" t="n">
        <f aca="false">IF(A59="N/A"," ",B59*I59)</f>
        <v>36.175</v>
      </c>
      <c r="K59" s="439" t="n">
        <f aca="false">IF(A59="N/A"," ",C59*I59)</f>
        <v>22.8399982452393</v>
      </c>
      <c r="L59" s="440" t="n">
        <f aca="false">IF(A59="N/A"," ",D59*I59)</f>
        <v>16.3450012207031</v>
      </c>
      <c r="M59" s="441" t="n">
        <f aca="false">IF(A59="N/A"," ",IF(ISERROR(S59),M47*Pwresc,S59))</f>
        <v>18.9300003051758</v>
      </c>
      <c r="N59" s="442" t="e">
        <f aca="false">IF(A59="N/A"," ",SUM(T59:X59))</f>
        <v>#N/A</v>
      </c>
      <c r="O59" s="370"/>
      <c r="P59" s="436" t="n">
        <f aca="false">IF(A59="N/A"," ",VLOOKUP(A59,PeakPowerCurves,(IF(BMO=2,3,IF(BMO=1,2,4))),FALSE())+Inputs!N42)</f>
        <v>36.175</v>
      </c>
      <c r="Q59" s="436" t="n">
        <f aca="false">IF(A59="N/A"," ",VLOOKUP(A59,SatSunPeakPwr,(IF(BMO=2,3,IF(BMO=1,2,4))),FALSE())+Inputs!$N$23)</f>
        <v>22.8399982452393</v>
      </c>
      <c r="R59" s="436" t="n">
        <f aca="false">IF(A59="N/A"," ",VLOOKUP(A59,SatSunPeakPwr,(IF(BMO=2,7,IF(BMO=1,6,8))),FALSE())+Inputs!$N$23)</f>
        <v>16.3450012207031</v>
      </c>
      <c r="S59" s="443" t="n">
        <f aca="false">IF(A59="N/A"," ",(VLOOKUP(A59,OPPowerPrices,(IF(BMO=2,7,IF(BMO=1,6,8))),FALSE())+Inputs!$N$23))</f>
        <v>18.9300003051758</v>
      </c>
      <c r="T59" s="444" t="e">
        <f aca="false">IF(A59="N/A"," ",(VLOOKUP(A59,GasCurves,9,FALSE()))+IF(BMO=1,Gasbmo,IF(BMO=3,-Gasbmo,0)))</f>
        <v>#N/A</v>
      </c>
      <c r="U59" s="444" t="e">
        <f aca="false">IF(A59="N/A"," ",IF(Basischeck=TRUE(),(VLOOKUP(A59,GasCurves,IF(MONTH(A59)&gt;=4,IF(MONTH(A59)&lt;=10,11,12),12),FALSE())),0))</f>
        <v>#N/A</v>
      </c>
      <c r="V59" s="444" t="e">
        <f aca="false">IF(A59="N/A"," ",IF(Indexcheck=TRUE(),(IF(MONTH(A59)&gt;=4,IF(MONTH(A59)&lt;=10,VLOOKUP(A59,'Gas Curves'!B37:O397,13),VLOOKUP(A59,'Gas Curves'!B37:O397,14)),VLOOKUP(A59,'Gas Curves'!B37:O397,14))),0))</f>
        <v>#N/A</v>
      </c>
      <c r="W59" s="444" t="e">
        <f aca="false">IF(A59="N/A"," ",((SUM(T59:V59))/(1-Inputs!$S$11)-(SUM(T59:V59))))</f>
        <v>#N/A</v>
      </c>
      <c r="X59" s="444" t="n">
        <f aca="false">IF(A59="N/A"," ",(IF(MONTH(A59)&gt;=4,IF(MONTH(A59)&lt;=10,Inputs!$S$9,Inputs!$S$10),Inputs!$S$10)))</f>
        <v>0</v>
      </c>
      <c r="Y59" s="445" t="n">
        <f aca="false">IF(A59="N/A"," ",(VLOOKUP($A59,InterestRatesTable,2)))</f>
        <v>2</v>
      </c>
      <c r="AF59" s="386" t="n">
        <v>38231</v>
      </c>
      <c r="AG59" s="376" t="n">
        <v>21</v>
      </c>
      <c r="AH59" s="376" t="n">
        <v>4</v>
      </c>
      <c r="AI59" s="376" t="n">
        <v>5</v>
      </c>
      <c r="AJ59" s="376" t="n">
        <v>1</v>
      </c>
      <c r="AK59" s="376" t="n">
        <v>30</v>
      </c>
    </row>
    <row r="60" customFormat="false" ht="12.75" hidden="false" customHeight="false" outlineLevel="0" collapsed="false">
      <c r="A60" s="434" t="n">
        <f aca="false">Calculations!A25</f>
        <v>37773</v>
      </c>
      <c r="B60" s="435" t="n">
        <f aca="false">IF(A60="N/A"," ",IF(ISERROR(P60),B48*Pwresc,P60)*VLOOKUP(MONTH(A60),Curveadj,3))</f>
        <v>47</v>
      </c>
      <c r="C60" s="436" t="n">
        <f aca="false">IF(A60="N/A"," ",IF(ISERROR(Q60),C48*Pwresc,Q60)*VLOOKUP(MONTH(A60),Curveadj,3))</f>
        <v>29.8399982452393</v>
      </c>
      <c r="D60" s="437" t="n">
        <f aca="false">IF(A60="N/A"," ",IF(ISERROR(R60),D48*Pwresc,R60)*VLOOKUP(MONTH(A60),Curveadj,3))</f>
        <v>20.3399982452393</v>
      </c>
      <c r="E60" s="438" t="n">
        <f aca="false">IF(A60="N/A"," ",IF(Scalers=1,(IF(AND(Dynamic=1,MONTH(A60)&gt;=6,MONTH(A60)&lt;=8,OR($O$37="REGION 2",$O$37="REGION 2A",$O$37="REGION 2B",$O$37="REGION 3",$O$37="REGION 3A",$O$37="REGION 3B",$O$37="REGION 3C",$O$37="REGION 4",$O$37="REGION 4B",$O$37="REGION 4C",$O$37="REGION 5",$O$37="REGION 5A")),((0.059228/(B60/100))-(0.4980013/(SQRT(B60/100)))+2.137988),HLOOKUP(MONTH(A60),ScalarTable,28))),1))</f>
        <v>1</v>
      </c>
      <c r="F60" s="439" t="n">
        <f aca="false">IF(A60="N/A"," ",B60*E60)</f>
        <v>47</v>
      </c>
      <c r="G60" s="439" t="n">
        <f aca="false">IF(A60="N/A"," ",C60*E60)</f>
        <v>29.8399982452393</v>
      </c>
      <c r="H60" s="440" t="n">
        <f aca="false">IF(A60="N/A"," ",D60*E60)</f>
        <v>20.3399982452393</v>
      </c>
      <c r="I60" s="402" t="n">
        <f aca="false">IF(A60="N/A"," ",2-E60)</f>
        <v>1</v>
      </c>
      <c r="J60" s="439" t="n">
        <f aca="false">IF(A60="N/A"," ",B60*I60)</f>
        <v>47</v>
      </c>
      <c r="K60" s="439" t="n">
        <f aca="false">IF(A60="N/A"," ",C60*I60)</f>
        <v>29.8399982452393</v>
      </c>
      <c r="L60" s="440" t="n">
        <f aca="false">IF(A60="N/A"," ",D60*I60)</f>
        <v>20.3399982452393</v>
      </c>
      <c r="M60" s="441" t="n">
        <f aca="false">IF(A60="N/A"," ",IF(ISERROR(S60),M48*Pwresc,S60))</f>
        <v>21.1800003051758</v>
      </c>
      <c r="N60" s="442" t="e">
        <f aca="false">IF(A60="N/A"," ",SUM(T60:X60))</f>
        <v>#N/A</v>
      </c>
      <c r="O60" s="370"/>
      <c r="P60" s="436" t="n">
        <f aca="false">IF(A60="N/A"," ",VLOOKUP(A60,PeakPowerCurves,(IF(BMO=2,3,IF(BMO=1,2,4))),FALSE())+Inputs!N43)</f>
        <v>47</v>
      </c>
      <c r="Q60" s="436" t="n">
        <f aca="false">IF(A60="N/A"," ",VLOOKUP(A60,SatSunPeakPwr,(IF(BMO=2,3,IF(BMO=1,2,4))),FALSE())+Inputs!$N$23)</f>
        <v>29.8399982452393</v>
      </c>
      <c r="R60" s="436" t="n">
        <f aca="false">IF(A60="N/A"," ",VLOOKUP(A60,SatSunPeakPwr,(IF(BMO=2,7,IF(BMO=1,6,8))),FALSE())+Inputs!$N$23)</f>
        <v>20.3399982452393</v>
      </c>
      <c r="S60" s="443" t="n">
        <f aca="false">IF(A60="N/A"," ",(VLOOKUP(A60,OPPowerPrices,(IF(BMO=2,7,IF(BMO=1,6,8))),FALSE())+Inputs!$N$23))</f>
        <v>21.1800003051758</v>
      </c>
      <c r="T60" s="444" t="e">
        <f aca="false">IF(A60="N/A"," ",(VLOOKUP(A60,GasCurves,9,FALSE()))+IF(BMO=1,Gasbmo,IF(BMO=3,-Gasbmo,0)))</f>
        <v>#N/A</v>
      </c>
      <c r="U60" s="444" t="e">
        <f aca="false">IF(A60="N/A"," ",IF(Basischeck=TRUE(),(VLOOKUP(A60,GasCurves,IF(MONTH(A60)&gt;=4,IF(MONTH(A60)&lt;=10,11,12),12),FALSE())),0))</f>
        <v>#N/A</v>
      </c>
      <c r="V60" s="444" t="e">
        <f aca="false">IF(A60="N/A"," ",IF(Indexcheck=TRUE(),(IF(MONTH(A60)&gt;=4,IF(MONTH(A60)&lt;=10,VLOOKUP(A60,'Gas Curves'!B38:O398,13),VLOOKUP(A60,'Gas Curves'!B38:O398,14)),VLOOKUP(A60,'Gas Curves'!B38:O398,14))),0))</f>
        <v>#N/A</v>
      </c>
      <c r="W60" s="444" t="e">
        <f aca="false">IF(A60="N/A"," ",((SUM(T60:V60))/(1-Inputs!$S$11)-(SUM(T60:V60))))</f>
        <v>#N/A</v>
      </c>
      <c r="X60" s="444" t="n">
        <f aca="false">IF(A60="N/A"," ",(IF(MONTH(A60)&gt;=4,IF(MONTH(A60)&lt;=10,Inputs!$S$9,Inputs!$S$10),Inputs!$S$10)))</f>
        <v>0</v>
      </c>
      <c r="Y60" s="445" t="n">
        <f aca="false">IF(A60="N/A"," ",(VLOOKUP($A60,InterestRatesTable,2)))</f>
        <v>2</v>
      </c>
      <c r="AF60" s="386" t="n">
        <v>38261</v>
      </c>
      <c r="AG60" s="376" t="n">
        <v>21</v>
      </c>
      <c r="AH60" s="376" t="n">
        <v>5</v>
      </c>
      <c r="AI60" s="376" t="n">
        <v>5</v>
      </c>
      <c r="AJ60" s="376" t="n">
        <v>0</v>
      </c>
      <c r="AK60" s="376" t="n">
        <v>31</v>
      </c>
    </row>
    <row r="61" customFormat="false" ht="12.75" hidden="false" customHeight="false" outlineLevel="0" collapsed="false">
      <c r="A61" s="434" t="n">
        <f aca="false">Calculations!A26</f>
        <v>37803</v>
      </c>
      <c r="B61" s="435" t="n">
        <f aca="false">IF(A61="N/A"," ",IF(ISERROR(P61),B49*Pwresc,P61)*VLOOKUP(MONTH(A61),Curveadj,3))</f>
        <v>58.25</v>
      </c>
      <c r="C61" s="436" t="n">
        <f aca="false">IF(A61="N/A"," ",IF(ISERROR(Q61),C49*Pwresc,Q61)*VLOOKUP(MONTH(A61),Curveadj,3))</f>
        <v>35.8400039672852</v>
      </c>
      <c r="D61" s="437" t="n">
        <f aca="false">IF(A61="N/A"," ",IF(ISERROR(R61),D49*Pwresc,R61)*VLOOKUP(MONTH(A61),Curveadj,3))</f>
        <v>26.3399982452393</v>
      </c>
      <c r="E61" s="438" t="n">
        <f aca="false">IF(A61="N/A"," ",IF(Scalers=1,(IF(AND(Dynamic=1,MONTH(A61)&gt;=6,MONTH(A61)&lt;=8,OR($O$37="REGION 2",$O$37="REGION 2A",$O$37="REGION 2B",$O$37="REGION 3",$O$37="REGION 3A",$O$37="REGION 3B",$O$37="REGION 3C",$O$37="REGION 4",$O$37="REGION 4B",$O$37="REGION 4C",$O$37="REGION 5",$O$37="REGION 5A")),((0.059228/(B61/100))-(0.4980013/(SQRT(B61/100)))+2.137988),HLOOKUP(MONTH(A61),ScalarTable,28))),1))</f>
        <v>1</v>
      </c>
      <c r="F61" s="439" t="n">
        <f aca="false">IF(A61="N/A"," ",B61*E61)</f>
        <v>58.25</v>
      </c>
      <c r="G61" s="439" t="n">
        <f aca="false">IF(A61="N/A"," ",C61*E61)</f>
        <v>35.8400039672852</v>
      </c>
      <c r="H61" s="440" t="n">
        <f aca="false">IF(A61="N/A"," ",D61*E61)</f>
        <v>26.3399982452393</v>
      </c>
      <c r="I61" s="402" t="n">
        <f aca="false">IF(A61="N/A"," ",2-E61)</f>
        <v>1</v>
      </c>
      <c r="J61" s="439" t="n">
        <f aca="false">IF(A61="N/A"," ",B61*I61)</f>
        <v>58.25</v>
      </c>
      <c r="K61" s="439" t="n">
        <f aca="false">IF(A61="N/A"," ",C61*I61)</f>
        <v>35.8400039672852</v>
      </c>
      <c r="L61" s="440" t="n">
        <f aca="false">IF(A61="N/A"," ",D61*I61)</f>
        <v>26.3399982452393</v>
      </c>
      <c r="M61" s="441" t="n">
        <f aca="false">IF(A61="N/A"," ",IF(ISERROR(S61),M49*Pwresc,S61))</f>
        <v>21.6800003051758</v>
      </c>
      <c r="N61" s="442" t="e">
        <f aca="false">IF(A61="N/A"," ",SUM(T61:X61))</f>
        <v>#N/A</v>
      </c>
      <c r="O61" s="370"/>
      <c r="P61" s="436" t="n">
        <f aca="false">IF(A61="N/A"," ",VLOOKUP(A61,PeakPowerCurves,(IF(BMO=2,3,IF(BMO=1,2,4))),FALSE())+Inputs!N44)</f>
        <v>58.25</v>
      </c>
      <c r="Q61" s="436" t="n">
        <f aca="false">IF(A61="N/A"," ",VLOOKUP(A61,SatSunPeakPwr,(IF(BMO=2,3,IF(BMO=1,2,4))),FALSE())+Inputs!$N$23)</f>
        <v>35.8400039672852</v>
      </c>
      <c r="R61" s="436" t="n">
        <f aca="false">IF(A61="N/A"," ",VLOOKUP(A61,SatSunPeakPwr,(IF(BMO=2,7,IF(BMO=1,6,8))),FALSE())+Inputs!$N$23)</f>
        <v>26.3399982452393</v>
      </c>
      <c r="S61" s="443" t="n">
        <f aca="false">IF(A61="N/A"," ",(VLOOKUP(A61,OPPowerPrices,(IF(BMO=2,7,IF(BMO=1,6,8))),FALSE())+Inputs!$N$23))</f>
        <v>21.6800003051758</v>
      </c>
      <c r="T61" s="444" t="e">
        <f aca="false">IF(A61="N/A"," ",(VLOOKUP(A61,GasCurves,9,FALSE()))+IF(BMO=1,Gasbmo,IF(BMO=3,-Gasbmo,0)))</f>
        <v>#N/A</v>
      </c>
      <c r="U61" s="444" t="e">
        <f aca="false">IF(A61="N/A"," ",IF(Basischeck=TRUE(),(VLOOKUP(A61,GasCurves,IF(MONTH(A61)&gt;=4,IF(MONTH(A61)&lt;=10,11,12),12),FALSE())),0))</f>
        <v>#N/A</v>
      </c>
      <c r="V61" s="444" t="e">
        <f aca="false">IF(A61="N/A"," ",IF(Indexcheck=TRUE(),(IF(MONTH(A61)&gt;=4,IF(MONTH(A61)&lt;=10,VLOOKUP(A61,'Gas Curves'!B39:O399,13),VLOOKUP(A61,'Gas Curves'!B39:O399,14)),VLOOKUP(A61,'Gas Curves'!B39:O399,14))),0))</f>
        <v>#N/A</v>
      </c>
      <c r="W61" s="444" t="e">
        <f aca="false">IF(A61="N/A"," ",((SUM(T61:V61))/(1-Inputs!$S$11)-(SUM(T61:V61))))</f>
        <v>#N/A</v>
      </c>
      <c r="X61" s="444" t="n">
        <f aca="false">IF(A61="N/A"," ",(IF(MONTH(A61)&gt;=4,IF(MONTH(A61)&lt;=10,Inputs!$S$9,Inputs!$S$10),Inputs!$S$10)))</f>
        <v>0</v>
      </c>
      <c r="Y61" s="445" t="n">
        <f aca="false">IF(A61="N/A"," ",(VLOOKUP($A61,InterestRatesTable,2)))</f>
        <v>2</v>
      </c>
      <c r="AF61" s="386" t="n">
        <v>38292</v>
      </c>
      <c r="AG61" s="376" t="n">
        <v>21</v>
      </c>
      <c r="AH61" s="376" t="n">
        <v>4</v>
      </c>
      <c r="AI61" s="376" t="n">
        <v>5</v>
      </c>
      <c r="AJ61" s="376" t="n">
        <v>1</v>
      </c>
      <c r="AK61" s="376" t="n">
        <v>30</v>
      </c>
    </row>
    <row r="62" customFormat="false" ht="12.75" hidden="false" customHeight="false" outlineLevel="0" collapsed="false">
      <c r="A62" s="434" t="n">
        <f aca="false">Calculations!A27</f>
        <v>37834</v>
      </c>
      <c r="B62" s="435" t="n">
        <f aca="false">IF(A62="N/A"," ",IF(ISERROR(P62),B50*Pwresc,P62)*VLOOKUP(MONTH(A62),Curveadj,3))</f>
        <v>58.25</v>
      </c>
      <c r="C62" s="436" t="n">
        <f aca="false">IF(A62="N/A"," ",IF(ISERROR(Q62),C50*Pwresc,Q62)*VLOOKUP(MONTH(A62),Curveadj,3))</f>
        <v>33.8400077819824</v>
      </c>
      <c r="D62" s="437" t="n">
        <f aca="false">IF(A62="N/A"," ",IF(ISERROR(R62),D50*Pwresc,R62)*VLOOKUP(MONTH(A62),Curveadj,3))</f>
        <v>26.3399982452393</v>
      </c>
      <c r="E62" s="438" t="n">
        <f aca="false">IF(A62="N/A"," ",IF(Scalers=1,(IF(AND(Dynamic=1,MONTH(A62)&gt;=6,MONTH(A62)&lt;=8,OR($O$37="REGION 2",$O$37="REGION 2A",$O$37="REGION 2B",$O$37="REGION 3",$O$37="REGION 3A",$O$37="REGION 3B",$O$37="REGION 3C",$O$37="REGION 4",$O$37="REGION 4B",$O$37="REGION 4C",$O$37="REGION 5",$O$37="REGION 5A")),((0.059228/(B62/100))-(0.4980013/(SQRT(B62/100)))+2.137988),HLOOKUP(MONTH(A62),ScalarTable,28))),1))</f>
        <v>1</v>
      </c>
      <c r="F62" s="439" t="n">
        <f aca="false">IF(A62="N/A"," ",B62*E62)</f>
        <v>58.25</v>
      </c>
      <c r="G62" s="439" t="n">
        <f aca="false">IF(A62="N/A"," ",C62*E62)</f>
        <v>33.8400077819824</v>
      </c>
      <c r="H62" s="440" t="n">
        <f aca="false">IF(A62="N/A"," ",D62*E62)</f>
        <v>26.3399982452393</v>
      </c>
      <c r="I62" s="402" t="n">
        <f aca="false">IF(A62="N/A"," ",2-E62)</f>
        <v>1</v>
      </c>
      <c r="J62" s="439" t="n">
        <f aca="false">IF(A62="N/A"," ",B62*I62)</f>
        <v>58.25</v>
      </c>
      <c r="K62" s="439" t="n">
        <f aca="false">IF(A62="N/A"," ",C62*I62)</f>
        <v>33.8400077819824</v>
      </c>
      <c r="L62" s="440" t="n">
        <f aca="false">IF(A62="N/A"," ",D62*I62)</f>
        <v>26.3399982452393</v>
      </c>
      <c r="M62" s="441" t="n">
        <f aca="false">IF(A62="N/A"," ",IF(ISERROR(S62),M50*Pwresc,S62))</f>
        <v>22.6800003051758</v>
      </c>
      <c r="N62" s="442" t="e">
        <f aca="false">IF(A62="N/A"," ",SUM(T62:X62))</f>
        <v>#N/A</v>
      </c>
      <c r="O62" s="370"/>
      <c r="P62" s="436" t="n">
        <f aca="false">IF(A62="N/A"," ",VLOOKUP(A62,PeakPowerCurves,(IF(BMO=2,3,IF(BMO=1,2,4))),FALSE())+Inputs!N45)</f>
        <v>58.25</v>
      </c>
      <c r="Q62" s="436" t="n">
        <f aca="false">IF(A62="N/A"," ",VLOOKUP(A62,SatSunPeakPwr,(IF(BMO=2,3,IF(BMO=1,2,4))),FALSE())+Inputs!$N$23)</f>
        <v>33.8400077819824</v>
      </c>
      <c r="R62" s="436" t="n">
        <f aca="false">IF(A62="N/A"," ",VLOOKUP(A62,SatSunPeakPwr,(IF(BMO=2,7,IF(BMO=1,6,8))),FALSE())+Inputs!$N$23)</f>
        <v>26.3399982452393</v>
      </c>
      <c r="S62" s="443" t="n">
        <f aca="false">IF(A62="N/A"," ",(VLOOKUP(A62,OPPowerPrices,(IF(BMO=2,7,IF(BMO=1,6,8))),FALSE())+Inputs!$N$23))</f>
        <v>22.6800003051758</v>
      </c>
      <c r="T62" s="444" t="e">
        <f aca="false">IF(A62="N/A"," ",(VLOOKUP(A62,GasCurves,9,FALSE()))+IF(BMO=1,Gasbmo,IF(BMO=3,-Gasbmo,0)))</f>
        <v>#N/A</v>
      </c>
      <c r="U62" s="444" t="e">
        <f aca="false">IF(A62="N/A"," ",IF(Basischeck=TRUE(),(VLOOKUP(A62,GasCurves,IF(MONTH(A62)&gt;=4,IF(MONTH(A62)&lt;=10,11,12),12),FALSE())),0))</f>
        <v>#N/A</v>
      </c>
      <c r="V62" s="444" t="e">
        <f aca="false">IF(A62="N/A"," ",IF(Indexcheck=TRUE(),(IF(MONTH(A62)&gt;=4,IF(MONTH(A62)&lt;=10,VLOOKUP(A62,'Gas Curves'!B40:O400,13),VLOOKUP(A62,'Gas Curves'!B40:O400,14)),VLOOKUP(A62,'Gas Curves'!B40:O400,14))),0))</f>
        <v>#N/A</v>
      </c>
      <c r="W62" s="444" t="e">
        <f aca="false">IF(A62="N/A"," ",((SUM(T62:V62))/(1-Inputs!$S$11)-(SUM(T62:V62))))</f>
        <v>#N/A</v>
      </c>
      <c r="X62" s="444" t="n">
        <f aca="false">IF(A62="N/A"," ",(IF(MONTH(A62)&gt;=4,IF(MONTH(A62)&lt;=10,Inputs!$S$9,Inputs!$S$10),Inputs!$S$10)))</f>
        <v>0</v>
      </c>
      <c r="Y62" s="445" t="n">
        <f aca="false">IF(A62="N/A"," ",(VLOOKUP($A62,InterestRatesTable,2)))</f>
        <v>2</v>
      </c>
      <c r="AF62" s="386" t="n">
        <v>38322</v>
      </c>
      <c r="AG62" s="376" t="n">
        <v>23</v>
      </c>
      <c r="AH62" s="376" t="n">
        <v>3</v>
      </c>
      <c r="AI62" s="376" t="n">
        <v>5</v>
      </c>
      <c r="AJ62" s="376" t="n">
        <v>1</v>
      </c>
      <c r="AK62" s="376" t="n">
        <v>31</v>
      </c>
    </row>
    <row r="63" customFormat="false" ht="12.75" hidden="false" customHeight="false" outlineLevel="0" collapsed="false">
      <c r="A63" s="434" t="n">
        <f aca="false">Calculations!A28</f>
        <v>37865</v>
      </c>
      <c r="B63" s="435" t="n">
        <f aca="false">IF(A63="N/A"," ",IF(ISERROR(P63),B51*Pwresc,P63)*VLOOKUP(MONTH(A63),Curveadj,3))</f>
        <v>32.1</v>
      </c>
      <c r="C63" s="436" t="n">
        <f aca="false">IF(A63="N/A"," ",IF(ISERROR(Q63),C51*Pwresc,Q63)*VLOOKUP(MONTH(A63),Curveadj,3))</f>
        <v>25.8399982452393</v>
      </c>
      <c r="D63" s="437" t="n">
        <f aca="false">IF(A63="N/A"," ",IF(ISERROR(R63),D51*Pwresc,R63)*VLOOKUP(MONTH(A63),Curveadj,3))</f>
        <v>20.3399982452393</v>
      </c>
      <c r="E63" s="438" t="n">
        <f aca="false">IF(A63="N/A"," ",IF(Scalers=1,(IF(AND(Dynamic=1,MONTH(A63)&gt;=6,MONTH(A63)&lt;=8,OR($O$37="REGION 2",$O$37="REGION 2A",$O$37="REGION 2B",$O$37="REGION 3",$O$37="REGION 3A",$O$37="REGION 3B",$O$37="REGION 3C",$O$37="REGION 4",$O$37="REGION 4B",$O$37="REGION 4C",$O$37="REGION 5",$O$37="REGION 5A")),((0.059228/(B63/100))-(0.4980013/(SQRT(B63/100)))+2.137988),HLOOKUP(MONTH(A63),ScalarTable,28))),1))</f>
        <v>1</v>
      </c>
      <c r="F63" s="439" t="n">
        <f aca="false">IF(A63="N/A"," ",B63*E63)</f>
        <v>32.1</v>
      </c>
      <c r="G63" s="439" t="n">
        <f aca="false">IF(A63="N/A"," ",C63*E63)</f>
        <v>25.8399982452393</v>
      </c>
      <c r="H63" s="440" t="n">
        <f aca="false">IF(A63="N/A"," ",D63*E63)</f>
        <v>20.3399982452393</v>
      </c>
      <c r="I63" s="402" t="n">
        <f aca="false">IF(A63="N/A"," ",2-E63)</f>
        <v>1</v>
      </c>
      <c r="J63" s="439" t="n">
        <f aca="false">IF(A63="N/A"," ",B63*I63)</f>
        <v>32.1</v>
      </c>
      <c r="K63" s="439" t="n">
        <f aca="false">IF(A63="N/A"," ",C63*I63)</f>
        <v>25.8399982452393</v>
      </c>
      <c r="L63" s="440" t="n">
        <f aca="false">IF(A63="N/A"," ",D63*I63)</f>
        <v>20.3399982452393</v>
      </c>
      <c r="M63" s="441" t="n">
        <f aca="false">IF(A63="N/A"," ",IF(ISERROR(S63),M51*Pwresc,S63))</f>
        <v>16.6800003051758</v>
      </c>
      <c r="N63" s="442" t="e">
        <f aca="false">IF(A63="N/A"," ",SUM(T63:X63))</f>
        <v>#N/A</v>
      </c>
      <c r="O63" s="370"/>
      <c r="P63" s="436" t="n">
        <f aca="false">IF(A63="N/A"," ",VLOOKUP(A63,PeakPowerCurves,(IF(BMO=2,3,IF(BMO=1,2,4))),FALSE())+Inputs!N46)</f>
        <v>32.1</v>
      </c>
      <c r="Q63" s="436" t="n">
        <f aca="false">IF(A63="N/A"," ",VLOOKUP(A63,SatSunPeakPwr,(IF(BMO=2,3,IF(BMO=1,2,4))),FALSE())+Inputs!$N$23)</f>
        <v>25.8399982452393</v>
      </c>
      <c r="R63" s="436" t="n">
        <f aca="false">IF(A63="N/A"," ",VLOOKUP(A63,SatSunPeakPwr,(IF(BMO=2,7,IF(BMO=1,6,8))),FALSE())+Inputs!$N$23)</f>
        <v>20.3399982452393</v>
      </c>
      <c r="S63" s="443" t="n">
        <f aca="false">IF(A63="N/A"," ",(VLOOKUP(A63,OPPowerPrices,(IF(BMO=2,7,IF(BMO=1,6,8))),FALSE())+Inputs!$N$23))</f>
        <v>16.6800003051758</v>
      </c>
      <c r="T63" s="444" t="e">
        <f aca="false">IF(A63="N/A"," ",(VLOOKUP(A63,GasCurves,9,FALSE()))+IF(BMO=1,Gasbmo,IF(BMO=3,-Gasbmo,0)))</f>
        <v>#N/A</v>
      </c>
      <c r="U63" s="444" t="e">
        <f aca="false">IF(A63="N/A"," ",IF(Basischeck=TRUE(),(VLOOKUP(A63,GasCurves,IF(MONTH(A63)&gt;=4,IF(MONTH(A63)&lt;=10,11,12),12),FALSE())),0))</f>
        <v>#N/A</v>
      </c>
      <c r="V63" s="444" t="e">
        <f aca="false">IF(A63="N/A"," ",IF(Indexcheck=TRUE(),(IF(MONTH(A63)&gt;=4,IF(MONTH(A63)&lt;=10,VLOOKUP(A63,'Gas Curves'!B41:O401,13),VLOOKUP(A63,'Gas Curves'!B41:O401,14)),VLOOKUP(A63,'Gas Curves'!B41:O401,14))),0))</f>
        <v>#N/A</v>
      </c>
      <c r="W63" s="444" t="e">
        <f aca="false">IF(A63="N/A"," ",((SUM(T63:V63))/(1-Inputs!$S$11)-(SUM(T63:V63))))</f>
        <v>#N/A</v>
      </c>
      <c r="X63" s="444" t="n">
        <f aca="false">IF(A63="N/A"," ",(IF(MONTH(A63)&gt;=4,IF(MONTH(A63)&lt;=10,Inputs!$S$9,Inputs!$S$10),Inputs!$S$10)))</f>
        <v>0</v>
      </c>
      <c r="Y63" s="445" t="n">
        <f aca="false">IF(A63="N/A"," ",(VLOOKUP($A63,InterestRatesTable,2)))</f>
        <v>2</v>
      </c>
      <c r="AF63" s="386" t="n">
        <v>38353</v>
      </c>
      <c r="AG63" s="376" t="n">
        <v>21</v>
      </c>
      <c r="AH63" s="376" t="n">
        <v>4</v>
      </c>
      <c r="AI63" s="376" t="n">
        <v>6</v>
      </c>
      <c r="AJ63" s="376" t="n">
        <v>1</v>
      </c>
      <c r="AK63" s="376" t="n">
        <v>31</v>
      </c>
    </row>
    <row r="64" customFormat="false" ht="12.75" hidden="false" customHeight="false" outlineLevel="0" collapsed="false">
      <c r="A64" s="434" t="n">
        <f aca="false">Calculations!A29</f>
        <v>37895</v>
      </c>
      <c r="B64" s="435" t="n">
        <f aca="false">IF(A64="N/A"," ",IF(ISERROR(P64),B52*Pwresc,P64)*VLOOKUP(MONTH(A64),Curveadj,3))</f>
        <v>31.0015636444092</v>
      </c>
      <c r="C64" s="436" t="n">
        <f aca="false">IF(A64="N/A"," ",IF(ISERROR(Q64),C52*Pwresc,Q64)*VLOOKUP(MONTH(A64),Curveadj,3))</f>
        <v>20.8359985351563</v>
      </c>
      <c r="D64" s="437" t="n">
        <f aca="false">IF(A64="N/A"," ",IF(ISERROR(R64),D52*Pwresc,R64)*VLOOKUP(MONTH(A64),Curveadj,3))</f>
        <v>15.3365020751953</v>
      </c>
      <c r="E64" s="438" t="n">
        <f aca="false">IF(A64="N/A"," ",IF(Scalers=1,(IF(AND(Dynamic=1,MONTH(A64)&gt;=6,MONTH(A64)&lt;=8,OR($O$37="REGION 2",$O$37="REGION 2A",$O$37="REGION 2B",$O$37="REGION 3",$O$37="REGION 3A",$O$37="REGION 3B",$O$37="REGION 3C",$O$37="REGION 4",$O$37="REGION 4B",$O$37="REGION 4C",$O$37="REGION 5",$O$37="REGION 5A")),((0.059228/(B64/100))-(0.4980013/(SQRT(B64/100)))+2.137988),HLOOKUP(MONTH(A64),ScalarTable,28))),1))</f>
        <v>1</v>
      </c>
      <c r="F64" s="439" t="n">
        <f aca="false">IF(A64="N/A"," ",B64*E64)</f>
        <v>31.0015636444092</v>
      </c>
      <c r="G64" s="439" t="n">
        <f aca="false">IF(A64="N/A"," ",C64*E64)</f>
        <v>20.8359985351563</v>
      </c>
      <c r="H64" s="440" t="n">
        <f aca="false">IF(A64="N/A"," ",D64*E64)</f>
        <v>15.3365020751953</v>
      </c>
      <c r="I64" s="402" t="n">
        <f aca="false">IF(A64="N/A"," ",2-E64)</f>
        <v>1</v>
      </c>
      <c r="J64" s="439" t="n">
        <f aca="false">IF(A64="N/A"," ",B64*I64)</f>
        <v>31.0015636444092</v>
      </c>
      <c r="K64" s="439" t="n">
        <f aca="false">IF(A64="N/A"," ",C64*I64)</f>
        <v>20.8359985351563</v>
      </c>
      <c r="L64" s="440" t="n">
        <f aca="false">IF(A64="N/A"," ",D64*I64)</f>
        <v>15.3365020751953</v>
      </c>
      <c r="M64" s="441" t="n">
        <f aca="false">IF(A64="N/A"," ",IF(ISERROR(S64),M52*Pwresc,S64))</f>
        <v>16.1800022125244</v>
      </c>
      <c r="N64" s="442" t="e">
        <f aca="false">IF(A64="N/A"," ",SUM(T64:X64))</f>
        <v>#N/A</v>
      </c>
      <c r="O64" s="370"/>
      <c r="P64" s="436" t="n">
        <f aca="false">IF(A64="N/A"," ",VLOOKUP(A64,PeakPowerCurves,(IF(BMO=2,3,IF(BMO=1,2,4))),FALSE())+Inputs!N47)</f>
        <v>31.0015636444092</v>
      </c>
      <c r="Q64" s="436" t="n">
        <f aca="false">IF(A64="N/A"," ",VLOOKUP(A64,SatSunPeakPwr,(IF(BMO=2,3,IF(BMO=1,2,4))),FALSE())+Inputs!$N$23)</f>
        <v>20.8359985351563</v>
      </c>
      <c r="R64" s="436" t="n">
        <f aca="false">IF(A64="N/A"," ",VLOOKUP(A64,SatSunPeakPwr,(IF(BMO=2,7,IF(BMO=1,6,8))),FALSE())+Inputs!$N$23)</f>
        <v>15.3365020751953</v>
      </c>
      <c r="S64" s="443" t="n">
        <f aca="false">IF(A64="N/A"," ",(VLOOKUP(A64,OPPowerPrices,(IF(BMO=2,7,IF(BMO=1,6,8))),FALSE())+Inputs!$N$23))</f>
        <v>16.1800022125244</v>
      </c>
      <c r="T64" s="444" t="e">
        <f aca="false">IF(A64="N/A"," ",(VLOOKUP(A64,GasCurves,9,FALSE()))+IF(BMO=1,Gasbmo,IF(BMO=3,-Gasbmo,0)))</f>
        <v>#N/A</v>
      </c>
      <c r="U64" s="444" t="e">
        <f aca="false">IF(A64="N/A"," ",IF(Basischeck=TRUE(),(VLOOKUP(A64,GasCurves,IF(MONTH(A64)&gt;=4,IF(MONTH(A64)&lt;=10,11,12),12),FALSE())),0))</f>
        <v>#N/A</v>
      </c>
      <c r="V64" s="444" t="e">
        <f aca="false">IF(A64="N/A"," ",IF(Indexcheck=TRUE(),(IF(MONTH(A64)&gt;=4,IF(MONTH(A64)&lt;=10,VLOOKUP(A64,'Gas Curves'!B42:O402,13),VLOOKUP(A64,'Gas Curves'!B42:O402,14)),VLOOKUP(A64,'Gas Curves'!B42:O402,14))),0))</f>
        <v>#N/A</v>
      </c>
      <c r="W64" s="444" t="e">
        <f aca="false">IF(A64="N/A"," ",((SUM(T64:V64))/(1-Inputs!$S$11)-(SUM(T64:V64))))</f>
        <v>#N/A</v>
      </c>
      <c r="X64" s="444" t="n">
        <f aca="false">IF(A64="N/A"," ",(IF(MONTH(A64)&gt;=4,IF(MONTH(A64)&lt;=10,Inputs!$S$9,Inputs!$S$10),Inputs!$S$10)))</f>
        <v>0</v>
      </c>
      <c r="Y64" s="445" t="n">
        <f aca="false">IF(A64="N/A"," ",(VLOOKUP($A64,InterestRatesTable,2)))</f>
        <v>2</v>
      </c>
      <c r="AF64" s="386" t="n">
        <v>38384</v>
      </c>
      <c r="AG64" s="376" t="n">
        <v>20</v>
      </c>
      <c r="AH64" s="376" t="n">
        <v>4</v>
      </c>
      <c r="AI64" s="376" t="n">
        <v>4</v>
      </c>
      <c r="AJ64" s="376" t="n">
        <v>0</v>
      </c>
      <c r="AK64" s="376" t="n">
        <v>28</v>
      </c>
    </row>
    <row r="65" customFormat="false" ht="12.75" hidden="false" customHeight="false" outlineLevel="0" collapsed="false">
      <c r="A65" s="434" t="n">
        <f aca="false">Calculations!A30</f>
        <v>37926</v>
      </c>
      <c r="B65" s="435" t="n">
        <f aca="false">IF(A65="N/A"," ",IF(ISERROR(P65),B53*Pwresc,P65)*VLOOKUP(MONTH(A65),Curveadj,3))</f>
        <v>31.1015621185303</v>
      </c>
      <c r="C65" s="436" t="n">
        <f aca="false">IF(A65="N/A"," ",IF(ISERROR(Q65),C53*Pwresc,Q65)*VLOOKUP(MONTH(A65),Curveadj,3))</f>
        <v>22.8399982452393</v>
      </c>
      <c r="D65" s="437" t="n">
        <f aca="false">IF(A65="N/A"," ",IF(ISERROR(R65),D53*Pwresc,R65)*VLOOKUP(MONTH(A65),Curveadj,3))</f>
        <v>15.3400020599365</v>
      </c>
      <c r="E65" s="438" t="n">
        <f aca="false">IF(A65="N/A"," ",IF(Scalers=1,(IF(AND(Dynamic=1,MONTH(A65)&gt;=6,MONTH(A65)&lt;=8,OR($O$37="REGION 2",$O$37="REGION 2A",$O$37="REGION 2B",$O$37="REGION 3",$O$37="REGION 3A",$O$37="REGION 3B",$O$37="REGION 3C",$O$37="REGION 4",$O$37="REGION 4B",$O$37="REGION 4C",$O$37="REGION 5",$O$37="REGION 5A")),((0.059228/(B65/100))-(0.4980013/(SQRT(B65/100)))+2.137988),HLOOKUP(MONTH(A65),ScalarTable,28))),1))</f>
        <v>1</v>
      </c>
      <c r="F65" s="439" t="n">
        <f aca="false">IF(A65="N/A"," ",B65*E65)</f>
        <v>31.1015621185303</v>
      </c>
      <c r="G65" s="439" t="n">
        <f aca="false">IF(A65="N/A"," ",C65*E65)</f>
        <v>22.8399982452393</v>
      </c>
      <c r="H65" s="440" t="n">
        <f aca="false">IF(A65="N/A"," ",D65*E65)</f>
        <v>15.3400020599365</v>
      </c>
      <c r="I65" s="402" t="n">
        <f aca="false">IF(A65="N/A"," ",2-E65)</f>
        <v>1</v>
      </c>
      <c r="J65" s="439" t="n">
        <f aca="false">IF(A65="N/A"," ",B65*I65)</f>
        <v>31.1015621185303</v>
      </c>
      <c r="K65" s="439" t="n">
        <f aca="false">IF(A65="N/A"," ",C65*I65)</f>
        <v>22.8399982452393</v>
      </c>
      <c r="L65" s="440" t="n">
        <f aca="false">IF(A65="N/A"," ",D65*I65)</f>
        <v>15.3400020599365</v>
      </c>
      <c r="M65" s="441" t="n">
        <f aca="false">IF(A65="N/A"," ",IF(ISERROR(S65),M53*Pwresc,S65))</f>
        <v>17.1800003051758</v>
      </c>
      <c r="N65" s="442" t="e">
        <f aca="false">IF(A65="N/A"," ",SUM(T65:X65))</f>
        <v>#N/A</v>
      </c>
      <c r="O65" s="370"/>
      <c r="P65" s="436" t="n">
        <f aca="false">IF(A65="N/A"," ",VLOOKUP(A65,PeakPowerCurves,(IF(BMO=2,3,IF(BMO=1,2,4))),FALSE())+Inputs!N48)</f>
        <v>31.1015621185303</v>
      </c>
      <c r="Q65" s="436" t="n">
        <f aca="false">IF(A65="N/A"," ",VLOOKUP(A65,SatSunPeakPwr,(IF(BMO=2,3,IF(BMO=1,2,4))),FALSE())+Inputs!$N$23)</f>
        <v>22.8399982452393</v>
      </c>
      <c r="R65" s="436" t="n">
        <f aca="false">IF(A65="N/A"," ",VLOOKUP(A65,SatSunPeakPwr,(IF(BMO=2,7,IF(BMO=1,6,8))),FALSE())+Inputs!$N$23)</f>
        <v>15.3400020599365</v>
      </c>
      <c r="S65" s="443" t="n">
        <f aca="false">IF(A65="N/A"," ",(VLOOKUP(A65,OPPowerPrices,(IF(BMO=2,7,IF(BMO=1,6,8))),FALSE())+Inputs!$N$23))</f>
        <v>17.1800003051758</v>
      </c>
      <c r="T65" s="444" t="e">
        <f aca="false">IF(A65="N/A"," ",(VLOOKUP(A65,GasCurves,9,FALSE()))+IF(BMO=1,Gasbmo,IF(BMO=3,-Gasbmo,0)))</f>
        <v>#N/A</v>
      </c>
      <c r="U65" s="444" t="e">
        <f aca="false">IF(A65="N/A"," ",IF(Basischeck=TRUE(),(VLOOKUP(A65,GasCurves,IF(MONTH(A65)&gt;=4,IF(MONTH(A65)&lt;=10,11,12),12),FALSE())),0))</f>
        <v>#N/A</v>
      </c>
      <c r="V65" s="444" t="e">
        <f aca="false">IF(A65="N/A"," ",IF(Indexcheck=TRUE(),(IF(MONTH(A65)&gt;=4,IF(MONTH(A65)&lt;=10,VLOOKUP(A65,'Gas Curves'!B43:O403,13),VLOOKUP(A65,'Gas Curves'!B43:O403,14)),VLOOKUP(A65,'Gas Curves'!B43:O403,14))),0))</f>
        <v>#N/A</v>
      </c>
      <c r="W65" s="444" t="e">
        <f aca="false">IF(A65="N/A"," ",((SUM(T65:V65))/(1-Inputs!$S$11)-(SUM(T65:V65))))</f>
        <v>#N/A</v>
      </c>
      <c r="X65" s="444" t="n">
        <f aca="false">IF(A65="N/A"," ",(IF(MONTH(A65)&gt;=4,IF(MONTH(A65)&lt;=10,Inputs!$S$9,Inputs!$S$10),Inputs!$S$10)))</f>
        <v>0</v>
      </c>
      <c r="Y65" s="445" t="n">
        <f aca="false">IF(A65="N/A"," ",(VLOOKUP($A65,InterestRatesTable,2)))</f>
        <v>2</v>
      </c>
      <c r="AF65" s="386" t="n">
        <v>38412</v>
      </c>
      <c r="AG65" s="376" t="n">
        <v>23</v>
      </c>
      <c r="AH65" s="376" t="n">
        <v>4</v>
      </c>
      <c r="AI65" s="376" t="n">
        <v>4</v>
      </c>
      <c r="AJ65" s="376" t="n">
        <v>0</v>
      </c>
      <c r="AK65" s="376" t="n">
        <v>31</v>
      </c>
    </row>
    <row r="66" customFormat="false" ht="12.75" hidden="false" customHeight="false" outlineLevel="0" collapsed="false">
      <c r="A66" s="434" t="n">
        <f aca="false">Calculations!A31</f>
        <v>37956</v>
      </c>
      <c r="B66" s="435" t="n">
        <f aca="false">IF(A66="N/A"," ",IF(ISERROR(P66),B54*Pwresc,P66)*VLOOKUP(MONTH(A66),Curveadj,3))</f>
        <v>31.2015605926514</v>
      </c>
      <c r="C66" s="436" t="n">
        <f aca="false">IF(A66="N/A"," ",IF(ISERROR(Q66),C54*Pwresc,Q66)*VLOOKUP(MONTH(A66),Curveadj,3))</f>
        <v>27.8399982452393</v>
      </c>
      <c r="D66" s="437" t="n">
        <f aca="false">IF(A66="N/A"," ",IF(ISERROR(R66),D54*Pwresc,R66)*VLOOKUP(MONTH(A66),Curveadj,3))</f>
        <v>22.3399982452393</v>
      </c>
      <c r="E66" s="438" t="n">
        <f aca="false">IF(A66="N/A"," ",IF(Scalers=1,(IF(AND(Dynamic=1,MONTH(A66)&gt;=6,MONTH(A66)&lt;=8,OR($O$37="REGION 2",$O$37="REGION 2A",$O$37="REGION 2B",$O$37="REGION 3",$O$37="REGION 3A",$O$37="REGION 3B",$O$37="REGION 3C",$O$37="REGION 4",$O$37="REGION 4B",$O$37="REGION 4C",$O$37="REGION 5",$O$37="REGION 5A")),((0.059228/(B66/100))-(0.4980013/(SQRT(B66/100)))+2.137988),HLOOKUP(MONTH(A66),ScalarTable,28))),1))</f>
        <v>1</v>
      </c>
      <c r="F66" s="439" t="n">
        <f aca="false">IF(A66="N/A"," ",B66*E66)</f>
        <v>31.2015605926514</v>
      </c>
      <c r="G66" s="439" t="n">
        <f aca="false">IF(A66="N/A"," ",C66*E66)</f>
        <v>27.8399982452393</v>
      </c>
      <c r="H66" s="440" t="n">
        <f aca="false">IF(A66="N/A"," ",D66*E66)</f>
        <v>22.3399982452393</v>
      </c>
      <c r="I66" s="402" t="n">
        <f aca="false">IF(A66="N/A"," ",2-E66)</f>
        <v>1</v>
      </c>
      <c r="J66" s="439" t="n">
        <f aca="false">IF(A66="N/A"," ",B66*I66)</f>
        <v>31.2015605926514</v>
      </c>
      <c r="K66" s="439" t="n">
        <f aca="false">IF(A66="N/A"," ",C66*I66)</f>
        <v>27.8399982452393</v>
      </c>
      <c r="L66" s="440" t="n">
        <f aca="false">IF(A66="N/A"," ",D66*I66)</f>
        <v>22.3399982452393</v>
      </c>
      <c r="M66" s="441" t="n">
        <f aca="false">IF(A66="N/A"," ",IF(ISERROR(S66),M54*Pwresc,S66))</f>
        <v>19.4300003051758</v>
      </c>
      <c r="N66" s="442" t="e">
        <f aca="false">IF(A66="N/A"," ",SUM(T66:X66))</f>
        <v>#N/A</v>
      </c>
      <c r="O66" s="370"/>
      <c r="P66" s="436" t="n">
        <f aca="false">IF(A66="N/A"," ",VLOOKUP(A66,PeakPowerCurves,(IF(BMO=2,3,IF(BMO=1,2,4))),FALSE())+Inputs!N49)</f>
        <v>31.2015605926514</v>
      </c>
      <c r="Q66" s="436" t="n">
        <f aca="false">IF(A66="N/A"," ",VLOOKUP(A66,SatSunPeakPwr,(IF(BMO=2,3,IF(BMO=1,2,4))),FALSE())+Inputs!$N$23)</f>
        <v>27.8399982452393</v>
      </c>
      <c r="R66" s="436" t="n">
        <f aca="false">IF(A66="N/A"," ",VLOOKUP(A66,SatSunPeakPwr,(IF(BMO=2,7,IF(BMO=1,6,8))),FALSE())+Inputs!$N$23)</f>
        <v>22.3399982452393</v>
      </c>
      <c r="S66" s="443" t="n">
        <f aca="false">IF(A66="N/A"," ",(VLOOKUP(A66,OPPowerPrices,(IF(BMO=2,7,IF(BMO=1,6,8))),FALSE())+Inputs!$N$23))</f>
        <v>19.4300003051758</v>
      </c>
      <c r="T66" s="444" t="e">
        <f aca="false">IF(A66="N/A"," ",(VLOOKUP(A66,GasCurves,9,FALSE()))+IF(BMO=1,Gasbmo,IF(BMO=3,-Gasbmo,0)))</f>
        <v>#N/A</v>
      </c>
      <c r="U66" s="444" t="e">
        <f aca="false">IF(A66="N/A"," ",IF(Basischeck=TRUE(),(VLOOKUP(A66,GasCurves,IF(MONTH(A66)&gt;=4,IF(MONTH(A66)&lt;=10,11,12),12),FALSE())),0))</f>
        <v>#N/A</v>
      </c>
      <c r="V66" s="444" t="e">
        <f aca="false">IF(A66="N/A"," ",IF(Indexcheck=TRUE(),(IF(MONTH(A66)&gt;=4,IF(MONTH(A66)&lt;=10,VLOOKUP(A66,'Gas Curves'!B44:O404,13),VLOOKUP(A66,'Gas Curves'!B44:O404,14)),VLOOKUP(A66,'Gas Curves'!B44:O404,14))),0))</f>
        <v>#N/A</v>
      </c>
      <c r="W66" s="444" t="e">
        <f aca="false">IF(A66="N/A"," ",((SUM(T66:V66))/(1-Inputs!$S$11)-(SUM(T66:V66))))</f>
        <v>#N/A</v>
      </c>
      <c r="X66" s="444" t="n">
        <f aca="false">IF(A66="N/A"," ",(IF(MONTH(A66)&gt;=4,IF(MONTH(A66)&lt;=10,Inputs!$S$9,Inputs!$S$10),Inputs!$S$10)))</f>
        <v>0</v>
      </c>
      <c r="Y66" s="445" t="n">
        <f aca="false">IF(A66="N/A"," ",(VLOOKUP($A66,InterestRatesTable,2)))</f>
        <v>2</v>
      </c>
      <c r="AF66" s="386" t="n">
        <v>38443</v>
      </c>
      <c r="AG66" s="376" t="n">
        <v>21</v>
      </c>
      <c r="AH66" s="376" t="n">
        <v>5</v>
      </c>
      <c r="AI66" s="376" t="n">
        <v>4</v>
      </c>
      <c r="AJ66" s="376" t="n">
        <v>0</v>
      </c>
      <c r="AK66" s="376" t="n">
        <v>30</v>
      </c>
    </row>
    <row r="67" customFormat="false" ht="12.75" hidden="false" customHeight="false" outlineLevel="0" collapsed="false">
      <c r="A67" s="434" t="str">
        <f aca="false">Calculations!A32</f>
        <v>N/A</v>
      </c>
      <c r="B67" s="435" t="str">
        <f aca="false">IF(A67="N/A"," ",IF(ISERROR(P67),B55*Pwresc,P67)*VLOOKUP(MONTH(A67),Curveadj,3))</f>
        <v> </v>
      </c>
      <c r="C67" s="436" t="str">
        <f aca="false">IF(A67="N/A"," ",IF(ISERROR(Q67),C55*Pwresc,Q67)*VLOOKUP(MONTH(A67),Curveadj,3))</f>
        <v> </v>
      </c>
      <c r="D67" s="437" t="str">
        <f aca="false">IF(A67="N/A"," ",IF(ISERROR(R67),D55*Pwresc,R67)*VLOOKUP(MONTH(A67),Curveadj,3))</f>
        <v> </v>
      </c>
      <c r="E67" s="438" t="str">
        <f aca="false">IF(A67="N/A"," ",IF(Scalers=1,(IF(AND(Dynamic=1,MONTH(A67)&gt;=6,MONTH(A67)&lt;=8,OR($O$37="REGION 2",$O$37="REGION 2A",$O$37="REGION 2B",$O$37="REGION 3",$O$37="REGION 3A",$O$37="REGION 3B",$O$37="REGION 3C",$O$37="REGION 4",$O$37="REGION 4B",$O$37="REGION 4C",$O$37="REGION 5",$O$37="REGION 5A")),((0.059228/(B67/100))-(0.4980013/(SQRT(B67/100)))+2.137988),HLOOKUP(MONTH(A67),ScalarTable,28))),1))</f>
        <v> </v>
      </c>
      <c r="F67" s="439" t="str">
        <f aca="false">IF(A67="N/A"," ",B67*E67)</f>
        <v> </v>
      </c>
      <c r="G67" s="439" t="str">
        <f aca="false">IF(A67="N/A"," ",C67*E67)</f>
        <v> </v>
      </c>
      <c r="H67" s="440" t="str">
        <f aca="false">IF(A67="N/A"," ",D67*E67)</f>
        <v> </v>
      </c>
      <c r="I67" s="402" t="str">
        <f aca="false">IF(A67="N/A"," ",2-E67)</f>
        <v> </v>
      </c>
      <c r="J67" s="439" t="str">
        <f aca="false">IF(A67="N/A"," ",B67*I67)</f>
        <v> </v>
      </c>
      <c r="K67" s="439" t="str">
        <f aca="false">IF(A67="N/A"," ",C67*I67)</f>
        <v> </v>
      </c>
      <c r="L67" s="440" t="str">
        <f aca="false">IF(A67="N/A"," ",D67*I67)</f>
        <v> </v>
      </c>
      <c r="M67" s="441" t="str">
        <f aca="false">IF(A67="N/A"," ",IF(ISERROR(S67),M55*Pwresc,S67))</f>
        <v> </v>
      </c>
      <c r="N67" s="442" t="str">
        <f aca="false">IF(A67="N/A"," ",SUM(T67:X67))</f>
        <v> </v>
      </c>
      <c r="O67" s="370"/>
      <c r="P67" s="436" t="str">
        <f aca="false">IF(A67="N/A"," ",VLOOKUP(A67,PeakPowerCurves,(IF(BMO=2,3,IF(BMO=1,2,4))),FALSE())+Inputs!N50)</f>
        <v> </v>
      </c>
      <c r="Q67" s="436" t="str">
        <f aca="false">IF(A67="N/A"," ",VLOOKUP(A67,SatSunPeakPwr,(IF(BMO=2,3,IF(BMO=1,2,4))),FALSE())+Inputs!$N$23)</f>
        <v> </v>
      </c>
      <c r="R67" s="436" t="str">
        <f aca="false">IF(A67="N/A"," ",VLOOKUP(A67,SatSunPeakPwr,(IF(BMO=2,7,IF(BMO=1,6,8))),FALSE())+Inputs!$N$23)</f>
        <v> </v>
      </c>
      <c r="S67" s="443" t="str">
        <f aca="false">IF(A67="N/A"," ",(VLOOKUP(A67,OPPowerPrices,(IF(BMO=2,7,IF(BMO=1,6,8))),FALSE())+Inputs!$N$23))</f>
        <v> </v>
      </c>
      <c r="T67" s="444" t="str">
        <f aca="false">IF(A67="N/A"," ",(VLOOKUP(A67,GasCurves,9,FALSE()))+IF(BMO=1,Gasbmo,IF(BMO=3,-Gasbmo,0)))</f>
        <v> </v>
      </c>
      <c r="U67" s="444" t="str">
        <f aca="false">IF(A67="N/A"," ",IF(Basischeck=TRUE(),(VLOOKUP(A67,GasCurves,IF(MONTH(A67)&gt;=4,IF(MONTH(A67)&lt;=10,11,12),12),FALSE())),0))</f>
        <v> </v>
      </c>
      <c r="V67" s="444" t="str">
        <f aca="false">IF(A67="N/A"," ",IF(Indexcheck=TRUE(),(IF(MONTH(A67)&gt;=4,IF(MONTH(A67)&lt;=10,VLOOKUP(A67,'Gas Curves'!B45:O405,13),VLOOKUP(A67,'Gas Curves'!B45:O405,14)),VLOOKUP(A67,'Gas Curves'!B45:O405,14))),0))</f>
        <v> </v>
      </c>
      <c r="W67" s="444" t="str">
        <f aca="false">IF(A67="N/A"," ",((SUM(T67:V67))/(1-Inputs!$S$11)-(SUM(T67:V67))))</f>
        <v> </v>
      </c>
      <c r="X67" s="444" t="str">
        <f aca="false">IF(A67="N/A"," ",(IF(MONTH(A67)&gt;=4,IF(MONTH(A67)&lt;=10,Inputs!$S$9,Inputs!$S$10),Inputs!$S$10)))</f>
        <v> </v>
      </c>
      <c r="Y67" s="445" t="str">
        <f aca="false">IF(A67="N/A"," ",(VLOOKUP($A67,InterestRatesTable,2)))</f>
        <v> </v>
      </c>
      <c r="AF67" s="386" t="n">
        <v>38473</v>
      </c>
      <c r="AG67" s="376" t="n">
        <v>21</v>
      </c>
      <c r="AH67" s="376" t="n">
        <v>4</v>
      </c>
      <c r="AI67" s="376" t="n">
        <v>6</v>
      </c>
      <c r="AJ67" s="376" t="n">
        <v>1</v>
      </c>
      <c r="AK67" s="376" t="n">
        <v>31</v>
      </c>
    </row>
    <row r="68" customFormat="false" ht="12.75" hidden="false" customHeight="false" outlineLevel="0" collapsed="false">
      <c r="A68" s="434" t="str">
        <f aca="false">Calculations!A33</f>
        <v>N/A</v>
      </c>
      <c r="B68" s="435" t="str">
        <f aca="false">IF(A68="N/A"," ",IF(ISERROR(P68),B56*Pwresc,P68)*VLOOKUP(MONTH(A68),Curveadj,3))</f>
        <v> </v>
      </c>
      <c r="C68" s="436" t="str">
        <f aca="false">IF(A68="N/A"," ",IF(ISERROR(Q68),C56*Pwresc,Q68)*VLOOKUP(MONTH(A68),Curveadj,3))</f>
        <v> </v>
      </c>
      <c r="D68" s="437" t="str">
        <f aca="false">IF(A68="N/A"," ",IF(ISERROR(R68),D56*Pwresc,R68)*VLOOKUP(MONTH(A68),Curveadj,3))</f>
        <v> </v>
      </c>
      <c r="E68" s="438" t="str">
        <f aca="false">IF(A68="N/A"," ",IF(Scalers=1,(IF(AND(Dynamic=1,MONTH(A68)&gt;=6,MONTH(A68)&lt;=8,OR($O$37="REGION 2",$O$37="REGION 2A",$O$37="REGION 2B",$O$37="REGION 3",$O$37="REGION 3A",$O$37="REGION 3B",$O$37="REGION 3C",$O$37="REGION 4",$O$37="REGION 4B",$O$37="REGION 4C",$O$37="REGION 5",$O$37="REGION 5A")),((0.059228/(B68/100))-(0.4980013/(SQRT(B68/100)))+2.137988),HLOOKUP(MONTH(A68),ScalarTable,28))),1))</f>
        <v> </v>
      </c>
      <c r="F68" s="439" t="str">
        <f aca="false">IF(A68="N/A"," ",B68*E68)</f>
        <v> </v>
      </c>
      <c r="G68" s="439" t="str">
        <f aca="false">IF(A68="N/A"," ",C68*E68)</f>
        <v> </v>
      </c>
      <c r="H68" s="440" t="str">
        <f aca="false">IF(A68="N/A"," ",D68*E68)</f>
        <v> </v>
      </c>
      <c r="I68" s="402" t="str">
        <f aca="false">IF(A68="N/A"," ",2-E68)</f>
        <v> </v>
      </c>
      <c r="J68" s="439" t="str">
        <f aca="false">IF(A68="N/A"," ",B68*I68)</f>
        <v> </v>
      </c>
      <c r="K68" s="439" t="str">
        <f aca="false">IF(A68="N/A"," ",C68*I68)</f>
        <v> </v>
      </c>
      <c r="L68" s="440" t="str">
        <f aca="false">IF(A68="N/A"," ",D68*I68)</f>
        <v> </v>
      </c>
      <c r="M68" s="441" t="str">
        <f aca="false">IF(A68="N/A"," ",IF(ISERROR(S68),M56*Pwresc,S68))</f>
        <v> </v>
      </c>
      <c r="N68" s="442" t="str">
        <f aca="false">IF(A68="N/A"," ",SUM(T68:X68))</f>
        <v> </v>
      </c>
      <c r="O68" s="370"/>
      <c r="P68" s="436" t="str">
        <f aca="false">IF(A68="N/A"," ",VLOOKUP(A68,PeakPowerCurves,(IF(BMO=2,3,IF(BMO=1,2,4))),FALSE())+Inputs!N51)</f>
        <v> </v>
      </c>
      <c r="Q68" s="436" t="str">
        <f aca="false">IF(A68="N/A"," ",VLOOKUP(A68,SatSunPeakPwr,(IF(BMO=2,3,IF(BMO=1,2,4))),FALSE())+Inputs!$N$23)</f>
        <v> </v>
      </c>
      <c r="R68" s="436" t="str">
        <f aca="false">IF(A68="N/A"," ",VLOOKUP(A68,SatSunPeakPwr,(IF(BMO=2,7,IF(BMO=1,6,8))),FALSE())+Inputs!$N$23)</f>
        <v> </v>
      </c>
      <c r="S68" s="443" t="str">
        <f aca="false">IF(A68="N/A"," ",(VLOOKUP(A68,OPPowerPrices,(IF(BMO=2,7,IF(BMO=1,6,8))),FALSE())+Inputs!$N$23))</f>
        <v> </v>
      </c>
      <c r="T68" s="444" t="str">
        <f aca="false">IF(A68="N/A"," ",(VLOOKUP(A68,GasCurves,9,FALSE()))+IF(BMO=1,Gasbmo,IF(BMO=3,-Gasbmo,0)))</f>
        <v> </v>
      </c>
      <c r="U68" s="444" t="str">
        <f aca="false">IF(A68="N/A"," ",IF(Basischeck=TRUE(),(VLOOKUP(A68,GasCurves,IF(MONTH(A68)&gt;=4,IF(MONTH(A68)&lt;=10,11,12),12),FALSE())),0))</f>
        <v> </v>
      </c>
      <c r="V68" s="444" t="str">
        <f aca="false">IF(A68="N/A"," ",IF(Indexcheck=TRUE(),(IF(MONTH(A68)&gt;=4,IF(MONTH(A68)&lt;=10,VLOOKUP(A68,'Gas Curves'!B46:O406,13),VLOOKUP(A68,'Gas Curves'!B46:O406,14)),VLOOKUP(A68,'Gas Curves'!B46:O406,14))),0))</f>
        <v> </v>
      </c>
      <c r="W68" s="444" t="str">
        <f aca="false">IF(A68="N/A"," ",((SUM(T68:V68))/(1-Inputs!$S$11)-(SUM(T68:V68))))</f>
        <v> </v>
      </c>
      <c r="X68" s="444" t="str">
        <f aca="false">IF(A68="N/A"," ",(IF(MONTH(A68)&gt;=4,IF(MONTH(A68)&lt;=10,Inputs!$S$9,Inputs!$S$10),Inputs!$S$10)))</f>
        <v> </v>
      </c>
      <c r="Y68" s="445" t="str">
        <f aca="false">IF(A68="N/A"," ",(VLOOKUP($A68,InterestRatesTable,2)))</f>
        <v> </v>
      </c>
      <c r="AF68" s="386" t="n">
        <v>38504</v>
      </c>
      <c r="AG68" s="376" t="n">
        <v>22</v>
      </c>
      <c r="AH68" s="376" t="n">
        <v>4</v>
      </c>
      <c r="AI68" s="376" t="n">
        <v>4</v>
      </c>
      <c r="AJ68" s="376" t="n">
        <v>0</v>
      </c>
      <c r="AK68" s="376" t="n">
        <v>30</v>
      </c>
    </row>
    <row r="69" customFormat="false" ht="12.75" hidden="false" customHeight="false" outlineLevel="0" collapsed="false">
      <c r="A69" s="434" t="str">
        <f aca="false">Calculations!A34</f>
        <v>N/A</v>
      </c>
      <c r="B69" s="435" t="str">
        <f aca="false">IF(A69="N/A"," ",IF(ISERROR(P69),B57*Pwresc,P69)*VLOOKUP(MONTH(A69),Curveadj,3))</f>
        <v> </v>
      </c>
      <c r="C69" s="436" t="str">
        <f aca="false">IF(A69="N/A"," ",IF(ISERROR(Q69),C57*Pwresc,Q69)*VLOOKUP(MONTH(A69),Curveadj,3))</f>
        <v> </v>
      </c>
      <c r="D69" s="437" t="str">
        <f aca="false">IF(A69="N/A"," ",IF(ISERROR(R69),D57*Pwresc,R69)*VLOOKUP(MONTH(A69),Curveadj,3))</f>
        <v> </v>
      </c>
      <c r="E69" s="438" t="str">
        <f aca="false">IF(A69="N/A"," ",IF(Scalers=1,(IF(AND(Dynamic=1,MONTH(A69)&gt;=6,MONTH(A69)&lt;=8,OR($O$37="REGION 2",$O$37="REGION 2A",$O$37="REGION 2B",$O$37="REGION 3",$O$37="REGION 3A",$O$37="REGION 3B",$O$37="REGION 3C",$O$37="REGION 4",$O$37="REGION 4B",$O$37="REGION 4C",$O$37="REGION 5",$O$37="REGION 5A")),((0.059228/(B69/100))-(0.4980013/(SQRT(B69/100)))+2.137988),HLOOKUP(MONTH(A69),ScalarTable,28))),1))</f>
        <v> </v>
      </c>
      <c r="F69" s="439" t="str">
        <f aca="false">IF(A69="N/A"," ",B69*E69)</f>
        <v> </v>
      </c>
      <c r="G69" s="439" t="str">
        <f aca="false">IF(A69="N/A"," ",C69*E69)</f>
        <v> </v>
      </c>
      <c r="H69" s="440" t="str">
        <f aca="false">IF(A69="N/A"," ",D69*E69)</f>
        <v> </v>
      </c>
      <c r="I69" s="402" t="str">
        <f aca="false">IF(A69="N/A"," ",2-E69)</f>
        <v> </v>
      </c>
      <c r="J69" s="439" t="str">
        <f aca="false">IF(A69="N/A"," ",B69*I69)</f>
        <v> </v>
      </c>
      <c r="K69" s="439" t="str">
        <f aca="false">IF(A69="N/A"," ",C69*I69)</f>
        <v> </v>
      </c>
      <c r="L69" s="440" t="str">
        <f aca="false">IF(A69="N/A"," ",D69*I69)</f>
        <v> </v>
      </c>
      <c r="M69" s="441" t="str">
        <f aca="false">IF(A69="N/A"," ",IF(ISERROR(S69),M57*Pwresc,S69))</f>
        <v> </v>
      </c>
      <c r="N69" s="442" t="str">
        <f aca="false">IF(A69="N/A"," ",SUM(T69:X69))</f>
        <v> </v>
      </c>
      <c r="O69" s="370"/>
      <c r="P69" s="436" t="str">
        <f aca="false">IF(A69="N/A"," ",VLOOKUP(A69,PeakPowerCurves,(IF(BMO=2,3,IF(BMO=1,2,4))),FALSE())+Inputs!N52)</f>
        <v> </v>
      </c>
      <c r="Q69" s="436" t="str">
        <f aca="false">IF(A69="N/A"," ",VLOOKUP(A69,SatSunPeakPwr,(IF(BMO=2,3,IF(BMO=1,2,4))),FALSE())+Inputs!$N$23)</f>
        <v> </v>
      </c>
      <c r="R69" s="436" t="str">
        <f aca="false">IF(A69="N/A"," ",VLOOKUP(A69,SatSunPeakPwr,(IF(BMO=2,7,IF(BMO=1,6,8))),FALSE())+Inputs!$N$23)</f>
        <v> </v>
      </c>
      <c r="S69" s="443" t="str">
        <f aca="false">IF(A69="N/A"," ",(VLOOKUP(A69,OPPowerPrices,(IF(BMO=2,7,IF(BMO=1,6,8))),FALSE())+Inputs!$N$23))</f>
        <v> </v>
      </c>
      <c r="T69" s="444" t="str">
        <f aca="false">IF(A69="N/A"," ",(VLOOKUP(A69,GasCurves,9,FALSE()))+IF(BMO=1,Gasbmo,IF(BMO=3,-Gasbmo,0)))</f>
        <v> </v>
      </c>
      <c r="U69" s="444" t="str">
        <f aca="false">IF(A69="N/A"," ",IF(Basischeck=TRUE(),(VLOOKUP(A69,GasCurves,IF(MONTH(A69)&gt;=4,IF(MONTH(A69)&lt;=10,11,12),12),FALSE())),0))</f>
        <v> </v>
      </c>
      <c r="V69" s="444" t="str">
        <f aca="false">IF(A69="N/A"," ",IF(Indexcheck=TRUE(),(IF(MONTH(A69)&gt;=4,IF(MONTH(A69)&lt;=10,VLOOKUP(A69,'Gas Curves'!B47:O407,13),VLOOKUP(A69,'Gas Curves'!B47:O407,14)),VLOOKUP(A69,'Gas Curves'!B47:O407,14))),0))</f>
        <v> </v>
      </c>
      <c r="W69" s="444" t="str">
        <f aca="false">IF(A69="N/A"," ",((SUM(T69:V69))/(1-Inputs!$S$11)-(SUM(T69:V69))))</f>
        <v> </v>
      </c>
      <c r="X69" s="444" t="str">
        <f aca="false">IF(A69="N/A"," ",(IF(MONTH(A69)&gt;=4,IF(MONTH(A69)&lt;=10,Inputs!$S$9,Inputs!$S$10),Inputs!$S$10)))</f>
        <v> </v>
      </c>
      <c r="Y69" s="445" t="str">
        <f aca="false">IF(A69="N/A"," ",(VLOOKUP($A69,InterestRatesTable,2)))</f>
        <v> </v>
      </c>
      <c r="AF69" s="386" t="n">
        <v>38534</v>
      </c>
      <c r="AG69" s="376" t="n">
        <v>20</v>
      </c>
      <c r="AH69" s="376" t="n">
        <v>5</v>
      </c>
      <c r="AI69" s="376" t="n">
        <v>6</v>
      </c>
      <c r="AJ69" s="376" t="n">
        <v>1</v>
      </c>
      <c r="AK69" s="376" t="n">
        <v>31</v>
      </c>
    </row>
    <row r="70" customFormat="false" ht="12.75" hidden="false" customHeight="false" outlineLevel="0" collapsed="false">
      <c r="A70" s="434" t="str">
        <f aca="false">Calculations!A35</f>
        <v>N/A</v>
      </c>
      <c r="B70" s="435" t="str">
        <f aca="false">IF(A70="N/A"," ",IF(ISERROR(P70),B58*Pwresc,P70)*VLOOKUP(MONTH(A70),Curveadj,3))</f>
        <v> </v>
      </c>
      <c r="C70" s="436" t="str">
        <f aca="false">IF(A70="N/A"," ",IF(ISERROR(Q70),C58*Pwresc,Q70)*VLOOKUP(MONTH(A70),Curveadj,3))</f>
        <v> </v>
      </c>
      <c r="D70" s="437" t="str">
        <f aca="false">IF(A70="N/A"," ",IF(ISERROR(R70),D58*Pwresc,R70)*VLOOKUP(MONTH(A70),Curveadj,3))</f>
        <v> </v>
      </c>
      <c r="E70" s="438" t="str">
        <f aca="false">IF(A70="N/A"," ",IF(Scalers=1,(IF(AND(Dynamic=1,MONTH(A70)&gt;=6,MONTH(A70)&lt;=8,OR($O$37="REGION 2",$O$37="REGION 2A",$O$37="REGION 2B",$O$37="REGION 3",$O$37="REGION 3A",$O$37="REGION 3B",$O$37="REGION 3C",$O$37="REGION 4",$O$37="REGION 4B",$O$37="REGION 4C",$O$37="REGION 5",$O$37="REGION 5A")),((0.059228/(B70/100))-(0.4980013/(SQRT(B70/100)))+2.137988),HLOOKUP(MONTH(A70),ScalarTable,28))),1))</f>
        <v> </v>
      </c>
      <c r="F70" s="439" t="str">
        <f aca="false">IF(A70="N/A"," ",B70*E70)</f>
        <v> </v>
      </c>
      <c r="G70" s="439" t="str">
        <f aca="false">IF(A70="N/A"," ",C70*E70)</f>
        <v> </v>
      </c>
      <c r="H70" s="440" t="str">
        <f aca="false">IF(A70="N/A"," ",D70*E70)</f>
        <v> </v>
      </c>
      <c r="I70" s="402" t="str">
        <f aca="false">IF(A70="N/A"," ",2-E70)</f>
        <v> </v>
      </c>
      <c r="J70" s="439" t="str">
        <f aca="false">IF(A70="N/A"," ",B70*I70)</f>
        <v> </v>
      </c>
      <c r="K70" s="439" t="str">
        <f aca="false">IF(A70="N/A"," ",C70*I70)</f>
        <v> </v>
      </c>
      <c r="L70" s="440" t="str">
        <f aca="false">IF(A70="N/A"," ",D70*I70)</f>
        <v> </v>
      </c>
      <c r="M70" s="441" t="str">
        <f aca="false">IF(A70="N/A"," ",IF(ISERROR(S70),M58*Pwresc,S70))</f>
        <v> </v>
      </c>
      <c r="N70" s="442" t="str">
        <f aca="false">IF(A70="N/A"," ",SUM(T70:X70))</f>
        <v> </v>
      </c>
      <c r="O70" s="370"/>
      <c r="P70" s="436" t="str">
        <f aca="false">IF(A70="N/A"," ",VLOOKUP(A70,PeakPowerCurves,(IF(BMO=2,3,IF(BMO=1,2,4))),FALSE())+Inputs!N53)</f>
        <v> </v>
      </c>
      <c r="Q70" s="436" t="str">
        <f aca="false">IF(A70="N/A"," ",VLOOKUP(A70,SatSunPeakPwr,(IF(BMO=2,3,IF(BMO=1,2,4))),FALSE())+Inputs!$N$23)</f>
        <v> </v>
      </c>
      <c r="R70" s="436" t="str">
        <f aca="false">IF(A70="N/A"," ",VLOOKUP(A70,SatSunPeakPwr,(IF(BMO=2,7,IF(BMO=1,6,8))),FALSE())+Inputs!$N$23)</f>
        <v> </v>
      </c>
      <c r="S70" s="443" t="str">
        <f aca="false">IF(A70="N/A"," ",(VLOOKUP(A70,OPPowerPrices,(IF(BMO=2,7,IF(BMO=1,6,8))),FALSE())+Inputs!$N$23))</f>
        <v> </v>
      </c>
      <c r="T70" s="444" t="str">
        <f aca="false">IF(A70="N/A"," ",(VLOOKUP(A70,GasCurves,9,FALSE()))+IF(BMO=1,Gasbmo,IF(BMO=3,-Gasbmo,0)))</f>
        <v> </v>
      </c>
      <c r="U70" s="444" t="str">
        <f aca="false">IF(A70="N/A"," ",IF(Basischeck=TRUE(),(VLOOKUP(A70,GasCurves,IF(MONTH(A70)&gt;=4,IF(MONTH(A70)&lt;=10,11,12),12),FALSE())),0))</f>
        <v> </v>
      </c>
      <c r="V70" s="444" t="str">
        <f aca="false">IF(A70="N/A"," ",IF(Indexcheck=TRUE(),(IF(MONTH(A70)&gt;=4,IF(MONTH(A70)&lt;=10,VLOOKUP(A70,'Gas Curves'!B48:O408,13),VLOOKUP(A70,'Gas Curves'!B48:O408,14)),VLOOKUP(A70,'Gas Curves'!B48:O408,14))),0))</f>
        <v> </v>
      </c>
      <c r="W70" s="444" t="str">
        <f aca="false">IF(A70="N/A"," ",((SUM(T70:V70))/(1-Inputs!$S$11)-(SUM(T70:V70))))</f>
        <v> </v>
      </c>
      <c r="X70" s="444" t="str">
        <f aca="false">IF(A70="N/A"," ",(IF(MONTH(A70)&gt;=4,IF(MONTH(A70)&lt;=10,Inputs!$S$9,Inputs!$S$10),Inputs!$S$10)))</f>
        <v> </v>
      </c>
      <c r="Y70" s="445" t="str">
        <f aca="false">IF(A70="N/A"," ",(VLOOKUP($A70,InterestRatesTable,2)))</f>
        <v> </v>
      </c>
      <c r="AF70" s="386" t="n">
        <v>38565</v>
      </c>
      <c r="AG70" s="376" t="n">
        <v>23</v>
      </c>
      <c r="AH70" s="376" t="n">
        <v>4</v>
      </c>
      <c r="AI70" s="376" t="n">
        <v>4</v>
      </c>
      <c r="AJ70" s="376" t="n">
        <v>0</v>
      </c>
      <c r="AK70" s="376" t="n">
        <v>31</v>
      </c>
    </row>
    <row r="71" customFormat="false" ht="12.75" hidden="false" customHeight="false" outlineLevel="0" collapsed="false">
      <c r="A71" s="434" t="str">
        <f aca="false">Calculations!A36</f>
        <v>N/A</v>
      </c>
      <c r="B71" s="435" t="str">
        <f aca="false">IF(A71="N/A"," ",IF(ISERROR(P71),B59*Pwresc,P71)*VLOOKUP(MONTH(A71),Curveadj,3))</f>
        <v> </v>
      </c>
      <c r="C71" s="436" t="str">
        <f aca="false">IF(A71="N/A"," ",IF(ISERROR(Q71),C59*Pwresc,Q71)*VLOOKUP(MONTH(A71),Curveadj,3))</f>
        <v> </v>
      </c>
      <c r="D71" s="437" t="str">
        <f aca="false">IF(A71="N/A"," ",IF(ISERROR(R71),D59*Pwresc,R71)*VLOOKUP(MONTH(A71),Curveadj,3))</f>
        <v> </v>
      </c>
      <c r="E71" s="438" t="str">
        <f aca="false">IF(A71="N/A"," ",IF(Scalers=1,(IF(AND(Dynamic=1,MONTH(A71)&gt;=6,MONTH(A71)&lt;=8,OR($O$37="REGION 2",$O$37="REGION 2A",$O$37="REGION 2B",$O$37="REGION 3",$O$37="REGION 3A",$O$37="REGION 3B",$O$37="REGION 3C",$O$37="REGION 4",$O$37="REGION 4B",$O$37="REGION 4C",$O$37="REGION 5",$O$37="REGION 5A")),((0.059228/(B71/100))-(0.4980013/(SQRT(B71/100)))+2.137988),HLOOKUP(MONTH(A71),ScalarTable,28))),1))</f>
        <v> </v>
      </c>
      <c r="F71" s="439" t="str">
        <f aca="false">IF(A71="N/A"," ",B71*E71)</f>
        <v> </v>
      </c>
      <c r="G71" s="439" t="str">
        <f aca="false">IF(A71="N/A"," ",C71*E71)</f>
        <v> </v>
      </c>
      <c r="H71" s="440" t="str">
        <f aca="false">IF(A71="N/A"," ",D71*E71)</f>
        <v> </v>
      </c>
      <c r="I71" s="402" t="str">
        <f aca="false">IF(A71="N/A"," ",2-E71)</f>
        <v> </v>
      </c>
      <c r="J71" s="439" t="str">
        <f aca="false">IF(A71="N/A"," ",B71*I71)</f>
        <v> </v>
      </c>
      <c r="K71" s="439" t="str">
        <f aca="false">IF(A71="N/A"," ",C71*I71)</f>
        <v> </v>
      </c>
      <c r="L71" s="440" t="str">
        <f aca="false">IF(A71="N/A"," ",D71*I71)</f>
        <v> </v>
      </c>
      <c r="M71" s="441" t="str">
        <f aca="false">IF(A71="N/A"," ",IF(ISERROR(S71),M59*Pwresc,S71))</f>
        <v> </v>
      </c>
      <c r="N71" s="442" t="str">
        <f aca="false">IF(A71="N/A"," ",SUM(T71:X71))</f>
        <v> </v>
      </c>
      <c r="O71" s="370"/>
      <c r="P71" s="436" t="str">
        <f aca="false">IF(A71="N/A"," ",VLOOKUP(A71,PeakPowerCurves,(IF(BMO=2,3,IF(BMO=1,2,4))),FALSE())+Inputs!N54)</f>
        <v> </v>
      </c>
      <c r="Q71" s="436" t="str">
        <f aca="false">IF(A71="N/A"," ",VLOOKUP(A71,SatSunPeakPwr,(IF(BMO=2,3,IF(BMO=1,2,4))),FALSE())+Inputs!$N$23)</f>
        <v> </v>
      </c>
      <c r="R71" s="436" t="str">
        <f aca="false">IF(A71="N/A"," ",VLOOKUP(A71,SatSunPeakPwr,(IF(BMO=2,7,IF(BMO=1,6,8))),FALSE())+Inputs!$N$23)</f>
        <v> </v>
      </c>
      <c r="S71" s="443" t="str">
        <f aca="false">IF(A71="N/A"," ",(VLOOKUP(A71,OPPowerPrices,(IF(BMO=2,7,IF(BMO=1,6,8))),FALSE())+Inputs!$N$23))</f>
        <v> </v>
      </c>
      <c r="T71" s="444" t="str">
        <f aca="false">IF(A71="N/A"," ",(VLOOKUP(A71,GasCurves,9,FALSE()))+IF(BMO=1,Gasbmo,IF(BMO=3,-Gasbmo,0)))</f>
        <v> </v>
      </c>
      <c r="U71" s="444" t="str">
        <f aca="false">IF(A71="N/A"," ",IF(Basischeck=TRUE(),(VLOOKUP(A71,GasCurves,IF(MONTH(A71)&gt;=4,IF(MONTH(A71)&lt;=10,11,12),12),FALSE())),0))</f>
        <v> </v>
      </c>
      <c r="V71" s="444" t="str">
        <f aca="false">IF(A71="N/A"," ",IF(Indexcheck=TRUE(),(IF(MONTH(A71)&gt;=4,IF(MONTH(A71)&lt;=10,VLOOKUP(A71,'Gas Curves'!B49:O409,13),VLOOKUP(A71,'Gas Curves'!B49:O409,14)),VLOOKUP(A71,'Gas Curves'!B49:O409,14))),0))</f>
        <v> </v>
      </c>
      <c r="W71" s="444" t="str">
        <f aca="false">IF(A71="N/A"," ",((SUM(T71:V71))/(1-Inputs!$S$11)-(SUM(T71:V71))))</f>
        <v> </v>
      </c>
      <c r="X71" s="444" t="str">
        <f aca="false">IF(A71="N/A"," ",(IF(MONTH(A71)&gt;=4,IF(MONTH(A71)&lt;=10,Inputs!$S$9,Inputs!$S$10),Inputs!$S$10)))</f>
        <v> </v>
      </c>
      <c r="Y71" s="445" t="str">
        <f aca="false">IF(A71="N/A"," ",(VLOOKUP($A71,InterestRatesTable,2)))</f>
        <v> </v>
      </c>
      <c r="AF71" s="386" t="n">
        <v>38596</v>
      </c>
      <c r="AG71" s="376" t="n">
        <v>21</v>
      </c>
      <c r="AH71" s="376" t="n">
        <v>4</v>
      </c>
      <c r="AI71" s="376" t="n">
        <v>5</v>
      </c>
      <c r="AJ71" s="376" t="n">
        <v>1</v>
      </c>
      <c r="AK71" s="376" t="n">
        <v>30</v>
      </c>
    </row>
    <row r="72" customFormat="false" ht="12.75" hidden="false" customHeight="false" outlineLevel="0" collapsed="false">
      <c r="A72" s="434" t="str">
        <f aca="false">Calculations!A37</f>
        <v>N/A</v>
      </c>
      <c r="B72" s="435" t="str">
        <f aca="false">IF(A72="N/A"," ",IF(ISERROR(P72),B60*Pwresc,P72)*VLOOKUP(MONTH(A72),Curveadj,3))</f>
        <v> </v>
      </c>
      <c r="C72" s="436" t="str">
        <f aca="false">IF(A72="N/A"," ",IF(ISERROR(Q72),C60*Pwresc,Q72)*VLOOKUP(MONTH(A72),Curveadj,3))</f>
        <v> </v>
      </c>
      <c r="D72" s="437" t="str">
        <f aca="false">IF(A72="N/A"," ",IF(ISERROR(R72),D60*Pwresc,R72)*VLOOKUP(MONTH(A72),Curveadj,3))</f>
        <v> </v>
      </c>
      <c r="E72" s="438" t="str">
        <f aca="false">IF(A72="N/A"," ",IF(Scalers=1,(IF(AND(Dynamic=1,MONTH(A72)&gt;=6,MONTH(A72)&lt;=8,OR($O$37="REGION 2",$O$37="REGION 2A",$O$37="REGION 2B",$O$37="REGION 3",$O$37="REGION 3A",$O$37="REGION 3B",$O$37="REGION 3C",$O$37="REGION 4",$O$37="REGION 4B",$O$37="REGION 4C",$O$37="REGION 5",$O$37="REGION 5A")),((0.059228/(B72/100))-(0.4980013/(SQRT(B72/100)))+2.137988),HLOOKUP(MONTH(A72),ScalarTable,28))),1))</f>
        <v> </v>
      </c>
      <c r="F72" s="439" t="str">
        <f aca="false">IF(A72="N/A"," ",B72*E72)</f>
        <v> </v>
      </c>
      <c r="G72" s="439" t="str">
        <f aca="false">IF(A72="N/A"," ",C72*E72)</f>
        <v> </v>
      </c>
      <c r="H72" s="440" t="str">
        <f aca="false">IF(A72="N/A"," ",D72*E72)</f>
        <v> </v>
      </c>
      <c r="I72" s="402" t="str">
        <f aca="false">IF(A72="N/A"," ",2-E72)</f>
        <v> </v>
      </c>
      <c r="J72" s="439" t="str">
        <f aca="false">IF(A72="N/A"," ",B72*I72)</f>
        <v> </v>
      </c>
      <c r="K72" s="439" t="str">
        <f aca="false">IF(A72="N/A"," ",C72*I72)</f>
        <v> </v>
      </c>
      <c r="L72" s="440" t="str">
        <f aca="false">IF(A72="N/A"," ",D72*I72)</f>
        <v> </v>
      </c>
      <c r="M72" s="441" t="str">
        <f aca="false">IF(A72="N/A"," ",IF(ISERROR(S72),M60*Pwresc,S72))</f>
        <v> </v>
      </c>
      <c r="N72" s="442" t="str">
        <f aca="false">IF(A72="N/A"," ",SUM(T72:X72))</f>
        <v> </v>
      </c>
      <c r="O72" s="370"/>
      <c r="P72" s="436" t="str">
        <f aca="false">IF(A72="N/A"," ",VLOOKUP(A72,PeakPowerCurves,(IF(BMO=2,3,IF(BMO=1,2,4))),FALSE())+Inputs!N55)</f>
        <v> </v>
      </c>
      <c r="Q72" s="436" t="str">
        <f aca="false">IF(A72="N/A"," ",VLOOKUP(A72,SatSunPeakPwr,(IF(BMO=2,3,IF(BMO=1,2,4))),FALSE())+Inputs!$N$23)</f>
        <v> </v>
      </c>
      <c r="R72" s="436" t="str">
        <f aca="false">IF(A72="N/A"," ",VLOOKUP(A72,SatSunPeakPwr,(IF(BMO=2,7,IF(BMO=1,6,8))),FALSE())+Inputs!$N$23)</f>
        <v> </v>
      </c>
      <c r="S72" s="443" t="str">
        <f aca="false">IF(A72="N/A"," ",(VLOOKUP(A72,OPPowerPrices,(IF(BMO=2,7,IF(BMO=1,6,8))),FALSE())+Inputs!$N$23))</f>
        <v> </v>
      </c>
      <c r="T72" s="444" t="str">
        <f aca="false">IF(A72="N/A"," ",(VLOOKUP(A72,GasCurves,9,FALSE()))+IF(BMO=1,Gasbmo,IF(BMO=3,-Gasbmo,0)))</f>
        <v> </v>
      </c>
      <c r="U72" s="444" t="str">
        <f aca="false">IF(A72="N/A"," ",IF(Basischeck=TRUE(),(VLOOKUP(A72,GasCurves,IF(MONTH(A72)&gt;=4,IF(MONTH(A72)&lt;=10,11,12),12),FALSE())),0))</f>
        <v> </v>
      </c>
      <c r="V72" s="444" t="str">
        <f aca="false">IF(A72="N/A"," ",IF(Indexcheck=TRUE(),(IF(MONTH(A72)&gt;=4,IF(MONTH(A72)&lt;=10,VLOOKUP(A72,'Gas Curves'!B50:O410,13),VLOOKUP(A72,'Gas Curves'!B50:O410,14)),VLOOKUP(A72,'Gas Curves'!B50:O410,14))),0))</f>
        <v> </v>
      </c>
      <c r="W72" s="444" t="str">
        <f aca="false">IF(A72="N/A"," ",((SUM(T72:V72))/(1-Inputs!$S$11)-(SUM(T72:V72))))</f>
        <v> </v>
      </c>
      <c r="X72" s="444" t="str">
        <f aca="false">IF(A72="N/A"," ",(IF(MONTH(A72)&gt;=4,IF(MONTH(A72)&lt;=10,Inputs!$S$9,Inputs!$S$10),Inputs!$S$10)))</f>
        <v> </v>
      </c>
      <c r="Y72" s="445" t="str">
        <f aca="false">IF(A72="N/A"," ",(VLOOKUP($A72,InterestRatesTable,2)))</f>
        <v> </v>
      </c>
      <c r="AF72" s="386" t="n">
        <v>38626</v>
      </c>
      <c r="AG72" s="376" t="n">
        <v>21</v>
      </c>
      <c r="AH72" s="376" t="n">
        <v>5</v>
      </c>
      <c r="AI72" s="376" t="n">
        <v>5</v>
      </c>
      <c r="AJ72" s="376" t="n">
        <v>0</v>
      </c>
      <c r="AK72" s="376" t="n">
        <v>31</v>
      </c>
    </row>
    <row r="73" customFormat="false" ht="12.75" hidden="false" customHeight="false" outlineLevel="0" collapsed="false">
      <c r="A73" s="434" t="str">
        <f aca="false">Calculations!A38</f>
        <v>N/A</v>
      </c>
      <c r="B73" s="435" t="str">
        <f aca="false">IF(A73="N/A"," ",IF(ISERROR(P73),B61*Pwresc,P73)*VLOOKUP(MONTH(A73),Curveadj,3))</f>
        <v> </v>
      </c>
      <c r="C73" s="436" t="str">
        <f aca="false">IF(A73="N/A"," ",IF(ISERROR(Q73),C61*Pwresc,Q73)*VLOOKUP(MONTH(A73),Curveadj,3))</f>
        <v> </v>
      </c>
      <c r="D73" s="437" t="str">
        <f aca="false">IF(A73="N/A"," ",IF(ISERROR(R73),D61*Pwresc,R73)*VLOOKUP(MONTH(A73),Curveadj,3))</f>
        <v> </v>
      </c>
      <c r="E73" s="438" t="str">
        <f aca="false">IF(A73="N/A"," ",IF(Scalers=1,(IF(AND(Dynamic=1,MONTH(A73)&gt;=6,MONTH(A73)&lt;=8,OR($O$37="REGION 2",$O$37="REGION 2A",$O$37="REGION 2B",$O$37="REGION 3",$O$37="REGION 3A",$O$37="REGION 3B",$O$37="REGION 3C",$O$37="REGION 4",$O$37="REGION 4B",$O$37="REGION 4C",$O$37="REGION 5",$O$37="REGION 5A")),((0.059228/(B73/100))-(0.4980013/(SQRT(B73/100)))+2.137988),HLOOKUP(MONTH(A73),ScalarTable,28))),1))</f>
        <v> </v>
      </c>
      <c r="F73" s="439" t="str">
        <f aca="false">IF(A73="N/A"," ",B73*E73)</f>
        <v> </v>
      </c>
      <c r="G73" s="439" t="str">
        <f aca="false">IF(A73="N/A"," ",C73*E73)</f>
        <v> </v>
      </c>
      <c r="H73" s="440" t="str">
        <f aca="false">IF(A73="N/A"," ",D73*E73)</f>
        <v> </v>
      </c>
      <c r="I73" s="402" t="str">
        <f aca="false">IF(A73="N/A"," ",2-E73)</f>
        <v> </v>
      </c>
      <c r="J73" s="439" t="str">
        <f aca="false">IF(A73="N/A"," ",B73*I73)</f>
        <v> </v>
      </c>
      <c r="K73" s="439" t="str">
        <f aca="false">IF(A73="N/A"," ",C73*I73)</f>
        <v> </v>
      </c>
      <c r="L73" s="440" t="str">
        <f aca="false">IF(A73="N/A"," ",D73*I73)</f>
        <v> </v>
      </c>
      <c r="M73" s="441" t="str">
        <f aca="false">IF(A73="N/A"," ",IF(ISERROR(S73),M61*Pwresc,S73))</f>
        <v> </v>
      </c>
      <c r="N73" s="442" t="str">
        <f aca="false">IF(A73="N/A"," ",SUM(T73:X73))</f>
        <v> </v>
      </c>
      <c r="O73" s="370"/>
      <c r="P73" s="436" t="str">
        <f aca="false">IF(A73="N/A"," ",VLOOKUP(A73,PeakPowerCurves,(IF(BMO=2,3,IF(BMO=1,2,4))),FALSE())+Inputs!N56)</f>
        <v> </v>
      </c>
      <c r="Q73" s="436" t="str">
        <f aca="false">IF(A73="N/A"," ",VLOOKUP(A73,SatSunPeakPwr,(IF(BMO=2,3,IF(BMO=1,2,4))),FALSE())+Inputs!$N$23)</f>
        <v> </v>
      </c>
      <c r="R73" s="436" t="str">
        <f aca="false">IF(A73="N/A"," ",VLOOKUP(A73,SatSunPeakPwr,(IF(BMO=2,7,IF(BMO=1,6,8))),FALSE())+Inputs!$N$23)</f>
        <v> </v>
      </c>
      <c r="S73" s="443" t="str">
        <f aca="false">IF(A73="N/A"," ",(VLOOKUP(A73,OPPowerPrices,(IF(BMO=2,7,IF(BMO=1,6,8))),FALSE())+Inputs!$N$23))</f>
        <v> </v>
      </c>
      <c r="T73" s="444" t="str">
        <f aca="false">IF(A73="N/A"," ",(VLOOKUP(A73,GasCurves,9,FALSE()))+IF(BMO=1,Gasbmo,IF(BMO=3,-Gasbmo,0)))</f>
        <v> </v>
      </c>
      <c r="U73" s="444" t="str">
        <f aca="false">IF(A73="N/A"," ",IF(Basischeck=TRUE(),(VLOOKUP(A73,GasCurves,IF(MONTH(A73)&gt;=4,IF(MONTH(A73)&lt;=10,11,12),12),FALSE())),0))</f>
        <v> </v>
      </c>
      <c r="V73" s="444" t="str">
        <f aca="false">IF(A73="N/A"," ",IF(Indexcheck=TRUE(),(IF(MONTH(A73)&gt;=4,IF(MONTH(A73)&lt;=10,VLOOKUP(A73,'Gas Curves'!B51:O411,13),VLOOKUP(A73,'Gas Curves'!B51:O411,14)),VLOOKUP(A73,'Gas Curves'!B51:O411,14))),0))</f>
        <v> </v>
      </c>
      <c r="W73" s="444" t="str">
        <f aca="false">IF(A73="N/A"," ",((SUM(T73:V73))/(1-Inputs!$S$11)-(SUM(T73:V73))))</f>
        <v> </v>
      </c>
      <c r="X73" s="444" t="str">
        <f aca="false">IF(A73="N/A"," ",(IF(MONTH(A73)&gt;=4,IF(MONTH(A73)&lt;=10,Inputs!$S$9,Inputs!$S$10),Inputs!$S$10)))</f>
        <v> </v>
      </c>
      <c r="Y73" s="445" t="str">
        <f aca="false">IF(A73="N/A"," ",(VLOOKUP($A73,InterestRatesTable,2)))</f>
        <v> </v>
      </c>
      <c r="AF73" s="386" t="n">
        <v>38657</v>
      </c>
      <c r="AG73" s="376" t="n">
        <v>21</v>
      </c>
      <c r="AH73" s="376" t="n">
        <v>4</v>
      </c>
      <c r="AI73" s="376" t="n">
        <v>5</v>
      </c>
      <c r="AJ73" s="376" t="n">
        <v>1</v>
      </c>
      <c r="AK73" s="376" t="n">
        <v>30</v>
      </c>
    </row>
    <row r="74" customFormat="false" ht="12.75" hidden="false" customHeight="false" outlineLevel="0" collapsed="false">
      <c r="A74" s="434" t="str">
        <f aca="false">Calculations!A39</f>
        <v>N/A</v>
      </c>
      <c r="B74" s="435" t="str">
        <f aca="false">IF(A74="N/A"," ",IF(ISERROR(P74),B62*Pwresc,P74)*VLOOKUP(MONTH(A74),Curveadj,3))</f>
        <v> </v>
      </c>
      <c r="C74" s="436" t="str">
        <f aca="false">IF(A74="N/A"," ",IF(ISERROR(Q74),C62*Pwresc,Q74)*VLOOKUP(MONTH(A74),Curveadj,3))</f>
        <v> </v>
      </c>
      <c r="D74" s="437" t="str">
        <f aca="false">IF(A74="N/A"," ",IF(ISERROR(R74),D62*Pwresc,R74)*VLOOKUP(MONTH(A74),Curveadj,3))</f>
        <v> </v>
      </c>
      <c r="E74" s="438" t="str">
        <f aca="false">IF(A74="N/A"," ",IF(Scalers=1,(IF(AND(Dynamic=1,MONTH(A74)&gt;=6,MONTH(A74)&lt;=8,OR($O$37="REGION 2",$O$37="REGION 2A",$O$37="REGION 2B",$O$37="REGION 3",$O$37="REGION 3A",$O$37="REGION 3B",$O$37="REGION 3C",$O$37="REGION 4",$O$37="REGION 4B",$O$37="REGION 4C",$O$37="REGION 5",$O$37="REGION 5A")),((0.059228/(B74/100))-(0.4980013/(SQRT(B74/100)))+2.137988),HLOOKUP(MONTH(A74),ScalarTable,28))),1))</f>
        <v> </v>
      </c>
      <c r="F74" s="439" t="str">
        <f aca="false">IF(A74="N/A"," ",B74*E74)</f>
        <v> </v>
      </c>
      <c r="G74" s="439" t="str">
        <f aca="false">IF(A74="N/A"," ",C74*E74)</f>
        <v> </v>
      </c>
      <c r="H74" s="440" t="str">
        <f aca="false">IF(A74="N/A"," ",D74*E74)</f>
        <v> </v>
      </c>
      <c r="I74" s="402" t="str">
        <f aca="false">IF(A74="N/A"," ",2-E74)</f>
        <v> </v>
      </c>
      <c r="J74" s="439" t="str">
        <f aca="false">IF(A74="N/A"," ",B74*I74)</f>
        <v> </v>
      </c>
      <c r="K74" s="439" t="str">
        <f aca="false">IF(A74="N/A"," ",C74*I74)</f>
        <v> </v>
      </c>
      <c r="L74" s="440" t="str">
        <f aca="false">IF(A74="N/A"," ",D74*I74)</f>
        <v> </v>
      </c>
      <c r="M74" s="441" t="str">
        <f aca="false">IF(A74="N/A"," ",IF(ISERROR(S74),M62*Pwresc,S74))</f>
        <v> </v>
      </c>
      <c r="N74" s="442" t="str">
        <f aca="false">IF(A74="N/A"," ",SUM(T74:X74))</f>
        <v> </v>
      </c>
      <c r="O74" s="370"/>
      <c r="P74" s="436" t="str">
        <f aca="false">IF(A74="N/A"," ",VLOOKUP(A74,PeakPowerCurves,(IF(BMO=2,3,IF(BMO=1,2,4))),FALSE())+Inputs!N57)</f>
        <v> </v>
      </c>
      <c r="Q74" s="436" t="str">
        <f aca="false">IF(A74="N/A"," ",VLOOKUP(A74,SatSunPeakPwr,(IF(BMO=2,3,IF(BMO=1,2,4))),FALSE())+Inputs!$N$23)</f>
        <v> </v>
      </c>
      <c r="R74" s="436" t="str">
        <f aca="false">IF(A74="N/A"," ",VLOOKUP(A74,SatSunPeakPwr,(IF(BMO=2,7,IF(BMO=1,6,8))),FALSE())+Inputs!$N$23)</f>
        <v> </v>
      </c>
      <c r="S74" s="443" t="str">
        <f aca="false">IF(A74="N/A"," ",(VLOOKUP(A74,OPPowerPrices,(IF(BMO=2,7,IF(BMO=1,6,8))),FALSE())+Inputs!$N$23))</f>
        <v> </v>
      </c>
      <c r="T74" s="444" t="str">
        <f aca="false">IF(A74="N/A"," ",(VLOOKUP(A74,GasCurves,9,FALSE()))+IF(BMO=1,Gasbmo,IF(BMO=3,-Gasbmo,0)))</f>
        <v> </v>
      </c>
      <c r="U74" s="444" t="str">
        <f aca="false">IF(A74="N/A"," ",IF(Basischeck=TRUE(),(VLOOKUP(A74,GasCurves,IF(MONTH(A74)&gt;=4,IF(MONTH(A74)&lt;=10,11,12),12),FALSE())),0))</f>
        <v> </v>
      </c>
      <c r="V74" s="444" t="str">
        <f aca="false">IF(A74="N/A"," ",IF(Indexcheck=TRUE(),(IF(MONTH(A74)&gt;=4,IF(MONTH(A74)&lt;=10,VLOOKUP(A74,'Gas Curves'!B52:O412,13),VLOOKUP(A74,'Gas Curves'!B52:O412,14)),VLOOKUP(A74,'Gas Curves'!B52:O412,14))),0))</f>
        <v> </v>
      </c>
      <c r="W74" s="444" t="str">
        <f aca="false">IF(A74="N/A"," ",((SUM(T74:V74))/(1-Inputs!$S$11)-(SUM(T74:V74))))</f>
        <v> </v>
      </c>
      <c r="X74" s="444" t="str">
        <f aca="false">IF(A74="N/A"," ",(IF(MONTH(A74)&gt;=4,IF(MONTH(A74)&lt;=10,Inputs!$S$9,Inputs!$S$10),Inputs!$S$10)))</f>
        <v> </v>
      </c>
      <c r="Y74" s="445" t="str">
        <f aca="false">IF(A74="N/A"," ",(VLOOKUP($A74,InterestRatesTable,2)))</f>
        <v> </v>
      </c>
      <c r="AF74" s="386" t="n">
        <v>38687</v>
      </c>
      <c r="AG74" s="376" t="n">
        <v>21</v>
      </c>
      <c r="AH74" s="376" t="n">
        <v>5</v>
      </c>
      <c r="AI74" s="376" t="n">
        <v>5</v>
      </c>
      <c r="AJ74" s="376" t="n">
        <v>1</v>
      </c>
      <c r="AK74" s="376" t="n">
        <v>31</v>
      </c>
    </row>
    <row r="75" customFormat="false" ht="12.75" hidden="false" customHeight="false" outlineLevel="0" collapsed="false">
      <c r="A75" s="434" t="str">
        <f aca="false">Calculations!A40</f>
        <v>N/A</v>
      </c>
      <c r="B75" s="435" t="str">
        <f aca="false">IF(A75="N/A"," ",IF(ISERROR(P75),B63*Pwresc,P75)*VLOOKUP(MONTH(A75),Curveadj,3))</f>
        <v> </v>
      </c>
      <c r="C75" s="436" t="str">
        <f aca="false">IF(A75="N/A"," ",IF(ISERROR(Q75),C63*Pwresc,Q75)*VLOOKUP(MONTH(A75),Curveadj,3))</f>
        <v> </v>
      </c>
      <c r="D75" s="437" t="str">
        <f aca="false">IF(A75="N/A"," ",IF(ISERROR(R75),D63*Pwresc,R75)*VLOOKUP(MONTH(A75),Curveadj,3))</f>
        <v> </v>
      </c>
      <c r="E75" s="438" t="str">
        <f aca="false">IF(A75="N/A"," ",IF(Scalers=1,(IF(AND(Dynamic=1,MONTH(A75)&gt;=6,MONTH(A75)&lt;=8,OR($O$37="REGION 2",$O$37="REGION 2A",$O$37="REGION 2B",$O$37="REGION 3",$O$37="REGION 3A",$O$37="REGION 3B",$O$37="REGION 3C",$O$37="REGION 4",$O$37="REGION 4B",$O$37="REGION 4C",$O$37="REGION 5",$O$37="REGION 5A")),((0.059228/(B75/100))-(0.4980013/(SQRT(B75/100)))+2.137988),HLOOKUP(MONTH(A75),ScalarTable,28))),1))</f>
        <v> </v>
      </c>
      <c r="F75" s="439" t="str">
        <f aca="false">IF(A75="N/A"," ",B75*E75)</f>
        <v> </v>
      </c>
      <c r="G75" s="439" t="str">
        <f aca="false">IF(A75="N/A"," ",C75*E75)</f>
        <v> </v>
      </c>
      <c r="H75" s="440" t="str">
        <f aca="false">IF(A75="N/A"," ",D75*E75)</f>
        <v> </v>
      </c>
      <c r="I75" s="402" t="str">
        <f aca="false">IF(A75="N/A"," ",2-E75)</f>
        <v> </v>
      </c>
      <c r="J75" s="439" t="str">
        <f aca="false">IF(A75="N/A"," ",B75*I75)</f>
        <v> </v>
      </c>
      <c r="K75" s="439" t="str">
        <f aca="false">IF(A75="N/A"," ",C75*I75)</f>
        <v> </v>
      </c>
      <c r="L75" s="440" t="str">
        <f aca="false">IF(A75="N/A"," ",D75*I75)</f>
        <v> </v>
      </c>
      <c r="M75" s="441" t="str">
        <f aca="false">IF(A75="N/A"," ",IF(ISERROR(S75),M63*Pwresc,S75))</f>
        <v> </v>
      </c>
      <c r="N75" s="442" t="str">
        <f aca="false">IF(A75="N/A"," ",SUM(T75:X75))</f>
        <v> </v>
      </c>
      <c r="O75" s="370"/>
      <c r="P75" s="436" t="str">
        <f aca="false">IF(A75="N/A"," ",VLOOKUP(A75,PeakPowerCurves,(IF(BMO=2,3,IF(BMO=1,2,4))),FALSE())+Inputs!N58)</f>
        <v> </v>
      </c>
      <c r="Q75" s="436" t="str">
        <f aca="false">IF(A75="N/A"," ",VLOOKUP(A75,SatSunPeakPwr,(IF(BMO=2,3,IF(BMO=1,2,4))),FALSE())+Inputs!$N$23)</f>
        <v> </v>
      </c>
      <c r="R75" s="436" t="str">
        <f aca="false">IF(A75="N/A"," ",VLOOKUP(A75,SatSunPeakPwr,(IF(BMO=2,7,IF(BMO=1,6,8))),FALSE())+Inputs!$N$23)</f>
        <v> </v>
      </c>
      <c r="S75" s="443" t="str">
        <f aca="false">IF(A75="N/A"," ",(VLOOKUP(A75,OPPowerPrices,(IF(BMO=2,7,IF(BMO=1,6,8))),FALSE())+Inputs!$N$23))</f>
        <v> </v>
      </c>
      <c r="T75" s="444" t="str">
        <f aca="false">IF(A75="N/A"," ",(VLOOKUP(A75,GasCurves,9,FALSE()))+IF(BMO=1,Gasbmo,IF(BMO=3,-Gasbmo,0)))</f>
        <v> </v>
      </c>
      <c r="U75" s="444" t="str">
        <f aca="false">IF(A75="N/A"," ",IF(Basischeck=TRUE(),(VLOOKUP(A75,GasCurves,IF(MONTH(A75)&gt;=4,IF(MONTH(A75)&lt;=10,11,12),12),FALSE())),0))</f>
        <v> </v>
      </c>
      <c r="V75" s="444" t="str">
        <f aca="false">IF(A75="N/A"," ",IF(Indexcheck=TRUE(),(IF(MONTH(A75)&gt;=4,IF(MONTH(A75)&lt;=10,VLOOKUP(A75,'Gas Curves'!B53:O413,13),VLOOKUP(A75,'Gas Curves'!B53:O413,14)),VLOOKUP(A75,'Gas Curves'!B53:O413,14))),0))</f>
        <v> </v>
      </c>
      <c r="W75" s="444" t="str">
        <f aca="false">IF(A75="N/A"," ",((SUM(T75:V75))/(1-Inputs!$S$11)-(SUM(T75:V75))))</f>
        <v> </v>
      </c>
      <c r="X75" s="444" t="str">
        <f aca="false">IF(A75="N/A"," ",(IF(MONTH(A75)&gt;=4,IF(MONTH(A75)&lt;=10,Inputs!$S$9,Inputs!$S$10),Inputs!$S$10)))</f>
        <v> </v>
      </c>
      <c r="Y75" s="445" t="str">
        <f aca="false">IF(A75="N/A"," ",(VLOOKUP($A75,InterestRatesTable,2)))</f>
        <v> </v>
      </c>
      <c r="AF75" s="386" t="n">
        <v>38718</v>
      </c>
      <c r="AG75" s="376" t="n">
        <v>21</v>
      </c>
      <c r="AH75" s="376" t="n">
        <v>4</v>
      </c>
      <c r="AI75" s="376" t="n">
        <v>6</v>
      </c>
      <c r="AJ75" s="376" t="n">
        <v>1</v>
      </c>
      <c r="AK75" s="376" t="n">
        <v>31</v>
      </c>
    </row>
    <row r="76" customFormat="false" ht="12.75" hidden="false" customHeight="false" outlineLevel="0" collapsed="false">
      <c r="A76" s="434" t="str">
        <f aca="false">Calculations!A41</f>
        <v>N/A</v>
      </c>
      <c r="B76" s="435" t="str">
        <f aca="false">IF(A76="N/A"," ",IF(ISERROR(P76),B64*Pwresc,P76)*VLOOKUP(MONTH(A76),Curveadj,3))</f>
        <v> </v>
      </c>
      <c r="C76" s="436" t="str">
        <f aca="false">IF(A76="N/A"," ",IF(ISERROR(Q76),C64*Pwresc,Q76)*VLOOKUP(MONTH(A76),Curveadj,3))</f>
        <v> </v>
      </c>
      <c r="D76" s="437" t="str">
        <f aca="false">IF(A76="N/A"," ",IF(ISERROR(R76),D64*Pwresc,R76)*VLOOKUP(MONTH(A76),Curveadj,3))</f>
        <v> </v>
      </c>
      <c r="E76" s="438" t="str">
        <f aca="false">IF(A76="N/A"," ",IF(Scalers=1,(IF(AND(Dynamic=1,MONTH(A76)&gt;=6,MONTH(A76)&lt;=8,OR($O$37="REGION 2",$O$37="REGION 2A",$O$37="REGION 2B",$O$37="REGION 3",$O$37="REGION 3A",$O$37="REGION 3B",$O$37="REGION 3C",$O$37="REGION 4",$O$37="REGION 4B",$O$37="REGION 4C",$O$37="REGION 5",$O$37="REGION 5A")),((0.059228/(B76/100))-(0.4980013/(SQRT(B76/100)))+2.137988),HLOOKUP(MONTH(A76),ScalarTable,28))),1))</f>
        <v> </v>
      </c>
      <c r="F76" s="439" t="str">
        <f aca="false">IF(A76="N/A"," ",B76*E76)</f>
        <v> </v>
      </c>
      <c r="G76" s="439" t="str">
        <f aca="false">IF(A76="N/A"," ",C76*E76)</f>
        <v> </v>
      </c>
      <c r="H76" s="440" t="str">
        <f aca="false">IF(A76="N/A"," ",D76*E76)</f>
        <v> </v>
      </c>
      <c r="I76" s="402" t="str">
        <f aca="false">IF(A76="N/A"," ",2-E76)</f>
        <v> </v>
      </c>
      <c r="J76" s="439" t="str">
        <f aca="false">IF(A76="N/A"," ",B76*I76)</f>
        <v> </v>
      </c>
      <c r="K76" s="439" t="str">
        <f aca="false">IF(A76="N/A"," ",C76*I76)</f>
        <v> </v>
      </c>
      <c r="L76" s="440" t="str">
        <f aca="false">IF(A76="N/A"," ",D76*I76)</f>
        <v> </v>
      </c>
      <c r="M76" s="441" t="str">
        <f aca="false">IF(A76="N/A"," ",IF(ISERROR(S76),M64*Pwresc,S76))</f>
        <v> </v>
      </c>
      <c r="N76" s="442" t="str">
        <f aca="false">IF(A76="N/A"," ",SUM(T76:X76))</f>
        <v> </v>
      </c>
      <c r="O76" s="370"/>
      <c r="P76" s="436" t="str">
        <f aca="false">IF(A76="N/A"," ",VLOOKUP(A76,PeakPowerCurves,(IF(BMO=2,3,IF(BMO=1,2,4))),FALSE())+Inputs!N59)</f>
        <v> </v>
      </c>
      <c r="Q76" s="436" t="str">
        <f aca="false">IF(A76="N/A"," ",VLOOKUP(A76,SatSunPeakPwr,(IF(BMO=2,3,IF(BMO=1,2,4))),FALSE())+Inputs!$N$23)</f>
        <v> </v>
      </c>
      <c r="R76" s="436" t="str">
        <f aca="false">IF(A76="N/A"," ",VLOOKUP(A76,SatSunPeakPwr,(IF(BMO=2,7,IF(BMO=1,6,8))),FALSE())+Inputs!$N$23)</f>
        <v> </v>
      </c>
      <c r="S76" s="443" t="str">
        <f aca="false">IF(A76="N/A"," ",(VLOOKUP(A76,OPPowerPrices,(IF(BMO=2,7,IF(BMO=1,6,8))),FALSE())+Inputs!$N$23))</f>
        <v> </v>
      </c>
      <c r="T76" s="444" t="str">
        <f aca="false">IF(A76="N/A"," ",(VLOOKUP(A76,GasCurves,9,FALSE()))+IF(BMO=1,Gasbmo,IF(BMO=3,-Gasbmo,0)))</f>
        <v> </v>
      </c>
      <c r="U76" s="444" t="str">
        <f aca="false">IF(A76="N/A"," ",IF(Basischeck=TRUE(),(VLOOKUP(A76,GasCurves,IF(MONTH(A76)&gt;=4,IF(MONTH(A76)&lt;=10,11,12),12),FALSE())),0))</f>
        <v> </v>
      </c>
      <c r="V76" s="444" t="str">
        <f aca="false">IF(A76="N/A"," ",IF(Indexcheck=TRUE(),(IF(MONTH(A76)&gt;=4,IF(MONTH(A76)&lt;=10,VLOOKUP(A76,'Gas Curves'!B54:O414,13),VLOOKUP(A76,'Gas Curves'!B54:O414,14)),VLOOKUP(A76,'Gas Curves'!B54:O414,14))),0))</f>
        <v> </v>
      </c>
      <c r="W76" s="444" t="str">
        <f aca="false">IF(A76="N/A"," ",((SUM(T76:V76))/(1-Inputs!$S$11)-(SUM(T76:V76))))</f>
        <v> </v>
      </c>
      <c r="X76" s="444" t="str">
        <f aca="false">IF(A76="N/A"," ",(IF(MONTH(A76)&gt;=4,IF(MONTH(A76)&lt;=10,Inputs!$S$9,Inputs!$S$10),Inputs!$S$10)))</f>
        <v> </v>
      </c>
      <c r="Y76" s="445" t="str">
        <f aca="false">IF(A76="N/A"," ",(VLOOKUP($A76,InterestRatesTable,2)))</f>
        <v> </v>
      </c>
      <c r="AF76" s="386" t="n">
        <v>38749</v>
      </c>
      <c r="AG76" s="376" t="n">
        <v>20</v>
      </c>
      <c r="AH76" s="376" t="n">
        <v>4</v>
      </c>
      <c r="AI76" s="376" t="n">
        <v>4</v>
      </c>
      <c r="AJ76" s="376" t="n">
        <v>0</v>
      </c>
      <c r="AK76" s="376" t="n">
        <v>28</v>
      </c>
    </row>
    <row r="77" customFormat="false" ht="12.75" hidden="false" customHeight="false" outlineLevel="0" collapsed="false">
      <c r="A77" s="434" t="str">
        <f aca="false">Calculations!A42</f>
        <v>N/A</v>
      </c>
      <c r="B77" s="435" t="str">
        <f aca="false">IF(A77="N/A"," ",IF(ISERROR(P77),B65*Pwresc,P77)*VLOOKUP(MONTH(A77),Curveadj,3))</f>
        <v> </v>
      </c>
      <c r="C77" s="436" t="str">
        <f aca="false">IF(A77="N/A"," ",IF(ISERROR(Q77),C65*Pwresc,Q77)*VLOOKUP(MONTH(A77),Curveadj,3))</f>
        <v> </v>
      </c>
      <c r="D77" s="437" t="str">
        <f aca="false">IF(A77="N/A"," ",IF(ISERROR(R77),D65*Pwresc,R77)*VLOOKUP(MONTH(A77),Curveadj,3))</f>
        <v> </v>
      </c>
      <c r="E77" s="438" t="str">
        <f aca="false">IF(A77="N/A"," ",IF(Scalers=1,(IF(AND(Dynamic=1,MONTH(A77)&gt;=6,MONTH(A77)&lt;=8,OR($O$37="REGION 2",$O$37="REGION 2A",$O$37="REGION 2B",$O$37="REGION 3",$O$37="REGION 3A",$O$37="REGION 3B",$O$37="REGION 3C",$O$37="REGION 4",$O$37="REGION 4B",$O$37="REGION 4C",$O$37="REGION 5",$O$37="REGION 5A")),((0.059228/(B77/100))-(0.4980013/(SQRT(B77/100)))+2.137988),HLOOKUP(MONTH(A77),ScalarTable,28))),1))</f>
        <v> </v>
      </c>
      <c r="F77" s="439" t="str">
        <f aca="false">IF(A77="N/A"," ",B77*E77)</f>
        <v> </v>
      </c>
      <c r="G77" s="439" t="str">
        <f aca="false">IF(A77="N/A"," ",C77*E77)</f>
        <v> </v>
      </c>
      <c r="H77" s="440" t="str">
        <f aca="false">IF(A77="N/A"," ",D77*E77)</f>
        <v> </v>
      </c>
      <c r="I77" s="402" t="str">
        <f aca="false">IF(A77="N/A"," ",2-E77)</f>
        <v> </v>
      </c>
      <c r="J77" s="439" t="str">
        <f aca="false">IF(A77="N/A"," ",B77*I77)</f>
        <v> </v>
      </c>
      <c r="K77" s="439" t="str">
        <f aca="false">IF(A77="N/A"," ",C77*I77)</f>
        <v> </v>
      </c>
      <c r="L77" s="440" t="str">
        <f aca="false">IF(A77="N/A"," ",D77*I77)</f>
        <v> </v>
      </c>
      <c r="M77" s="441" t="str">
        <f aca="false">IF(A77="N/A"," ",IF(ISERROR(S77),M65*Pwresc,S77))</f>
        <v> </v>
      </c>
      <c r="N77" s="442" t="str">
        <f aca="false">IF(A77="N/A"," ",SUM(T77:X77))</f>
        <v> </v>
      </c>
      <c r="O77" s="370"/>
      <c r="P77" s="436" t="str">
        <f aca="false">IF(A77="N/A"," ",VLOOKUP(A77,PeakPowerCurves,(IF(BMO=2,3,IF(BMO=1,2,4))),FALSE())+Inputs!N60)</f>
        <v> </v>
      </c>
      <c r="Q77" s="436" t="str">
        <f aca="false">IF(A77="N/A"," ",VLOOKUP(A77,SatSunPeakPwr,(IF(BMO=2,3,IF(BMO=1,2,4))),FALSE())+Inputs!$N$23)</f>
        <v> </v>
      </c>
      <c r="R77" s="436" t="str">
        <f aca="false">IF(A77="N/A"," ",VLOOKUP(A77,SatSunPeakPwr,(IF(BMO=2,7,IF(BMO=1,6,8))),FALSE())+Inputs!$N$23)</f>
        <v> </v>
      </c>
      <c r="S77" s="443" t="str">
        <f aca="false">IF(A77="N/A"," ",(VLOOKUP(A77,OPPowerPrices,(IF(BMO=2,7,IF(BMO=1,6,8))),FALSE())+Inputs!$N$23))</f>
        <v> </v>
      </c>
      <c r="T77" s="444" t="str">
        <f aca="false">IF(A77="N/A"," ",(VLOOKUP(A77,GasCurves,9,FALSE()))+IF(BMO=1,Gasbmo,IF(BMO=3,-Gasbmo,0)))</f>
        <v> </v>
      </c>
      <c r="U77" s="444" t="str">
        <f aca="false">IF(A77="N/A"," ",IF(Basischeck=TRUE(),(VLOOKUP(A77,GasCurves,IF(MONTH(A77)&gt;=4,IF(MONTH(A77)&lt;=10,11,12),12),FALSE())),0))</f>
        <v> </v>
      </c>
      <c r="V77" s="444" t="str">
        <f aca="false">IF(A77="N/A"," ",IF(Indexcheck=TRUE(),(IF(MONTH(A77)&gt;=4,IF(MONTH(A77)&lt;=10,VLOOKUP(A77,'Gas Curves'!B55:O415,13),VLOOKUP(A77,'Gas Curves'!B55:O415,14)),VLOOKUP(A77,'Gas Curves'!B55:O415,14))),0))</f>
        <v> </v>
      </c>
      <c r="W77" s="444" t="str">
        <f aca="false">IF(A77="N/A"," ",((SUM(T77:V77))/(1-Inputs!$S$11)-(SUM(T77:V77))))</f>
        <v> </v>
      </c>
      <c r="X77" s="444" t="str">
        <f aca="false">IF(A77="N/A"," ",(IF(MONTH(A77)&gt;=4,IF(MONTH(A77)&lt;=10,Inputs!$S$9,Inputs!$S$10),Inputs!$S$10)))</f>
        <v> </v>
      </c>
      <c r="Y77" s="445" t="str">
        <f aca="false">IF(A77="N/A"," ",(VLOOKUP($A77,InterestRatesTable,2)))</f>
        <v> </v>
      </c>
      <c r="AF77" s="386" t="n">
        <v>38777</v>
      </c>
      <c r="AG77" s="376" t="n">
        <v>23</v>
      </c>
      <c r="AH77" s="376" t="n">
        <v>4</v>
      </c>
      <c r="AI77" s="376" t="n">
        <v>4</v>
      </c>
      <c r="AJ77" s="376" t="n">
        <v>0</v>
      </c>
      <c r="AK77" s="376" t="n">
        <v>31</v>
      </c>
    </row>
    <row r="78" customFormat="false" ht="12.75" hidden="false" customHeight="false" outlineLevel="0" collapsed="false">
      <c r="A78" s="434" t="str">
        <f aca="false">Calculations!A43</f>
        <v>N/A</v>
      </c>
      <c r="B78" s="435" t="str">
        <f aca="false">IF(A78="N/A"," ",IF(ISERROR(P78),B66*Pwresc,P78)*VLOOKUP(MONTH(A78),Curveadj,3))</f>
        <v> </v>
      </c>
      <c r="C78" s="436" t="str">
        <f aca="false">IF(A78="N/A"," ",IF(ISERROR(Q78),C66*Pwresc,Q78)*VLOOKUP(MONTH(A78),Curveadj,3))</f>
        <v> </v>
      </c>
      <c r="D78" s="437" t="str">
        <f aca="false">IF(A78="N/A"," ",IF(ISERROR(R78),D66*Pwresc,R78)*VLOOKUP(MONTH(A78),Curveadj,3))</f>
        <v> </v>
      </c>
      <c r="E78" s="438" t="str">
        <f aca="false">IF(A78="N/A"," ",IF(Scalers=1,(IF(AND(Dynamic=1,MONTH(A78)&gt;=6,MONTH(A78)&lt;=8,OR($O$37="REGION 2",$O$37="REGION 2A",$O$37="REGION 2B",$O$37="REGION 3",$O$37="REGION 3A",$O$37="REGION 3B",$O$37="REGION 3C",$O$37="REGION 4",$O$37="REGION 4B",$O$37="REGION 4C",$O$37="REGION 5",$O$37="REGION 5A")),((0.059228/(B78/100))-(0.4980013/(SQRT(B78/100)))+2.137988),HLOOKUP(MONTH(A78),ScalarTable,28))),1))</f>
        <v> </v>
      </c>
      <c r="F78" s="439" t="str">
        <f aca="false">IF(A78="N/A"," ",B78*E78)</f>
        <v> </v>
      </c>
      <c r="G78" s="439" t="str">
        <f aca="false">IF(A78="N/A"," ",C78*E78)</f>
        <v> </v>
      </c>
      <c r="H78" s="440" t="str">
        <f aca="false">IF(A78="N/A"," ",D78*E78)</f>
        <v> </v>
      </c>
      <c r="I78" s="402" t="str">
        <f aca="false">IF(A78="N/A"," ",2-E78)</f>
        <v> </v>
      </c>
      <c r="J78" s="439" t="str">
        <f aca="false">IF(A78="N/A"," ",B78*I78)</f>
        <v> </v>
      </c>
      <c r="K78" s="439" t="str">
        <f aca="false">IF(A78="N/A"," ",C78*I78)</f>
        <v> </v>
      </c>
      <c r="L78" s="440" t="str">
        <f aca="false">IF(A78="N/A"," ",D78*I78)</f>
        <v> </v>
      </c>
      <c r="M78" s="441" t="str">
        <f aca="false">IF(A78="N/A"," ",IF(ISERROR(S78),M66*Pwresc,S78))</f>
        <v> </v>
      </c>
      <c r="N78" s="442" t="str">
        <f aca="false">IF(A78="N/A"," ",SUM(T78:X78))</f>
        <v> </v>
      </c>
      <c r="O78" s="370"/>
      <c r="P78" s="436" t="str">
        <f aca="false">IF(A78="N/A"," ",VLOOKUP(A78,PeakPowerCurves,(IF(BMO=2,3,IF(BMO=1,2,4))),FALSE())+Inputs!N61)</f>
        <v> </v>
      </c>
      <c r="Q78" s="436" t="str">
        <f aca="false">IF(A78="N/A"," ",VLOOKUP(A78,SatSunPeakPwr,(IF(BMO=2,3,IF(BMO=1,2,4))),FALSE())+Inputs!$N$23)</f>
        <v> </v>
      </c>
      <c r="R78" s="436" t="str">
        <f aca="false">IF(A78="N/A"," ",VLOOKUP(A78,SatSunPeakPwr,(IF(BMO=2,7,IF(BMO=1,6,8))),FALSE())+Inputs!$N$23)</f>
        <v> </v>
      </c>
      <c r="S78" s="443" t="str">
        <f aca="false">IF(A78="N/A"," ",(VLOOKUP(A78,OPPowerPrices,(IF(BMO=2,7,IF(BMO=1,6,8))),FALSE())+Inputs!$N$23))</f>
        <v> </v>
      </c>
      <c r="T78" s="444" t="str">
        <f aca="false">IF(A78="N/A"," ",(VLOOKUP(A78,GasCurves,9,FALSE()))+IF(BMO=1,Gasbmo,IF(BMO=3,-Gasbmo,0)))</f>
        <v> </v>
      </c>
      <c r="U78" s="444" t="str">
        <f aca="false">IF(A78="N/A"," ",IF(Basischeck=TRUE(),(VLOOKUP(A78,GasCurves,IF(MONTH(A78)&gt;=4,IF(MONTH(A78)&lt;=10,11,12),12),FALSE())),0))</f>
        <v> </v>
      </c>
      <c r="V78" s="444" t="str">
        <f aca="false">IF(A78="N/A"," ",IF(Indexcheck=TRUE(),(IF(MONTH(A78)&gt;=4,IF(MONTH(A78)&lt;=10,VLOOKUP(A78,'Gas Curves'!B56:O416,13),VLOOKUP(A78,'Gas Curves'!B56:O416,14)),VLOOKUP(A78,'Gas Curves'!B56:O416,14))),0))</f>
        <v> </v>
      </c>
      <c r="W78" s="444" t="str">
        <f aca="false">IF(A78="N/A"," ",((SUM(T78:V78))/(1-Inputs!$S$11)-(SUM(T78:V78))))</f>
        <v> </v>
      </c>
      <c r="X78" s="444" t="str">
        <f aca="false">IF(A78="N/A"," ",(IF(MONTH(A78)&gt;=4,IF(MONTH(A78)&lt;=10,Inputs!$S$9,Inputs!$S$10),Inputs!$S$10)))</f>
        <v> </v>
      </c>
      <c r="Y78" s="445" t="str">
        <f aca="false">IF(A78="N/A"," ",(VLOOKUP($A78,InterestRatesTable,2)))</f>
        <v> </v>
      </c>
      <c r="AF78" s="386" t="n">
        <v>38808</v>
      </c>
      <c r="AG78" s="376" t="n">
        <v>20</v>
      </c>
      <c r="AH78" s="376" t="n">
        <v>5</v>
      </c>
      <c r="AI78" s="376" t="n">
        <v>5</v>
      </c>
      <c r="AJ78" s="376" t="n">
        <v>0</v>
      </c>
      <c r="AK78" s="376" t="n">
        <v>30</v>
      </c>
    </row>
    <row r="79" customFormat="false" ht="12.75" hidden="false" customHeight="false" outlineLevel="0" collapsed="false">
      <c r="A79" s="434" t="str">
        <f aca="false">Calculations!A44</f>
        <v>N/A</v>
      </c>
      <c r="B79" s="435" t="str">
        <f aca="false">IF(A79="N/A"," ",IF(ISERROR(P79),B67*Pwresc,P79)*VLOOKUP(MONTH(A79),Curveadj,3))</f>
        <v> </v>
      </c>
      <c r="C79" s="436" t="str">
        <f aca="false">IF(A79="N/A"," ",IF(ISERROR(Q79),C67*Pwresc,Q79)*VLOOKUP(MONTH(A79),Curveadj,3))</f>
        <v> </v>
      </c>
      <c r="D79" s="437" t="str">
        <f aca="false">IF(A79="N/A"," ",IF(ISERROR(R79),D67*Pwresc,R79)*VLOOKUP(MONTH(A79),Curveadj,3))</f>
        <v> </v>
      </c>
      <c r="E79" s="438" t="str">
        <f aca="false">IF(A79="N/A"," ",IF(Scalers=1,(IF(AND(Dynamic=1,MONTH(A79)&gt;=6,MONTH(A79)&lt;=8,OR($O$37="REGION 2",$O$37="REGION 2A",$O$37="REGION 2B",$O$37="REGION 3",$O$37="REGION 3A",$O$37="REGION 3B",$O$37="REGION 3C",$O$37="REGION 4",$O$37="REGION 4B",$O$37="REGION 4C",$O$37="REGION 5",$O$37="REGION 5A")),((0.059228/(B79/100))-(0.4980013/(SQRT(B79/100)))+2.137988),HLOOKUP(MONTH(A79),ScalarTable,28))),1))</f>
        <v> </v>
      </c>
      <c r="F79" s="439" t="str">
        <f aca="false">IF(A79="N/A"," ",B79*E79)</f>
        <v> </v>
      </c>
      <c r="G79" s="439" t="str">
        <f aca="false">IF(A79="N/A"," ",C79*E79)</f>
        <v> </v>
      </c>
      <c r="H79" s="440" t="str">
        <f aca="false">IF(A79="N/A"," ",D79*E79)</f>
        <v> </v>
      </c>
      <c r="I79" s="402" t="str">
        <f aca="false">IF(A79="N/A"," ",2-E79)</f>
        <v> </v>
      </c>
      <c r="J79" s="439" t="str">
        <f aca="false">IF(A79="N/A"," ",B79*I79)</f>
        <v> </v>
      </c>
      <c r="K79" s="439" t="str">
        <f aca="false">IF(A79="N/A"," ",C79*I79)</f>
        <v> </v>
      </c>
      <c r="L79" s="440" t="str">
        <f aca="false">IF(A79="N/A"," ",D79*I79)</f>
        <v> </v>
      </c>
      <c r="M79" s="441" t="str">
        <f aca="false">IF(A79="N/A"," ",IF(ISERROR(S79),M67*Pwresc,S79))</f>
        <v> </v>
      </c>
      <c r="N79" s="442" t="str">
        <f aca="false">IF(A79="N/A"," ",SUM(T79:X79))</f>
        <v> </v>
      </c>
      <c r="O79" s="370"/>
      <c r="P79" s="436" t="str">
        <f aca="false">IF(A79="N/A"," ",VLOOKUP(A79,PeakPowerCurves,(IF(BMO=2,3,IF(BMO=1,2,4))),FALSE())+Inputs!N62)</f>
        <v> </v>
      </c>
      <c r="Q79" s="436" t="str">
        <f aca="false">IF(A79="N/A"," ",VLOOKUP(A79,SatSunPeakPwr,(IF(BMO=2,3,IF(BMO=1,2,4))),FALSE())+Inputs!$N$23)</f>
        <v> </v>
      </c>
      <c r="R79" s="436" t="str">
        <f aca="false">IF(A79="N/A"," ",VLOOKUP(A79,SatSunPeakPwr,(IF(BMO=2,7,IF(BMO=1,6,8))),FALSE())+Inputs!$N$23)</f>
        <v> </v>
      </c>
      <c r="S79" s="443" t="str">
        <f aca="false">IF(A79="N/A"," ",(VLOOKUP(A79,OPPowerPrices,(IF(BMO=2,7,IF(BMO=1,6,8))),FALSE())+Inputs!$N$23))</f>
        <v> </v>
      </c>
      <c r="T79" s="444" t="str">
        <f aca="false">IF(A79="N/A"," ",(VLOOKUP(A79,GasCurves,9,FALSE()))+IF(BMO=1,Gasbmo,IF(BMO=3,-Gasbmo,0)))</f>
        <v> </v>
      </c>
      <c r="U79" s="444" t="str">
        <f aca="false">IF(A79="N/A"," ",IF(Basischeck=TRUE(),(VLOOKUP(A79,GasCurves,IF(MONTH(A79)&gt;=4,IF(MONTH(A79)&lt;=10,11,12),12),FALSE())),0))</f>
        <v> </v>
      </c>
      <c r="V79" s="444" t="str">
        <f aca="false">IF(A79="N/A"," ",IF(Indexcheck=TRUE(),(IF(MONTH(A79)&gt;=4,IF(MONTH(A79)&lt;=10,VLOOKUP(A79,'Gas Curves'!B57:O417,13),VLOOKUP(A79,'Gas Curves'!B57:O417,14)),VLOOKUP(A79,'Gas Curves'!B57:O417,14))),0))</f>
        <v> </v>
      </c>
      <c r="W79" s="444" t="str">
        <f aca="false">IF(A79="N/A"," ",((SUM(T79:V79))/(1-Inputs!$S$11)-(SUM(T79:V79))))</f>
        <v> </v>
      </c>
      <c r="X79" s="444" t="str">
        <f aca="false">IF(A79="N/A"," ",(IF(MONTH(A79)&gt;=4,IF(MONTH(A79)&lt;=10,Inputs!$S$9,Inputs!$S$10),Inputs!$S$10)))</f>
        <v> </v>
      </c>
      <c r="Y79" s="445" t="str">
        <f aca="false">IF(A79="N/A"," ",(VLOOKUP($A79,InterestRatesTable,2)))</f>
        <v> </v>
      </c>
      <c r="AF79" s="386" t="n">
        <v>38838</v>
      </c>
      <c r="AG79" s="376" t="n">
        <v>22</v>
      </c>
      <c r="AH79" s="376" t="n">
        <v>4</v>
      </c>
      <c r="AI79" s="376" t="n">
        <v>5</v>
      </c>
      <c r="AJ79" s="376" t="n">
        <v>1</v>
      </c>
      <c r="AK79" s="376" t="n">
        <v>31</v>
      </c>
    </row>
    <row r="80" customFormat="false" ht="12.75" hidden="false" customHeight="false" outlineLevel="0" collapsed="false">
      <c r="A80" s="434" t="str">
        <f aca="false">Calculations!A45</f>
        <v>N/A</v>
      </c>
      <c r="B80" s="435" t="str">
        <f aca="false">IF(A80="N/A"," ",IF(ISERROR(P80),B68*Pwresc,P80)*VLOOKUP(MONTH(A80),Curveadj,3))</f>
        <v> </v>
      </c>
      <c r="C80" s="436" t="str">
        <f aca="false">IF(A80="N/A"," ",IF(ISERROR(Q80),C68*Pwresc,Q80)*VLOOKUP(MONTH(A80),Curveadj,3))</f>
        <v> </v>
      </c>
      <c r="D80" s="437" t="str">
        <f aca="false">IF(A80="N/A"," ",IF(ISERROR(R80),D68*Pwresc,R80)*VLOOKUP(MONTH(A80),Curveadj,3))</f>
        <v> </v>
      </c>
      <c r="E80" s="438" t="str">
        <f aca="false">IF(A80="N/A"," ",IF(Scalers=1,(IF(AND(Dynamic=1,MONTH(A80)&gt;=6,MONTH(A80)&lt;=8,OR($O$37="REGION 2",$O$37="REGION 2A",$O$37="REGION 2B",$O$37="REGION 3",$O$37="REGION 3A",$O$37="REGION 3B",$O$37="REGION 3C",$O$37="REGION 4",$O$37="REGION 4B",$O$37="REGION 4C",$O$37="REGION 5",$O$37="REGION 5A")),((0.059228/(B80/100))-(0.4980013/(SQRT(B80/100)))+2.137988),HLOOKUP(MONTH(A80),ScalarTable,28))),1))</f>
        <v> </v>
      </c>
      <c r="F80" s="439" t="str">
        <f aca="false">IF(A80="N/A"," ",B80*E80)</f>
        <v> </v>
      </c>
      <c r="G80" s="439" t="str">
        <f aca="false">IF(A80="N/A"," ",C80*E80)</f>
        <v> </v>
      </c>
      <c r="H80" s="440" t="str">
        <f aca="false">IF(A80="N/A"," ",D80*E80)</f>
        <v> </v>
      </c>
      <c r="I80" s="402" t="str">
        <f aca="false">IF(A80="N/A"," ",2-E80)</f>
        <v> </v>
      </c>
      <c r="J80" s="439" t="str">
        <f aca="false">IF(A80="N/A"," ",B80*I80)</f>
        <v> </v>
      </c>
      <c r="K80" s="439" t="str">
        <f aca="false">IF(A80="N/A"," ",C80*I80)</f>
        <v> </v>
      </c>
      <c r="L80" s="440" t="str">
        <f aca="false">IF(A80="N/A"," ",D80*I80)</f>
        <v> </v>
      </c>
      <c r="M80" s="441" t="str">
        <f aca="false">IF(A80="N/A"," ",IF(ISERROR(S80),M68*Pwresc,S80))</f>
        <v> </v>
      </c>
      <c r="N80" s="442" t="str">
        <f aca="false">IF(A80="N/A"," ",SUM(T80:X80))</f>
        <v> </v>
      </c>
      <c r="O80" s="370"/>
      <c r="P80" s="436" t="str">
        <f aca="false">IF(A80="N/A"," ",VLOOKUP(A80,PeakPowerCurves,(IF(BMO=2,3,IF(BMO=1,2,4))),FALSE())+Inputs!N63)</f>
        <v> </v>
      </c>
      <c r="Q80" s="436" t="str">
        <f aca="false">IF(A80="N/A"," ",VLOOKUP(A80,SatSunPeakPwr,(IF(BMO=2,3,IF(BMO=1,2,4))),FALSE())+Inputs!$N$23)</f>
        <v> </v>
      </c>
      <c r="R80" s="436" t="str">
        <f aca="false">IF(A80="N/A"," ",VLOOKUP(A80,SatSunPeakPwr,(IF(BMO=2,7,IF(BMO=1,6,8))),FALSE())+Inputs!$N$23)</f>
        <v> </v>
      </c>
      <c r="S80" s="443" t="str">
        <f aca="false">IF(A80="N/A"," ",(VLOOKUP(A80,OPPowerPrices,(IF(BMO=2,7,IF(BMO=1,6,8))),FALSE())+Inputs!$N$23))</f>
        <v> </v>
      </c>
      <c r="T80" s="444" t="str">
        <f aca="false">IF(A80="N/A"," ",(VLOOKUP(A80,GasCurves,9,FALSE()))+IF(BMO=1,Gasbmo,IF(BMO=3,-Gasbmo,0)))</f>
        <v> </v>
      </c>
      <c r="U80" s="444" t="str">
        <f aca="false">IF(A80="N/A"," ",IF(Basischeck=TRUE(),(VLOOKUP(A80,GasCurves,IF(MONTH(A80)&gt;=4,IF(MONTH(A80)&lt;=10,11,12),12),FALSE())),0))</f>
        <v> </v>
      </c>
      <c r="V80" s="444" t="str">
        <f aca="false">IF(A80="N/A"," ",IF(Indexcheck=TRUE(),(IF(MONTH(A80)&gt;=4,IF(MONTH(A80)&lt;=10,VLOOKUP(A80,'Gas Curves'!B58:O418,13),VLOOKUP(A80,'Gas Curves'!B58:O418,14)),VLOOKUP(A80,'Gas Curves'!B58:O418,14))),0))</f>
        <v> </v>
      </c>
      <c r="W80" s="444" t="str">
        <f aca="false">IF(A80="N/A"," ",((SUM(T80:V80))/(1-Inputs!$S$11)-(SUM(T80:V80))))</f>
        <v> </v>
      </c>
      <c r="X80" s="444" t="str">
        <f aca="false">IF(A80="N/A"," ",(IF(MONTH(A80)&gt;=4,IF(MONTH(A80)&lt;=10,Inputs!$S$9,Inputs!$S$10),Inputs!$S$10)))</f>
        <v> </v>
      </c>
      <c r="Y80" s="445" t="str">
        <f aca="false">IF(A80="N/A"," ",(VLOOKUP($A80,InterestRatesTable,2)))</f>
        <v> </v>
      </c>
      <c r="AF80" s="386" t="n">
        <v>38869</v>
      </c>
      <c r="AG80" s="376" t="n">
        <v>22</v>
      </c>
      <c r="AH80" s="376" t="n">
        <v>4</v>
      </c>
      <c r="AI80" s="376" t="n">
        <v>4</v>
      </c>
      <c r="AJ80" s="376" t="n">
        <v>0</v>
      </c>
      <c r="AK80" s="376" t="n">
        <v>30</v>
      </c>
    </row>
    <row r="81" customFormat="false" ht="12.75" hidden="false" customHeight="false" outlineLevel="0" collapsed="false">
      <c r="A81" s="434" t="str">
        <f aca="false">Calculations!A46</f>
        <v>N/A</v>
      </c>
      <c r="B81" s="435" t="str">
        <f aca="false">IF(A81="N/A"," ",IF(ISERROR(P81),B69*Pwresc,P81)*VLOOKUP(MONTH(A81),Curveadj,3))</f>
        <v> </v>
      </c>
      <c r="C81" s="436" t="str">
        <f aca="false">IF(A81="N/A"," ",IF(ISERROR(Q81),C69*Pwresc,Q81)*VLOOKUP(MONTH(A81),Curveadj,3))</f>
        <v> </v>
      </c>
      <c r="D81" s="437" t="str">
        <f aca="false">IF(A81="N/A"," ",IF(ISERROR(R81),D69*Pwresc,R81)*VLOOKUP(MONTH(A81),Curveadj,3))</f>
        <v> </v>
      </c>
      <c r="E81" s="438" t="str">
        <f aca="false">IF(A81="N/A"," ",IF(Scalers=1,(IF(AND(Dynamic=1,MONTH(A81)&gt;=6,MONTH(A81)&lt;=8,OR($O$37="REGION 2",$O$37="REGION 2A",$O$37="REGION 2B",$O$37="REGION 3",$O$37="REGION 3A",$O$37="REGION 3B",$O$37="REGION 3C",$O$37="REGION 4",$O$37="REGION 4B",$O$37="REGION 4C",$O$37="REGION 5",$O$37="REGION 5A")),((0.059228/(B81/100))-(0.4980013/(SQRT(B81/100)))+2.137988),HLOOKUP(MONTH(A81),ScalarTable,28))),1))</f>
        <v> </v>
      </c>
      <c r="F81" s="439" t="str">
        <f aca="false">IF(A81="N/A"," ",B81*E81)</f>
        <v> </v>
      </c>
      <c r="G81" s="439" t="str">
        <f aca="false">IF(A81="N/A"," ",C81*E81)</f>
        <v> </v>
      </c>
      <c r="H81" s="440" t="str">
        <f aca="false">IF(A81="N/A"," ",D81*E81)</f>
        <v> </v>
      </c>
      <c r="I81" s="402" t="str">
        <f aca="false">IF(A81="N/A"," ",2-E81)</f>
        <v> </v>
      </c>
      <c r="J81" s="439" t="str">
        <f aca="false">IF(A81="N/A"," ",B81*I81)</f>
        <v> </v>
      </c>
      <c r="K81" s="439" t="str">
        <f aca="false">IF(A81="N/A"," ",C81*I81)</f>
        <v> </v>
      </c>
      <c r="L81" s="440" t="str">
        <f aca="false">IF(A81="N/A"," ",D81*I81)</f>
        <v> </v>
      </c>
      <c r="M81" s="441" t="str">
        <f aca="false">IF(A81="N/A"," ",IF(ISERROR(S81),M69*Pwresc,S81))</f>
        <v> </v>
      </c>
      <c r="N81" s="442" t="str">
        <f aca="false">IF(A81="N/A"," ",SUM(T81:X81))</f>
        <v> </v>
      </c>
      <c r="O81" s="370"/>
      <c r="P81" s="436" t="str">
        <f aca="false">IF(A81="N/A"," ",VLOOKUP(A81,PeakPowerCurves,(IF(BMO=2,3,IF(BMO=1,2,4))),FALSE())+Inputs!N64)</f>
        <v> </v>
      </c>
      <c r="Q81" s="436" t="str">
        <f aca="false">IF(A81="N/A"," ",VLOOKUP(A81,SatSunPeakPwr,(IF(BMO=2,3,IF(BMO=1,2,4))),FALSE())+Inputs!$N$23)</f>
        <v> </v>
      </c>
      <c r="R81" s="436" t="str">
        <f aca="false">IF(A81="N/A"," ",VLOOKUP(A81,SatSunPeakPwr,(IF(BMO=2,7,IF(BMO=1,6,8))),FALSE())+Inputs!$N$23)</f>
        <v> </v>
      </c>
      <c r="S81" s="443" t="str">
        <f aca="false">IF(A81="N/A"," ",(VLOOKUP(A81,OPPowerPrices,(IF(BMO=2,7,IF(BMO=1,6,8))),FALSE())+Inputs!$N$23))</f>
        <v> </v>
      </c>
      <c r="T81" s="444" t="str">
        <f aca="false">IF(A81="N/A"," ",(VLOOKUP(A81,GasCurves,9,FALSE()))+IF(BMO=1,Gasbmo,IF(BMO=3,-Gasbmo,0)))</f>
        <v> </v>
      </c>
      <c r="U81" s="444" t="str">
        <f aca="false">IF(A81="N/A"," ",IF(Basischeck=TRUE(),(VLOOKUP(A81,GasCurves,IF(MONTH(A81)&gt;=4,IF(MONTH(A81)&lt;=10,11,12),12),FALSE())),0))</f>
        <v> </v>
      </c>
      <c r="V81" s="444" t="str">
        <f aca="false">IF(A81="N/A"," ",IF(Indexcheck=TRUE(),(IF(MONTH(A81)&gt;=4,IF(MONTH(A81)&lt;=10,VLOOKUP(A81,'Gas Curves'!B59:O419,13),VLOOKUP(A81,'Gas Curves'!B59:O419,14)),VLOOKUP(A81,'Gas Curves'!B59:O419,14))),0))</f>
        <v> </v>
      </c>
      <c r="W81" s="444" t="str">
        <f aca="false">IF(A81="N/A"," ",((SUM(T81:V81))/(1-Inputs!$S$11)-(SUM(T81:V81))))</f>
        <v> </v>
      </c>
      <c r="X81" s="444" t="str">
        <f aca="false">IF(A81="N/A"," ",(IF(MONTH(A81)&gt;=4,IF(MONTH(A81)&lt;=10,Inputs!$S$9,Inputs!$S$10),Inputs!$S$10)))</f>
        <v> </v>
      </c>
      <c r="Y81" s="445" t="str">
        <f aca="false">IF(A81="N/A"," ",(VLOOKUP($A81,InterestRatesTable,2)))</f>
        <v> </v>
      </c>
      <c r="AF81" s="386" t="n">
        <v>38899</v>
      </c>
      <c r="AG81" s="376" t="n">
        <v>20</v>
      </c>
      <c r="AH81" s="376" t="n">
        <v>5</v>
      </c>
      <c r="AI81" s="376" t="n">
        <v>6</v>
      </c>
      <c r="AJ81" s="376" t="n">
        <v>1</v>
      </c>
      <c r="AK81" s="376" t="n">
        <v>31</v>
      </c>
    </row>
    <row r="82" customFormat="false" ht="12.75" hidden="false" customHeight="false" outlineLevel="0" collapsed="false">
      <c r="A82" s="434" t="str">
        <f aca="false">Calculations!A47</f>
        <v>N/A</v>
      </c>
      <c r="B82" s="435" t="str">
        <f aca="false">IF(A82="N/A"," ",IF(ISERROR(P82),B70*Pwresc,P82)*VLOOKUP(MONTH(A82),Curveadj,3))</f>
        <v> </v>
      </c>
      <c r="C82" s="436" t="str">
        <f aca="false">IF(A82="N/A"," ",IF(ISERROR(Q82),C70*Pwresc,Q82)*VLOOKUP(MONTH(A82),Curveadj,3))</f>
        <v> </v>
      </c>
      <c r="D82" s="437" t="str">
        <f aca="false">IF(A82="N/A"," ",IF(ISERROR(R82),D70*Pwresc,R82)*VLOOKUP(MONTH(A82),Curveadj,3))</f>
        <v> </v>
      </c>
      <c r="E82" s="438" t="str">
        <f aca="false">IF(A82="N/A"," ",IF(Scalers=1,(IF(AND(Dynamic=1,MONTH(A82)&gt;=6,MONTH(A82)&lt;=8,OR($O$37="REGION 2",$O$37="REGION 2A",$O$37="REGION 2B",$O$37="REGION 3",$O$37="REGION 3A",$O$37="REGION 3B",$O$37="REGION 3C",$O$37="REGION 4",$O$37="REGION 4B",$O$37="REGION 4C",$O$37="REGION 5",$O$37="REGION 5A")),((0.059228/(B82/100))-(0.4980013/(SQRT(B82/100)))+2.137988),HLOOKUP(MONTH(A82),ScalarTable,28))),1))</f>
        <v> </v>
      </c>
      <c r="F82" s="439" t="str">
        <f aca="false">IF(A82="N/A"," ",B82*E82)</f>
        <v> </v>
      </c>
      <c r="G82" s="439" t="str">
        <f aca="false">IF(A82="N/A"," ",C82*E82)</f>
        <v> </v>
      </c>
      <c r="H82" s="440" t="str">
        <f aca="false">IF(A82="N/A"," ",D82*E82)</f>
        <v> </v>
      </c>
      <c r="I82" s="402" t="str">
        <f aca="false">IF(A82="N/A"," ",2-E82)</f>
        <v> </v>
      </c>
      <c r="J82" s="439" t="str">
        <f aca="false">IF(A82="N/A"," ",B82*I82)</f>
        <v> </v>
      </c>
      <c r="K82" s="439" t="str">
        <f aca="false">IF(A82="N/A"," ",C82*I82)</f>
        <v> </v>
      </c>
      <c r="L82" s="440" t="str">
        <f aca="false">IF(A82="N/A"," ",D82*I82)</f>
        <v> </v>
      </c>
      <c r="M82" s="441" t="str">
        <f aca="false">IF(A82="N/A"," ",IF(ISERROR(S82),M70*Pwresc,S82))</f>
        <v> </v>
      </c>
      <c r="N82" s="442" t="str">
        <f aca="false">IF(A82="N/A"," ",SUM(T82:X82))</f>
        <v> </v>
      </c>
      <c r="O82" s="370"/>
      <c r="P82" s="436" t="str">
        <f aca="false">IF(A82="N/A"," ",VLOOKUP(A82,PeakPowerCurves,(IF(BMO=2,3,IF(BMO=1,2,4))),FALSE())+Inputs!N65)</f>
        <v> </v>
      </c>
      <c r="Q82" s="436" t="str">
        <f aca="false">IF(A82="N/A"," ",VLOOKUP(A82,SatSunPeakPwr,(IF(BMO=2,3,IF(BMO=1,2,4))),FALSE())+Inputs!$N$23)</f>
        <v> </v>
      </c>
      <c r="R82" s="436" t="str">
        <f aca="false">IF(A82="N/A"," ",VLOOKUP(A82,SatSunPeakPwr,(IF(BMO=2,7,IF(BMO=1,6,8))),FALSE())+Inputs!$N$23)</f>
        <v> </v>
      </c>
      <c r="S82" s="443" t="str">
        <f aca="false">IF(A82="N/A"," ",(VLOOKUP(A82,OPPowerPrices,(IF(BMO=2,7,IF(BMO=1,6,8))),FALSE())+Inputs!$N$23))</f>
        <v> </v>
      </c>
      <c r="T82" s="444" t="str">
        <f aca="false">IF(A82="N/A"," ",(VLOOKUP(A82,GasCurves,9,FALSE()))+IF(BMO=1,Gasbmo,IF(BMO=3,-Gasbmo,0)))</f>
        <v> </v>
      </c>
      <c r="U82" s="444" t="str">
        <f aca="false">IF(A82="N/A"," ",IF(Basischeck=TRUE(),(VLOOKUP(A82,GasCurves,IF(MONTH(A82)&gt;=4,IF(MONTH(A82)&lt;=10,11,12),12),FALSE())),0))</f>
        <v> </v>
      </c>
      <c r="V82" s="444" t="str">
        <f aca="false">IF(A82="N/A"," ",IF(Indexcheck=TRUE(),(IF(MONTH(A82)&gt;=4,IF(MONTH(A82)&lt;=10,VLOOKUP(A82,'Gas Curves'!B60:O420,13),VLOOKUP(A82,'Gas Curves'!B60:O420,14)),VLOOKUP(A82,'Gas Curves'!B60:O420,14))),0))</f>
        <v> </v>
      </c>
      <c r="W82" s="444" t="str">
        <f aca="false">IF(A82="N/A"," ",((SUM(T82:V82))/(1-Inputs!$S$11)-(SUM(T82:V82))))</f>
        <v> </v>
      </c>
      <c r="X82" s="444" t="str">
        <f aca="false">IF(A82="N/A"," ",(IF(MONTH(A82)&gt;=4,IF(MONTH(A82)&lt;=10,Inputs!$S$9,Inputs!$S$10),Inputs!$S$10)))</f>
        <v> </v>
      </c>
      <c r="Y82" s="445" t="str">
        <f aca="false">IF(A82="N/A"," ",(VLOOKUP($A82,InterestRatesTable,2)))</f>
        <v> </v>
      </c>
      <c r="AF82" s="386" t="n">
        <v>38930</v>
      </c>
      <c r="AG82" s="376" t="n">
        <v>23</v>
      </c>
      <c r="AH82" s="376" t="n">
        <v>4</v>
      </c>
      <c r="AI82" s="376" t="n">
        <v>4</v>
      </c>
      <c r="AJ82" s="376" t="n">
        <v>0</v>
      </c>
      <c r="AK82" s="376" t="n">
        <v>31</v>
      </c>
    </row>
    <row r="83" customFormat="false" ht="12.75" hidden="false" customHeight="false" outlineLevel="0" collapsed="false">
      <c r="A83" s="434" t="str">
        <f aca="false">Calculations!A48</f>
        <v>N/A</v>
      </c>
      <c r="B83" s="435" t="str">
        <f aca="false">IF(A83="N/A"," ",IF(ISERROR(P83),B71*Pwresc,P83)*VLOOKUP(MONTH(A83),Curveadj,3))</f>
        <v> </v>
      </c>
      <c r="C83" s="436" t="str">
        <f aca="false">IF(A83="N/A"," ",IF(ISERROR(Q83),C71*Pwresc,Q83)*VLOOKUP(MONTH(A83),Curveadj,3))</f>
        <v> </v>
      </c>
      <c r="D83" s="437" t="str">
        <f aca="false">IF(A83="N/A"," ",IF(ISERROR(R83),D71*Pwresc,R83)*VLOOKUP(MONTH(A83),Curveadj,3))</f>
        <v> </v>
      </c>
      <c r="E83" s="438" t="str">
        <f aca="false">IF(A83="N/A"," ",IF(Scalers=1,(IF(AND(Dynamic=1,MONTH(A83)&gt;=6,MONTH(A83)&lt;=8,OR($O$37="REGION 2",$O$37="REGION 2A",$O$37="REGION 2B",$O$37="REGION 3",$O$37="REGION 3A",$O$37="REGION 3B",$O$37="REGION 3C",$O$37="REGION 4",$O$37="REGION 4B",$O$37="REGION 4C",$O$37="REGION 5",$O$37="REGION 5A")),((0.059228/(B83/100))-(0.4980013/(SQRT(B83/100)))+2.137988),HLOOKUP(MONTH(A83),ScalarTable,28))),1))</f>
        <v> </v>
      </c>
      <c r="F83" s="439" t="str">
        <f aca="false">IF(A83="N/A"," ",B83*E83)</f>
        <v> </v>
      </c>
      <c r="G83" s="439" t="str">
        <f aca="false">IF(A83="N/A"," ",C83*E83)</f>
        <v> </v>
      </c>
      <c r="H83" s="440" t="str">
        <f aca="false">IF(A83="N/A"," ",D83*E83)</f>
        <v> </v>
      </c>
      <c r="I83" s="402" t="str">
        <f aca="false">IF(A83="N/A"," ",2-E83)</f>
        <v> </v>
      </c>
      <c r="J83" s="439" t="str">
        <f aca="false">IF(A83="N/A"," ",B83*I83)</f>
        <v> </v>
      </c>
      <c r="K83" s="439" t="str">
        <f aca="false">IF(A83="N/A"," ",C83*I83)</f>
        <v> </v>
      </c>
      <c r="L83" s="440" t="str">
        <f aca="false">IF(A83="N/A"," ",D83*I83)</f>
        <v> </v>
      </c>
      <c r="M83" s="441" t="str">
        <f aca="false">IF(A83="N/A"," ",IF(ISERROR(S83),M71*Pwresc,S83))</f>
        <v> </v>
      </c>
      <c r="N83" s="442" t="str">
        <f aca="false">IF(A83="N/A"," ",SUM(T83:X83))</f>
        <v> </v>
      </c>
      <c r="O83" s="370"/>
      <c r="P83" s="436" t="str">
        <f aca="false">IF(A83="N/A"," ",VLOOKUP(A83,PeakPowerCurves,(IF(BMO=2,3,IF(BMO=1,2,4))),FALSE())+Inputs!N66)</f>
        <v> </v>
      </c>
      <c r="Q83" s="436" t="str">
        <f aca="false">IF(A83="N/A"," ",VLOOKUP(A83,SatSunPeakPwr,(IF(BMO=2,3,IF(BMO=1,2,4))),FALSE())+Inputs!$N$23)</f>
        <v> </v>
      </c>
      <c r="R83" s="436" t="str">
        <f aca="false">IF(A83="N/A"," ",VLOOKUP(A83,SatSunPeakPwr,(IF(BMO=2,7,IF(BMO=1,6,8))),FALSE())+Inputs!$N$23)</f>
        <v> </v>
      </c>
      <c r="S83" s="443" t="str">
        <f aca="false">IF(A83="N/A"," ",(VLOOKUP(A83,OPPowerPrices,(IF(BMO=2,7,IF(BMO=1,6,8))),FALSE())+Inputs!$N$23))</f>
        <v> </v>
      </c>
      <c r="T83" s="444" t="str">
        <f aca="false">IF(A83="N/A"," ",(VLOOKUP(A83,GasCurves,9,FALSE()))+IF(BMO=1,Gasbmo,IF(BMO=3,-Gasbmo,0)))</f>
        <v> </v>
      </c>
      <c r="U83" s="444" t="str">
        <f aca="false">IF(A83="N/A"," ",IF(Basischeck=TRUE(),(VLOOKUP(A83,GasCurves,IF(MONTH(A83)&gt;=4,IF(MONTH(A83)&lt;=10,11,12),12),FALSE())),0))</f>
        <v> </v>
      </c>
      <c r="V83" s="444" t="str">
        <f aca="false">IF(A83="N/A"," ",IF(Indexcheck=TRUE(),(IF(MONTH(A83)&gt;=4,IF(MONTH(A83)&lt;=10,VLOOKUP(A83,'Gas Curves'!B61:O421,13),VLOOKUP(A83,'Gas Curves'!B61:O421,14)),VLOOKUP(A83,'Gas Curves'!B61:O421,14))),0))</f>
        <v> </v>
      </c>
      <c r="W83" s="444" t="str">
        <f aca="false">IF(A83="N/A"," ",((SUM(T83:V83))/(1-Inputs!$S$11)-(SUM(T83:V83))))</f>
        <v> </v>
      </c>
      <c r="X83" s="444" t="str">
        <f aca="false">IF(A83="N/A"," ",(IF(MONTH(A83)&gt;=4,IF(MONTH(A83)&lt;=10,Inputs!$S$9,Inputs!$S$10),Inputs!$S$10)))</f>
        <v> </v>
      </c>
      <c r="Y83" s="445" t="str">
        <f aca="false">IF(A83="N/A"," ",(VLOOKUP($A83,InterestRatesTable,2)))</f>
        <v> </v>
      </c>
      <c r="AF83" s="386" t="n">
        <v>38961</v>
      </c>
      <c r="AG83" s="376" t="n">
        <v>20</v>
      </c>
      <c r="AH83" s="376" t="n">
        <v>5</v>
      </c>
      <c r="AI83" s="376" t="n">
        <v>5</v>
      </c>
      <c r="AJ83" s="376" t="n">
        <v>1</v>
      </c>
      <c r="AK83" s="376" t="n">
        <v>30</v>
      </c>
    </row>
    <row r="84" customFormat="false" ht="12.75" hidden="false" customHeight="false" outlineLevel="0" collapsed="false">
      <c r="A84" s="434" t="str">
        <f aca="false">Calculations!A49</f>
        <v>N/A</v>
      </c>
      <c r="B84" s="435" t="str">
        <f aca="false">IF(A84="N/A"," ",IF(ISERROR(P84),B72*Pwresc,P84)*VLOOKUP(MONTH(A84),Curveadj,3))</f>
        <v> </v>
      </c>
      <c r="C84" s="436" t="str">
        <f aca="false">IF(A84="N/A"," ",IF(ISERROR(Q84),C72*Pwresc,Q84)*VLOOKUP(MONTH(A84),Curveadj,3))</f>
        <v> </v>
      </c>
      <c r="D84" s="437" t="str">
        <f aca="false">IF(A84="N/A"," ",IF(ISERROR(R84),D72*Pwresc,R84)*VLOOKUP(MONTH(A84),Curveadj,3))</f>
        <v> </v>
      </c>
      <c r="E84" s="438" t="str">
        <f aca="false">IF(A84="N/A"," ",IF(Scalers=1,(IF(AND(Dynamic=1,MONTH(A84)&gt;=6,MONTH(A84)&lt;=8,OR($O$37="REGION 2",$O$37="REGION 2A",$O$37="REGION 2B",$O$37="REGION 3",$O$37="REGION 3A",$O$37="REGION 3B",$O$37="REGION 3C",$O$37="REGION 4",$O$37="REGION 4B",$O$37="REGION 4C",$O$37="REGION 5",$O$37="REGION 5A")),((0.059228/(B84/100))-(0.4980013/(SQRT(B84/100)))+2.137988),HLOOKUP(MONTH(A84),ScalarTable,28))),1))</f>
        <v> </v>
      </c>
      <c r="F84" s="439" t="str">
        <f aca="false">IF(A84="N/A"," ",B84*E84)</f>
        <v> </v>
      </c>
      <c r="G84" s="439" t="str">
        <f aca="false">IF(A84="N/A"," ",C84*E84)</f>
        <v> </v>
      </c>
      <c r="H84" s="440" t="str">
        <f aca="false">IF(A84="N/A"," ",D84*E84)</f>
        <v> </v>
      </c>
      <c r="I84" s="402" t="str">
        <f aca="false">IF(A84="N/A"," ",2-E84)</f>
        <v> </v>
      </c>
      <c r="J84" s="439" t="str">
        <f aca="false">IF(A84="N/A"," ",B84*I84)</f>
        <v> </v>
      </c>
      <c r="K84" s="439" t="str">
        <f aca="false">IF(A84="N/A"," ",C84*I84)</f>
        <v> </v>
      </c>
      <c r="L84" s="440" t="str">
        <f aca="false">IF(A84="N/A"," ",D84*I84)</f>
        <v> </v>
      </c>
      <c r="M84" s="441" t="str">
        <f aca="false">IF(A84="N/A"," ",IF(ISERROR(S84),M72*Pwresc,S84))</f>
        <v> </v>
      </c>
      <c r="N84" s="442" t="str">
        <f aca="false">IF(A84="N/A"," ",SUM(T84:X84))</f>
        <v> </v>
      </c>
      <c r="O84" s="370"/>
      <c r="P84" s="436" t="str">
        <f aca="false">IF(A84="N/A"," ",VLOOKUP(A84,PeakPowerCurves,(IF(BMO=2,3,IF(BMO=1,2,4))),FALSE())+Inputs!N67)</f>
        <v> </v>
      </c>
      <c r="Q84" s="436" t="str">
        <f aca="false">IF(A84="N/A"," ",VLOOKUP(A84,SatSunPeakPwr,(IF(BMO=2,3,IF(BMO=1,2,4))),FALSE())+Inputs!$N$23)</f>
        <v> </v>
      </c>
      <c r="R84" s="436" t="str">
        <f aca="false">IF(A84="N/A"," ",VLOOKUP(A84,SatSunPeakPwr,(IF(BMO=2,7,IF(BMO=1,6,8))),FALSE())+Inputs!$N$23)</f>
        <v> </v>
      </c>
      <c r="S84" s="443" t="str">
        <f aca="false">IF(A84="N/A"," ",(VLOOKUP(A84,OPPowerPrices,(IF(BMO=2,7,IF(BMO=1,6,8))),FALSE())+Inputs!$N$23))</f>
        <v> </v>
      </c>
      <c r="T84" s="444" t="str">
        <f aca="false">IF(A84="N/A"," ",(VLOOKUP(A84,GasCurves,9,FALSE()))+IF(BMO=1,Gasbmo,IF(BMO=3,-Gasbmo,0)))</f>
        <v> </v>
      </c>
      <c r="U84" s="444" t="str">
        <f aca="false">IF(A84="N/A"," ",IF(Basischeck=TRUE(),(VLOOKUP(A84,GasCurves,IF(MONTH(A84)&gt;=4,IF(MONTH(A84)&lt;=10,11,12),12),FALSE())),0))</f>
        <v> </v>
      </c>
      <c r="V84" s="444" t="str">
        <f aca="false">IF(A84="N/A"," ",IF(Indexcheck=TRUE(),(IF(MONTH(A84)&gt;=4,IF(MONTH(A84)&lt;=10,VLOOKUP(A84,'Gas Curves'!B62:O422,13),VLOOKUP(A84,'Gas Curves'!B62:O422,14)),VLOOKUP(A84,'Gas Curves'!B62:O422,14))),0))</f>
        <v> </v>
      </c>
      <c r="W84" s="444" t="str">
        <f aca="false">IF(A84="N/A"," ",((SUM(T84:V84))/(1-Inputs!$S$11)-(SUM(T84:V84))))</f>
        <v> </v>
      </c>
      <c r="X84" s="444" t="str">
        <f aca="false">IF(A84="N/A"," ",(IF(MONTH(A84)&gt;=4,IF(MONTH(A84)&lt;=10,Inputs!$S$9,Inputs!$S$10),Inputs!$S$10)))</f>
        <v> </v>
      </c>
      <c r="Y84" s="445" t="str">
        <f aca="false">IF(A84="N/A"," ",(VLOOKUP($A84,InterestRatesTable,2)))</f>
        <v> </v>
      </c>
      <c r="AF84" s="386" t="n">
        <v>38991</v>
      </c>
      <c r="AG84" s="376" t="n">
        <v>22</v>
      </c>
      <c r="AH84" s="376" t="n">
        <v>4</v>
      </c>
      <c r="AI84" s="376" t="n">
        <v>5</v>
      </c>
      <c r="AJ84" s="376" t="n">
        <v>0</v>
      </c>
      <c r="AK84" s="376" t="n">
        <v>31</v>
      </c>
    </row>
    <row r="85" customFormat="false" ht="12.75" hidden="false" customHeight="false" outlineLevel="0" collapsed="false">
      <c r="A85" s="434" t="str">
        <f aca="false">Calculations!A50</f>
        <v>N/A</v>
      </c>
      <c r="B85" s="435" t="str">
        <f aca="false">IF(A85="N/A"," ",IF(ISERROR(P85),B73*Pwresc,P85)*VLOOKUP(MONTH(A85),Curveadj,3))</f>
        <v> </v>
      </c>
      <c r="C85" s="436" t="str">
        <f aca="false">IF(A85="N/A"," ",IF(ISERROR(Q85),C73*Pwresc,Q85)*VLOOKUP(MONTH(A85),Curveadj,3))</f>
        <v> </v>
      </c>
      <c r="D85" s="437" t="str">
        <f aca="false">IF(A85="N/A"," ",IF(ISERROR(R85),D73*Pwresc,R85)*VLOOKUP(MONTH(A85),Curveadj,3))</f>
        <v> </v>
      </c>
      <c r="E85" s="438" t="str">
        <f aca="false">IF(A85="N/A"," ",IF(Scalers=1,(IF(AND(Dynamic=1,MONTH(A85)&gt;=6,MONTH(A85)&lt;=8,OR($O$37="REGION 2",$O$37="REGION 2A",$O$37="REGION 2B",$O$37="REGION 3",$O$37="REGION 3A",$O$37="REGION 3B",$O$37="REGION 3C",$O$37="REGION 4",$O$37="REGION 4B",$O$37="REGION 4C",$O$37="REGION 5",$O$37="REGION 5A")),((0.059228/(B85/100))-(0.4980013/(SQRT(B85/100)))+2.137988),HLOOKUP(MONTH(A85),ScalarTable,28))),1))</f>
        <v> </v>
      </c>
      <c r="F85" s="439" t="str">
        <f aca="false">IF(A85="N/A"," ",B85*E85)</f>
        <v> </v>
      </c>
      <c r="G85" s="439" t="str">
        <f aca="false">IF(A85="N/A"," ",C85*E85)</f>
        <v> </v>
      </c>
      <c r="H85" s="440" t="str">
        <f aca="false">IF(A85="N/A"," ",D85*E85)</f>
        <v> </v>
      </c>
      <c r="I85" s="402" t="str">
        <f aca="false">IF(A85="N/A"," ",2-E85)</f>
        <v> </v>
      </c>
      <c r="J85" s="439" t="str">
        <f aca="false">IF(A85="N/A"," ",B85*I85)</f>
        <v> </v>
      </c>
      <c r="K85" s="439" t="str">
        <f aca="false">IF(A85="N/A"," ",C85*I85)</f>
        <v> </v>
      </c>
      <c r="L85" s="440" t="str">
        <f aca="false">IF(A85="N/A"," ",D85*I85)</f>
        <v> </v>
      </c>
      <c r="M85" s="441" t="str">
        <f aca="false">IF(A85="N/A"," ",IF(ISERROR(S85),M73*Pwresc,S85))</f>
        <v> </v>
      </c>
      <c r="N85" s="442" t="str">
        <f aca="false">IF(A85="N/A"," ",SUM(T85:X85))</f>
        <v> </v>
      </c>
      <c r="O85" s="370"/>
      <c r="P85" s="436" t="str">
        <f aca="false">IF(A85="N/A"," ",VLOOKUP(A85,PeakPowerCurves,(IF(BMO=2,3,IF(BMO=1,2,4))),FALSE())+Inputs!N68)</f>
        <v> </v>
      </c>
      <c r="Q85" s="436" t="str">
        <f aca="false">IF(A85="N/A"," ",VLOOKUP(A85,SatSunPeakPwr,(IF(BMO=2,3,IF(BMO=1,2,4))),FALSE())+Inputs!$N$23)</f>
        <v> </v>
      </c>
      <c r="R85" s="436" t="str">
        <f aca="false">IF(A85="N/A"," ",VLOOKUP(A85,SatSunPeakPwr,(IF(BMO=2,7,IF(BMO=1,6,8))),FALSE())+Inputs!$N$23)</f>
        <v> </v>
      </c>
      <c r="S85" s="443" t="str">
        <f aca="false">IF(A85="N/A"," ",(VLOOKUP(A85,OPPowerPrices,(IF(BMO=2,7,IF(BMO=1,6,8))),FALSE())+Inputs!$N$23))</f>
        <v> </v>
      </c>
      <c r="T85" s="444" t="str">
        <f aca="false">IF(A85="N/A"," ",(VLOOKUP(A85,GasCurves,9,FALSE()))+IF(BMO=1,Gasbmo,IF(BMO=3,-Gasbmo,0)))</f>
        <v> </v>
      </c>
      <c r="U85" s="444" t="str">
        <f aca="false">IF(A85="N/A"," ",IF(Basischeck=TRUE(),(VLOOKUP(A85,GasCurves,IF(MONTH(A85)&gt;=4,IF(MONTH(A85)&lt;=10,11,12),12),FALSE())),0))</f>
        <v> </v>
      </c>
      <c r="V85" s="444" t="str">
        <f aca="false">IF(A85="N/A"," ",IF(Indexcheck=TRUE(),(IF(MONTH(A85)&gt;=4,IF(MONTH(A85)&lt;=10,VLOOKUP(A85,'Gas Curves'!B63:O423,13),VLOOKUP(A85,'Gas Curves'!B63:O423,14)),VLOOKUP(A85,'Gas Curves'!B63:O423,14))),0))</f>
        <v> </v>
      </c>
      <c r="W85" s="444" t="str">
        <f aca="false">IF(A85="N/A"," ",((SUM(T85:V85))/(1-Inputs!$S$11)-(SUM(T85:V85))))</f>
        <v> </v>
      </c>
      <c r="X85" s="444" t="str">
        <f aca="false">IF(A85="N/A"," ",(IF(MONTH(A85)&gt;=4,IF(MONTH(A85)&lt;=10,Inputs!$S$9,Inputs!$S$10),Inputs!$S$10)))</f>
        <v> </v>
      </c>
      <c r="Y85" s="445" t="str">
        <f aca="false">IF(A85="N/A"," ",(VLOOKUP($A85,InterestRatesTable,2)))</f>
        <v> </v>
      </c>
      <c r="AF85" s="386" t="n">
        <v>39022</v>
      </c>
      <c r="AG85" s="376" t="n">
        <v>21</v>
      </c>
      <c r="AH85" s="376" t="n">
        <v>4</v>
      </c>
      <c r="AI85" s="376" t="n">
        <v>5</v>
      </c>
      <c r="AJ85" s="376" t="n">
        <v>1</v>
      </c>
      <c r="AK85" s="376" t="n">
        <v>30</v>
      </c>
    </row>
    <row r="86" customFormat="false" ht="12.75" hidden="false" customHeight="false" outlineLevel="0" collapsed="false">
      <c r="A86" s="434" t="str">
        <f aca="false">Calculations!A51</f>
        <v>N/A</v>
      </c>
      <c r="B86" s="435" t="str">
        <f aca="false">IF(A86="N/A"," ",IF(ISERROR(P86),B74*Pwresc,P86)*VLOOKUP(MONTH(A86),Curveadj,3))</f>
        <v> </v>
      </c>
      <c r="C86" s="436" t="str">
        <f aca="false">IF(A86="N/A"," ",IF(ISERROR(Q86),C74*Pwresc,Q86)*VLOOKUP(MONTH(A86),Curveadj,3))</f>
        <v> </v>
      </c>
      <c r="D86" s="437" t="str">
        <f aca="false">IF(A86="N/A"," ",IF(ISERROR(R86),D74*Pwresc,R86)*VLOOKUP(MONTH(A86),Curveadj,3))</f>
        <v> </v>
      </c>
      <c r="E86" s="438" t="str">
        <f aca="false">IF(A86="N/A"," ",IF(Scalers=1,(IF(AND(Dynamic=1,MONTH(A86)&gt;=6,MONTH(A86)&lt;=8,OR($O$37="REGION 2",$O$37="REGION 2A",$O$37="REGION 2B",$O$37="REGION 3",$O$37="REGION 3A",$O$37="REGION 3B",$O$37="REGION 3C",$O$37="REGION 4",$O$37="REGION 4B",$O$37="REGION 4C",$O$37="REGION 5",$O$37="REGION 5A")),((0.059228/(B86/100))-(0.4980013/(SQRT(B86/100)))+2.137988),HLOOKUP(MONTH(A86),ScalarTable,28))),1))</f>
        <v> </v>
      </c>
      <c r="F86" s="439" t="str">
        <f aca="false">IF(A86="N/A"," ",B86*E86)</f>
        <v> </v>
      </c>
      <c r="G86" s="439" t="str">
        <f aca="false">IF(A86="N/A"," ",C86*E86)</f>
        <v> </v>
      </c>
      <c r="H86" s="440" t="str">
        <f aca="false">IF(A86="N/A"," ",D86*E86)</f>
        <v> </v>
      </c>
      <c r="I86" s="402" t="str">
        <f aca="false">IF(A86="N/A"," ",2-E86)</f>
        <v> </v>
      </c>
      <c r="J86" s="439" t="str">
        <f aca="false">IF(A86="N/A"," ",B86*I86)</f>
        <v> </v>
      </c>
      <c r="K86" s="439" t="str">
        <f aca="false">IF(A86="N/A"," ",C86*I86)</f>
        <v> </v>
      </c>
      <c r="L86" s="440" t="str">
        <f aca="false">IF(A86="N/A"," ",D86*I86)</f>
        <v> </v>
      </c>
      <c r="M86" s="441" t="str">
        <f aca="false">IF(A86="N/A"," ",IF(ISERROR(S86),M74*Pwresc,S86))</f>
        <v> </v>
      </c>
      <c r="N86" s="442" t="str">
        <f aca="false">IF(A86="N/A"," ",SUM(T86:X86))</f>
        <v> </v>
      </c>
      <c r="O86" s="370"/>
      <c r="P86" s="436" t="str">
        <f aca="false">IF(A86="N/A"," ",VLOOKUP(A86,PeakPowerCurves,(IF(BMO=2,3,IF(BMO=1,2,4))),FALSE())+Inputs!N69)</f>
        <v> </v>
      </c>
      <c r="Q86" s="436" t="str">
        <f aca="false">IF(A86="N/A"," ",VLOOKUP(A86,SatSunPeakPwr,(IF(BMO=2,3,IF(BMO=1,2,4))),FALSE())+Inputs!$N$23)</f>
        <v> </v>
      </c>
      <c r="R86" s="436" t="str">
        <f aca="false">IF(A86="N/A"," ",VLOOKUP(A86,SatSunPeakPwr,(IF(BMO=2,7,IF(BMO=1,6,8))),FALSE())+Inputs!$N$23)</f>
        <v> </v>
      </c>
      <c r="S86" s="443" t="str">
        <f aca="false">IF(A86="N/A"," ",(VLOOKUP(A86,OPPowerPrices,(IF(BMO=2,7,IF(BMO=1,6,8))),FALSE())+Inputs!$N$23))</f>
        <v> </v>
      </c>
      <c r="T86" s="444" t="str">
        <f aca="false">IF(A86="N/A"," ",(VLOOKUP(A86,GasCurves,9,FALSE()))+IF(BMO=1,Gasbmo,IF(BMO=3,-Gasbmo,0)))</f>
        <v> </v>
      </c>
      <c r="U86" s="444" t="str">
        <f aca="false">IF(A86="N/A"," ",IF(Basischeck=TRUE(),(VLOOKUP(A86,GasCurves,IF(MONTH(A86)&gt;=4,IF(MONTH(A86)&lt;=10,11,12),12),FALSE())),0))</f>
        <v> </v>
      </c>
      <c r="V86" s="444" t="str">
        <f aca="false">IF(A86="N/A"," ",IF(Indexcheck=TRUE(),(IF(MONTH(A86)&gt;=4,IF(MONTH(A86)&lt;=10,VLOOKUP(A86,'Gas Curves'!B64:O424,13),VLOOKUP(A86,'Gas Curves'!B64:O424,14)),VLOOKUP(A86,'Gas Curves'!B64:O424,14))),0))</f>
        <v> </v>
      </c>
      <c r="W86" s="444" t="str">
        <f aca="false">IF(A86="N/A"," ",((SUM(T86:V86))/(1-Inputs!$S$11)-(SUM(T86:V86))))</f>
        <v> </v>
      </c>
      <c r="X86" s="444" t="str">
        <f aca="false">IF(A86="N/A"," ",(IF(MONTH(A86)&gt;=4,IF(MONTH(A86)&lt;=10,Inputs!$S$9,Inputs!$S$10),Inputs!$S$10)))</f>
        <v> </v>
      </c>
      <c r="Y86" s="445" t="str">
        <f aca="false">IF(A86="N/A"," ",(VLOOKUP($A86,InterestRatesTable,2)))</f>
        <v> </v>
      </c>
      <c r="AF86" s="386" t="n">
        <v>39052</v>
      </c>
      <c r="AG86" s="376" t="n">
        <v>20</v>
      </c>
      <c r="AH86" s="376" t="n">
        <v>5</v>
      </c>
      <c r="AI86" s="376" t="n">
        <v>6</v>
      </c>
      <c r="AJ86" s="376" t="n">
        <v>1</v>
      </c>
      <c r="AK86" s="376" t="n">
        <v>31</v>
      </c>
    </row>
    <row r="87" customFormat="false" ht="12.75" hidden="false" customHeight="false" outlineLevel="0" collapsed="false">
      <c r="A87" s="434" t="str">
        <f aca="false">Calculations!A52</f>
        <v>N/A</v>
      </c>
      <c r="B87" s="435" t="str">
        <f aca="false">IF(A87="N/A"," ",IF(ISERROR(P87),B75*Pwresc,P87)*VLOOKUP(MONTH(A87),Curveadj,3))</f>
        <v> </v>
      </c>
      <c r="C87" s="436" t="str">
        <f aca="false">IF(A87="N/A"," ",IF(ISERROR(Q87),C75*Pwresc,Q87)*VLOOKUP(MONTH(A87),Curveadj,3))</f>
        <v> </v>
      </c>
      <c r="D87" s="437" t="str">
        <f aca="false">IF(A87="N/A"," ",IF(ISERROR(R87),D75*Pwresc,R87)*VLOOKUP(MONTH(A87),Curveadj,3))</f>
        <v> </v>
      </c>
      <c r="E87" s="438" t="str">
        <f aca="false">IF(A87="N/A"," ",IF(Scalers=1,(IF(AND(Dynamic=1,MONTH(A87)&gt;=6,MONTH(A87)&lt;=8,OR($O$37="REGION 2",$O$37="REGION 2A",$O$37="REGION 2B",$O$37="REGION 3",$O$37="REGION 3A",$O$37="REGION 3B",$O$37="REGION 3C",$O$37="REGION 4",$O$37="REGION 4B",$O$37="REGION 4C",$O$37="REGION 5",$O$37="REGION 5A")),((0.059228/(B87/100))-(0.4980013/(SQRT(B87/100)))+2.137988),HLOOKUP(MONTH(A87),ScalarTable,28))),1))</f>
        <v> </v>
      </c>
      <c r="F87" s="439" t="str">
        <f aca="false">IF(A87="N/A"," ",B87*E87)</f>
        <v> </v>
      </c>
      <c r="G87" s="439" t="str">
        <f aca="false">IF(A87="N/A"," ",C87*E87)</f>
        <v> </v>
      </c>
      <c r="H87" s="440" t="str">
        <f aca="false">IF(A87="N/A"," ",D87*E87)</f>
        <v> </v>
      </c>
      <c r="I87" s="402" t="str">
        <f aca="false">IF(A87="N/A"," ",2-E87)</f>
        <v> </v>
      </c>
      <c r="J87" s="439" t="str">
        <f aca="false">IF(A87="N/A"," ",B87*I87)</f>
        <v> </v>
      </c>
      <c r="K87" s="439" t="str">
        <f aca="false">IF(A87="N/A"," ",C87*I87)</f>
        <v> </v>
      </c>
      <c r="L87" s="440" t="str">
        <f aca="false">IF(A87="N/A"," ",D87*I87)</f>
        <v> </v>
      </c>
      <c r="M87" s="441" t="str">
        <f aca="false">IF(A87="N/A"," ",IF(ISERROR(S87),M75*Pwresc,S87))</f>
        <v> </v>
      </c>
      <c r="N87" s="442" t="str">
        <f aca="false">IF(A87="N/A"," ",SUM(T87:X87))</f>
        <v> </v>
      </c>
      <c r="O87" s="370"/>
      <c r="P87" s="436" t="str">
        <f aca="false">IF(A87="N/A"," ",VLOOKUP(A87,PeakPowerCurves,(IF(BMO=2,3,IF(BMO=1,2,4))),FALSE())+Inputs!N70)</f>
        <v> </v>
      </c>
      <c r="Q87" s="436" t="str">
        <f aca="false">IF(A87="N/A"," ",VLOOKUP(A87,SatSunPeakPwr,(IF(BMO=2,3,IF(BMO=1,2,4))),FALSE())+Inputs!$N$23)</f>
        <v> </v>
      </c>
      <c r="R87" s="436" t="str">
        <f aca="false">IF(A87="N/A"," ",VLOOKUP(A87,SatSunPeakPwr,(IF(BMO=2,7,IF(BMO=1,6,8))),FALSE())+Inputs!$N$23)</f>
        <v> </v>
      </c>
      <c r="S87" s="443" t="str">
        <f aca="false">IF(A87="N/A"," ",(VLOOKUP(A87,OPPowerPrices,(IF(BMO=2,7,IF(BMO=1,6,8))),FALSE())+Inputs!$N$23))</f>
        <v> </v>
      </c>
      <c r="T87" s="444" t="str">
        <f aca="false">IF(A87="N/A"," ",(VLOOKUP(A87,GasCurves,9,FALSE()))+IF(BMO=1,Gasbmo,IF(BMO=3,-Gasbmo,0)))</f>
        <v> </v>
      </c>
      <c r="U87" s="444" t="str">
        <f aca="false">IF(A87="N/A"," ",IF(Basischeck=TRUE(),(VLOOKUP(A87,GasCurves,IF(MONTH(A87)&gt;=4,IF(MONTH(A87)&lt;=10,11,12),12),FALSE())),0))</f>
        <v> </v>
      </c>
      <c r="V87" s="444" t="str">
        <f aca="false">IF(A87="N/A"," ",IF(Indexcheck=TRUE(),(IF(MONTH(A87)&gt;=4,IF(MONTH(A87)&lt;=10,VLOOKUP(A87,'Gas Curves'!B65:O425,13),VLOOKUP(A87,'Gas Curves'!B65:O425,14)),VLOOKUP(A87,'Gas Curves'!B65:O425,14))),0))</f>
        <v> </v>
      </c>
      <c r="W87" s="444" t="str">
        <f aca="false">IF(A87="N/A"," ",((SUM(T87:V87))/(1-Inputs!$S$11)-(SUM(T87:V87))))</f>
        <v> </v>
      </c>
      <c r="X87" s="444" t="str">
        <f aca="false">IF(A87="N/A"," ",(IF(MONTH(A87)&gt;=4,IF(MONTH(A87)&lt;=10,Inputs!$S$9,Inputs!$S$10),Inputs!$S$10)))</f>
        <v> </v>
      </c>
      <c r="Y87" s="445" t="str">
        <f aca="false">IF(A87="N/A"," ",(VLOOKUP($A87,InterestRatesTable,2)))</f>
        <v> </v>
      </c>
      <c r="AF87" s="386" t="n">
        <v>39083</v>
      </c>
      <c r="AG87" s="376" t="n">
        <v>22</v>
      </c>
      <c r="AH87" s="376" t="n">
        <v>4</v>
      </c>
      <c r="AI87" s="376" t="n">
        <v>5</v>
      </c>
      <c r="AJ87" s="376" t="n">
        <v>1</v>
      </c>
      <c r="AK87" s="376" t="n">
        <v>31</v>
      </c>
    </row>
    <row r="88" customFormat="false" ht="12.75" hidden="false" customHeight="false" outlineLevel="0" collapsed="false">
      <c r="A88" s="434" t="str">
        <f aca="false">Calculations!A53</f>
        <v>N/A</v>
      </c>
      <c r="B88" s="435" t="str">
        <f aca="false">IF(A88="N/A"," ",IF(ISERROR(P88),B76*Pwresc,P88)*VLOOKUP(MONTH(A88),Curveadj,3))</f>
        <v> </v>
      </c>
      <c r="C88" s="436" t="str">
        <f aca="false">IF(A88="N/A"," ",IF(ISERROR(Q88),C76*Pwresc,Q88)*VLOOKUP(MONTH(A88),Curveadj,3))</f>
        <v> </v>
      </c>
      <c r="D88" s="437" t="str">
        <f aca="false">IF(A88="N/A"," ",IF(ISERROR(R88),D76*Pwresc,R88)*VLOOKUP(MONTH(A88),Curveadj,3))</f>
        <v> </v>
      </c>
      <c r="E88" s="438" t="str">
        <f aca="false">IF(A88="N/A"," ",IF(Scalers=1,(IF(AND(Dynamic=1,MONTH(A88)&gt;=6,MONTH(A88)&lt;=8,OR($O$37="REGION 2",$O$37="REGION 2A",$O$37="REGION 2B",$O$37="REGION 3",$O$37="REGION 3A",$O$37="REGION 3B",$O$37="REGION 3C",$O$37="REGION 4",$O$37="REGION 4B",$O$37="REGION 4C",$O$37="REGION 5",$O$37="REGION 5A")),((0.059228/(B88/100))-(0.4980013/(SQRT(B88/100)))+2.137988),HLOOKUP(MONTH(A88),ScalarTable,28))),1))</f>
        <v> </v>
      </c>
      <c r="F88" s="439" t="str">
        <f aca="false">IF(A88="N/A"," ",B88*E88)</f>
        <v> </v>
      </c>
      <c r="G88" s="439" t="str">
        <f aca="false">IF(A88="N/A"," ",C88*E88)</f>
        <v> </v>
      </c>
      <c r="H88" s="440" t="str">
        <f aca="false">IF(A88="N/A"," ",D88*E88)</f>
        <v> </v>
      </c>
      <c r="I88" s="402" t="str">
        <f aca="false">IF(A88="N/A"," ",2-E88)</f>
        <v> </v>
      </c>
      <c r="J88" s="439" t="str">
        <f aca="false">IF(A88="N/A"," ",B88*I88)</f>
        <v> </v>
      </c>
      <c r="K88" s="439" t="str">
        <f aca="false">IF(A88="N/A"," ",C88*I88)</f>
        <v> </v>
      </c>
      <c r="L88" s="440" t="str">
        <f aca="false">IF(A88="N/A"," ",D88*I88)</f>
        <v> </v>
      </c>
      <c r="M88" s="441" t="str">
        <f aca="false">IF(A88="N/A"," ",IF(ISERROR(S88),M76*Pwresc,S88))</f>
        <v> </v>
      </c>
      <c r="N88" s="442" t="str">
        <f aca="false">IF(A88="N/A"," ",SUM(T88:X88))</f>
        <v> </v>
      </c>
      <c r="O88" s="370"/>
      <c r="P88" s="436" t="str">
        <f aca="false">IF(A88="N/A"," ",VLOOKUP(A88,PeakPowerCurves,(IF(BMO=2,3,IF(BMO=1,2,4))),FALSE())+Inputs!N71)</f>
        <v> </v>
      </c>
      <c r="Q88" s="436" t="str">
        <f aca="false">IF(A88="N/A"," ",VLOOKUP(A88,SatSunPeakPwr,(IF(BMO=2,3,IF(BMO=1,2,4))),FALSE())+Inputs!$N$23)</f>
        <v> </v>
      </c>
      <c r="R88" s="436" t="str">
        <f aca="false">IF(A88="N/A"," ",VLOOKUP(A88,SatSunPeakPwr,(IF(BMO=2,7,IF(BMO=1,6,8))),FALSE())+Inputs!$N$23)</f>
        <v> </v>
      </c>
      <c r="S88" s="443" t="str">
        <f aca="false">IF(A88="N/A"," ",(VLOOKUP(A88,OPPowerPrices,(IF(BMO=2,7,IF(BMO=1,6,8))),FALSE())+Inputs!$N$23))</f>
        <v> </v>
      </c>
      <c r="T88" s="444" t="str">
        <f aca="false">IF(A88="N/A"," ",(VLOOKUP(A88,GasCurves,9,FALSE()))+IF(BMO=1,Gasbmo,IF(BMO=3,-Gasbmo,0)))</f>
        <v> </v>
      </c>
      <c r="U88" s="444" t="str">
        <f aca="false">IF(A88="N/A"," ",IF(Basischeck=TRUE(),(VLOOKUP(A88,GasCurves,IF(MONTH(A88)&gt;=4,IF(MONTH(A88)&lt;=10,11,12),12),FALSE())),0))</f>
        <v> </v>
      </c>
      <c r="V88" s="444" t="str">
        <f aca="false">IF(A88="N/A"," ",IF(Indexcheck=TRUE(),(IF(MONTH(A88)&gt;=4,IF(MONTH(A88)&lt;=10,VLOOKUP(A88,'Gas Curves'!B66:O426,13),VLOOKUP(A88,'Gas Curves'!B66:O426,14)),VLOOKUP(A88,'Gas Curves'!B66:O426,14))),0))</f>
        <v> </v>
      </c>
      <c r="W88" s="444" t="str">
        <f aca="false">IF(A88="N/A"," ",((SUM(T88:V88))/(1-Inputs!$S$11)-(SUM(T88:V88))))</f>
        <v> </v>
      </c>
      <c r="X88" s="444" t="str">
        <f aca="false">IF(A88="N/A"," ",(IF(MONTH(A88)&gt;=4,IF(MONTH(A88)&lt;=10,Inputs!$S$9,Inputs!$S$10),Inputs!$S$10)))</f>
        <v> </v>
      </c>
      <c r="Y88" s="445" t="str">
        <f aca="false">IF(A88="N/A"," ",(VLOOKUP($A88,InterestRatesTable,2)))</f>
        <v> </v>
      </c>
      <c r="AF88" s="386" t="n">
        <v>39114</v>
      </c>
      <c r="AG88" s="376" t="n">
        <v>20</v>
      </c>
      <c r="AH88" s="376" t="n">
        <v>4</v>
      </c>
      <c r="AI88" s="376" t="n">
        <v>4</v>
      </c>
      <c r="AJ88" s="376" t="n">
        <v>0</v>
      </c>
      <c r="AK88" s="376" t="n">
        <v>28</v>
      </c>
    </row>
    <row r="89" customFormat="false" ht="12.75" hidden="false" customHeight="false" outlineLevel="0" collapsed="false">
      <c r="A89" s="434" t="str">
        <f aca="false">Calculations!A54</f>
        <v>N/A</v>
      </c>
      <c r="B89" s="435" t="str">
        <f aca="false">IF(A89="N/A"," ",IF(ISERROR(P89),B77*Pwresc,P89)*VLOOKUP(MONTH(A89),Curveadj,3))</f>
        <v> </v>
      </c>
      <c r="C89" s="436" t="str">
        <f aca="false">IF(A89="N/A"," ",IF(ISERROR(Q89),C77*Pwresc,Q89)*VLOOKUP(MONTH(A89),Curveadj,3))</f>
        <v> </v>
      </c>
      <c r="D89" s="437" t="str">
        <f aca="false">IF(A89="N/A"," ",IF(ISERROR(R89),D77*Pwresc,R89)*VLOOKUP(MONTH(A89),Curveadj,3))</f>
        <v> </v>
      </c>
      <c r="E89" s="438" t="str">
        <f aca="false">IF(A89="N/A"," ",IF(Scalers=1,(IF(AND(Dynamic=1,MONTH(A89)&gt;=6,MONTH(A89)&lt;=8,OR($O$37="REGION 2",$O$37="REGION 2A",$O$37="REGION 2B",$O$37="REGION 3",$O$37="REGION 3A",$O$37="REGION 3B",$O$37="REGION 3C",$O$37="REGION 4",$O$37="REGION 4B",$O$37="REGION 4C",$O$37="REGION 5",$O$37="REGION 5A")),((0.059228/(B89/100))-(0.4980013/(SQRT(B89/100)))+2.137988),HLOOKUP(MONTH(A89),ScalarTable,28))),1))</f>
        <v> </v>
      </c>
      <c r="F89" s="439" t="str">
        <f aca="false">IF(A89="N/A"," ",B89*E89)</f>
        <v> </v>
      </c>
      <c r="G89" s="439" t="str">
        <f aca="false">IF(A89="N/A"," ",C89*E89)</f>
        <v> </v>
      </c>
      <c r="H89" s="440" t="str">
        <f aca="false">IF(A89="N/A"," ",D89*E89)</f>
        <v> </v>
      </c>
      <c r="I89" s="402" t="str">
        <f aca="false">IF(A89="N/A"," ",2-E89)</f>
        <v> </v>
      </c>
      <c r="J89" s="439" t="str">
        <f aca="false">IF(A89="N/A"," ",B89*I89)</f>
        <v> </v>
      </c>
      <c r="K89" s="439" t="str">
        <f aca="false">IF(A89="N/A"," ",C89*I89)</f>
        <v> </v>
      </c>
      <c r="L89" s="440" t="str">
        <f aca="false">IF(A89="N/A"," ",D89*I89)</f>
        <v> </v>
      </c>
      <c r="M89" s="441" t="str">
        <f aca="false">IF(A89="N/A"," ",IF(ISERROR(S89),M77*Pwresc,S89))</f>
        <v> </v>
      </c>
      <c r="N89" s="442" t="str">
        <f aca="false">IF(A89="N/A"," ",SUM(T89:X89))</f>
        <v> </v>
      </c>
      <c r="O89" s="370"/>
      <c r="P89" s="436" t="str">
        <f aca="false">IF(A89="N/A"," ",VLOOKUP(A89,PeakPowerCurves,(IF(BMO=2,3,IF(BMO=1,2,4))),FALSE())+Inputs!N72)</f>
        <v> </v>
      </c>
      <c r="Q89" s="436" t="str">
        <f aca="false">IF(A89="N/A"," ",VLOOKUP(A89,SatSunPeakPwr,(IF(BMO=2,3,IF(BMO=1,2,4))),FALSE())+Inputs!$N$23)</f>
        <v> </v>
      </c>
      <c r="R89" s="436" t="str">
        <f aca="false">IF(A89="N/A"," ",VLOOKUP(A89,SatSunPeakPwr,(IF(BMO=2,7,IF(BMO=1,6,8))),FALSE())+Inputs!$N$23)</f>
        <v> </v>
      </c>
      <c r="S89" s="443" t="str">
        <f aca="false">IF(A89="N/A"," ",(VLOOKUP(A89,OPPowerPrices,(IF(BMO=2,7,IF(BMO=1,6,8))),FALSE())+Inputs!$N$23))</f>
        <v> </v>
      </c>
      <c r="T89" s="444" t="str">
        <f aca="false">IF(A89="N/A"," ",(VLOOKUP(A89,GasCurves,9,FALSE()))+IF(BMO=1,Gasbmo,IF(BMO=3,-Gasbmo,0)))</f>
        <v> </v>
      </c>
      <c r="U89" s="444" t="str">
        <f aca="false">IF(A89="N/A"," ",IF(Basischeck=TRUE(),(VLOOKUP(A89,GasCurves,IF(MONTH(A89)&gt;=4,IF(MONTH(A89)&lt;=10,11,12),12),FALSE())),0))</f>
        <v> </v>
      </c>
      <c r="V89" s="444" t="str">
        <f aca="false">IF(A89="N/A"," ",IF(Indexcheck=TRUE(),(IF(MONTH(A89)&gt;=4,IF(MONTH(A89)&lt;=10,VLOOKUP(A89,'Gas Curves'!B67:O427,13),VLOOKUP(A89,'Gas Curves'!B67:O427,14)),VLOOKUP(A89,'Gas Curves'!B67:O427,14))),0))</f>
        <v> </v>
      </c>
      <c r="W89" s="444" t="str">
        <f aca="false">IF(A89="N/A"," ",((SUM(T89:V89))/(1-Inputs!$S$11)-(SUM(T89:V89))))</f>
        <v> </v>
      </c>
      <c r="X89" s="444" t="str">
        <f aca="false">IF(A89="N/A"," ",(IF(MONTH(A89)&gt;=4,IF(MONTH(A89)&lt;=10,Inputs!$S$9,Inputs!$S$10),Inputs!$S$10)))</f>
        <v> </v>
      </c>
      <c r="Y89" s="445" t="str">
        <f aca="false">IF(A89="N/A"," ",(VLOOKUP($A89,InterestRatesTable,2)))</f>
        <v> </v>
      </c>
      <c r="AF89" s="386" t="n">
        <v>39142</v>
      </c>
      <c r="AG89" s="376" t="n">
        <v>22</v>
      </c>
      <c r="AH89" s="376" t="n">
        <v>5</v>
      </c>
      <c r="AI89" s="376" t="n">
        <v>4</v>
      </c>
      <c r="AJ89" s="376" t="n">
        <v>0</v>
      </c>
      <c r="AK89" s="376" t="n">
        <v>31</v>
      </c>
    </row>
    <row r="90" customFormat="false" ht="12.75" hidden="false" customHeight="false" outlineLevel="0" collapsed="false">
      <c r="A90" s="434" t="str">
        <f aca="false">Calculations!A55</f>
        <v>N/A</v>
      </c>
      <c r="B90" s="435" t="str">
        <f aca="false">IF(A90="N/A"," ",IF(ISERROR(P90),B78*Pwresc,P90)*VLOOKUP(MONTH(A90),Curveadj,3))</f>
        <v> </v>
      </c>
      <c r="C90" s="436" t="str">
        <f aca="false">IF(A90="N/A"," ",IF(ISERROR(Q90),C78*Pwresc,Q90)*VLOOKUP(MONTH(A90),Curveadj,3))</f>
        <v> </v>
      </c>
      <c r="D90" s="437" t="str">
        <f aca="false">IF(A90="N/A"," ",IF(ISERROR(R90),D78*Pwresc,R90)*VLOOKUP(MONTH(A90),Curveadj,3))</f>
        <v> </v>
      </c>
      <c r="E90" s="438" t="str">
        <f aca="false">IF(A90="N/A"," ",IF(Scalers=1,(IF(AND(Dynamic=1,MONTH(A90)&gt;=6,MONTH(A90)&lt;=8,OR($O$37="REGION 2",$O$37="REGION 2A",$O$37="REGION 2B",$O$37="REGION 3",$O$37="REGION 3A",$O$37="REGION 3B",$O$37="REGION 3C",$O$37="REGION 4",$O$37="REGION 4B",$O$37="REGION 4C",$O$37="REGION 5",$O$37="REGION 5A")),((0.059228/(B90/100))-(0.4980013/(SQRT(B90/100)))+2.137988),HLOOKUP(MONTH(A90),ScalarTable,28))),1))</f>
        <v> </v>
      </c>
      <c r="F90" s="439" t="str">
        <f aca="false">IF(A90="N/A"," ",B90*E90)</f>
        <v> </v>
      </c>
      <c r="G90" s="439" t="str">
        <f aca="false">IF(A90="N/A"," ",C90*E90)</f>
        <v> </v>
      </c>
      <c r="H90" s="440" t="str">
        <f aca="false">IF(A90="N/A"," ",D90*E90)</f>
        <v> </v>
      </c>
      <c r="I90" s="402" t="str">
        <f aca="false">IF(A90="N/A"," ",2-E90)</f>
        <v> </v>
      </c>
      <c r="J90" s="439" t="str">
        <f aca="false">IF(A90="N/A"," ",B90*I90)</f>
        <v> </v>
      </c>
      <c r="K90" s="439" t="str">
        <f aca="false">IF(A90="N/A"," ",C90*I90)</f>
        <v> </v>
      </c>
      <c r="L90" s="440" t="str">
        <f aca="false">IF(A90="N/A"," ",D90*I90)</f>
        <v> </v>
      </c>
      <c r="M90" s="441" t="str">
        <f aca="false">IF(A90="N/A"," ",IF(ISERROR(S90),M78*Pwresc,S90))</f>
        <v> </v>
      </c>
      <c r="N90" s="442" t="str">
        <f aca="false">IF(A90="N/A"," ",SUM(T90:X90))</f>
        <v> </v>
      </c>
      <c r="O90" s="370"/>
      <c r="P90" s="436" t="str">
        <f aca="false">IF(A90="N/A"," ",VLOOKUP(A90,PeakPowerCurves,(IF(BMO=2,3,IF(BMO=1,2,4))),FALSE())+Inputs!N73)</f>
        <v> </v>
      </c>
      <c r="Q90" s="436" t="str">
        <f aca="false">IF(A90="N/A"," ",VLOOKUP(A90,SatSunPeakPwr,(IF(BMO=2,3,IF(BMO=1,2,4))),FALSE())+Inputs!$N$23)</f>
        <v> </v>
      </c>
      <c r="R90" s="436" t="str">
        <f aca="false">IF(A90="N/A"," ",VLOOKUP(A90,SatSunPeakPwr,(IF(BMO=2,7,IF(BMO=1,6,8))),FALSE())+Inputs!$N$23)</f>
        <v> </v>
      </c>
      <c r="S90" s="443" t="str">
        <f aca="false">IF(A90="N/A"," ",(VLOOKUP(A90,OPPowerPrices,(IF(BMO=2,7,IF(BMO=1,6,8))),FALSE())+Inputs!$N$23))</f>
        <v> </v>
      </c>
      <c r="T90" s="444" t="str">
        <f aca="false">IF(A90="N/A"," ",(VLOOKUP(A90,GasCurves,9,FALSE()))+IF(BMO=1,Gasbmo,IF(BMO=3,-Gasbmo,0)))</f>
        <v> </v>
      </c>
      <c r="U90" s="444" t="str">
        <f aca="false">IF(A90="N/A"," ",IF(Basischeck=TRUE(),(VLOOKUP(A90,GasCurves,IF(MONTH(A90)&gt;=4,IF(MONTH(A90)&lt;=10,11,12),12),FALSE())),0))</f>
        <v> </v>
      </c>
      <c r="V90" s="444" t="str">
        <f aca="false">IF(A90="N/A"," ",IF(Indexcheck=TRUE(),(IF(MONTH(A90)&gt;=4,IF(MONTH(A90)&lt;=10,VLOOKUP(A90,'Gas Curves'!B68:O428,13),VLOOKUP(A90,'Gas Curves'!B68:O428,14)),VLOOKUP(A90,'Gas Curves'!B68:O428,14))),0))</f>
        <v> </v>
      </c>
      <c r="W90" s="444" t="str">
        <f aca="false">IF(A90="N/A"," ",((SUM(T90:V90))/(1-Inputs!$S$11)-(SUM(T90:V90))))</f>
        <v> </v>
      </c>
      <c r="X90" s="444" t="str">
        <f aca="false">IF(A90="N/A"," ",(IF(MONTH(A90)&gt;=4,IF(MONTH(A90)&lt;=10,Inputs!$S$9,Inputs!$S$10),Inputs!$S$10)))</f>
        <v> </v>
      </c>
      <c r="Y90" s="445" t="str">
        <f aca="false">IF(A90="N/A"," ",(VLOOKUP($A90,InterestRatesTable,2)))</f>
        <v> </v>
      </c>
      <c r="AF90" s="386" t="n">
        <v>39173</v>
      </c>
      <c r="AG90" s="376" t="n">
        <v>21</v>
      </c>
      <c r="AH90" s="376" t="n">
        <v>4</v>
      </c>
      <c r="AI90" s="376" t="n">
        <v>5</v>
      </c>
      <c r="AJ90" s="376" t="n">
        <v>0</v>
      </c>
      <c r="AK90" s="376" t="n">
        <v>30</v>
      </c>
    </row>
    <row r="91" customFormat="false" ht="12.75" hidden="false" customHeight="false" outlineLevel="0" collapsed="false">
      <c r="A91" s="434" t="str">
        <f aca="false">Calculations!A56</f>
        <v>N/A</v>
      </c>
      <c r="B91" s="435" t="str">
        <f aca="false">IF(A91="N/A"," ",IF(ISERROR(P91),B79*Pwresc,P91)*VLOOKUP(MONTH(A91),Curveadj,3))</f>
        <v> </v>
      </c>
      <c r="C91" s="436" t="str">
        <f aca="false">IF(A91="N/A"," ",IF(ISERROR(Q91),C79*Pwresc,Q91)*VLOOKUP(MONTH(A91),Curveadj,3))</f>
        <v> </v>
      </c>
      <c r="D91" s="437" t="str">
        <f aca="false">IF(A91="N/A"," ",IF(ISERROR(R91),D79*Pwresc,R91)*VLOOKUP(MONTH(A91),Curveadj,3))</f>
        <v> </v>
      </c>
      <c r="E91" s="438" t="str">
        <f aca="false">IF(A91="N/A"," ",IF(Scalers=1,(IF(AND(Dynamic=1,MONTH(A91)&gt;=6,MONTH(A91)&lt;=8,OR($O$37="REGION 2",$O$37="REGION 2A",$O$37="REGION 2B",$O$37="REGION 3",$O$37="REGION 3A",$O$37="REGION 3B",$O$37="REGION 3C",$O$37="REGION 4",$O$37="REGION 4B",$O$37="REGION 4C",$O$37="REGION 5",$O$37="REGION 5A")),((0.059228/(B91/100))-(0.4980013/(SQRT(B91/100)))+2.137988),HLOOKUP(MONTH(A91),ScalarTable,28))),1))</f>
        <v> </v>
      </c>
      <c r="F91" s="439" t="str">
        <f aca="false">IF(A91="N/A"," ",B91*E91)</f>
        <v> </v>
      </c>
      <c r="G91" s="439" t="str">
        <f aca="false">IF(A91="N/A"," ",C91*E91)</f>
        <v> </v>
      </c>
      <c r="H91" s="440" t="str">
        <f aca="false">IF(A91="N/A"," ",D91*E91)</f>
        <v> </v>
      </c>
      <c r="I91" s="402" t="str">
        <f aca="false">IF(A91="N/A"," ",2-E91)</f>
        <v> </v>
      </c>
      <c r="J91" s="439" t="str">
        <f aca="false">IF(A91="N/A"," ",B91*I91)</f>
        <v> </v>
      </c>
      <c r="K91" s="439" t="str">
        <f aca="false">IF(A91="N/A"," ",C91*I91)</f>
        <v> </v>
      </c>
      <c r="L91" s="440" t="str">
        <f aca="false">IF(A91="N/A"," ",D91*I91)</f>
        <v> </v>
      </c>
      <c r="M91" s="441" t="str">
        <f aca="false">IF(A91="N/A"," ",IF(ISERROR(S91),M79*Pwresc,S91))</f>
        <v> </v>
      </c>
      <c r="N91" s="442" t="str">
        <f aca="false">IF(A91="N/A"," ",SUM(T91:X91))</f>
        <v> </v>
      </c>
      <c r="O91" s="370"/>
      <c r="P91" s="436" t="str">
        <f aca="false">IF(A91="N/A"," ",VLOOKUP(A91,PeakPowerCurves,(IF(BMO=2,3,IF(BMO=1,2,4))),FALSE())+Inputs!N74)</f>
        <v> </v>
      </c>
      <c r="Q91" s="436" t="str">
        <f aca="false">IF(A91="N/A"," ",VLOOKUP(A91,SatSunPeakPwr,(IF(BMO=2,3,IF(BMO=1,2,4))),FALSE())+Inputs!$N$23)</f>
        <v> </v>
      </c>
      <c r="R91" s="436" t="str">
        <f aca="false">IF(A91="N/A"," ",VLOOKUP(A91,SatSunPeakPwr,(IF(BMO=2,7,IF(BMO=1,6,8))),FALSE())+Inputs!$N$23)</f>
        <v> </v>
      </c>
      <c r="S91" s="443" t="str">
        <f aca="false">IF(A91="N/A"," ",(VLOOKUP(A91,OPPowerPrices,(IF(BMO=2,7,IF(BMO=1,6,8))),FALSE())+Inputs!$N$23))</f>
        <v> </v>
      </c>
      <c r="T91" s="444" t="str">
        <f aca="false">IF(A91="N/A"," ",(VLOOKUP(A91,GasCurves,9,FALSE()))+IF(BMO=1,Gasbmo,IF(BMO=3,-Gasbmo,0)))</f>
        <v> </v>
      </c>
      <c r="U91" s="444" t="str">
        <f aca="false">IF(A91="N/A"," ",IF(Basischeck=TRUE(),(VLOOKUP(A91,GasCurves,IF(MONTH(A91)&gt;=4,IF(MONTH(A91)&lt;=10,11,12),12),FALSE())),0))</f>
        <v> </v>
      </c>
      <c r="V91" s="444" t="str">
        <f aca="false">IF(A91="N/A"," ",IF(Indexcheck=TRUE(),(IF(MONTH(A91)&gt;=4,IF(MONTH(A91)&lt;=10,VLOOKUP(A91,'Gas Curves'!B69:O429,13),VLOOKUP(A91,'Gas Curves'!B69:O429,14)),VLOOKUP(A91,'Gas Curves'!B69:O429,14))),0))</f>
        <v> </v>
      </c>
      <c r="W91" s="444" t="str">
        <f aca="false">IF(A91="N/A"," ",((SUM(T91:V91))/(1-Inputs!$S$11)-(SUM(T91:V91))))</f>
        <v> </v>
      </c>
      <c r="X91" s="444" t="str">
        <f aca="false">IF(A91="N/A"," ",(IF(MONTH(A91)&gt;=4,IF(MONTH(A91)&lt;=10,Inputs!$S$9,Inputs!$S$10),Inputs!$S$10)))</f>
        <v> </v>
      </c>
      <c r="Y91" s="445" t="str">
        <f aca="false">IF(A91="N/A"," ",(VLOOKUP($A91,InterestRatesTable,2)))</f>
        <v> </v>
      </c>
      <c r="AF91" s="386" t="n">
        <v>39203</v>
      </c>
      <c r="AG91" s="376" t="n">
        <v>22</v>
      </c>
      <c r="AH91" s="376" t="n">
        <v>4</v>
      </c>
      <c r="AI91" s="376" t="n">
        <v>5</v>
      </c>
      <c r="AJ91" s="376" t="n">
        <v>1</v>
      </c>
      <c r="AK91" s="376" t="n">
        <v>31</v>
      </c>
    </row>
    <row r="92" customFormat="false" ht="12.75" hidden="false" customHeight="false" outlineLevel="0" collapsed="false">
      <c r="A92" s="434" t="str">
        <f aca="false">Calculations!A57</f>
        <v>N/A</v>
      </c>
      <c r="B92" s="435" t="str">
        <f aca="false">IF(A92="N/A"," ",IF(ISERROR(P92),B80*Pwresc,P92)*VLOOKUP(MONTH(A92),Curveadj,3))</f>
        <v> </v>
      </c>
      <c r="C92" s="436" t="str">
        <f aca="false">IF(A92="N/A"," ",IF(ISERROR(Q92),C80*Pwresc,Q92)*VLOOKUP(MONTH(A92),Curveadj,3))</f>
        <v> </v>
      </c>
      <c r="D92" s="437" t="str">
        <f aca="false">IF(A92="N/A"," ",IF(ISERROR(R92),D80*Pwresc,R92)*VLOOKUP(MONTH(A92),Curveadj,3))</f>
        <v> </v>
      </c>
      <c r="E92" s="438" t="str">
        <f aca="false">IF(A92="N/A"," ",IF(Scalers=1,(IF(AND(Dynamic=1,MONTH(A92)&gt;=6,MONTH(A92)&lt;=8,OR($O$37="REGION 2",$O$37="REGION 2A",$O$37="REGION 2B",$O$37="REGION 3",$O$37="REGION 3A",$O$37="REGION 3B",$O$37="REGION 3C",$O$37="REGION 4",$O$37="REGION 4B",$O$37="REGION 4C",$O$37="REGION 5",$O$37="REGION 5A")),((0.059228/(B92/100))-(0.4980013/(SQRT(B92/100)))+2.137988),HLOOKUP(MONTH(A92),ScalarTable,28))),1))</f>
        <v> </v>
      </c>
      <c r="F92" s="439" t="str">
        <f aca="false">IF(A92="N/A"," ",B92*E92)</f>
        <v> </v>
      </c>
      <c r="G92" s="439" t="str">
        <f aca="false">IF(A92="N/A"," ",C92*E92)</f>
        <v> </v>
      </c>
      <c r="H92" s="440" t="str">
        <f aca="false">IF(A92="N/A"," ",D92*E92)</f>
        <v> </v>
      </c>
      <c r="I92" s="402" t="str">
        <f aca="false">IF(A92="N/A"," ",2-E92)</f>
        <v> </v>
      </c>
      <c r="J92" s="439" t="str">
        <f aca="false">IF(A92="N/A"," ",B92*I92)</f>
        <v> </v>
      </c>
      <c r="K92" s="439" t="str">
        <f aca="false">IF(A92="N/A"," ",C92*I92)</f>
        <v> </v>
      </c>
      <c r="L92" s="440" t="str">
        <f aca="false">IF(A92="N/A"," ",D92*I92)</f>
        <v> </v>
      </c>
      <c r="M92" s="441" t="str">
        <f aca="false">IF(A92="N/A"," ",IF(ISERROR(S92),M80*Pwresc,S92))</f>
        <v> </v>
      </c>
      <c r="N92" s="442" t="str">
        <f aca="false">IF(A92="N/A"," ",SUM(T92:X92))</f>
        <v> </v>
      </c>
      <c r="O92" s="370"/>
      <c r="P92" s="436" t="str">
        <f aca="false">IF(A92="N/A"," ",VLOOKUP(A92,PeakPowerCurves,(IF(BMO=2,3,IF(BMO=1,2,4))),FALSE())+Inputs!N75)</f>
        <v> </v>
      </c>
      <c r="Q92" s="436" t="str">
        <f aca="false">IF(A92="N/A"," ",VLOOKUP(A92,SatSunPeakPwr,(IF(BMO=2,3,IF(BMO=1,2,4))),FALSE())+Inputs!$N$23)</f>
        <v> </v>
      </c>
      <c r="R92" s="436" t="str">
        <f aca="false">IF(A92="N/A"," ",VLOOKUP(A92,SatSunPeakPwr,(IF(BMO=2,7,IF(BMO=1,6,8))),FALSE())+Inputs!$N$23)</f>
        <v> </v>
      </c>
      <c r="S92" s="443" t="str">
        <f aca="false">IF(A92="N/A"," ",(VLOOKUP(A92,OPPowerPrices,(IF(BMO=2,7,IF(BMO=1,6,8))),FALSE())+Inputs!$N$23))</f>
        <v> </v>
      </c>
      <c r="T92" s="444" t="str">
        <f aca="false">IF(A92="N/A"," ",(VLOOKUP(A92,GasCurves,9,FALSE()))+IF(BMO=1,Gasbmo,IF(BMO=3,-Gasbmo,0)))</f>
        <v> </v>
      </c>
      <c r="U92" s="444" t="str">
        <f aca="false">IF(A92="N/A"," ",IF(Basischeck=TRUE(),(VLOOKUP(A92,GasCurves,IF(MONTH(A92)&gt;=4,IF(MONTH(A92)&lt;=10,11,12),12),FALSE())),0))</f>
        <v> </v>
      </c>
      <c r="V92" s="444" t="str">
        <f aca="false">IF(A92="N/A"," ",IF(Indexcheck=TRUE(),(IF(MONTH(A92)&gt;=4,IF(MONTH(A92)&lt;=10,VLOOKUP(A92,'Gas Curves'!B70:O430,13),VLOOKUP(A92,'Gas Curves'!B70:O430,14)),VLOOKUP(A92,'Gas Curves'!B70:O430,14))),0))</f>
        <v> </v>
      </c>
      <c r="W92" s="444" t="str">
        <f aca="false">IF(A92="N/A"," ",((SUM(T92:V92))/(1-Inputs!$S$11)-(SUM(T92:V92))))</f>
        <v> </v>
      </c>
      <c r="X92" s="444" t="str">
        <f aca="false">IF(A92="N/A"," ",(IF(MONTH(A92)&gt;=4,IF(MONTH(A92)&lt;=10,Inputs!$S$9,Inputs!$S$10),Inputs!$S$10)))</f>
        <v> </v>
      </c>
      <c r="Y92" s="445" t="str">
        <f aca="false">IF(A92="N/A"," ",(VLOOKUP($A92,InterestRatesTable,2)))</f>
        <v> </v>
      </c>
      <c r="AF92" s="386" t="n">
        <v>39234</v>
      </c>
      <c r="AG92" s="376" t="n">
        <v>21</v>
      </c>
      <c r="AH92" s="376" t="n">
        <v>5</v>
      </c>
      <c r="AI92" s="376" t="n">
        <v>4</v>
      </c>
      <c r="AJ92" s="376" t="n">
        <v>0</v>
      </c>
      <c r="AK92" s="376" t="n">
        <v>30</v>
      </c>
    </row>
    <row r="93" customFormat="false" ht="12.75" hidden="false" customHeight="false" outlineLevel="0" collapsed="false">
      <c r="A93" s="434" t="str">
        <f aca="false">Calculations!A58</f>
        <v>N/A</v>
      </c>
      <c r="B93" s="435" t="str">
        <f aca="false">IF(A93="N/A"," ",IF(ISERROR(P93),B81*Pwresc,P93)*VLOOKUP(MONTH(A93),Curveadj,3))</f>
        <v> </v>
      </c>
      <c r="C93" s="436" t="str">
        <f aca="false">IF(A93="N/A"," ",IF(ISERROR(Q93),C81*Pwresc,Q93)*VLOOKUP(MONTH(A93),Curveadj,3))</f>
        <v> </v>
      </c>
      <c r="D93" s="437" t="str">
        <f aca="false">IF(A93="N/A"," ",IF(ISERROR(R93),D81*Pwresc,R93)*VLOOKUP(MONTH(A93),Curveadj,3))</f>
        <v> </v>
      </c>
      <c r="E93" s="438" t="str">
        <f aca="false">IF(A93="N/A"," ",IF(Scalers=1,(IF(AND(Dynamic=1,MONTH(A93)&gt;=6,MONTH(A93)&lt;=8,OR($O$37="REGION 2",$O$37="REGION 2A",$O$37="REGION 2B",$O$37="REGION 3",$O$37="REGION 3A",$O$37="REGION 3B",$O$37="REGION 3C",$O$37="REGION 4",$O$37="REGION 4B",$O$37="REGION 4C",$O$37="REGION 5",$O$37="REGION 5A")),((0.059228/(B93/100))-(0.4980013/(SQRT(B93/100)))+2.137988),HLOOKUP(MONTH(A93),ScalarTable,28))),1))</f>
        <v> </v>
      </c>
      <c r="F93" s="439" t="str">
        <f aca="false">IF(A93="N/A"," ",B93*E93)</f>
        <v> </v>
      </c>
      <c r="G93" s="439" t="str">
        <f aca="false">IF(A93="N/A"," ",C93*E93)</f>
        <v> </v>
      </c>
      <c r="H93" s="440" t="str">
        <f aca="false">IF(A93="N/A"," ",D93*E93)</f>
        <v> </v>
      </c>
      <c r="I93" s="402" t="str">
        <f aca="false">IF(A93="N/A"," ",2-E93)</f>
        <v> </v>
      </c>
      <c r="J93" s="439" t="str">
        <f aca="false">IF(A93="N/A"," ",B93*I93)</f>
        <v> </v>
      </c>
      <c r="K93" s="439" t="str">
        <f aca="false">IF(A93="N/A"," ",C93*I93)</f>
        <v> </v>
      </c>
      <c r="L93" s="440" t="str">
        <f aca="false">IF(A93="N/A"," ",D93*I93)</f>
        <v> </v>
      </c>
      <c r="M93" s="441" t="str">
        <f aca="false">IF(A93="N/A"," ",IF(ISERROR(S93),M81*Pwresc,S93))</f>
        <v> </v>
      </c>
      <c r="N93" s="442" t="str">
        <f aca="false">IF(A93="N/A"," ",SUM(T93:X93))</f>
        <v> </v>
      </c>
      <c r="O93" s="370"/>
      <c r="P93" s="436" t="str">
        <f aca="false">IF(A93="N/A"," ",VLOOKUP(A93,PeakPowerCurves,(IF(BMO=2,3,IF(BMO=1,2,4))),FALSE())+Inputs!N76)</f>
        <v> </v>
      </c>
      <c r="Q93" s="436" t="str">
        <f aca="false">IF(A93="N/A"," ",VLOOKUP(A93,SatSunPeakPwr,(IF(BMO=2,3,IF(BMO=1,2,4))),FALSE())+Inputs!$N$23)</f>
        <v> </v>
      </c>
      <c r="R93" s="436" t="str">
        <f aca="false">IF(A93="N/A"," ",VLOOKUP(A93,SatSunPeakPwr,(IF(BMO=2,7,IF(BMO=1,6,8))),FALSE())+Inputs!$N$23)</f>
        <v> </v>
      </c>
      <c r="S93" s="443" t="str">
        <f aca="false">IF(A93="N/A"," ",(VLOOKUP(A93,OPPowerPrices,(IF(BMO=2,7,IF(BMO=1,6,8))),FALSE())+Inputs!$N$23))</f>
        <v> </v>
      </c>
      <c r="T93" s="444" t="str">
        <f aca="false">IF(A93="N/A"," ",(VLOOKUP(A93,GasCurves,9,FALSE()))+IF(BMO=1,Gasbmo,IF(BMO=3,-Gasbmo,0)))</f>
        <v> </v>
      </c>
      <c r="U93" s="444" t="str">
        <f aca="false">IF(A93="N/A"," ",IF(Basischeck=TRUE(),(VLOOKUP(A93,GasCurves,IF(MONTH(A93)&gt;=4,IF(MONTH(A93)&lt;=10,11,12),12),FALSE())),0))</f>
        <v> </v>
      </c>
      <c r="V93" s="444" t="str">
        <f aca="false">IF(A93="N/A"," ",IF(Indexcheck=TRUE(),(IF(MONTH(A93)&gt;=4,IF(MONTH(A93)&lt;=10,VLOOKUP(A93,'Gas Curves'!B71:O431,13),VLOOKUP(A93,'Gas Curves'!B71:O431,14)),VLOOKUP(A93,'Gas Curves'!B71:O431,14))),0))</f>
        <v> </v>
      </c>
      <c r="W93" s="444" t="str">
        <f aca="false">IF(A93="N/A"," ",((SUM(T93:V93))/(1-Inputs!$S$11)-(SUM(T93:V93))))</f>
        <v> </v>
      </c>
      <c r="X93" s="444" t="str">
        <f aca="false">IF(A93="N/A"," ",(IF(MONTH(A93)&gt;=4,IF(MONTH(A93)&lt;=10,Inputs!$S$9,Inputs!$S$10),Inputs!$S$10)))</f>
        <v> </v>
      </c>
      <c r="Y93" s="445" t="str">
        <f aca="false">IF(A93="N/A"," ",(VLOOKUP($A93,InterestRatesTable,2)))</f>
        <v> </v>
      </c>
      <c r="AF93" s="386" t="n">
        <v>39264</v>
      </c>
      <c r="AG93" s="376" t="n">
        <v>21</v>
      </c>
      <c r="AH93" s="376" t="n">
        <v>4</v>
      </c>
      <c r="AI93" s="376" t="n">
        <v>6</v>
      </c>
      <c r="AJ93" s="376" t="n">
        <v>1</v>
      </c>
      <c r="AK93" s="376" t="n">
        <v>31</v>
      </c>
    </row>
    <row r="94" customFormat="false" ht="12.75" hidden="false" customHeight="false" outlineLevel="0" collapsed="false">
      <c r="A94" s="434" t="str">
        <f aca="false">Calculations!A59</f>
        <v>N/A</v>
      </c>
      <c r="B94" s="435" t="str">
        <f aca="false">IF(A94="N/A"," ",IF(ISERROR(P94),B82*Pwresc,P94)*VLOOKUP(MONTH(A94),Curveadj,3))</f>
        <v> </v>
      </c>
      <c r="C94" s="436" t="str">
        <f aca="false">IF(A94="N/A"," ",IF(ISERROR(Q94),C82*Pwresc,Q94)*VLOOKUP(MONTH(A94),Curveadj,3))</f>
        <v> </v>
      </c>
      <c r="D94" s="437" t="str">
        <f aca="false">IF(A94="N/A"," ",IF(ISERROR(R94),D82*Pwresc,R94)*VLOOKUP(MONTH(A94),Curveadj,3))</f>
        <v> </v>
      </c>
      <c r="E94" s="438" t="str">
        <f aca="false">IF(A94="N/A"," ",IF(Scalers=1,(IF(AND(Dynamic=1,MONTH(A94)&gt;=6,MONTH(A94)&lt;=8,OR($O$37="REGION 2",$O$37="REGION 2A",$O$37="REGION 2B",$O$37="REGION 3",$O$37="REGION 3A",$O$37="REGION 3B",$O$37="REGION 3C",$O$37="REGION 4",$O$37="REGION 4B",$O$37="REGION 4C",$O$37="REGION 5",$O$37="REGION 5A")),((0.059228/(B94/100))-(0.4980013/(SQRT(B94/100)))+2.137988),HLOOKUP(MONTH(A94),ScalarTable,28))),1))</f>
        <v> </v>
      </c>
      <c r="F94" s="439" t="str">
        <f aca="false">IF(A94="N/A"," ",B94*E94)</f>
        <v> </v>
      </c>
      <c r="G94" s="439" t="str">
        <f aca="false">IF(A94="N/A"," ",C94*E94)</f>
        <v> </v>
      </c>
      <c r="H94" s="440" t="str">
        <f aca="false">IF(A94="N/A"," ",D94*E94)</f>
        <v> </v>
      </c>
      <c r="I94" s="402" t="str">
        <f aca="false">IF(A94="N/A"," ",2-E94)</f>
        <v> </v>
      </c>
      <c r="J94" s="439" t="str">
        <f aca="false">IF(A94="N/A"," ",B94*I94)</f>
        <v> </v>
      </c>
      <c r="K94" s="439" t="str">
        <f aca="false">IF(A94="N/A"," ",C94*I94)</f>
        <v> </v>
      </c>
      <c r="L94" s="440" t="str">
        <f aca="false">IF(A94="N/A"," ",D94*I94)</f>
        <v> </v>
      </c>
      <c r="M94" s="441" t="str">
        <f aca="false">IF(A94="N/A"," ",IF(ISERROR(S94),M82*Pwresc,S94))</f>
        <v> </v>
      </c>
      <c r="N94" s="442" t="str">
        <f aca="false">IF(A94="N/A"," ",SUM(T94:X94))</f>
        <v> </v>
      </c>
      <c r="O94" s="370"/>
      <c r="P94" s="436" t="str">
        <f aca="false">IF(A94="N/A"," ",VLOOKUP(A94,PeakPowerCurves,(IF(BMO=2,3,IF(BMO=1,2,4))),FALSE())+Inputs!N77)</f>
        <v> </v>
      </c>
      <c r="Q94" s="436" t="str">
        <f aca="false">IF(A94="N/A"," ",VLOOKUP(A94,SatSunPeakPwr,(IF(BMO=2,3,IF(BMO=1,2,4))),FALSE())+Inputs!$N$23)</f>
        <v> </v>
      </c>
      <c r="R94" s="436" t="str">
        <f aca="false">IF(A94="N/A"," ",VLOOKUP(A94,SatSunPeakPwr,(IF(BMO=2,7,IF(BMO=1,6,8))),FALSE())+Inputs!$N$23)</f>
        <v> </v>
      </c>
      <c r="S94" s="443" t="str">
        <f aca="false">IF(A94="N/A"," ",(VLOOKUP(A94,OPPowerPrices,(IF(BMO=2,7,IF(BMO=1,6,8))),FALSE())+Inputs!$N$23))</f>
        <v> </v>
      </c>
      <c r="T94" s="444" t="str">
        <f aca="false">IF(A94="N/A"," ",(VLOOKUP(A94,GasCurves,9,FALSE()))+IF(BMO=1,Gasbmo,IF(BMO=3,-Gasbmo,0)))</f>
        <v> </v>
      </c>
      <c r="U94" s="444" t="str">
        <f aca="false">IF(A94="N/A"," ",IF(Basischeck=TRUE(),(VLOOKUP(A94,GasCurves,IF(MONTH(A94)&gt;=4,IF(MONTH(A94)&lt;=10,11,12),12),FALSE())),0))</f>
        <v> </v>
      </c>
      <c r="V94" s="444" t="str">
        <f aca="false">IF(A94="N/A"," ",IF(Indexcheck=TRUE(),(IF(MONTH(A94)&gt;=4,IF(MONTH(A94)&lt;=10,VLOOKUP(A94,'Gas Curves'!B72:O432,13),VLOOKUP(A94,'Gas Curves'!B72:O432,14)),VLOOKUP(A94,'Gas Curves'!B72:O432,14))),0))</f>
        <v> </v>
      </c>
      <c r="W94" s="444" t="str">
        <f aca="false">IF(A94="N/A"," ",((SUM(T94:V94))/(1-Inputs!$S$11)-(SUM(T94:V94))))</f>
        <v> </v>
      </c>
      <c r="X94" s="444" t="str">
        <f aca="false">IF(A94="N/A"," ",(IF(MONTH(A94)&gt;=4,IF(MONTH(A94)&lt;=10,Inputs!$S$9,Inputs!$S$10),Inputs!$S$10)))</f>
        <v> </v>
      </c>
      <c r="Y94" s="445" t="str">
        <f aca="false">IF(A94="N/A"," ",(VLOOKUP($A94,InterestRatesTable,2)))</f>
        <v> </v>
      </c>
      <c r="AF94" s="386" t="n">
        <v>39295</v>
      </c>
      <c r="AG94" s="376" t="n">
        <v>23</v>
      </c>
      <c r="AH94" s="376" t="n">
        <v>4</v>
      </c>
      <c r="AI94" s="376" t="n">
        <v>4</v>
      </c>
      <c r="AJ94" s="376" t="n">
        <v>0</v>
      </c>
      <c r="AK94" s="376" t="n">
        <v>31</v>
      </c>
    </row>
    <row r="95" customFormat="false" ht="12.75" hidden="false" customHeight="false" outlineLevel="0" collapsed="false">
      <c r="A95" s="434" t="str">
        <f aca="false">Calculations!A60</f>
        <v>N/A</v>
      </c>
      <c r="B95" s="435" t="str">
        <f aca="false">IF(A95="N/A"," ",IF(ISERROR(P95),B83*Pwresc,P95)*VLOOKUP(MONTH(A95),Curveadj,3))</f>
        <v> </v>
      </c>
      <c r="C95" s="436" t="str">
        <f aca="false">IF(A95="N/A"," ",IF(ISERROR(Q95),C83*Pwresc,Q95)*VLOOKUP(MONTH(A95),Curveadj,3))</f>
        <v> </v>
      </c>
      <c r="D95" s="437" t="str">
        <f aca="false">IF(A95="N/A"," ",IF(ISERROR(R95),D83*Pwresc,R95)*VLOOKUP(MONTH(A95),Curveadj,3))</f>
        <v> </v>
      </c>
      <c r="E95" s="438" t="str">
        <f aca="false">IF(A95="N/A"," ",IF(Scalers=1,(IF(AND(Dynamic=1,MONTH(A95)&gt;=6,MONTH(A95)&lt;=8,OR($O$37="REGION 2",$O$37="REGION 2A",$O$37="REGION 2B",$O$37="REGION 3",$O$37="REGION 3A",$O$37="REGION 3B",$O$37="REGION 3C",$O$37="REGION 4",$O$37="REGION 4B",$O$37="REGION 4C",$O$37="REGION 5",$O$37="REGION 5A")),((0.059228/(B95/100))-(0.4980013/(SQRT(B95/100)))+2.137988),HLOOKUP(MONTH(A95),ScalarTable,28))),1))</f>
        <v> </v>
      </c>
      <c r="F95" s="439" t="str">
        <f aca="false">IF(A95="N/A"," ",B95*E95)</f>
        <v> </v>
      </c>
      <c r="G95" s="439" t="str">
        <f aca="false">IF(A95="N/A"," ",C95*E95)</f>
        <v> </v>
      </c>
      <c r="H95" s="440" t="str">
        <f aca="false">IF(A95="N/A"," ",D95*E95)</f>
        <v> </v>
      </c>
      <c r="I95" s="402" t="str">
        <f aca="false">IF(A95="N/A"," ",2-E95)</f>
        <v> </v>
      </c>
      <c r="J95" s="439" t="str">
        <f aca="false">IF(A95="N/A"," ",B95*I95)</f>
        <v> </v>
      </c>
      <c r="K95" s="439" t="str">
        <f aca="false">IF(A95="N/A"," ",C95*I95)</f>
        <v> </v>
      </c>
      <c r="L95" s="440" t="str">
        <f aca="false">IF(A95="N/A"," ",D95*I95)</f>
        <v> </v>
      </c>
      <c r="M95" s="441" t="str">
        <f aca="false">IF(A95="N/A"," ",IF(ISERROR(S95),M83*Pwresc,S95))</f>
        <v> </v>
      </c>
      <c r="N95" s="442" t="str">
        <f aca="false">IF(A95="N/A"," ",SUM(T95:X95))</f>
        <v> </v>
      </c>
      <c r="O95" s="370"/>
      <c r="P95" s="436" t="str">
        <f aca="false">IF(A95="N/A"," ",VLOOKUP(A95,PeakPowerCurves,(IF(BMO=2,3,IF(BMO=1,2,4))),FALSE())+Inputs!N78)</f>
        <v> </v>
      </c>
      <c r="Q95" s="436" t="str">
        <f aca="false">IF(A95="N/A"," ",VLOOKUP(A95,SatSunPeakPwr,(IF(BMO=2,3,IF(BMO=1,2,4))),FALSE())+Inputs!$N$23)</f>
        <v> </v>
      </c>
      <c r="R95" s="436" t="str">
        <f aca="false">IF(A95="N/A"," ",VLOOKUP(A95,SatSunPeakPwr,(IF(BMO=2,7,IF(BMO=1,6,8))),FALSE())+Inputs!$N$23)</f>
        <v> </v>
      </c>
      <c r="S95" s="443" t="str">
        <f aca="false">IF(A95="N/A"," ",(VLOOKUP(A95,OPPowerPrices,(IF(BMO=2,7,IF(BMO=1,6,8))),FALSE())+Inputs!$N$23))</f>
        <v> </v>
      </c>
      <c r="T95" s="444" t="str">
        <f aca="false">IF(A95="N/A"," ",(VLOOKUP(A95,GasCurves,9,FALSE()))+IF(BMO=1,Gasbmo,IF(BMO=3,-Gasbmo,0)))</f>
        <v> </v>
      </c>
      <c r="U95" s="444" t="str">
        <f aca="false">IF(A95="N/A"," ",IF(Basischeck=TRUE(),(VLOOKUP(A95,GasCurves,IF(MONTH(A95)&gt;=4,IF(MONTH(A95)&lt;=10,11,12),12),FALSE())),0))</f>
        <v> </v>
      </c>
      <c r="V95" s="444" t="str">
        <f aca="false">IF(A95="N/A"," ",IF(Indexcheck=TRUE(),(IF(MONTH(A95)&gt;=4,IF(MONTH(A95)&lt;=10,VLOOKUP(A95,'Gas Curves'!B73:O433,13),VLOOKUP(A95,'Gas Curves'!B73:O433,14)),VLOOKUP(A95,'Gas Curves'!B73:O433,14))),0))</f>
        <v> </v>
      </c>
      <c r="W95" s="444" t="str">
        <f aca="false">IF(A95="N/A"," ",((SUM(T95:V95))/(1-Inputs!$S$11)-(SUM(T95:V95))))</f>
        <v> </v>
      </c>
      <c r="X95" s="444" t="str">
        <f aca="false">IF(A95="N/A"," ",(IF(MONTH(A95)&gt;=4,IF(MONTH(A95)&lt;=10,Inputs!$S$9,Inputs!$S$10),Inputs!$S$10)))</f>
        <v> </v>
      </c>
      <c r="Y95" s="445" t="str">
        <f aca="false">IF(A95="N/A"," ",(VLOOKUP($A95,InterestRatesTable,2)))</f>
        <v> </v>
      </c>
      <c r="AF95" s="386" t="n">
        <v>39326</v>
      </c>
      <c r="AG95" s="376" t="n">
        <v>19</v>
      </c>
      <c r="AH95" s="376" t="n">
        <v>5</v>
      </c>
      <c r="AI95" s="376" t="n">
        <v>6</v>
      </c>
      <c r="AJ95" s="376" t="n">
        <v>1</v>
      </c>
      <c r="AK95" s="376" t="n">
        <v>30</v>
      </c>
    </row>
    <row r="96" customFormat="false" ht="12.75" hidden="false" customHeight="false" outlineLevel="0" collapsed="false">
      <c r="A96" s="434" t="str">
        <f aca="false">Calculations!A61</f>
        <v>N/A</v>
      </c>
      <c r="B96" s="435" t="str">
        <f aca="false">IF(A96="N/A"," ",IF(ISERROR(P96),B84*Pwresc,P96)*VLOOKUP(MONTH(A96),Curveadj,3))</f>
        <v> </v>
      </c>
      <c r="C96" s="436" t="str">
        <f aca="false">IF(A96="N/A"," ",IF(ISERROR(Q96),C84*Pwresc,Q96)*VLOOKUP(MONTH(A96),Curveadj,3))</f>
        <v> </v>
      </c>
      <c r="D96" s="437" t="str">
        <f aca="false">IF(A96="N/A"," ",IF(ISERROR(R96),D84*Pwresc,R96)*VLOOKUP(MONTH(A96),Curveadj,3))</f>
        <v> </v>
      </c>
      <c r="E96" s="438" t="str">
        <f aca="false">IF(A96="N/A"," ",IF(Scalers=1,(IF(AND(Dynamic=1,MONTH(A96)&gt;=6,MONTH(A96)&lt;=8,OR($O$37="REGION 2",$O$37="REGION 2A",$O$37="REGION 2B",$O$37="REGION 3",$O$37="REGION 3A",$O$37="REGION 3B",$O$37="REGION 3C",$O$37="REGION 4",$O$37="REGION 4B",$O$37="REGION 4C",$O$37="REGION 5",$O$37="REGION 5A")),((0.059228/(B96/100))-(0.4980013/(SQRT(B96/100)))+2.137988),HLOOKUP(MONTH(A96),ScalarTable,28))),1))</f>
        <v> </v>
      </c>
      <c r="F96" s="439" t="str">
        <f aca="false">IF(A96="N/A"," ",B96*E96)</f>
        <v> </v>
      </c>
      <c r="G96" s="439" t="str">
        <f aca="false">IF(A96="N/A"," ",C96*E96)</f>
        <v> </v>
      </c>
      <c r="H96" s="440" t="str">
        <f aca="false">IF(A96="N/A"," ",D96*E96)</f>
        <v> </v>
      </c>
      <c r="I96" s="402" t="str">
        <f aca="false">IF(A96="N/A"," ",2-E96)</f>
        <v> </v>
      </c>
      <c r="J96" s="439" t="str">
        <f aca="false">IF(A96="N/A"," ",B96*I96)</f>
        <v> </v>
      </c>
      <c r="K96" s="439" t="str">
        <f aca="false">IF(A96="N/A"," ",C96*I96)</f>
        <v> </v>
      </c>
      <c r="L96" s="440" t="str">
        <f aca="false">IF(A96="N/A"," ",D96*I96)</f>
        <v> </v>
      </c>
      <c r="M96" s="441" t="str">
        <f aca="false">IF(A96="N/A"," ",IF(ISERROR(S96),M84*Pwresc,S96))</f>
        <v> </v>
      </c>
      <c r="N96" s="442" t="str">
        <f aca="false">IF(A96="N/A"," ",SUM(T96:X96))</f>
        <v> </v>
      </c>
      <c r="O96" s="370"/>
      <c r="P96" s="436" t="str">
        <f aca="false">IF(A96="N/A"," ",VLOOKUP(A96,PeakPowerCurves,(IF(BMO=2,3,IF(BMO=1,2,4))),FALSE())+Inputs!N79)</f>
        <v> </v>
      </c>
      <c r="Q96" s="436" t="str">
        <f aca="false">IF(A96="N/A"," ",VLOOKUP(A96,SatSunPeakPwr,(IF(BMO=2,3,IF(BMO=1,2,4))),FALSE())+Inputs!$N$23)</f>
        <v> </v>
      </c>
      <c r="R96" s="436" t="str">
        <f aca="false">IF(A96="N/A"," ",VLOOKUP(A96,SatSunPeakPwr,(IF(BMO=2,7,IF(BMO=1,6,8))),FALSE())+Inputs!$N$23)</f>
        <v> </v>
      </c>
      <c r="S96" s="443" t="str">
        <f aca="false">IF(A96="N/A"," ",(VLOOKUP(A96,OPPowerPrices,(IF(BMO=2,7,IF(BMO=1,6,8))),FALSE())+Inputs!$N$23))</f>
        <v> </v>
      </c>
      <c r="T96" s="444" t="str">
        <f aca="false">IF(A96="N/A"," ",(VLOOKUP(A96,GasCurves,9,FALSE()))+IF(BMO=1,Gasbmo,IF(BMO=3,-Gasbmo,0)))</f>
        <v> </v>
      </c>
      <c r="U96" s="444" t="str">
        <f aca="false">IF(A96="N/A"," ",IF(Basischeck=TRUE(),(VLOOKUP(A96,GasCurves,IF(MONTH(A96)&gt;=4,IF(MONTH(A96)&lt;=10,11,12),12),FALSE())),0))</f>
        <v> </v>
      </c>
      <c r="V96" s="444" t="str">
        <f aca="false">IF(A96="N/A"," ",IF(Indexcheck=TRUE(),(IF(MONTH(A96)&gt;=4,IF(MONTH(A96)&lt;=10,VLOOKUP(A96,'Gas Curves'!B74:O434,13),VLOOKUP(A96,'Gas Curves'!B74:O434,14)),VLOOKUP(A96,'Gas Curves'!B74:O434,14))),0))</f>
        <v> </v>
      </c>
      <c r="W96" s="444" t="str">
        <f aca="false">IF(A96="N/A"," ",((SUM(T96:V96))/(1-Inputs!$S$11)-(SUM(T96:V96))))</f>
        <v> </v>
      </c>
      <c r="X96" s="444" t="str">
        <f aca="false">IF(A96="N/A"," ",(IF(MONTH(A96)&gt;=4,IF(MONTH(A96)&lt;=10,Inputs!$S$9,Inputs!$S$10),Inputs!$S$10)))</f>
        <v> </v>
      </c>
      <c r="Y96" s="445" t="str">
        <f aca="false">IF(A96="N/A"," ",(VLOOKUP($A96,InterestRatesTable,2)))</f>
        <v> </v>
      </c>
      <c r="AF96" s="386" t="n">
        <v>39356</v>
      </c>
      <c r="AG96" s="376" t="n">
        <v>23</v>
      </c>
      <c r="AH96" s="376" t="n">
        <v>4</v>
      </c>
      <c r="AI96" s="376" t="n">
        <v>4</v>
      </c>
      <c r="AJ96" s="376" t="n">
        <v>0</v>
      </c>
      <c r="AK96" s="376" t="n">
        <v>31</v>
      </c>
    </row>
    <row r="97" customFormat="false" ht="12.75" hidden="false" customHeight="false" outlineLevel="0" collapsed="false">
      <c r="A97" s="434" t="str">
        <f aca="false">Calculations!A62</f>
        <v>N/A</v>
      </c>
      <c r="B97" s="435" t="str">
        <f aca="false">IF(A97="N/A"," ",IF(ISERROR(P97),B85*Pwresc,P97)*VLOOKUP(MONTH(A97),Curveadj,3))</f>
        <v> </v>
      </c>
      <c r="C97" s="436" t="str">
        <f aca="false">IF(A97="N/A"," ",IF(ISERROR(Q97),C85*Pwresc,Q97)*VLOOKUP(MONTH(A97),Curveadj,3))</f>
        <v> </v>
      </c>
      <c r="D97" s="437" t="str">
        <f aca="false">IF(A97="N/A"," ",IF(ISERROR(R97),D85*Pwresc,R97)*VLOOKUP(MONTH(A97),Curveadj,3))</f>
        <v> </v>
      </c>
      <c r="E97" s="438" t="str">
        <f aca="false">IF(A97="N/A"," ",IF(Scalers=1,(IF(AND(Dynamic=1,MONTH(A97)&gt;=6,MONTH(A97)&lt;=8,OR($O$37="REGION 2",$O$37="REGION 2A",$O$37="REGION 2B",$O$37="REGION 3",$O$37="REGION 3A",$O$37="REGION 3B",$O$37="REGION 3C",$O$37="REGION 4",$O$37="REGION 4B",$O$37="REGION 4C",$O$37="REGION 5",$O$37="REGION 5A")),((0.059228/(B97/100))-(0.4980013/(SQRT(B97/100)))+2.137988),HLOOKUP(MONTH(A97),ScalarTable,28))),1))</f>
        <v> </v>
      </c>
      <c r="F97" s="439" t="str">
        <f aca="false">IF(A97="N/A"," ",B97*E97)</f>
        <v> </v>
      </c>
      <c r="G97" s="439" t="str">
        <f aca="false">IF(A97="N/A"," ",C97*E97)</f>
        <v> </v>
      </c>
      <c r="H97" s="440" t="str">
        <f aca="false">IF(A97="N/A"," ",D97*E97)</f>
        <v> </v>
      </c>
      <c r="I97" s="402" t="str">
        <f aca="false">IF(A97="N/A"," ",2-E97)</f>
        <v> </v>
      </c>
      <c r="J97" s="439" t="str">
        <f aca="false">IF(A97="N/A"," ",B97*I97)</f>
        <v> </v>
      </c>
      <c r="K97" s="439" t="str">
        <f aca="false">IF(A97="N/A"," ",C97*I97)</f>
        <v> </v>
      </c>
      <c r="L97" s="440" t="str">
        <f aca="false">IF(A97="N/A"," ",D97*I97)</f>
        <v> </v>
      </c>
      <c r="M97" s="441" t="str">
        <f aca="false">IF(A97="N/A"," ",IF(ISERROR(S97),M85*Pwresc,S97))</f>
        <v> </v>
      </c>
      <c r="N97" s="442" t="str">
        <f aca="false">IF(A97="N/A"," ",SUM(T97:X97))</f>
        <v> </v>
      </c>
      <c r="O97" s="370"/>
      <c r="P97" s="436" t="str">
        <f aca="false">IF(A97="N/A"," ",VLOOKUP(A97,PeakPowerCurves,(IF(BMO=2,3,IF(BMO=1,2,4))),FALSE())+Inputs!N80)</f>
        <v> </v>
      </c>
      <c r="Q97" s="436" t="str">
        <f aca="false">IF(A97="N/A"," ",VLOOKUP(A97,SatSunPeakPwr,(IF(BMO=2,3,IF(BMO=1,2,4))),FALSE())+Inputs!$N$23)</f>
        <v> </v>
      </c>
      <c r="R97" s="436" t="str">
        <f aca="false">IF(A97="N/A"," ",VLOOKUP(A97,SatSunPeakPwr,(IF(BMO=2,7,IF(BMO=1,6,8))),FALSE())+Inputs!$N$23)</f>
        <v> </v>
      </c>
      <c r="S97" s="443" t="str">
        <f aca="false">IF(A97="N/A"," ",(VLOOKUP(A97,OPPowerPrices,(IF(BMO=2,7,IF(BMO=1,6,8))),FALSE())+Inputs!$N$23))</f>
        <v> </v>
      </c>
      <c r="T97" s="444" t="str">
        <f aca="false">IF(A97="N/A"," ",(VLOOKUP(A97,GasCurves,9,FALSE()))+IF(BMO=1,Gasbmo,IF(BMO=3,-Gasbmo,0)))</f>
        <v> </v>
      </c>
      <c r="U97" s="444" t="str">
        <f aca="false">IF(A97="N/A"," ",IF(Basischeck=TRUE(),(VLOOKUP(A97,GasCurves,IF(MONTH(A97)&gt;=4,IF(MONTH(A97)&lt;=10,11,12),12),FALSE())),0))</f>
        <v> </v>
      </c>
      <c r="V97" s="444" t="str">
        <f aca="false">IF(A97="N/A"," ",IF(Indexcheck=TRUE(),(IF(MONTH(A97)&gt;=4,IF(MONTH(A97)&lt;=10,VLOOKUP(A97,'Gas Curves'!B75:O435,13),VLOOKUP(A97,'Gas Curves'!B75:O435,14)),VLOOKUP(A97,'Gas Curves'!B75:O435,14))),0))</f>
        <v> </v>
      </c>
      <c r="W97" s="444" t="str">
        <f aca="false">IF(A97="N/A"," ",((SUM(T97:V97))/(1-Inputs!$S$11)-(SUM(T97:V97))))</f>
        <v> </v>
      </c>
      <c r="X97" s="444" t="str">
        <f aca="false">IF(A97="N/A"," ",(IF(MONTH(A97)&gt;=4,IF(MONTH(A97)&lt;=10,Inputs!$S$9,Inputs!$S$10),Inputs!$S$10)))</f>
        <v> </v>
      </c>
      <c r="Y97" s="445" t="str">
        <f aca="false">IF(A97="N/A"," ",(VLOOKUP($A97,InterestRatesTable,2)))</f>
        <v> </v>
      </c>
      <c r="AF97" s="386" t="n">
        <v>39387</v>
      </c>
      <c r="AG97" s="376" t="n">
        <v>21</v>
      </c>
      <c r="AH97" s="376" t="n">
        <v>4</v>
      </c>
      <c r="AI97" s="376" t="n">
        <v>5</v>
      </c>
      <c r="AJ97" s="376" t="n">
        <v>1</v>
      </c>
      <c r="AK97" s="376" t="n">
        <v>30</v>
      </c>
    </row>
    <row r="98" customFormat="false" ht="12.75" hidden="false" customHeight="false" outlineLevel="0" collapsed="false">
      <c r="A98" s="434" t="str">
        <f aca="false">Calculations!A63</f>
        <v>N/A</v>
      </c>
      <c r="B98" s="435" t="str">
        <f aca="false">IF(A98="N/A"," ",IF(ISERROR(P98),B86*Pwresc,P98)*VLOOKUP(MONTH(A98),Curveadj,3))</f>
        <v> </v>
      </c>
      <c r="C98" s="436" t="str">
        <f aca="false">IF(A98="N/A"," ",IF(ISERROR(Q98),C86*Pwresc,Q98)*VLOOKUP(MONTH(A98),Curveadj,3))</f>
        <v> </v>
      </c>
      <c r="D98" s="437" t="str">
        <f aca="false">IF(A98="N/A"," ",IF(ISERROR(R98),D86*Pwresc,R98)*VLOOKUP(MONTH(A98),Curveadj,3))</f>
        <v> </v>
      </c>
      <c r="E98" s="438" t="str">
        <f aca="false">IF(A98="N/A"," ",IF(Scalers=1,(IF(AND(Dynamic=1,MONTH(A98)&gt;=6,MONTH(A98)&lt;=8,OR($O$37="REGION 2",$O$37="REGION 2A",$O$37="REGION 2B",$O$37="REGION 3",$O$37="REGION 3A",$O$37="REGION 3B",$O$37="REGION 3C",$O$37="REGION 4",$O$37="REGION 4B",$O$37="REGION 4C",$O$37="REGION 5",$O$37="REGION 5A")),((0.059228/(B98/100))-(0.4980013/(SQRT(B98/100)))+2.137988),HLOOKUP(MONTH(A98),ScalarTable,28))),1))</f>
        <v> </v>
      </c>
      <c r="F98" s="439" t="str">
        <f aca="false">IF(A98="N/A"," ",B98*E98)</f>
        <v> </v>
      </c>
      <c r="G98" s="439" t="str">
        <f aca="false">IF(A98="N/A"," ",C98*E98)</f>
        <v> </v>
      </c>
      <c r="H98" s="440" t="str">
        <f aca="false">IF(A98="N/A"," ",D98*E98)</f>
        <v> </v>
      </c>
      <c r="I98" s="402" t="str">
        <f aca="false">IF(A98="N/A"," ",2-E98)</f>
        <v> </v>
      </c>
      <c r="J98" s="439" t="str">
        <f aca="false">IF(A98="N/A"," ",B98*I98)</f>
        <v> </v>
      </c>
      <c r="K98" s="439" t="str">
        <f aca="false">IF(A98="N/A"," ",C98*I98)</f>
        <v> </v>
      </c>
      <c r="L98" s="440" t="str">
        <f aca="false">IF(A98="N/A"," ",D98*I98)</f>
        <v> </v>
      </c>
      <c r="M98" s="441" t="str">
        <f aca="false">IF(A98="N/A"," ",IF(ISERROR(S98),M86*Pwresc,S98))</f>
        <v> </v>
      </c>
      <c r="N98" s="442" t="str">
        <f aca="false">IF(A98="N/A"," ",SUM(T98:X98))</f>
        <v> </v>
      </c>
      <c r="O98" s="370"/>
      <c r="P98" s="436" t="str">
        <f aca="false">IF(A98="N/A"," ",VLOOKUP(A98,PeakPowerCurves,(IF(BMO=2,3,IF(BMO=1,2,4))),FALSE())+Inputs!N81)</f>
        <v> </v>
      </c>
      <c r="Q98" s="436" t="str">
        <f aca="false">IF(A98="N/A"," ",VLOOKUP(A98,SatSunPeakPwr,(IF(BMO=2,3,IF(BMO=1,2,4))),FALSE())+Inputs!$N$23)</f>
        <v> </v>
      </c>
      <c r="R98" s="436" t="str">
        <f aca="false">IF(A98="N/A"," ",VLOOKUP(A98,SatSunPeakPwr,(IF(BMO=2,7,IF(BMO=1,6,8))),FALSE())+Inputs!$N$23)</f>
        <v> </v>
      </c>
      <c r="S98" s="443" t="str">
        <f aca="false">IF(A98="N/A"," ",(VLOOKUP(A98,OPPowerPrices,(IF(BMO=2,7,IF(BMO=1,6,8))),FALSE())+Inputs!$N$23))</f>
        <v> </v>
      </c>
      <c r="T98" s="444" t="str">
        <f aca="false">IF(A98="N/A"," ",(VLOOKUP(A98,GasCurves,9,FALSE()))+IF(BMO=1,Gasbmo,IF(BMO=3,-Gasbmo,0)))</f>
        <v> </v>
      </c>
      <c r="U98" s="444" t="str">
        <f aca="false">IF(A98="N/A"," ",IF(Basischeck=TRUE(),(VLOOKUP(A98,GasCurves,IF(MONTH(A98)&gt;=4,IF(MONTH(A98)&lt;=10,11,12),12),FALSE())),0))</f>
        <v> </v>
      </c>
      <c r="V98" s="444" t="str">
        <f aca="false">IF(A98="N/A"," ",IF(Indexcheck=TRUE(),(IF(MONTH(A98)&gt;=4,IF(MONTH(A98)&lt;=10,VLOOKUP(A98,'Gas Curves'!B76:O436,13),VLOOKUP(A98,'Gas Curves'!B76:O436,14)),VLOOKUP(A98,'Gas Curves'!B76:O436,14))),0))</f>
        <v> </v>
      </c>
      <c r="W98" s="444" t="str">
        <f aca="false">IF(A98="N/A"," ",((SUM(T98:V98))/(1-Inputs!$S$11)-(SUM(T98:V98))))</f>
        <v> </v>
      </c>
      <c r="X98" s="444" t="str">
        <f aca="false">IF(A98="N/A"," ",(IF(MONTH(A98)&gt;=4,IF(MONTH(A98)&lt;=10,Inputs!$S$9,Inputs!$S$10),Inputs!$S$10)))</f>
        <v> </v>
      </c>
      <c r="Y98" s="445" t="str">
        <f aca="false">IF(A98="N/A"," ",(VLOOKUP($A98,InterestRatesTable,2)))</f>
        <v> </v>
      </c>
      <c r="AF98" s="386" t="n">
        <v>39417</v>
      </c>
      <c r="AG98" s="376" t="n">
        <v>20</v>
      </c>
      <c r="AH98" s="376" t="n">
        <v>5</v>
      </c>
      <c r="AI98" s="376" t="n">
        <v>6</v>
      </c>
      <c r="AJ98" s="376" t="n">
        <v>1</v>
      </c>
      <c r="AK98" s="376" t="n">
        <v>31</v>
      </c>
    </row>
    <row r="99" customFormat="false" ht="12.75" hidden="false" customHeight="false" outlineLevel="0" collapsed="false">
      <c r="A99" s="434" t="str">
        <f aca="false">Calculations!A64</f>
        <v>N/A</v>
      </c>
      <c r="B99" s="435" t="str">
        <f aca="false">IF(A99="N/A"," ",IF(ISERROR(P99),B87*Pwresc,P99)*VLOOKUP(MONTH(A99),Curveadj,3))</f>
        <v> </v>
      </c>
      <c r="C99" s="436" t="str">
        <f aca="false">IF(A99="N/A"," ",IF(ISERROR(Q99),C87*Pwresc,Q99)*VLOOKUP(MONTH(A99),Curveadj,3))</f>
        <v> </v>
      </c>
      <c r="D99" s="437" t="str">
        <f aca="false">IF(A99="N/A"," ",IF(ISERROR(R99),D87*Pwresc,R99)*VLOOKUP(MONTH(A99),Curveadj,3))</f>
        <v> </v>
      </c>
      <c r="E99" s="438" t="str">
        <f aca="false">IF(A99="N/A"," ",IF(Scalers=1,(IF(AND(Dynamic=1,MONTH(A99)&gt;=6,MONTH(A99)&lt;=8,OR($O$37="REGION 2",$O$37="REGION 2A",$O$37="REGION 2B",$O$37="REGION 3",$O$37="REGION 3A",$O$37="REGION 3B",$O$37="REGION 3C",$O$37="REGION 4",$O$37="REGION 4B",$O$37="REGION 4C",$O$37="REGION 5",$O$37="REGION 5A")),((0.059228/(B99/100))-(0.4980013/(SQRT(B99/100)))+2.137988),HLOOKUP(MONTH(A99),ScalarTable,28))),1))</f>
        <v> </v>
      </c>
      <c r="F99" s="439" t="str">
        <f aca="false">IF(A99="N/A"," ",B99*E99)</f>
        <v> </v>
      </c>
      <c r="G99" s="439" t="str">
        <f aca="false">IF(A99="N/A"," ",C99*E99)</f>
        <v> </v>
      </c>
      <c r="H99" s="440" t="str">
        <f aca="false">IF(A99="N/A"," ",D99*E99)</f>
        <v> </v>
      </c>
      <c r="I99" s="402" t="str">
        <f aca="false">IF(A99="N/A"," ",2-E99)</f>
        <v> </v>
      </c>
      <c r="J99" s="439" t="str">
        <f aca="false">IF(A99="N/A"," ",B99*I99)</f>
        <v> </v>
      </c>
      <c r="K99" s="439" t="str">
        <f aca="false">IF(A99="N/A"," ",C99*I99)</f>
        <v> </v>
      </c>
      <c r="L99" s="440" t="str">
        <f aca="false">IF(A99="N/A"," ",D99*I99)</f>
        <v> </v>
      </c>
      <c r="M99" s="441" t="str">
        <f aca="false">IF(A99="N/A"," ",IF(ISERROR(S99),M87*Pwresc,S99))</f>
        <v> </v>
      </c>
      <c r="N99" s="442" t="str">
        <f aca="false">IF(A99="N/A"," ",SUM(T99:X99))</f>
        <v> </v>
      </c>
      <c r="O99" s="370"/>
      <c r="P99" s="436" t="str">
        <f aca="false">IF(A99="N/A"," ",VLOOKUP(A99,PeakPowerCurves,(IF(BMO=2,3,IF(BMO=1,2,4))),FALSE())+Inputs!N82)</f>
        <v> </v>
      </c>
      <c r="Q99" s="436" t="str">
        <f aca="false">IF(A99="N/A"," ",VLOOKUP(A99,SatSunPeakPwr,(IF(BMO=2,3,IF(BMO=1,2,4))),FALSE())+Inputs!$N$23)</f>
        <v> </v>
      </c>
      <c r="R99" s="436" t="str">
        <f aca="false">IF(A99="N/A"," ",VLOOKUP(A99,SatSunPeakPwr,(IF(BMO=2,7,IF(BMO=1,6,8))),FALSE())+Inputs!$N$23)</f>
        <v> </v>
      </c>
      <c r="S99" s="443" t="str">
        <f aca="false">IF(A99="N/A"," ",(VLOOKUP(A99,OPPowerPrices,(IF(BMO=2,7,IF(BMO=1,6,8))),FALSE())+Inputs!$N$23))</f>
        <v> </v>
      </c>
      <c r="T99" s="444" t="str">
        <f aca="false">IF(A99="N/A"," ",(VLOOKUP(A99,GasCurves,9,FALSE()))+IF(BMO=1,Gasbmo,IF(BMO=3,-Gasbmo,0)))</f>
        <v> </v>
      </c>
      <c r="U99" s="444" t="str">
        <f aca="false">IF(A99="N/A"," ",IF(Basischeck=TRUE(),(VLOOKUP(A99,GasCurves,IF(MONTH(A99)&gt;=4,IF(MONTH(A99)&lt;=10,11,12),12),FALSE())),0))</f>
        <v> </v>
      </c>
      <c r="V99" s="444" t="str">
        <f aca="false">IF(A99="N/A"," ",IF(Indexcheck=TRUE(),(IF(MONTH(A99)&gt;=4,IF(MONTH(A99)&lt;=10,VLOOKUP(A99,'Gas Curves'!B77:O437,13),VLOOKUP(A99,'Gas Curves'!B77:O437,14)),VLOOKUP(A99,'Gas Curves'!B77:O437,14))),0))</f>
        <v> </v>
      </c>
      <c r="W99" s="444" t="str">
        <f aca="false">IF(A99="N/A"," ",((SUM(T99:V99))/(1-Inputs!$S$11)-(SUM(T99:V99))))</f>
        <v> </v>
      </c>
      <c r="X99" s="444" t="str">
        <f aca="false">IF(A99="N/A"," ",(IF(MONTH(A99)&gt;=4,IF(MONTH(A99)&lt;=10,Inputs!$S$9,Inputs!$S$10),Inputs!$S$10)))</f>
        <v> </v>
      </c>
      <c r="Y99" s="445" t="str">
        <f aca="false">IF(A99="N/A"," ",(VLOOKUP($A99,InterestRatesTable,2)))</f>
        <v> </v>
      </c>
      <c r="AF99" s="386" t="n">
        <v>39448</v>
      </c>
      <c r="AG99" s="376" t="n">
        <v>22</v>
      </c>
      <c r="AH99" s="376" t="n">
        <v>4</v>
      </c>
      <c r="AI99" s="376" t="n">
        <v>5</v>
      </c>
      <c r="AJ99" s="376" t="n">
        <v>1</v>
      </c>
      <c r="AK99" s="376" t="n">
        <v>31</v>
      </c>
    </row>
    <row r="100" customFormat="false" ht="12.75" hidden="false" customHeight="false" outlineLevel="0" collapsed="false">
      <c r="A100" s="434" t="str">
        <f aca="false">Calculations!A65</f>
        <v>N/A</v>
      </c>
      <c r="B100" s="435" t="str">
        <f aca="false">IF(A100="N/A"," ",IF(ISERROR(P100),B88*Pwresc,P100)*VLOOKUP(MONTH(A100),Curveadj,3))</f>
        <v> </v>
      </c>
      <c r="C100" s="436" t="str">
        <f aca="false">IF(A100="N/A"," ",IF(ISERROR(Q100),C88*Pwresc,Q100)*VLOOKUP(MONTH(A100),Curveadj,3))</f>
        <v> </v>
      </c>
      <c r="D100" s="437" t="str">
        <f aca="false">IF(A100="N/A"," ",IF(ISERROR(R100),D88*Pwresc,R100)*VLOOKUP(MONTH(A100),Curveadj,3))</f>
        <v> </v>
      </c>
      <c r="E100" s="438" t="str">
        <f aca="false">IF(A100="N/A"," ",IF(Scalers=1,(IF(AND(Dynamic=1,MONTH(A100)&gt;=6,MONTH(A100)&lt;=8,OR($O$37="REGION 2",$O$37="REGION 2A",$O$37="REGION 2B",$O$37="REGION 3",$O$37="REGION 3A",$O$37="REGION 3B",$O$37="REGION 3C",$O$37="REGION 4",$O$37="REGION 4B",$O$37="REGION 4C",$O$37="REGION 5",$O$37="REGION 5A")),((0.059228/(B100/100))-(0.4980013/(SQRT(B100/100)))+2.137988),HLOOKUP(MONTH(A100),ScalarTable,28))),1))</f>
        <v> </v>
      </c>
      <c r="F100" s="439" t="str">
        <f aca="false">IF(A100="N/A"," ",B100*E100)</f>
        <v> </v>
      </c>
      <c r="G100" s="439" t="str">
        <f aca="false">IF(A100="N/A"," ",C100*E100)</f>
        <v> </v>
      </c>
      <c r="H100" s="440" t="str">
        <f aca="false">IF(A100="N/A"," ",D100*E100)</f>
        <v> </v>
      </c>
      <c r="I100" s="402" t="str">
        <f aca="false">IF(A100="N/A"," ",2-E100)</f>
        <v> </v>
      </c>
      <c r="J100" s="439" t="str">
        <f aca="false">IF(A100="N/A"," ",B100*I100)</f>
        <v> </v>
      </c>
      <c r="K100" s="439" t="str">
        <f aca="false">IF(A100="N/A"," ",C100*I100)</f>
        <v> </v>
      </c>
      <c r="L100" s="440" t="str">
        <f aca="false">IF(A100="N/A"," ",D100*I100)</f>
        <v> </v>
      </c>
      <c r="M100" s="441" t="str">
        <f aca="false">IF(A100="N/A"," ",IF(ISERROR(S100),M88*Pwresc,S100))</f>
        <v> </v>
      </c>
      <c r="N100" s="442" t="str">
        <f aca="false">IF(A100="N/A"," ",SUM(T100:X100))</f>
        <v> </v>
      </c>
      <c r="O100" s="370"/>
      <c r="P100" s="436" t="str">
        <f aca="false">IF(A100="N/A"," ",VLOOKUP(A100,PeakPowerCurves,(IF(BMO=2,3,IF(BMO=1,2,4))),FALSE())+Inputs!N83)</f>
        <v> </v>
      </c>
      <c r="Q100" s="436" t="str">
        <f aca="false">IF(A100="N/A"," ",VLOOKUP(A100,SatSunPeakPwr,(IF(BMO=2,3,IF(BMO=1,2,4))),FALSE())+Inputs!$N$23)</f>
        <v> </v>
      </c>
      <c r="R100" s="436" t="str">
        <f aca="false">IF(A100="N/A"," ",VLOOKUP(A100,SatSunPeakPwr,(IF(BMO=2,7,IF(BMO=1,6,8))),FALSE())+Inputs!$N$23)</f>
        <v> </v>
      </c>
      <c r="S100" s="443" t="str">
        <f aca="false">IF(A100="N/A"," ",(VLOOKUP(A100,OPPowerPrices,(IF(BMO=2,7,IF(BMO=1,6,8))),FALSE())+Inputs!$N$23))</f>
        <v> </v>
      </c>
      <c r="T100" s="444" t="str">
        <f aca="false">IF(A100="N/A"," ",(VLOOKUP(A100,GasCurves,9,FALSE()))+IF(BMO=1,Gasbmo,IF(BMO=3,-Gasbmo,0)))</f>
        <v> </v>
      </c>
      <c r="U100" s="444" t="str">
        <f aca="false">IF(A100="N/A"," ",IF(Basischeck=TRUE(),(VLOOKUP(A100,GasCurves,IF(MONTH(A100)&gt;=4,IF(MONTH(A100)&lt;=10,11,12),12),FALSE())),0))</f>
        <v> </v>
      </c>
      <c r="V100" s="444" t="str">
        <f aca="false">IF(A100="N/A"," ",IF(Indexcheck=TRUE(),(IF(MONTH(A100)&gt;=4,IF(MONTH(A100)&lt;=10,VLOOKUP(A100,'Gas Curves'!B78:O438,13),VLOOKUP(A100,'Gas Curves'!B78:O438,14)),VLOOKUP(A100,'Gas Curves'!B78:O438,14))),0))</f>
        <v> </v>
      </c>
      <c r="W100" s="444" t="str">
        <f aca="false">IF(A100="N/A"," ",((SUM(T100:V100))/(1-Inputs!$S$11)-(SUM(T100:V100))))</f>
        <v> </v>
      </c>
      <c r="X100" s="444" t="str">
        <f aca="false">IF(A100="N/A"," ",(IF(MONTH(A100)&gt;=4,IF(MONTH(A100)&lt;=10,Inputs!$S$9,Inputs!$S$10),Inputs!$S$10)))</f>
        <v> </v>
      </c>
      <c r="Y100" s="445" t="str">
        <f aca="false">IF(A100="N/A"," ",(VLOOKUP($A100,InterestRatesTable,2)))</f>
        <v> </v>
      </c>
      <c r="AF100" s="386" t="n">
        <v>39479</v>
      </c>
      <c r="AG100" s="376" t="n">
        <v>21</v>
      </c>
      <c r="AH100" s="376" t="n">
        <v>4</v>
      </c>
      <c r="AI100" s="376" t="n">
        <v>4</v>
      </c>
      <c r="AJ100" s="376" t="n">
        <v>0</v>
      </c>
      <c r="AK100" s="376" t="n">
        <v>29</v>
      </c>
    </row>
    <row r="101" customFormat="false" ht="12.75" hidden="false" customHeight="false" outlineLevel="0" collapsed="false">
      <c r="A101" s="434" t="str">
        <f aca="false">Calculations!A66</f>
        <v>N/A</v>
      </c>
      <c r="B101" s="435" t="str">
        <f aca="false">IF(A101="N/A"," ",IF(ISERROR(P101),B89*Pwresc,P101)*VLOOKUP(MONTH(A101),Curveadj,3))</f>
        <v> </v>
      </c>
      <c r="C101" s="436" t="str">
        <f aca="false">IF(A101="N/A"," ",IF(ISERROR(Q101),C89*Pwresc,Q101)*VLOOKUP(MONTH(A101),Curveadj,3))</f>
        <v> </v>
      </c>
      <c r="D101" s="437" t="str">
        <f aca="false">IF(A101="N/A"," ",IF(ISERROR(R101),D89*Pwresc,R101)*VLOOKUP(MONTH(A101),Curveadj,3))</f>
        <v> </v>
      </c>
      <c r="E101" s="438" t="str">
        <f aca="false">IF(A101="N/A"," ",IF(Scalers=1,(IF(AND(Dynamic=1,MONTH(A101)&gt;=6,MONTH(A101)&lt;=8,OR($O$37="REGION 2",$O$37="REGION 2A",$O$37="REGION 2B",$O$37="REGION 3",$O$37="REGION 3A",$O$37="REGION 3B",$O$37="REGION 3C",$O$37="REGION 4",$O$37="REGION 4B",$O$37="REGION 4C",$O$37="REGION 5",$O$37="REGION 5A")),((0.059228/(B101/100))-(0.4980013/(SQRT(B101/100)))+2.137988),HLOOKUP(MONTH(A101),ScalarTable,28))),1))</f>
        <v> </v>
      </c>
      <c r="F101" s="439" t="str">
        <f aca="false">IF(A101="N/A"," ",B101*E101)</f>
        <v> </v>
      </c>
      <c r="G101" s="439" t="str">
        <f aca="false">IF(A101="N/A"," ",C101*E101)</f>
        <v> </v>
      </c>
      <c r="H101" s="440" t="str">
        <f aca="false">IF(A101="N/A"," ",D101*E101)</f>
        <v> </v>
      </c>
      <c r="I101" s="402" t="str">
        <f aca="false">IF(A101="N/A"," ",2-E101)</f>
        <v> </v>
      </c>
      <c r="J101" s="439" t="str">
        <f aca="false">IF(A101="N/A"," ",B101*I101)</f>
        <v> </v>
      </c>
      <c r="K101" s="439" t="str">
        <f aca="false">IF(A101="N/A"," ",C101*I101)</f>
        <v> </v>
      </c>
      <c r="L101" s="440" t="str">
        <f aca="false">IF(A101="N/A"," ",D101*I101)</f>
        <v> </v>
      </c>
      <c r="M101" s="441" t="str">
        <f aca="false">IF(A101="N/A"," ",IF(ISERROR(S101),M89*Pwresc,S101))</f>
        <v> </v>
      </c>
      <c r="N101" s="442" t="str">
        <f aca="false">IF(A101="N/A"," ",SUM(T101:X101))</f>
        <v> </v>
      </c>
      <c r="O101" s="370"/>
      <c r="P101" s="436" t="str">
        <f aca="false">IF(A101="N/A"," ",VLOOKUP(A101,PeakPowerCurves,(IF(BMO=2,3,IF(BMO=1,2,4))),FALSE())+Inputs!N84)</f>
        <v> </v>
      </c>
      <c r="Q101" s="436" t="str">
        <f aca="false">IF(A101="N/A"," ",VLOOKUP(A101,SatSunPeakPwr,(IF(BMO=2,3,IF(BMO=1,2,4))),FALSE())+Inputs!$N$23)</f>
        <v> </v>
      </c>
      <c r="R101" s="436" t="str">
        <f aca="false">IF(A101="N/A"," ",VLOOKUP(A101,SatSunPeakPwr,(IF(BMO=2,7,IF(BMO=1,6,8))),FALSE())+Inputs!$N$23)</f>
        <v> </v>
      </c>
      <c r="S101" s="443" t="str">
        <f aca="false">IF(A101="N/A"," ",(VLOOKUP(A101,OPPowerPrices,(IF(BMO=2,7,IF(BMO=1,6,8))),FALSE())+Inputs!$N$23))</f>
        <v> </v>
      </c>
      <c r="T101" s="444" t="str">
        <f aca="false">IF(A101="N/A"," ",(VLOOKUP(A101,GasCurves,9,FALSE()))+IF(BMO=1,Gasbmo,IF(BMO=3,-Gasbmo,0)))</f>
        <v> </v>
      </c>
      <c r="U101" s="444" t="str">
        <f aca="false">IF(A101="N/A"," ",IF(Basischeck=TRUE(),(VLOOKUP(A101,GasCurves,IF(MONTH(A101)&gt;=4,IF(MONTH(A101)&lt;=10,11,12),12),FALSE())),0))</f>
        <v> </v>
      </c>
      <c r="V101" s="444" t="str">
        <f aca="false">IF(A101="N/A"," ",IF(Indexcheck=TRUE(),(IF(MONTH(A101)&gt;=4,IF(MONTH(A101)&lt;=10,VLOOKUP(A101,'Gas Curves'!B79:O439,13),VLOOKUP(A101,'Gas Curves'!B79:O439,14)),VLOOKUP(A101,'Gas Curves'!B79:O439,14))),0))</f>
        <v> </v>
      </c>
      <c r="W101" s="444" t="str">
        <f aca="false">IF(A101="N/A"," ",((SUM(T101:V101))/(1-Inputs!$S$11)-(SUM(T101:V101))))</f>
        <v> </v>
      </c>
      <c r="X101" s="444" t="str">
        <f aca="false">IF(A101="N/A"," ",(IF(MONTH(A101)&gt;=4,IF(MONTH(A101)&lt;=10,Inputs!$S$9,Inputs!$S$10),Inputs!$S$10)))</f>
        <v> </v>
      </c>
      <c r="Y101" s="445" t="str">
        <f aca="false">IF(A101="N/A"," ",(VLOOKUP($A101,InterestRatesTable,2)))</f>
        <v> </v>
      </c>
      <c r="AF101" s="386" t="n">
        <v>39508</v>
      </c>
      <c r="AG101" s="376" t="n">
        <v>21</v>
      </c>
      <c r="AH101" s="376" t="n">
        <v>5</v>
      </c>
      <c r="AI101" s="376" t="n">
        <v>5</v>
      </c>
      <c r="AJ101" s="376" t="n">
        <v>0</v>
      </c>
      <c r="AK101" s="376" t="n">
        <v>31</v>
      </c>
    </row>
    <row r="102" customFormat="false" ht="12.75" hidden="false" customHeight="false" outlineLevel="0" collapsed="false">
      <c r="A102" s="434" t="str">
        <f aca="false">Calculations!A67</f>
        <v>N/A</v>
      </c>
      <c r="B102" s="435" t="str">
        <f aca="false">IF(A102="N/A"," ",IF(ISERROR(P102),B90*Pwresc,P102)*VLOOKUP(MONTH(A102),Curveadj,3))</f>
        <v> </v>
      </c>
      <c r="C102" s="436" t="str">
        <f aca="false">IF(A102="N/A"," ",IF(ISERROR(Q102),C90*Pwresc,Q102)*VLOOKUP(MONTH(A102),Curveadj,3))</f>
        <v> </v>
      </c>
      <c r="D102" s="437" t="str">
        <f aca="false">IF(A102="N/A"," ",IF(ISERROR(R102),D90*Pwresc,R102)*VLOOKUP(MONTH(A102),Curveadj,3))</f>
        <v> </v>
      </c>
      <c r="E102" s="438" t="str">
        <f aca="false">IF(A102="N/A"," ",IF(Scalers=1,(IF(AND(Dynamic=1,MONTH(A102)&gt;=6,MONTH(A102)&lt;=8,OR($O$37="REGION 2",$O$37="REGION 2A",$O$37="REGION 2B",$O$37="REGION 3",$O$37="REGION 3A",$O$37="REGION 3B",$O$37="REGION 3C",$O$37="REGION 4",$O$37="REGION 4B",$O$37="REGION 4C",$O$37="REGION 5",$O$37="REGION 5A")),((0.059228/(B102/100))-(0.4980013/(SQRT(B102/100)))+2.137988),HLOOKUP(MONTH(A102),ScalarTable,28))),1))</f>
        <v> </v>
      </c>
      <c r="F102" s="439" t="str">
        <f aca="false">IF(A102="N/A"," ",B102*E102)</f>
        <v> </v>
      </c>
      <c r="G102" s="439" t="str">
        <f aca="false">IF(A102="N/A"," ",C102*E102)</f>
        <v> </v>
      </c>
      <c r="H102" s="440" t="str">
        <f aca="false">IF(A102="N/A"," ",D102*E102)</f>
        <v> </v>
      </c>
      <c r="I102" s="402" t="str">
        <f aca="false">IF(A102="N/A"," ",2-E102)</f>
        <v> </v>
      </c>
      <c r="J102" s="439" t="str">
        <f aca="false">IF(A102="N/A"," ",B102*I102)</f>
        <v> </v>
      </c>
      <c r="K102" s="439" t="str">
        <f aca="false">IF(A102="N/A"," ",C102*I102)</f>
        <v> </v>
      </c>
      <c r="L102" s="440" t="str">
        <f aca="false">IF(A102="N/A"," ",D102*I102)</f>
        <v> </v>
      </c>
      <c r="M102" s="441" t="str">
        <f aca="false">IF(A102="N/A"," ",IF(ISERROR(S102),M90*Pwresc,S102))</f>
        <v> </v>
      </c>
      <c r="N102" s="442" t="str">
        <f aca="false">IF(A102="N/A"," ",SUM(T102:X102))</f>
        <v> </v>
      </c>
      <c r="O102" s="370"/>
      <c r="P102" s="436" t="str">
        <f aca="false">IF(A102="N/A"," ",VLOOKUP(A102,PeakPowerCurves,(IF(BMO=2,3,IF(BMO=1,2,4))),FALSE())+Inputs!N85)</f>
        <v> </v>
      </c>
      <c r="Q102" s="436" t="str">
        <f aca="false">IF(A102="N/A"," ",VLOOKUP(A102,SatSunPeakPwr,(IF(BMO=2,3,IF(BMO=1,2,4))),FALSE())+Inputs!$N$23)</f>
        <v> </v>
      </c>
      <c r="R102" s="436" t="str">
        <f aca="false">IF(A102="N/A"," ",VLOOKUP(A102,SatSunPeakPwr,(IF(BMO=2,7,IF(BMO=1,6,8))),FALSE())+Inputs!$N$23)</f>
        <v> </v>
      </c>
      <c r="S102" s="443" t="str">
        <f aca="false">IF(A102="N/A"," ",(VLOOKUP(A102,OPPowerPrices,(IF(BMO=2,7,IF(BMO=1,6,8))),FALSE())+Inputs!$N$23))</f>
        <v> </v>
      </c>
      <c r="T102" s="444" t="str">
        <f aca="false">IF(A102="N/A"," ",(VLOOKUP(A102,GasCurves,9,FALSE()))+IF(BMO=1,Gasbmo,IF(BMO=3,-Gasbmo,0)))</f>
        <v> </v>
      </c>
      <c r="U102" s="444" t="str">
        <f aca="false">IF(A102="N/A"," ",IF(Basischeck=TRUE(),(VLOOKUP(A102,GasCurves,IF(MONTH(A102)&gt;=4,IF(MONTH(A102)&lt;=10,11,12),12),FALSE())),0))</f>
        <v> </v>
      </c>
      <c r="V102" s="444" t="str">
        <f aca="false">IF(A102="N/A"," ",IF(Indexcheck=TRUE(),(IF(MONTH(A102)&gt;=4,IF(MONTH(A102)&lt;=10,VLOOKUP(A102,'Gas Curves'!B80:O440,13),VLOOKUP(A102,'Gas Curves'!B80:O440,14)),VLOOKUP(A102,'Gas Curves'!B80:O440,14))),0))</f>
        <v> </v>
      </c>
      <c r="W102" s="444" t="str">
        <f aca="false">IF(A102="N/A"," ",((SUM(T102:V102))/(1-Inputs!$S$11)-(SUM(T102:V102))))</f>
        <v> </v>
      </c>
      <c r="X102" s="444" t="str">
        <f aca="false">IF(A102="N/A"," ",(IF(MONTH(A102)&gt;=4,IF(MONTH(A102)&lt;=10,Inputs!$S$9,Inputs!$S$10),Inputs!$S$10)))</f>
        <v> </v>
      </c>
      <c r="Y102" s="445" t="str">
        <f aca="false">IF(A102="N/A"," ",(VLOOKUP($A102,InterestRatesTable,2)))</f>
        <v> </v>
      </c>
      <c r="AF102" s="386" t="n">
        <v>39539</v>
      </c>
      <c r="AG102" s="376" t="n">
        <v>22</v>
      </c>
      <c r="AH102" s="376" t="n">
        <v>4</v>
      </c>
      <c r="AI102" s="376" t="n">
        <v>4</v>
      </c>
      <c r="AJ102" s="376" t="n">
        <v>0</v>
      </c>
      <c r="AK102" s="376" t="n">
        <v>30</v>
      </c>
    </row>
    <row r="103" customFormat="false" ht="12.75" hidden="false" customHeight="false" outlineLevel="0" collapsed="false">
      <c r="A103" s="434" t="str">
        <f aca="false">Calculations!A68</f>
        <v>N/A</v>
      </c>
      <c r="B103" s="435" t="str">
        <f aca="false">IF(A103="N/A"," ",IF(ISERROR(P103),B91*Pwresc,P103)*VLOOKUP(MONTH(A103),Curveadj,3))</f>
        <v> </v>
      </c>
      <c r="C103" s="436" t="str">
        <f aca="false">IF(A103="N/A"," ",IF(ISERROR(Q103),C91*Pwresc,Q103)*VLOOKUP(MONTH(A103),Curveadj,3))</f>
        <v> </v>
      </c>
      <c r="D103" s="437" t="str">
        <f aca="false">IF(A103="N/A"," ",IF(ISERROR(R103),D91*Pwresc,R103)*VLOOKUP(MONTH(A103),Curveadj,3))</f>
        <v> </v>
      </c>
      <c r="E103" s="438" t="str">
        <f aca="false">IF(A103="N/A"," ",IF(Scalers=1,(IF(AND(Dynamic=1,MONTH(A103)&gt;=6,MONTH(A103)&lt;=8,OR($O$37="REGION 2",$O$37="REGION 2A",$O$37="REGION 2B",$O$37="REGION 3",$O$37="REGION 3A",$O$37="REGION 3B",$O$37="REGION 3C",$O$37="REGION 4",$O$37="REGION 4B",$O$37="REGION 4C",$O$37="REGION 5",$O$37="REGION 5A")),((0.059228/(B103/100))-(0.4980013/(SQRT(B103/100)))+2.137988),HLOOKUP(MONTH(A103),ScalarTable,28))),1))</f>
        <v> </v>
      </c>
      <c r="F103" s="439" t="str">
        <f aca="false">IF(A103="N/A"," ",B103*E103)</f>
        <v> </v>
      </c>
      <c r="G103" s="439" t="str">
        <f aca="false">IF(A103="N/A"," ",C103*E103)</f>
        <v> </v>
      </c>
      <c r="H103" s="440" t="str">
        <f aca="false">IF(A103="N/A"," ",D103*E103)</f>
        <v> </v>
      </c>
      <c r="I103" s="402" t="str">
        <f aca="false">IF(A103="N/A"," ",2-E103)</f>
        <v> </v>
      </c>
      <c r="J103" s="439" t="str">
        <f aca="false">IF(A103="N/A"," ",B103*I103)</f>
        <v> </v>
      </c>
      <c r="K103" s="439" t="str">
        <f aca="false">IF(A103="N/A"," ",C103*I103)</f>
        <v> </v>
      </c>
      <c r="L103" s="440" t="str">
        <f aca="false">IF(A103="N/A"," ",D103*I103)</f>
        <v> </v>
      </c>
      <c r="M103" s="441" t="str">
        <f aca="false">IF(A103="N/A"," ",IF(ISERROR(S103),M91*Pwresc,S103))</f>
        <v> </v>
      </c>
      <c r="N103" s="442" t="str">
        <f aca="false">IF(A103="N/A"," ",SUM(T103:X103))</f>
        <v> </v>
      </c>
      <c r="O103" s="370"/>
      <c r="P103" s="436" t="str">
        <f aca="false">IF(A103="N/A"," ",VLOOKUP(A103,PeakPowerCurves,(IF(BMO=2,3,IF(BMO=1,2,4))),FALSE())+Inputs!N86)</f>
        <v> </v>
      </c>
      <c r="Q103" s="436" t="str">
        <f aca="false">IF(A103="N/A"," ",VLOOKUP(A103,SatSunPeakPwr,(IF(BMO=2,3,IF(BMO=1,2,4))),FALSE())+Inputs!$N$23)</f>
        <v> </v>
      </c>
      <c r="R103" s="436" t="str">
        <f aca="false">IF(A103="N/A"," ",VLOOKUP(A103,SatSunPeakPwr,(IF(BMO=2,7,IF(BMO=1,6,8))),FALSE())+Inputs!$N$23)</f>
        <v> </v>
      </c>
      <c r="S103" s="443" t="str">
        <f aca="false">IF(A103="N/A"," ",(VLOOKUP(A103,OPPowerPrices,(IF(BMO=2,7,IF(BMO=1,6,8))),FALSE())+Inputs!$N$23))</f>
        <v> </v>
      </c>
      <c r="T103" s="444" t="str">
        <f aca="false">IF(A103="N/A"," ",(VLOOKUP(A103,GasCurves,9,FALSE()))+IF(BMO=1,Gasbmo,IF(BMO=3,-Gasbmo,0)))</f>
        <v> </v>
      </c>
      <c r="U103" s="444" t="str">
        <f aca="false">IF(A103="N/A"," ",IF(Basischeck=TRUE(),(VLOOKUP(A103,GasCurves,IF(MONTH(A103)&gt;=4,IF(MONTH(A103)&lt;=10,11,12),12),FALSE())),0))</f>
        <v> </v>
      </c>
      <c r="V103" s="444" t="str">
        <f aca="false">IF(A103="N/A"," ",IF(Indexcheck=TRUE(),(IF(MONTH(A103)&gt;=4,IF(MONTH(A103)&lt;=10,VLOOKUP(A103,'Gas Curves'!B81:O441,13),VLOOKUP(A103,'Gas Curves'!B81:O441,14)),VLOOKUP(A103,'Gas Curves'!B81:O441,14))),0))</f>
        <v> </v>
      </c>
      <c r="W103" s="444" t="str">
        <f aca="false">IF(A103="N/A"," ",((SUM(T103:V103))/(1-Inputs!$S$11)-(SUM(T103:V103))))</f>
        <v> </v>
      </c>
      <c r="X103" s="444" t="str">
        <f aca="false">IF(A103="N/A"," ",(IF(MONTH(A103)&gt;=4,IF(MONTH(A103)&lt;=10,Inputs!$S$9,Inputs!$S$10),Inputs!$S$10)))</f>
        <v> </v>
      </c>
      <c r="Y103" s="445" t="str">
        <f aca="false">IF(A103="N/A"," ",(VLOOKUP($A103,InterestRatesTable,2)))</f>
        <v> </v>
      </c>
      <c r="AF103" s="386" t="n">
        <v>39569</v>
      </c>
      <c r="AG103" s="376" t="n">
        <v>21</v>
      </c>
      <c r="AH103" s="376" t="n">
        <v>5</v>
      </c>
      <c r="AI103" s="376" t="n">
        <v>5</v>
      </c>
      <c r="AJ103" s="376" t="n">
        <v>1</v>
      </c>
      <c r="AK103" s="376" t="n">
        <v>31</v>
      </c>
    </row>
    <row r="104" customFormat="false" ht="12.75" hidden="false" customHeight="false" outlineLevel="0" collapsed="false">
      <c r="A104" s="434" t="str">
        <f aca="false">Calculations!A69</f>
        <v>N/A</v>
      </c>
      <c r="B104" s="435" t="str">
        <f aca="false">IF(A104="N/A"," ",IF(ISERROR(P104),B92*Pwresc,P104)*VLOOKUP(MONTH(A104),Curveadj,3))</f>
        <v> </v>
      </c>
      <c r="C104" s="436" t="str">
        <f aca="false">IF(A104="N/A"," ",IF(ISERROR(Q104),C92*Pwresc,Q104)*VLOOKUP(MONTH(A104),Curveadj,3))</f>
        <v> </v>
      </c>
      <c r="D104" s="437" t="str">
        <f aca="false">IF(A104="N/A"," ",IF(ISERROR(R104),D92*Pwresc,R104)*VLOOKUP(MONTH(A104),Curveadj,3))</f>
        <v> </v>
      </c>
      <c r="E104" s="438" t="str">
        <f aca="false">IF(A104="N/A"," ",IF(Scalers=1,(IF(AND(Dynamic=1,MONTH(A104)&gt;=6,MONTH(A104)&lt;=8,OR($O$37="REGION 2",$O$37="REGION 2A",$O$37="REGION 2B",$O$37="REGION 3",$O$37="REGION 3A",$O$37="REGION 3B",$O$37="REGION 3C",$O$37="REGION 4",$O$37="REGION 4B",$O$37="REGION 4C",$O$37="REGION 5",$O$37="REGION 5A")),((0.059228/(B104/100))-(0.4980013/(SQRT(B104/100)))+2.137988),HLOOKUP(MONTH(A104),ScalarTable,28))),1))</f>
        <v> </v>
      </c>
      <c r="F104" s="439" t="str">
        <f aca="false">IF(A104="N/A"," ",B104*E104)</f>
        <v> </v>
      </c>
      <c r="G104" s="439" t="str">
        <f aca="false">IF(A104="N/A"," ",C104*E104)</f>
        <v> </v>
      </c>
      <c r="H104" s="440" t="str">
        <f aca="false">IF(A104="N/A"," ",D104*E104)</f>
        <v> </v>
      </c>
      <c r="I104" s="402" t="str">
        <f aca="false">IF(A104="N/A"," ",2-E104)</f>
        <v> </v>
      </c>
      <c r="J104" s="439" t="str">
        <f aca="false">IF(A104="N/A"," ",B104*I104)</f>
        <v> </v>
      </c>
      <c r="K104" s="439" t="str">
        <f aca="false">IF(A104="N/A"," ",C104*I104)</f>
        <v> </v>
      </c>
      <c r="L104" s="440" t="str">
        <f aca="false">IF(A104="N/A"," ",D104*I104)</f>
        <v> </v>
      </c>
      <c r="M104" s="441" t="str">
        <f aca="false">IF(A104="N/A"," ",IF(ISERROR(S104),M92*Pwresc,S104))</f>
        <v> </v>
      </c>
      <c r="N104" s="442" t="str">
        <f aca="false">IF(A104="N/A"," ",SUM(T104:X104))</f>
        <v> </v>
      </c>
      <c r="O104" s="370"/>
      <c r="P104" s="436" t="str">
        <f aca="false">IF(A104="N/A"," ",VLOOKUP(A104,PeakPowerCurves,(IF(BMO=2,3,IF(BMO=1,2,4))),FALSE())+Inputs!N87)</f>
        <v> </v>
      </c>
      <c r="Q104" s="436" t="str">
        <f aca="false">IF(A104="N/A"," ",VLOOKUP(A104,SatSunPeakPwr,(IF(BMO=2,3,IF(BMO=1,2,4))),FALSE())+Inputs!$N$23)</f>
        <v> </v>
      </c>
      <c r="R104" s="436" t="str">
        <f aca="false">IF(A104="N/A"," ",VLOOKUP(A104,SatSunPeakPwr,(IF(BMO=2,7,IF(BMO=1,6,8))),FALSE())+Inputs!$N$23)</f>
        <v> </v>
      </c>
      <c r="S104" s="443" t="str">
        <f aca="false">IF(A104="N/A"," ",(VLOOKUP(A104,OPPowerPrices,(IF(BMO=2,7,IF(BMO=1,6,8))),FALSE())+Inputs!$N$23))</f>
        <v> </v>
      </c>
      <c r="T104" s="444" t="str">
        <f aca="false">IF(A104="N/A"," ",(VLOOKUP(A104,GasCurves,9,FALSE()))+IF(BMO=1,Gasbmo,IF(BMO=3,-Gasbmo,0)))</f>
        <v> </v>
      </c>
      <c r="U104" s="444" t="str">
        <f aca="false">IF(A104="N/A"," ",IF(Basischeck=TRUE(),(VLOOKUP(A104,GasCurves,IF(MONTH(A104)&gt;=4,IF(MONTH(A104)&lt;=10,11,12),12),FALSE())),0))</f>
        <v> </v>
      </c>
      <c r="V104" s="444" t="str">
        <f aca="false">IF(A104="N/A"," ",IF(Indexcheck=TRUE(),(IF(MONTH(A104)&gt;=4,IF(MONTH(A104)&lt;=10,VLOOKUP(A104,'Gas Curves'!B82:O442,13),VLOOKUP(A104,'Gas Curves'!B82:O442,14)),VLOOKUP(A104,'Gas Curves'!B82:O442,14))),0))</f>
        <v> </v>
      </c>
      <c r="W104" s="444" t="str">
        <f aca="false">IF(A104="N/A"," ",((SUM(T104:V104))/(1-Inputs!$S$11)-(SUM(T104:V104))))</f>
        <v> </v>
      </c>
      <c r="X104" s="444" t="str">
        <f aca="false">IF(A104="N/A"," ",(IF(MONTH(A104)&gt;=4,IF(MONTH(A104)&lt;=10,Inputs!$S$9,Inputs!$S$10),Inputs!$S$10)))</f>
        <v> </v>
      </c>
      <c r="Y104" s="445" t="str">
        <f aca="false">IF(A104="N/A"," ",(VLOOKUP($A104,InterestRatesTable,2)))</f>
        <v> </v>
      </c>
      <c r="AF104" s="386" t="n">
        <v>39600</v>
      </c>
      <c r="AG104" s="376" t="n">
        <v>21</v>
      </c>
      <c r="AH104" s="376" t="n">
        <v>4</v>
      </c>
      <c r="AI104" s="376" t="n">
        <v>5</v>
      </c>
      <c r="AJ104" s="376" t="n">
        <v>0</v>
      </c>
      <c r="AK104" s="376" t="n">
        <v>30</v>
      </c>
    </row>
    <row r="105" customFormat="false" ht="12.75" hidden="false" customHeight="false" outlineLevel="0" collapsed="false">
      <c r="A105" s="434" t="str">
        <f aca="false">Calculations!A70</f>
        <v>N/A</v>
      </c>
      <c r="B105" s="435" t="str">
        <f aca="false">IF(A105="N/A"," ",IF(ISERROR(P105),B93*Pwresc,P105)*VLOOKUP(MONTH(A105),Curveadj,3))</f>
        <v> </v>
      </c>
      <c r="C105" s="436" t="str">
        <f aca="false">IF(A105="N/A"," ",IF(ISERROR(Q105),C93*Pwresc,Q105)*VLOOKUP(MONTH(A105),Curveadj,3))</f>
        <v> </v>
      </c>
      <c r="D105" s="437" t="str">
        <f aca="false">IF(A105="N/A"," ",IF(ISERROR(R105),D93*Pwresc,R105)*VLOOKUP(MONTH(A105),Curveadj,3))</f>
        <v> </v>
      </c>
      <c r="E105" s="438" t="str">
        <f aca="false">IF(A105="N/A"," ",IF(Scalers=1,(IF(AND(Dynamic=1,MONTH(A105)&gt;=6,MONTH(A105)&lt;=8,OR($O$37="REGION 2",$O$37="REGION 2A",$O$37="REGION 2B",$O$37="REGION 3",$O$37="REGION 3A",$O$37="REGION 3B",$O$37="REGION 3C",$O$37="REGION 4",$O$37="REGION 4B",$O$37="REGION 4C",$O$37="REGION 5",$O$37="REGION 5A")),((0.059228/(B105/100))-(0.4980013/(SQRT(B105/100)))+2.137988),HLOOKUP(MONTH(A105),ScalarTable,28))),1))</f>
        <v> </v>
      </c>
      <c r="F105" s="439" t="str">
        <f aca="false">IF(A105="N/A"," ",B105*E105)</f>
        <v> </v>
      </c>
      <c r="G105" s="439" t="str">
        <f aca="false">IF(A105="N/A"," ",C105*E105)</f>
        <v> </v>
      </c>
      <c r="H105" s="440" t="str">
        <f aca="false">IF(A105="N/A"," ",D105*E105)</f>
        <v> </v>
      </c>
      <c r="I105" s="402" t="str">
        <f aca="false">IF(A105="N/A"," ",2-E105)</f>
        <v> </v>
      </c>
      <c r="J105" s="439" t="str">
        <f aca="false">IF(A105="N/A"," ",B105*I105)</f>
        <v> </v>
      </c>
      <c r="K105" s="439" t="str">
        <f aca="false">IF(A105="N/A"," ",C105*I105)</f>
        <v> </v>
      </c>
      <c r="L105" s="440" t="str">
        <f aca="false">IF(A105="N/A"," ",D105*I105)</f>
        <v> </v>
      </c>
      <c r="M105" s="441" t="str">
        <f aca="false">IF(A105="N/A"," ",IF(ISERROR(S105),M93*Pwresc,S105))</f>
        <v> </v>
      </c>
      <c r="N105" s="442" t="str">
        <f aca="false">IF(A105="N/A"," ",SUM(T105:X105))</f>
        <v> </v>
      </c>
      <c r="O105" s="370"/>
      <c r="P105" s="436" t="str">
        <f aca="false">IF(A105="N/A"," ",VLOOKUP(A105,PeakPowerCurves,(IF(BMO=2,3,IF(BMO=1,2,4))),FALSE())+Inputs!N88)</f>
        <v> </v>
      </c>
      <c r="Q105" s="436" t="str">
        <f aca="false">IF(A105="N/A"," ",VLOOKUP(A105,SatSunPeakPwr,(IF(BMO=2,3,IF(BMO=1,2,4))),FALSE())+Inputs!$N$23)</f>
        <v> </v>
      </c>
      <c r="R105" s="436" t="str">
        <f aca="false">IF(A105="N/A"," ",VLOOKUP(A105,SatSunPeakPwr,(IF(BMO=2,7,IF(BMO=1,6,8))),FALSE())+Inputs!$N$23)</f>
        <v> </v>
      </c>
      <c r="S105" s="443" t="str">
        <f aca="false">IF(A105="N/A"," ",(VLOOKUP(A105,OPPowerPrices,(IF(BMO=2,7,IF(BMO=1,6,8))),FALSE())+Inputs!$N$23))</f>
        <v> </v>
      </c>
      <c r="T105" s="444" t="str">
        <f aca="false">IF(A105="N/A"," ",(VLOOKUP(A105,GasCurves,9,FALSE()))+IF(BMO=1,Gasbmo,IF(BMO=3,-Gasbmo,0)))</f>
        <v> </v>
      </c>
      <c r="U105" s="444" t="str">
        <f aca="false">IF(A105="N/A"," ",IF(Basischeck=TRUE(),(VLOOKUP(A105,GasCurves,IF(MONTH(A105)&gt;=4,IF(MONTH(A105)&lt;=10,11,12),12),FALSE())),0))</f>
        <v> </v>
      </c>
      <c r="V105" s="444" t="str">
        <f aca="false">IF(A105="N/A"," ",IF(Indexcheck=TRUE(),(IF(MONTH(A105)&gt;=4,IF(MONTH(A105)&lt;=10,VLOOKUP(A105,'Gas Curves'!B83:O443,13),VLOOKUP(A105,'Gas Curves'!B83:O443,14)),VLOOKUP(A105,'Gas Curves'!B83:O443,14))),0))</f>
        <v> </v>
      </c>
      <c r="W105" s="444" t="str">
        <f aca="false">IF(A105="N/A"," ",((SUM(T105:V105))/(1-Inputs!$S$11)-(SUM(T105:V105))))</f>
        <v> </v>
      </c>
      <c r="X105" s="444" t="str">
        <f aca="false">IF(A105="N/A"," ",(IF(MONTH(A105)&gt;=4,IF(MONTH(A105)&lt;=10,Inputs!$S$9,Inputs!$S$10),Inputs!$S$10)))</f>
        <v> </v>
      </c>
      <c r="Y105" s="445" t="str">
        <f aca="false">IF(A105="N/A"," ",(VLOOKUP($A105,InterestRatesTable,2)))</f>
        <v> </v>
      </c>
      <c r="AF105" s="386" t="n">
        <v>39630</v>
      </c>
      <c r="AG105" s="376" t="n">
        <v>22</v>
      </c>
      <c r="AH105" s="376" t="n">
        <v>4</v>
      </c>
      <c r="AI105" s="376" t="n">
        <v>5</v>
      </c>
      <c r="AJ105" s="376" t="n">
        <v>1</v>
      </c>
      <c r="AK105" s="376" t="n">
        <v>31</v>
      </c>
    </row>
    <row r="106" customFormat="false" ht="12.75" hidden="false" customHeight="false" outlineLevel="0" collapsed="false">
      <c r="A106" s="434" t="str">
        <f aca="false">Calculations!A71</f>
        <v>N/A</v>
      </c>
      <c r="B106" s="435" t="str">
        <f aca="false">IF(A106="N/A"," ",IF(ISERROR(P106),B94*Pwresc,P106)*VLOOKUP(MONTH(A106),Curveadj,3))</f>
        <v> </v>
      </c>
      <c r="C106" s="436" t="str">
        <f aca="false">IF(A106="N/A"," ",IF(ISERROR(Q106),C94*Pwresc,Q106)*VLOOKUP(MONTH(A106),Curveadj,3))</f>
        <v> </v>
      </c>
      <c r="D106" s="437" t="str">
        <f aca="false">IF(A106="N/A"," ",IF(ISERROR(R106),D94*Pwresc,R106)*VLOOKUP(MONTH(A106),Curveadj,3))</f>
        <v> </v>
      </c>
      <c r="E106" s="438" t="str">
        <f aca="false">IF(A106="N/A"," ",IF(Scalers=1,(IF(AND(Dynamic=1,MONTH(A106)&gt;=6,MONTH(A106)&lt;=8,OR($O$37="REGION 2",$O$37="REGION 2A",$O$37="REGION 2B",$O$37="REGION 3",$O$37="REGION 3A",$O$37="REGION 3B",$O$37="REGION 3C",$O$37="REGION 4",$O$37="REGION 4B",$O$37="REGION 4C",$O$37="REGION 5",$O$37="REGION 5A")),((0.059228/(B106/100))-(0.4980013/(SQRT(B106/100)))+2.137988),HLOOKUP(MONTH(A106),ScalarTable,28))),1))</f>
        <v> </v>
      </c>
      <c r="F106" s="439" t="str">
        <f aca="false">IF(A106="N/A"," ",B106*E106)</f>
        <v> </v>
      </c>
      <c r="G106" s="439" t="str">
        <f aca="false">IF(A106="N/A"," ",C106*E106)</f>
        <v> </v>
      </c>
      <c r="H106" s="440" t="str">
        <f aca="false">IF(A106="N/A"," ",D106*E106)</f>
        <v> </v>
      </c>
      <c r="I106" s="402" t="str">
        <f aca="false">IF(A106="N/A"," ",2-E106)</f>
        <v> </v>
      </c>
      <c r="J106" s="439" t="str">
        <f aca="false">IF(A106="N/A"," ",B106*I106)</f>
        <v> </v>
      </c>
      <c r="K106" s="439" t="str">
        <f aca="false">IF(A106="N/A"," ",C106*I106)</f>
        <v> </v>
      </c>
      <c r="L106" s="440" t="str">
        <f aca="false">IF(A106="N/A"," ",D106*I106)</f>
        <v> </v>
      </c>
      <c r="M106" s="441" t="str">
        <f aca="false">IF(A106="N/A"," ",IF(ISERROR(S106),M94*Pwresc,S106))</f>
        <v> </v>
      </c>
      <c r="N106" s="442" t="str">
        <f aca="false">IF(A106="N/A"," ",SUM(T106:X106))</f>
        <v> </v>
      </c>
      <c r="O106" s="370"/>
      <c r="P106" s="436" t="str">
        <f aca="false">IF(A106="N/A"," ",VLOOKUP(A106,PeakPowerCurves,(IF(BMO=2,3,IF(BMO=1,2,4))),FALSE())+Inputs!N89)</f>
        <v> </v>
      </c>
      <c r="Q106" s="436" t="str">
        <f aca="false">IF(A106="N/A"," ",VLOOKUP(A106,SatSunPeakPwr,(IF(BMO=2,3,IF(BMO=1,2,4))),FALSE())+Inputs!$N$23)</f>
        <v> </v>
      </c>
      <c r="R106" s="436" t="str">
        <f aca="false">IF(A106="N/A"," ",VLOOKUP(A106,SatSunPeakPwr,(IF(BMO=2,7,IF(BMO=1,6,8))),FALSE())+Inputs!$N$23)</f>
        <v> </v>
      </c>
      <c r="S106" s="443" t="str">
        <f aca="false">IF(A106="N/A"," ",(VLOOKUP(A106,OPPowerPrices,(IF(BMO=2,7,IF(BMO=1,6,8))),FALSE())+Inputs!$N$23))</f>
        <v> </v>
      </c>
      <c r="T106" s="444" t="str">
        <f aca="false">IF(A106="N/A"," ",(VLOOKUP(A106,GasCurves,9,FALSE()))+IF(BMO=1,Gasbmo,IF(BMO=3,-Gasbmo,0)))</f>
        <v> </v>
      </c>
      <c r="U106" s="444" t="str">
        <f aca="false">IF(A106="N/A"," ",IF(Basischeck=TRUE(),(VLOOKUP(A106,GasCurves,IF(MONTH(A106)&gt;=4,IF(MONTH(A106)&lt;=10,11,12),12),FALSE())),0))</f>
        <v> </v>
      </c>
      <c r="V106" s="444" t="str">
        <f aca="false">IF(A106="N/A"," ",IF(Indexcheck=TRUE(),(IF(MONTH(A106)&gt;=4,IF(MONTH(A106)&lt;=10,VLOOKUP(A106,'Gas Curves'!B84:O444,13),VLOOKUP(A106,'Gas Curves'!B84:O444,14)),VLOOKUP(A106,'Gas Curves'!B84:O444,14))),0))</f>
        <v> </v>
      </c>
      <c r="W106" s="444" t="str">
        <f aca="false">IF(A106="N/A"," ",((SUM(T106:V106))/(1-Inputs!$S$11)-(SUM(T106:V106))))</f>
        <v> </v>
      </c>
      <c r="X106" s="444" t="str">
        <f aca="false">IF(A106="N/A"," ",(IF(MONTH(A106)&gt;=4,IF(MONTH(A106)&lt;=10,Inputs!$S$9,Inputs!$S$10),Inputs!$S$10)))</f>
        <v> </v>
      </c>
      <c r="Y106" s="445" t="str">
        <f aca="false">IF(A106="N/A"," ",(VLOOKUP($A106,InterestRatesTable,2)))</f>
        <v> </v>
      </c>
      <c r="AF106" s="386" t="n">
        <v>39661</v>
      </c>
      <c r="AG106" s="376" t="n">
        <v>21</v>
      </c>
      <c r="AH106" s="376" t="n">
        <v>5</v>
      </c>
      <c r="AI106" s="376" t="n">
        <v>5</v>
      </c>
      <c r="AJ106" s="376" t="n">
        <v>0</v>
      </c>
      <c r="AK106" s="376" t="n">
        <v>31</v>
      </c>
    </row>
    <row r="107" customFormat="false" ht="12.75" hidden="false" customHeight="false" outlineLevel="0" collapsed="false">
      <c r="A107" s="434" t="str">
        <f aca="false">Calculations!A72</f>
        <v>N/A</v>
      </c>
      <c r="B107" s="435" t="str">
        <f aca="false">IF(A107="N/A"," ",IF(ISERROR(P107),B95*Pwresc,P107)*VLOOKUP(MONTH(A107),Curveadj,3))</f>
        <v> </v>
      </c>
      <c r="C107" s="436" t="str">
        <f aca="false">IF(A107="N/A"," ",IF(ISERROR(Q107),C95*Pwresc,Q107)*VLOOKUP(MONTH(A107),Curveadj,3))</f>
        <v> </v>
      </c>
      <c r="D107" s="437" t="str">
        <f aca="false">IF(A107="N/A"," ",IF(ISERROR(R107),D95*Pwresc,R107)*VLOOKUP(MONTH(A107),Curveadj,3))</f>
        <v> </v>
      </c>
      <c r="E107" s="438" t="str">
        <f aca="false">IF(A107="N/A"," ",IF(Scalers=1,(IF(AND(Dynamic=1,MONTH(A107)&gt;=6,MONTH(A107)&lt;=8,OR($O$37="REGION 2",$O$37="REGION 2A",$O$37="REGION 2B",$O$37="REGION 3",$O$37="REGION 3A",$O$37="REGION 3B",$O$37="REGION 3C",$O$37="REGION 4",$O$37="REGION 4B",$O$37="REGION 4C",$O$37="REGION 5",$O$37="REGION 5A")),((0.059228/(B107/100))-(0.4980013/(SQRT(B107/100)))+2.137988),HLOOKUP(MONTH(A107),ScalarTable,28))),1))</f>
        <v> </v>
      </c>
      <c r="F107" s="439" t="str">
        <f aca="false">IF(A107="N/A"," ",B107*E107)</f>
        <v> </v>
      </c>
      <c r="G107" s="439" t="str">
        <f aca="false">IF(A107="N/A"," ",C107*E107)</f>
        <v> </v>
      </c>
      <c r="H107" s="440" t="str">
        <f aca="false">IF(A107="N/A"," ",D107*E107)</f>
        <v> </v>
      </c>
      <c r="I107" s="402" t="str">
        <f aca="false">IF(A107="N/A"," ",2-E107)</f>
        <v> </v>
      </c>
      <c r="J107" s="439" t="str">
        <f aca="false">IF(A107="N/A"," ",B107*I107)</f>
        <v> </v>
      </c>
      <c r="K107" s="439" t="str">
        <f aca="false">IF(A107="N/A"," ",C107*I107)</f>
        <v> </v>
      </c>
      <c r="L107" s="440" t="str">
        <f aca="false">IF(A107="N/A"," ",D107*I107)</f>
        <v> </v>
      </c>
      <c r="M107" s="441" t="str">
        <f aca="false">IF(A107="N/A"," ",IF(ISERROR(S107),M95*Pwresc,S107))</f>
        <v> </v>
      </c>
      <c r="N107" s="442" t="str">
        <f aca="false">IF(A107="N/A"," ",SUM(T107:X107))</f>
        <v> </v>
      </c>
      <c r="O107" s="370"/>
      <c r="P107" s="436" t="str">
        <f aca="false">IF(A107="N/A"," ",VLOOKUP(A107,PeakPowerCurves,(IF(BMO=2,3,IF(BMO=1,2,4))),FALSE())+Inputs!N90)</f>
        <v> </v>
      </c>
      <c r="Q107" s="436" t="str">
        <f aca="false">IF(A107="N/A"," ",VLOOKUP(A107,SatSunPeakPwr,(IF(BMO=2,3,IF(BMO=1,2,4))),FALSE())+Inputs!$N$23)</f>
        <v> </v>
      </c>
      <c r="R107" s="436" t="str">
        <f aca="false">IF(A107="N/A"," ",VLOOKUP(A107,SatSunPeakPwr,(IF(BMO=2,7,IF(BMO=1,6,8))),FALSE())+Inputs!$N$23)</f>
        <v> </v>
      </c>
      <c r="S107" s="443" t="str">
        <f aca="false">IF(A107="N/A"," ",(VLOOKUP(A107,OPPowerPrices,(IF(BMO=2,7,IF(BMO=1,6,8))),FALSE())+Inputs!$N$23))</f>
        <v> </v>
      </c>
      <c r="T107" s="444" t="str">
        <f aca="false">IF(A107="N/A"," ",(VLOOKUP(A107,GasCurves,9,FALSE()))+IF(BMO=1,Gasbmo,IF(BMO=3,-Gasbmo,0)))</f>
        <v> </v>
      </c>
      <c r="U107" s="444" t="str">
        <f aca="false">IF(A107="N/A"," ",IF(Basischeck=TRUE(),(VLOOKUP(A107,GasCurves,IF(MONTH(A107)&gt;=4,IF(MONTH(A107)&lt;=10,11,12),12),FALSE())),0))</f>
        <v> </v>
      </c>
      <c r="V107" s="444" t="str">
        <f aca="false">IF(A107="N/A"," ",IF(Indexcheck=TRUE(),(IF(MONTH(A107)&gt;=4,IF(MONTH(A107)&lt;=10,VLOOKUP(A107,'Gas Curves'!B85:O445,13),VLOOKUP(A107,'Gas Curves'!B85:O445,14)),VLOOKUP(A107,'Gas Curves'!B85:O445,14))),0))</f>
        <v> </v>
      </c>
      <c r="W107" s="444" t="str">
        <f aca="false">IF(A107="N/A"," ",((SUM(T107:V107))/(1-Inputs!$S$11)-(SUM(T107:V107))))</f>
        <v> </v>
      </c>
      <c r="X107" s="444" t="str">
        <f aca="false">IF(A107="N/A"," ",(IF(MONTH(A107)&gt;=4,IF(MONTH(A107)&lt;=10,Inputs!$S$9,Inputs!$S$10),Inputs!$S$10)))</f>
        <v> </v>
      </c>
      <c r="Y107" s="445" t="str">
        <f aca="false">IF(A107="N/A"," ",(VLOOKUP($A107,InterestRatesTable,2)))</f>
        <v> </v>
      </c>
      <c r="AF107" s="386" t="n">
        <v>39692</v>
      </c>
      <c r="AG107" s="376" t="n">
        <v>21</v>
      </c>
      <c r="AH107" s="376" t="n">
        <v>4</v>
      </c>
      <c r="AI107" s="376" t="n">
        <v>5</v>
      </c>
      <c r="AJ107" s="376" t="n">
        <v>1</v>
      </c>
      <c r="AK107" s="376" t="n">
        <v>30</v>
      </c>
    </row>
    <row r="108" customFormat="false" ht="12.75" hidden="false" customHeight="false" outlineLevel="0" collapsed="false">
      <c r="A108" s="434" t="str">
        <f aca="false">Calculations!A73</f>
        <v>N/A</v>
      </c>
      <c r="B108" s="435" t="str">
        <f aca="false">IF(A108="N/A"," ",IF(ISERROR(P108),B96*Pwresc,P108)*VLOOKUP(MONTH(A108),Curveadj,3))</f>
        <v> </v>
      </c>
      <c r="C108" s="436" t="str">
        <f aca="false">IF(A108="N/A"," ",IF(ISERROR(Q108),C96*Pwresc,Q108)*VLOOKUP(MONTH(A108),Curveadj,3))</f>
        <v> </v>
      </c>
      <c r="D108" s="437" t="str">
        <f aca="false">IF(A108="N/A"," ",IF(ISERROR(R108),D96*Pwresc,R108)*VLOOKUP(MONTH(A108),Curveadj,3))</f>
        <v> </v>
      </c>
      <c r="E108" s="438" t="str">
        <f aca="false">IF(A108="N/A"," ",IF(Scalers=1,(IF(AND(Dynamic=1,MONTH(A108)&gt;=6,MONTH(A108)&lt;=8,OR($O$37="REGION 2",$O$37="REGION 2A",$O$37="REGION 2B",$O$37="REGION 3",$O$37="REGION 3A",$O$37="REGION 3B",$O$37="REGION 3C",$O$37="REGION 4",$O$37="REGION 4B",$O$37="REGION 4C",$O$37="REGION 5",$O$37="REGION 5A")),((0.059228/(B108/100))-(0.4980013/(SQRT(B108/100)))+2.137988),HLOOKUP(MONTH(A108),ScalarTable,28))),1))</f>
        <v> </v>
      </c>
      <c r="F108" s="439" t="str">
        <f aca="false">IF(A108="N/A"," ",B108*E108)</f>
        <v> </v>
      </c>
      <c r="G108" s="439" t="str">
        <f aca="false">IF(A108="N/A"," ",C108*E108)</f>
        <v> </v>
      </c>
      <c r="H108" s="440" t="str">
        <f aca="false">IF(A108="N/A"," ",D108*E108)</f>
        <v> </v>
      </c>
      <c r="I108" s="402" t="str">
        <f aca="false">IF(A108="N/A"," ",2-E108)</f>
        <v> </v>
      </c>
      <c r="J108" s="439" t="str">
        <f aca="false">IF(A108="N/A"," ",B108*I108)</f>
        <v> </v>
      </c>
      <c r="K108" s="439" t="str">
        <f aca="false">IF(A108="N/A"," ",C108*I108)</f>
        <v> </v>
      </c>
      <c r="L108" s="440" t="str">
        <f aca="false">IF(A108="N/A"," ",D108*I108)</f>
        <v> </v>
      </c>
      <c r="M108" s="441" t="str">
        <f aca="false">IF(A108="N/A"," ",IF(ISERROR(S108),M96*Pwresc,S108))</f>
        <v> </v>
      </c>
      <c r="N108" s="442" t="str">
        <f aca="false">IF(A108="N/A"," ",SUM(T108:X108))</f>
        <v> </v>
      </c>
      <c r="O108" s="370"/>
      <c r="P108" s="436" t="str">
        <f aca="false">IF(A108="N/A"," ",VLOOKUP(A108,PeakPowerCurves,(IF(BMO=2,3,IF(BMO=1,2,4))),FALSE())+Inputs!N91)</f>
        <v> </v>
      </c>
      <c r="Q108" s="436" t="str">
        <f aca="false">IF(A108="N/A"," ",VLOOKUP(A108,SatSunPeakPwr,(IF(BMO=2,3,IF(BMO=1,2,4))),FALSE())+Inputs!$N$23)</f>
        <v> </v>
      </c>
      <c r="R108" s="436" t="str">
        <f aca="false">IF(A108="N/A"," ",VLOOKUP(A108,SatSunPeakPwr,(IF(BMO=2,7,IF(BMO=1,6,8))),FALSE())+Inputs!$N$23)</f>
        <v> </v>
      </c>
      <c r="S108" s="443" t="str">
        <f aca="false">IF(A108="N/A"," ",(VLOOKUP(A108,OPPowerPrices,(IF(BMO=2,7,IF(BMO=1,6,8))),FALSE())+Inputs!$N$23))</f>
        <v> </v>
      </c>
      <c r="T108" s="444" t="str">
        <f aca="false">IF(A108="N/A"," ",(VLOOKUP(A108,GasCurves,9,FALSE()))+IF(BMO=1,Gasbmo,IF(BMO=3,-Gasbmo,0)))</f>
        <v> </v>
      </c>
      <c r="U108" s="444" t="str">
        <f aca="false">IF(A108="N/A"," ",IF(Basischeck=TRUE(),(VLOOKUP(A108,GasCurves,IF(MONTH(A108)&gt;=4,IF(MONTH(A108)&lt;=10,11,12),12),FALSE())),0))</f>
        <v> </v>
      </c>
      <c r="V108" s="444" t="str">
        <f aca="false">IF(A108="N/A"," ",IF(Indexcheck=TRUE(),(IF(MONTH(A108)&gt;=4,IF(MONTH(A108)&lt;=10,VLOOKUP(A108,'Gas Curves'!B86:O446,13),VLOOKUP(A108,'Gas Curves'!B86:O446,14)),VLOOKUP(A108,'Gas Curves'!B86:O446,14))),0))</f>
        <v> </v>
      </c>
      <c r="W108" s="444" t="str">
        <f aca="false">IF(A108="N/A"," ",((SUM(T108:V108))/(1-Inputs!$S$11)-(SUM(T108:V108))))</f>
        <v> </v>
      </c>
      <c r="X108" s="444" t="str">
        <f aca="false">IF(A108="N/A"," ",(IF(MONTH(A108)&gt;=4,IF(MONTH(A108)&lt;=10,Inputs!$S$9,Inputs!$S$10),Inputs!$S$10)))</f>
        <v> </v>
      </c>
      <c r="Y108" s="445" t="str">
        <f aca="false">IF(A108="N/A"," ",(VLOOKUP($A108,InterestRatesTable,2)))</f>
        <v> </v>
      </c>
      <c r="AF108" s="386" t="n">
        <v>39722</v>
      </c>
      <c r="AG108" s="376" t="n">
        <v>23</v>
      </c>
      <c r="AH108" s="376" t="n">
        <v>4</v>
      </c>
      <c r="AI108" s="376" t="n">
        <v>4</v>
      </c>
      <c r="AJ108" s="376" t="n">
        <v>0</v>
      </c>
      <c r="AK108" s="376" t="n">
        <v>31</v>
      </c>
    </row>
    <row r="109" customFormat="false" ht="12.75" hidden="false" customHeight="false" outlineLevel="0" collapsed="false">
      <c r="A109" s="434" t="str">
        <f aca="false">Calculations!A74</f>
        <v>N/A</v>
      </c>
      <c r="B109" s="435" t="str">
        <f aca="false">IF(A109="N/A"," ",IF(ISERROR(P109),B97*Pwresc,P109)*VLOOKUP(MONTH(A109),Curveadj,3))</f>
        <v> </v>
      </c>
      <c r="C109" s="436" t="str">
        <f aca="false">IF(A109="N/A"," ",IF(ISERROR(Q109),C97*Pwresc,Q109)*VLOOKUP(MONTH(A109),Curveadj,3))</f>
        <v> </v>
      </c>
      <c r="D109" s="437" t="str">
        <f aca="false">IF(A109="N/A"," ",IF(ISERROR(R109),D97*Pwresc,R109)*VLOOKUP(MONTH(A109),Curveadj,3))</f>
        <v> </v>
      </c>
      <c r="E109" s="438" t="str">
        <f aca="false">IF(A109="N/A"," ",IF(Scalers=1,(IF(AND(Dynamic=1,MONTH(A109)&gt;=6,MONTH(A109)&lt;=8,OR($O$37="REGION 2",$O$37="REGION 2A",$O$37="REGION 2B",$O$37="REGION 3",$O$37="REGION 3A",$O$37="REGION 3B",$O$37="REGION 3C",$O$37="REGION 4",$O$37="REGION 4B",$O$37="REGION 4C",$O$37="REGION 5",$O$37="REGION 5A")),((0.059228/(B109/100))-(0.4980013/(SQRT(B109/100)))+2.137988),HLOOKUP(MONTH(A109),ScalarTable,28))),1))</f>
        <v> </v>
      </c>
      <c r="F109" s="439" t="str">
        <f aca="false">IF(A109="N/A"," ",B109*E109)</f>
        <v> </v>
      </c>
      <c r="G109" s="439" t="str">
        <f aca="false">IF(A109="N/A"," ",C109*E109)</f>
        <v> </v>
      </c>
      <c r="H109" s="440" t="str">
        <f aca="false">IF(A109="N/A"," ",D109*E109)</f>
        <v> </v>
      </c>
      <c r="I109" s="402" t="str">
        <f aca="false">IF(A109="N/A"," ",2-E109)</f>
        <v> </v>
      </c>
      <c r="J109" s="439" t="str">
        <f aca="false">IF(A109="N/A"," ",B109*I109)</f>
        <v> </v>
      </c>
      <c r="K109" s="439" t="str">
        <f aca="false">IF(A109="N/A"," ",C109*I109)</f>
        <v> </v>
      </c>
      <c r="L109" s="440" t="str">
        <f aca="false">IF(A109="N/A"," ",D109*I109)</f>
        <v> </v>
      </c>
      <c r="M109" s="441" t="str">
        <f aca="false">IF(A109="N/A"," ",IF(ISERROR(S109),M97*Pwresc,S109))</f>
        <v> </v>
      </c>
      <c r="N109" s="442" t="str">
        <f aca="false">IF(A109="N/A"," ",SUM(T109:X109))</f>
        <v> </v>
      </c>
      <c r="O109" s="370"/>
      <c r="P109" s="436" t="str">
        <f aca="false">IF(A109="N/A"," ",VLOOKUP(A109,PeakPowerCurves,(IF(BMO=2,3,IF(BMO=1,2,4))),FALSE())+Inputs!N92)</f>
        <v> </v>
      </c>
      <c r="Q109" s="436" t="str">
        <f aca="false">IF(A109="N/A"," ",VLOOKUP(A109,SatSunPeakPwr,(IF(BMO=2,3,IF(BMO=1,2,4))),FALSE())+Inputs!$N$23)</f>
        <v> </v>
      </c>
      <c r="R109" s="436" t="str">
        <f aca="false">IF(A109="N/A"," ",VLOOKUP(A109,SatSunPeakPwr,(IF(BMO=2,7,IF(BMO=1,6,8))),FALSE())+Inputs!$N$23)</f>
        <v> </v>
      </c>
      <c r="S109" s="443" t="str">
        <f aca="false">IF(A109="N/A"," ",(VLOOKUP(A109,OPPowerPrices,(IF(BMO=2,7,IF(BMO=1,6,8))),FALSE())+Inputs!$N$23))</f>
        <v> </v>
      </c>
      <c r="T109" s="444" t="str">
        <f aca="false">IF(A109="N/A"," ",(VLOOKUP(A109,GasCurves,9,FALSE()))+IF(BMO=1,Gasbmo,IF(BMO=3,-Gasbmo,0)))</f>
        <v> </v>
      </c>
      <c r="U109" s="444" t="str">
        <f aca="false">IF(A109="N/A"," ",IF(Basischeck=TRUE(),(VLOOKUP(A109,GasCurves,IF(MONTH(A109)&gt;=4,IF(MONTH(A109)&lt;=10,11,12),12),FALSE())),0))</f>
        <v> </v>
      </c>
      <c r="V109" s="444" t="str">
        <f aca="false">IF(A109="N/A"," ",IF(Indexcheck=TRUE(),(IF(MONTH(A109)&gt;=4,IF(MONTH(A109)&lt;=10,VLOOKUP(A109,'Gas Curves'!B87:O447,13),VLOOKUP(A109,'Gas Curves'!B87:O447,14)),VLOOKUP(A109,'Gas Curves'!B87:O447,14))),0))</f>
        <v> </v>
      </c>
      <c r="W109" s="444" t="str">
        <f aca="false">IF(A109="N/A"," ",((SUM(T109:V109))/(1-Inputs!$S$11)-(SUM(T109:V109))))</f>
        <v> </v>
      </c>
      <c r="X109" s="444" t="str">
        <f aca="false">IF(A109="N/A"," ",(IF(MONTH(A109)&gt;=4,IF(MONTH(A109)&lt;=10,Inputs!$S$9,Inputs!$S$10),Inputs!$S$10)))</f>
        <v> </v>
      </c>
      <c r="Y109" s="445" t="str">
        <f aca="false">IF(A109="N/A"," ",(VLOOKUP($A109,InterestRatesTable,2)))</f>
        <v> </v>
      </c>
      <c r="AF109" s="386" t="n">
        <v>39753</v>
      </c>
      <c r="AG109" s="376" t="n">
        <v>19</v>
      </c>
      <c r="AH109" s="376" t="n">
        <v>5</v>
      </c>
      <c r="AI109" s="376" t="n">
        <v>6</v>
      </c>
      <c r="AJ109" s="376" t="n">
        <v>1</v>
      </c>
      <c r="AK109" s="376" t="n">
        <v>30</v>
      </c>
    </row>
    <row r="110" customFormat="false" ht="12.75" hidden="false" customHeight="false" outlineLevel="0" collapsed="false">
      <c r="A110" s="434" t="str">
        <f aca="false">Calculations!A75</f>
        <v>N/A</v>
      </c>
      <c r="B110" s="435" t="str">
        <f aca="false">IF(A110="N/A"," ",IF(ISERROR(P110),B98*Pwresc,P110)*VLOOKUP(MONTH(A110),Curveadj,3))</f>
        <v> </v>
      </c>
      <c r="C110" s="436" t="str">
        <f aca="false">IF(A110="N/A"," ",IF(ISERROR(Q110),C98*Pwresc,Q110)*VLOOKUP(MONTH(A110),Curveadj,3))</f>
        <v> </v>
      </c>
      <c r="D110" s="437" t="str">
        <f aca="false">IF(A110="N/A"," ",IF(ISERROR(R110),D98*Pwresc,R110)*VLOOKUP(MONTH(A110),Curveadj,3))</f>
        <v> </v>
      </c>
      <c r="E110" s="438" t="str">
        <f aca="false">IF(A110="N/A"," ",IF(Scalers=1,(IF(AND(Dynamic=1,MONTH(A110)&gt;=6,MONTH(A110)&lt;=8,OR($O$37="REGION 2",$O$37="REGION 2A",$O$37="REGION 2B",$O$37="REGION 3",$O$37="REGION 3A",$O$37="REGION 3B",$O$37="REGION 3C",$O$37="REGION 4",$O$37="REGION 4B",$O$37="REGION 4C",$O$37="REGION 5",$O$37="REGION 5A")),((0.059228/(B110/100))-(0.4980013/(SQRT(B110/100)))+2.137988),HLOOKUP(MONTH(A110),ScalarTable,28))),1))</f>
        <v> </v>
      </c>
      <c r="F110" s="439" t="str">
        <f aca="false">IF(A110="N/A"," ",B110*E110)</f>
        <v> </v>
      </c>
      <c r="G110" s="439" t="str">
        <f aca="false">IF(A110="N/A"," ",C110*E110)</f>
        <v> </v>
      </c>
      <c r="H110" s="440" t="str">
        <f aca="false">IF(A110="N/A"," ",D110*E110)</f>
        <v> </v>
      </c>
      <c r="I110" s="402" t="str">
        <f aca="false">IF(A110="N/A"," ",2-E110)</f>
        <v> </v>
      </c>
      <c r="J110" s="439" t="str">
        <f aca="false">IF(A110="N/A"," ",B110*I110)</f>
        <v> </v>
      </c>
      <c r="K110" s="439" t="str">
        <f aca="false">IF(A110="N/A"," ",C110*I110)</f>
        <v> </v>
      </c>
      <c r="L110" s="440" t="str">
        <f aca="false">IF(A110="N/A"," ",D110*I110)</f>
        <v> </v>
      </c>
      <c r="M110" s="441" t="str">
        <f aca="false">IF(A110="N/A"," ",IF(ISERROR(S110),M98*Pwresc,S110))</f>
        <v> </v>
      </c>
      <c r="N110" s="442" t="str">
        <f aca="false">IF(A110="N/A"," ",SUM(T110:X110))</f>
        <v> </v>
      </c>
      <c r="O110" s="370"/>
      <c r="P110" s="436" t="str">
        <f aca="false">IF(A110="N/A"," ",VLOOKUP(A110,PeakPowerCurves,(IF(BMO=2,3,IF(BMO=1,2,4))),FALSE())+Inputs!N93)</f>
        <v> </v>
      </c>
      <c r="Q110" s="436" t="str">
        <f aca="false">IF(A110="N/A"," ",VLOOKUP(A110,SatSunPeakPwr,(IF(BMO=2,3,IF(BMO=1,2,4))),FALSE())+Inputs!$N$23)</f>
        <v> </v>
      </c>
      <c r="R110" s="436" t="str">
        <f aca="false">IF(A110="N/A"," ",VLOOKUP(A110,SatSunPeakPwr,(IF(BMO=2,7,IF(BMO=1,6,8))),FALSE())+Inputs!$N$23)</f>
        <v> </v>
      </c>
      <c r="S110" s="443" t="str">
        <f aca="false">IF(A110="N/A"," ",(VLOOKUP(A110,OPPowerPrices,(IF(BMO=2,7,IF(BMO=1,6,8))),FALSE())+Inputs!$N$23))</f>
        <v> </v>
      </c>
      <c r="T110" s="444" t="str">
        <f aca="false">IF(A110="N/A"," ",(VLOOKUP(A110,GasCurves,9,FALSE()))+IF(BMO=1,Gasbmo,IF(BMO=3,-Gasbmo,0)))</f>
        <v> </v>
      </c>
      <c r="U110" s="444" t="str">
        <f aca="false">IF(A110="N/A"," ",IF(Basischeck=TRUE(),(VLOOKUP(A110,GasCurves,IF(MONTH(A110)&gt;=4,IF(MONTH(A110)&lt;=10,11,12),12),FALSE())),0))</f>
        <v> </v>
      </c>
      <c r="V110" s="444" t="str">
        <f aca="false">IF(A110="N/A"," ",IF(Indexcheck=TRUE(),(IF(MONTH(A110)&gt;=4,IF(MONTH(A110)&lt;=10,VLOOKUP(A110,'Gas Curves'!B88:O448,13),VLOOKUP(A110,'Gas Curves'!B88:O448,14)),VLOOKUP(A110,'Gas Curves'!B88:O448,14))),0))</f>
        <v> </v>
      </c>
      <c r="W110" s="444" t="str">
        <f aca="false">IF(A110="N/A"," ",((SUM(T110:V110))/(1-Inputs!$S$11)-(SUM(T110:V110))))</f>
        <v> </v>
      </c>
      <c r="X110" s="444" t="str">
        <f aca="false">IF(A110="N/A"," ",(IF(MONTH(A110)&gt;=4,IF(MONTH(A110)&lt;=10,Inputs!$S$9,Inputs!$S$10),Inputs!$S$10)))</f>
        <v> </v>
      </c>
      <c r="Y110" s="445" t="str">
        <f aca="false">IF(A110="N/A"," ",(VLOOKUP($A110,InterestRatesTable,2)))</f>
        <v> </v>
      </c>
      <c r="AF110" s="386" t="n">
        <v>39783</v>
      </c>
      <c r="AG110" s="376" t="n">
        <v>22</v>
      </c>
      <c r="AH110" s="376" t="n">
        <v>4</v>
      </c>
      <c r="AI110" s="376" t="n">
        <v>5</v>
      </c>
      <c r="AJ110" s="376" t="n">
        <v>1</v>
      </c>
      <c r="AK110" s="376" t="n">
        <v>31</v>
      </c>
    </row>
    <row r="111" customFormat="false" ht="12.75" hidden="false" customHeight="false" outlineLevel="0" collapsed="false">
      <c r="A111" s="434" t="str">
        <f aca="false">Calculations!A76</f>
        <v>N/A</v>
      </c>
      <c r="B111" s="435" t="str">
        <f aca="false">IF(A111="N/A"," ",IF(ISERROR(P111),B99*Pwresc,P111)*VLOOKUP(MONTH(A111),Curveadj,3))</f>
        <v> </v>
      </c>
      <c r="C111" s="436" t="str">
        <f aca="false">IF(A111="N/A"," ",IF(ISERROR(Q111),C99*Pwresc,Q111)*VLOOKUP(MONTH(A111),Curveadj,3))</f>
        <v> </v>
      </c>
      <c r="D111" s="437" t="str">
        <f aca="false">IF(A111="N/A"," ",IF(ISERROR(R111),D99*Pwresc,R111)*VLOOKUP(MONTH(A111),Curveadj,3))</f>
        <v> </v>
      </c>
      <c r="E111" s="438" t="str">
        <f aca="false">IF(A111="N/A"," ",IF(Scalers=1,(IF(AND(Dynamic=1,MONTH(A111)&gt;=6,MONTH(A111)&lt;=8,OR($O$37="REGION 2",$O$37="REGION 2A",$O$37="REGION 2B",$O$37="REGION 3",$O$37="REGION 3A",$O$37="REGION 3B",$O$37="REGION 3C",$O$37="REGION 4",$O$37="REGION 4B",$O$37="REGION 4C",$O$37="REGION 5",$O$37="REGION 5A")),((0.059228/(B111/100))-(0.4980013/(SQRT(B111/100)))+2.137988),HLOOKUP(MONTH(A111),ScalarTable,28))),1))</f>
        <v> </v>
      </c>
      <c r="F111" s="439" t="str">
        <f aca="false">IF(A111="N/A"," ",B111*E111)</f>
        <v> </v>
      </c>
      <c r="G111" s="439" t="str">
        <f aca="false">IF(A111="N/A"," ",C111*E111)</f>
        <v> </v>
      </c>
      <c r="H111" s="440" t="str">
        <f aca="false">IF(A111="N/A"," ",D111*E111)</f>
        <v> </v>
      </c>
      <c r="I111" s="402" t="str">
        <f aca="false">IF(A111="N/A"," ",2-E111)</f>
        <v> </v>
      </c>
      <c r="J111" s="439" t="str">
        <f aca="false">IF(A111="N/A"," ",B111*I111)</f>
        <v> </v>
      </c>
      <c r="K111" s="439" t="str">
        <f aca="false">IF(A111="N/A"," ",C111*I111)</f>
        <v> </v>
      </c>
      <c r="L111" s="440" t="str">
        <f aca="false">IF(A111="N/A"," ",D111*I111)</f>
        <v> </v>
      </c>
      <c r="M111" s="441" t="str">
        <f aca="false">IF(A111="N/A"," ",IF(ISERROR(S111),M99*Pwresc,S111))</f>
        <v> </v>
      </c>
      <c r="N111" s="442" t="str">
        <f aca="false">IF(A111="N/A"," ",SUM(T111:X111))</f>
        <v> </v>
      </c>
      <c r="O111" s="370"/>
      <c r="P111" s="436" t="str">
        <f aca="false">IF(A111="N/A"," ",VLOOKUP(A111,PeakPowerCurves,(IF(BMO=2,3,IF(BMO=1,2,4))),FALSE())+Inputs!N94)</f>
        <v> </v>
      </c>
      <c r="Q111" s="436" t="str">
        <f aca="false">IF(A111="N/A"," ",VLOOKUP(A111,SatSunPeakPwr,(IF(BMO=2,3,IF(BMO=1,2,4))),FALSE())+Inputs!$N$23)</f>
        <v> </v>
      </c>
      <c r="R111" s="436" t="str">
        <f aca="false">IF(A111="N/A"," ",VLOOKUP(A111,SatSunPeakPwr,(IF(BMO=2,7,IF(BMO=1,6,8))),FALSE())+Inputs!$N$23)</f>
        <v> </v>
      </c>
      <c r="S111" s="443" t="str">
        <f aca="false">IF(A111="N/A"," ",(VLOOKUP(A111,OPPowerPrices,(IF(BMO=2,7,IF(BMO=1,6,8))),FALSE())+Inputs!$N$23))</f>
        <v> </v>
      </c>
      <c r="T111" s="444" t="str">
        <f aca="false">IF(A111="N/A"," ",(VLOOKUP(A111,GasCurves,9,FALSE()))+IF(BMO=1,Gasbmo,IF(BMO=3,-Gasbmo,0)))</f>
        <v> </v>
      </c>
      <c r="U111" s="444" t="str">
        <f aca="false">IF(A111="N/A"," ",IF(Basischeck=TRUE(),(VLOOKUP(A111,GasCurves,IF(MONTH(A111)&gt;=4,IF(MONTH(A111)&lt;=10,11,12),12),FALSE())),0))</f>
        <v> </v>
      </c>
      <c r="V111" s="444" t="str">
        <f aca="false">IF(A111="N/A"," ",IF(Indexcheck=TRUE(),(IF(MONTH(A111)&gt;=4,IF(MONTH(A111)&lt;=10,VLOOKUP(A111,'Gas Curves'!B89:O449,13),VLOOKUP(A111,'Gas Curves'!B89:O449,14)),VLOOKUP(A111,'Gas Curves'!B89:O449,14))),0))</f>
        <v> </v>
      </c>
      <c r="W111" s="444" t="str">
        <f aca="false">IF(A111="N/A"," ",((SUM(T111:V111))/(1-Inputs!$S$11)-(SUM(T111:V111))))</f>
        <v> </v>
      </c>
      <c r="X111" s="444" t="str">
        <f aca="false">IF(A111="N/A"," ",(IF(MONTH(A111)&gt;=4,IF(MONTH(A111)&lt;=10,Inputs!$S$9,Inputs!$S$10),Inputs!$S$10)))</f>
        <v> </v>
      </c>
      <c r="Y111" s="445" t="str">
        <f aca="false">IF(A111="N/A"," ",(VLOOKUP($A111,InterestRatesTable,2)))</f>
        <v> </v>
      </c>
      <c r="AF111" s="386" t="n">
        <v>39814</v>
      </c>
      <c r="AG111" s="376" t="n">
        <v>21</v>
      </c>
      <c r="AH111" s="376" t="n">
        <v>5</v>
      </c>
      <c r="AI111" s="376" t="n">
        <v>5</v>
      </c>
      <c r="AJ111" s="376" t="n">
        <v>1</v>
      </c>
      <c r="AK111" s="376" t="n">
        <v>31</v>
      </c>
    </row>
    <row r="112" customFormat="false" ht="12.75" hidden="false" customHeight="false" outlineLevel="0" collapsed="false">
      <c r="A112" s="434" t="str">
        <f aca="false">Calculations!A77</f>
        <v>N/A</v>
      </c>
      <c r="B112" s="435" t="str">
        <f aca="false">IF(A112="N/A"," ",IF(ISERROR(P112),B100*Pwresc,P112)*VLOOKUP(MONTH(A112),Curveadj,3))</f>
        <v> </v>
      </c>
      <c r="C112" s="436" t="str">
        <f aca="false">IF(A112="N/A"," ",IF(ISERROR(Q112),C100*Pwresc,Q112)*VLOOKUP(MONTH(A112),Curveadj,3))</f>
        <v> </v>
      </c>
      <c r="D112" s="437" t="str">
        <f aca="false">IF(A112="N/A"," ",IF(ISERROR(R112),D100*Pwresc,R112)*VLOOKUP(MONTH(A112),Curveadj,3))</f>
        <v> </v>
      </c>
      <c r="E112" s="438" t="str">
        <f aca="false">IF(A112="N/A"," ",IF(Scalers=1,(IF(AND(Dynamic=1,MONTH(A112)&gt;=6,MONTH(A112)&lt;=8,OR($O$37="REGION 2",$O$37="REGION 2A",$O$37="REGION 2B",$O$37="REGION 3",$O$37="REGION 3A",$O$37="REGION 3B",$O$37="REGION 3C",$O$37="REGION 4",$O$37="REGION 4B",$O$37="REGION 4C",$O$37="REGION 5",$O$37="REGION 5A")),((0.059228/(B112/100))-(0.4980013/(SQRT(B112/100)))+2.137988),HLOOKUP(MONTH(A112),ScalarTable,28))),1))</f>
        <v> </v>
      </c>
      <c r="F112" s="439" t="str">
        <f aca="false">IF(A112="N/A"," ",B112*E112)</f>
        <v> </v>
      </c>
      <c r="G112" s="439" t="str">
        <f aca="false">IF(A112="N/A"," ",C112*E112)</f>
        <v> </v>
      </c>
      <c r="H112" s="440" t="str">
        <f aca="false">IF(A112="N/A"," ",D112*E112)</f>
        <v> </v>
      </c>
      <c r="I112" s="402" t="str">
        <f aca="false">IF(A112="N/A"," ",2-E112)</f>
        <v> </v>
      </c>
      <c r="J112" s="439" t="str">
        <f aca="false">IF(A112="N/A"," ",B112*I112)</f>
        <v> </v>
      </c>
      <c r="K112" s="439" t="str">
        <f aca="false">IF(A112="N/A"," ",C112*I112)</f>
        <v> </v>
      </c>
      <c r="L112" s="440" t="str">
        <f aca="false">IF(A112="N/A"," ",D112*I112)</f>
        <v> </v>
      </c>
      <c r="M112" s="441" t="str">
        <f aca="false">IF(A112="N/A"," ",IF(ISERROR(S112),M100*Pwresc,S112))</f>
        <v> </v>
      </c>
      <c r="N112" s="442" t="str">
        <f aca="false">IF(A112="N/A"," ",SUM(T112:X112))</f>
        <v> </v>
      </c>
      <c r="O112" s="370"/>
      <c r="P112" s="436" t="str">
        <f aca="false">IF(A112="N/A"," ",VLOOKUP(A112,PeakPowerCurves,(IF(BMO=2,3,IF(BMO=1,2,4))),FALSE())+Inputs!N95)</f>
        <v> </v>
      </c>
      <c r="Q112" s="436" t="str">
        <f aca="false">IF(A112="N/A"," ",VLOOKUP(A112,SatSunPeakPwr,(IF(BMO=2,3,IF(BMO=1,2,4))),FALSE())+Inputs!$N$23)</f>
        <v> </v>
      </c>
      <c r="R112" s="436" t="str">
        <f aca="false">IF(A112="N/A"," ",VLOOKUP(A112,SatSunPeakPwr,(IF(BMO=2,7,IF(BMO=1,6,8))),FALSE())+Inputs!$N$23)</f>
        <v> </v>
      </c>
      <c r="S112" s="443" t="str">
        <f aca="false">IF(A112="N/A"," ",(VLOOKUP(A112,OPPowerPrices,(IF(BMO=2,7,IF(BMO=1,6,8))),FALSE())+Inputs!$N$23))</f>
        <v> </v>
      </c>
      <c r="T112" s="444" t="str">
        <f aca="false">IF(A112="N/A"," ",(VLOOKUP(A112,GasCurves,9,FALSE()))+IF(BMO=1,Gasbmo,IF(BMO=3,-Gasbmo,0)))</f>
        <v> </v>
      </c>
      <c r="U112" s="444" t="str">
        <f aca="false">IF(A112="N/A"," ",IF(Basischeck=TRUE(),(VLOOKUP(A112,GasCurves,IF(MONTH(A112)&gt;=4,IF(MONTH(A112)&lt;=10,11,12),12),FALSE())),0))</f>
        <v> </v>
      </c>
      <c r="V112" s="444" t="str">
        <f aca="false">IF(A112="N/A"," ",IF(Indexcheck=TRUE(),(IF(MONTH(A112)&gt;=4,IF(MONTH(A112)&lt;=10,VLOOKUP(A112,'Gas Curves'!B90:O450,13),VLOOKUP(A112,'Gas Curves'!B90:O450,14)),VLOOKUP(A112,'Gas Curves'!B90:O450,14))),0))</f>
        <v> </v>
      </c>
      <c r="W112" s="444" t="str">
        <f aca="false">IF(A112="N/A"," ",((SUM(T112:V112))/(1-Inputs!$S$11)-(SUM(T112:V112))))</f>
        <v> </v>
      </c>
      <c r="X112" s="444" t="str">
        <f aca="false">IF(A112="N/A"," ",(IF(MONTH(A112)&gt;=4,IF(MONTH(A112)&lt;=10,Inputs!$S$9,Inputs!$S$10),Inputs!$S$10)))</f>
        <v> </v>
      </c>
      <c r="Y112" s="445" t="str">
        <f aca="false">IF(A112="N/A"," ",(VLOOKUP($A112,InterestRatesTable,2)))</f>
        <v> </v>
      </c>
      <c r="AF112" s="386" t="n">
        <v>39845</v>
      </c>
      <c r="AG112" s="376" t="n">
        <v>20</v>
      </c>
      <c r="AH112" s="376" t="n">
        <v>4</v>
      </c>
      <c r="AI112" s="376" t="n">
        <v>4</v>
      </c>
      <c r="AJ112" s="376" t="n">
        <v>0</v>
      </c>
      <c r="AK112" s="376" t="n">
        <v>28</v>
      </c>
    </row>
    <row r="113" customFormat="false" ht="12.75" hidden="false" customHeight="false" outlineLevel="0" collapsed="false">
      <c r="A113" s="434" t="str">
        <f aca="false">Calculations!A78</f>
        <v>N/A</v>
      </c>
      <c r="B113" s="435" t="str">
        <f aca="false">IF(A113="N/A"," ",IF(ISERROR(P113),B101*Pwresc,P113)*VLOOKUP(MONTH(A113),Curveadj,3))</f>
        <v> </v>
      </c>
      <c r="C113" s="436" t="str">
        <f aca="false">IF(A113="N/A"," ",IF(ISERROR(Q113),C101*Pwresc,Q113)*VLOOKUP(MONTH(A113),Curveadj,3))</f>
        <v> </v>
      </c>
      <c r="D113" s="437" t="str">
        <f aca="false">IF(A113="N/A"," ",IF(ISERROR(R113),D101*Pwresc,R113)*VLOOKUP(MONTH(A113),Curveadj,3))</f>
        <v> </v>
      </c>
      <c r="E113" s="438" t="str">
        <f aca="false">IF(A113="N/A"," ",IF(Scalers=1,(IF(AND(Dynamic=1,MONTH(A113)&gt;=6,MONTH(A113)&lt;=8,OR($O$37="REGION 2",$O$37="REGION 2A",$O$37="REGION 2B",$O$37="REGION 3",$O$37="REGION 3A",$O$37="REGION 3B",$O$37="REGION 3C",$O$37="REGION 4",$O$37="REGION 4B",$O$37="REGION 4C",$O$37="REGION 5",$O$37="REGION 5A")),((0.059228/(B113/100))-(0.4980013/(SQRT(B113/100)))+2.137988),HLOOKUP(MONTH(A113),ScalarTable,28))),1))</f>
        <v> </v>
      </c>
      <c r="F113" s="439" t="str">
        <f aca="false">IF(A113="N/A"," ",B113*E113)</f>
        <v> </v>
      </c>
      <c r="G113" s="439" t="str">
        <f aca="false">IF(A113="N/A"," ",C113*E113)</f>
        <v> </v>
      </c>
      <c r="H113" s="440" t="str">
        <f aca="false">IF(A113="N/A"," ",D113*E113)</f>
        <v> </v>
      </c>
      <c r="I113" s="402" t="str">
        <f aca="false">IF(A113="N/A"," ",2-E113)</f>
        <v> </v>
      </c>
      <c r="J113" s="439" t="str">
        <f aca="false">IF(A113="N/A"," ",B113*I113)</f>
        <v> </v>
      </c>
      <c r="K113" s="439" t="str">
        <f aca="false">IF(A113="N/A"," ",C113*I113)</f>
        <v> </v>
      </c>
      <c r="L113" s="440" t="str">
        <f aca="false">IF(A113="N/A"," ",D113*I113)</f>
        <v> </v>
      </c>
      <c r="M113" s="441" t="str">
        <f aca="false">IF(A113="N/A"," ",IF(ISERROR(S113),M101*Pwresc,S113))</f>
        <v> </v>
      </c>
      <c r="N113" s="442" t="str">
        <f aca="false">IF(A113="N/A"," ",SUM(T113:X113))</f>
        <v> </v>
      </c>
      <c r="O113" s="370"/>
      <c r="P113" s="436" t="str">
        <f aca="false">IF(A113="N/A"," ",VLOOKUP(A113,PeakPowerCurves,(IF(BMO=2,3,IF(BMO=1,2,4))),FALSE())+Inputs!N96)</f>
        <v> </v>
      </c>
      <c r="Q113" s="436" t="str">
        <f aca="false">IF(A113="N/A"," ",VLOOKUP(A113,SatSunPeakPwr,(IF(BMO=2,3,IF(BMO=1,2,4))),FALSE())+Inputs!$N$23)</f>
        <v> </v>
      </c>
      <c r="R113" s="436" t="str">
        <f aca="false">IF(A113="N/A"," ",VLOOKUP(A113,SatSunPeakPwr,(IF(BMO=2,7,IF(BMO=1,6,8))),FALSE())+Inputs!$N$23)</f>
        <v> </v>
      </c>
      <c r="S113" s="443" t="str">
        <f aca="false">IF(A113="N/A"," ",(VLOOKUP(A113,OPPowerPrices,(IF(BMO=2,7,IF(BMO=1,6,8))),FALSE())+Inputs!$N$23))</f>
        <v> </v>
      </c>
      <c r="T113" s="444" t="str">
        <f aca="false">IF(A113="N/A"," ",(VLOOKUP(A113,GasCurves,9,FALSE()))+IF(BMO=1,Gasbmo,IF(BMO=3,-Gasbmo,0)))</f>
        <v> </v>
      </c>
      <c r="U113" s="444" t="str">
        <f aca="false">IF(A113="N/A"," ",IF(Basischeck=TRUE(),(VLOOKUP(A113,GasCurves,IF(MONTH(A113)&gt;=4,IF(MONTH(A113)&lt;=10,11,12),12),FALSE())),0))</f>
        <v> </v>
      </c>
      <c r="V113" s="444" t="str">
        <f aca="false">IF(A113="N/A"," ",IF(Indexcheck=TRUE(),(IF(MONTH(A113)&gt;=4,IF(MONTH(A113)&lt;=10,VLOOKUP(A113,'Gas Curves'!B91:O451,13),VLOOKUP(A113,'Gas Curves'!B91:O451,14)),VLOOKUP(A113,'Gas Curves'!B91:O451,14))),0))</f>
        <v> </v>
      </c>
      <c r="W113" s="444" t="str">
        <f aca="false">IF(A113="N/A"," ",((SUM(T113:V113))/(1-Inputs!$S$11)-(SUM(T113:V113))))</f>
        <v> </v>
      </c>
      <c r="X113" s="444" t="str">
        <f aca="false">IF(A113="N/A"," ",(IF(MONTH(A113)&gt;=4,IF(MONTH(A113)&lt;=10,Inputs!$S$9,Inputs!$S$10),Inputs!$S$10)))</f>
        <v> </v>
      </c>
      <c r="Y113" s="445" t="str">
        <f aca="false">IF(A113="N/A"," ",(VLOOKUP($A113,InterestRatesTable,2)))</f>
        <v> </v>
      </c>
      <c r="AF113" s="386" t="n">
        <v>39873</v>
      </c>
      <c r="AG113" s="376" t="n">
        <v>22</v>
      </c>
      <c r="AH113" s="376" t="n">
        <v>4</v>
      </c>
      <c r="AI113" s="376" t="n">
        <v>5</v>
      </c>
      <c r="AJ113" s="376" t="n">
        <v>0</v>
      </c>
      <c r="AK113" s="376" t="n">
        <v>31</v>
      </c>
    </row>
    <row r="114" customFormat="false" ht="12.75" hidden="false" customHeight="false" outlineLevel="0" collapsed="false">
      <c r="A114" s="434" t="str">
        <f aca="false">Calculations!A79</f>
        <v>N/A</v>
      </c>
      <c r="B114" s="435" t="str">
        <f aca="false">IF(A114="N/A"," ",IF(ISERROR(P114),B102*Pwresc,P114)*VLOOKUP(MONTH(A114),Curveadj,3))</f>
        <v> </v>
      </c>
      <c r="C114" s="436" t="str">
        <f aca="false">IF(A114="N/A"," ",IF(ISERROR(Q114),C102*Pwresc,Q114)*VLOOKUP(MONTH(A114),Curveadj,3))</f>
        <v> </v>
      </c>
      <c r="D114" s="437" t="str">
        <f aca="false">IF(A114="N/A"," ",IF(ISERROR(R114),D102*Pwresc,R114)*VLOOKUP(MONTH(A114),Curveadj,3))</f>
        <v> </v>
      </c>
      <c r="E114" s="438" t="str">
        <f aca="false">IF(A114="N/A"," ",IF(Scalers=1,(IF(AND(Dynamic=1,MONTH(A114)&gt;=6,MONTH(A114)&lt;=8,OR($O$37="REGION 2",$O$37="REGION 2A",$O$37="REGION 2B",$O$37="REGION 3",$O$37="REGION 3A",$O$37="REGION 3B",$O$37="REGION 3C",$O$37="REGION 4",$O$37="REGION 4B",$O$37="REGION 4C",$O$37="REGION 5",$O$37="REGION 5A")),((0.059228/(B114/100))-(0.4980013/(SQRT(B114/100)))+2.137988),HLOOKUP(MONTH(A114),ScalarTable,28))),1))</f>
        <v> </v>
      </c>
      <c r="F114" s="439" t="str">
        <f aca="false">IF(A114="N/A"," ",B114*E114)</f>
        <v> </v>
      </c>
      <c r="G114" s="439" t="str">
        <f aca="false">IF(A114="N/A"," ",C114*E114)</f>
        <v> </v>
      </c>
      <c r="H114" s="440" t="str">
        <f aca="false">IF(A114="N/A"," ",D114*E114)</f>
        <v> </v>
      </c>
      <c r="I114" s="402" t="str">
        <f aca="false">IF(A114="N/A"," ",2-E114)</f>
        <v> </v>
      </c>
      <c r="J114" s="439" t="str">
        <f aca="false">IF(A114="N/A"," ",B114*I114)</f>
        <v> </v>
      </c>
      <c r="K114" s="439" t="str">
        <f aca="false">IF(A114="N/A"," ",C114*I114)</f>
        <v> </v>
      </c>
      <c r="L114" s="440" t="str">
        <f aca="false">IF(A114="N/A"," ",D114*I114)</f>
        <v> </v>
      </c>
      <c r="M114" s="441" t="str">
        <f aca="false">IF(A114="N/A"," ",IF(ISERROR(S114),M102*Pwresc,S114))</f>
        <v> </v>
      </c>
      <c r="N114" s="442" t="str">
        <f aca="false">IF(A114="N/A"," ",SUM(T114:X114))</f>
        <v> </v>
      </c>
      <c r="O114" s="370"/>
      <c r="P114" s="436" t="str">
        <f aca="false">IF(A114="N/A"," ",VLOOKUP(A114,PeakPowerCurves,(IF(BMO=2,3,IF(BMO=1,2,4))),FALSE())+Inputs!N97)</f>
        <v> </v>
      </c>
      <c r="Q114" s="436" t="str">
        <f aca="false">IF(A114="N/A"," ",VLOOKUP(A114,SatSunPeakPwr,(IF(BMO=2,3,IF(BMO=1,2,4))),FALSE())+Inputs!$N$23)</f>
        <v> </v>
      </c>
      <c r="R114" s="436" t="str">
        <f aca="false">IF(A114="N/A"," ",VLOOKUP(A114,SatSunPeakPwr,(IF(BMO=2,7,IF(BMO=1,6,8))),FALSE())+Inputs!$N$23)</f>
        <v> </v>
      </c>
      <c r="S114" s="443" t="str">
        <f aca="false">IF(A114="N/A"," ",(VLOOKUP(A114,OPPowerPrices,(IF(BMO=2,7,IF(BMO=1,6,8))),FALSE())+Inputs!$N$23))</f>
        <v> </v>
      </c>
      <c r="T114" s="444" t="str">
        <f aca="false">IF(A114="N/A"," ",(VLOOKUP(A114,GasCurves,9,FALSE()))+IF(BMO=1,Gasbmo,IF(BMO=3,-Gasbmo,0)))</f>
        <v> </v>
      </c>
      <c r="U114" s="444" t="str">
        <f aca="false">IF(A114="N/A"," ",IF(Basischeck=TRUE(),(VLOOKUP(A114,GasCurves,IF(MONTH(A114)&gt;=4,IF(MONTH(A114)&lt;=10,11,12),12),FALSE())),0))</f>
        <v> </v>
      </c>
      <c r="V114" s="444" t="str">
        <f aca="false">IF(A114="N/A"," ",IF(Indexcheck=TRUE(),(IF(MONTH(A114)&gt;=4,IF(MONTH(A114)&lt;=10,VLOOKUP(A114,'Gas Curves'!B92:O452,13),VLOOKUP(A114,'Gas Curves'!B92:O452,14)),VLOOKUP(A114,'Gas Curves'!B92:O452,14))),0))</f>
        <v> </v>
      </c>
      <c r="W114" s="444" t="str">
        <f aca="false">IF(A114="N/A"," ",((SUM(T114:V114))/(1-Inputs!$S$11)-(SUM(T114:V114))))</f>
        <v> </v>
      </c>
      <c r="X114" s="444" t="str">
        <f aca="false">IF(A114="N/A"," ",(IF(MONTH(A114)&gt;=4,IF(MONTH(A114)&lt;=10,Inputs!$S$9,Inputs!$S$10),Inputs!$S$10)))</f>
        <v> </v>
      </c>
      <c r="Y114" s="445" t="str">
        <f aca="false">IF(A114="N/A"," ",(VLOOKUP($A114,InterestRatesTable,2)))</f>
        <v> </v>
      </c>
      <c r="AF114" s="386" t="n">
        <v>39904</v>
      </c>
      <c r="AG114" s="376" t="n">
        <v>22</v>
      </c>
      <c r="AH114" s="376" t="n">
        <v>4</v>
      </c>
      <c r="AI114" s="376" t="n">
        <v>4</v>
      </c>
      <c r="AJ114" s="376" t="n">
        <v>0</v>
      </c>
      <c r="AK114" s="376" t="n">
        <v>30</v>
      </c>
    </row>
    <row r="115" customFormat="false" ht="12.75" hidden="false" customHeight="false" outlineLevel="0" collapsed="false">
      <c r="A115" s="434" t="str">
        <f aca="false">Calculations!A80</f>
        <v>N/A</v>
      </c>
      <c r="B115" s="435" t="str">
        <f aca="false">IF(A115="N/A"," ",IF(ISERROR(P115),B103*Pwresc,P115)*VLOOKUP(MONTH(A115),Curveadj,3))</f>
        <v> </v>
      </c>
      <c r="C115" s="436" t="str">
        <f aca="false">IF(A115="N/A"," ",IF(ISERROR(Q115),C103*Pwresc,Q115)*VLOOKUP(MONTH(A115),Curveadj,3))</f>
        <v> </v>
      </c>
      <c r="D115" s="437" t="str">
        <f aca="false">IF(A115="N/A"," ",IF(ISERROR(R115),D103*Pwresc,R115)*VLOOKUP(MONTH(A115),Curveadj,3))</f>
        <v> </v>
      </c>
      <c r="E115" s="438" t="str">
        <f aca="false">IF(A115="N/A"," ",IF(Scalers=1,(IF(AND(Dynamic=1,MONTH(A115)&gt;=6,MONTH(A115)&lt;=8,OR($O$37="REGION 2",$O$37="REGION 2A",$O$37="REGION 2B",$O$37="REGION 3",$O$37="REGION 3A",$O$37="REGION 3B",$O$37="REGION 3C",$O$37="REGION 4",$O$37="REGION 4B",$O$37="REGION 4C",$O$37="REGION 5",$O$37="REGION 5A")),((0.059228/(B115/100))-(0.4980013/(SQRT(B115/100)))+2.137988),HLOOKUP(MONTH(A115),ScalarTable,28))),1))</f>
        <v> </v>
      </c>
      <c r="F115" s="439" t="str">
        <f aca="false">IF(A115="N/A"," ",B115*E115)</f>
        <v> </v>
      </c>
      <c r="G115" s="439" t="str">
        <f aca="false">IF(A115="N/A"," ",C115*E115)</f>
        <v> </v>
      </c>
      <c r="H115" s="440" t="str">
        <f aca="false">IF(A115="N/A"," ",D115*E115)</f>
        <v> </v>
      </c>
      <c r="I115" s="402" t="str">
        <f aca="false">IF(A115="N/A"," ",2-E115)</f>
        <v> </v>
      </c>
      <c r="J115" s="439" t="str">
        <f aca="false">IF(A115="N/A"," ",B115*I115)</f>
        <v> </v>
      </c>
      <c r="K115" s="439" t="str">
        <f aca="false">IF(A115="N/A"," ",C115*I115)</f>
        <v> </v>
      </c>
      <c r="L115" s="440" t="str">
        <f aca="false">IF(A115="N/A"," ",D115*I115)</f>
        <v> </v>
      </c>
      <c r="M115" s="441" t="str">
        <f aca="false">IF(A115="N/A"," ",IF(ISERROR(S115),M103*Pwresc,S115))</f>
        <v> </v>
      </c>
      <c r="N115" s="442" t="str">
        <f aca="false">IF(A115="N/A"," ",SUM(T115:X115))</f>
        <v> </v>
      </c>
      <c r="O115" s="370"/>
      <c r="P115" s="436" t="str">
        <f aca="false">IF(A115="N/A"," ",VLOOKUP(A115,PeakPowerCurves,(IF(BMO=2,3,IF(BMO=1,2,4))),FALSE())+Inputs!N98)</f>
        <v> </v>
      </c>
      <c r="Q115" s="436" t="str">
        <f aca="false">IF(A115="N/A"," ",VLOOKUP(A115,SatSunPeakPwr,(IF(BMO=2,3,IF(BMO=1,2,4))),FALSE())+Inputs!$N$23)</f>
        <v> </v>
      </c>
      <c r="R115" s="436" t="str">
        <f aca="false">IF(A115="N/A"," ",VLOOKUP(A115,SatSunPeakPwr,(IF(BMO=2,7,IF(BMO=1,6,8))),FALSE())+Inputs!$N$23)</f>
        <v> </v>
      </c>
      <c r="S115" s="443" t="str">
        <f aca="false">IF(A115="N/A"," ",(VLOOKUP(A115,OPPowerPrices,(IF(BMO=2,7,IF(BMO=1,6,8))),FALSE())+Inputs!$N$23))</f>
        <v> </v>
      </c>
      <c r="T115" s="444" t="str">
        <f aca="false">IF(A115="N/A"," ",(VLOOKUP(A115,GasCurves,9,FALSE()))+IF(BMO=1,Gasbmo,IF(BMO=3,-Gasbmo,0)))</f>
        <v> </v>
      </c>
      <c r="U115" s="444" t="str">
        <f aca="false">IF(A115="N/A"," ",IF(Basischeck=TRUE(),(VLOOKUP(A115,GasCurves,IF(MONTH(A115)&gt;=4,IF(MONTH(A115)&lt;=10,11,12),12),FALSE())),0))</f>
        <v> </v>
      </c>
      <c r="V115" s="444" t="str">
        <f aca="false">IF(A115="N/A"," ",IF(Indexcheck=TRUE(),(IF(MONTH(A115)&gt;=4,IF(MONTH(A115)&lt;=10,VLOOKUP(A115,'Gas Curves'!B93:O453,13),VLOOKUP(A115,'Gas Curves'!B93:O453,14)),VLOOKUP(A115,'Gas Curves'!B93:O453,14))),0))</f>
        <v> </v>
      </c>
      <c r="W115" s="444" t="str">
        <f aca="false">IF(A115="N/A"," ",((SUM(T115:V115))/(1-Inputs!$S$11)-(SUM(T115:V115))))</f>
        <v> </v>
      </c>
      <c r="X115" s="444" t="str">
        <f aca="false">IF(A115="N/A"," ",(IF(MONTH(A115)&gt;=4,IF(MONTH(A115)&lt;=10,Inputs!$S$9,Inputs!$S$10),Inputs!$S$10)))</f>
        <v> </v>
      </c>
      <c r="Y115" s="445" t="str">
        <f aca="false">IF(A115="N/A"," ",(VLOOKUP($A115,InterestRatesTable,2)))</f>
        <v> </v>
      </c>
      <c r="AF115" s="386" t="n">
        <v>39934</v>
      </c>
      <c r="AG115" s="376" t="n">
        <v>20</v>
      </c>
      <c r="AH115" s="376" t="n">
        <v>5</v>
      </c>
      <c r="AI115" s="376" t="n">
        <v>6</v>
      </c>
      <c r="AJ115" s="376" t="n">
        <v>1</v>
      </c>
      <c r="AK115" s="376" t="n">
        <v>31</v>
      </c>
    </row>
    <row r="116" customFormat="false" ht="12.75" hidden="false" customHeight="false" outlineLevel="0" collapsed="false">
      <c r="A116" s="434" t="str">
        <f aca="false">Calculations!A81</f>
        <v>N/A</v>
      </c>
      <c r="B116" s="435" t="str">
        <f aca="false">IF(A116="N/A"," ",IF(ISERROR(P116),B104*Pwresc,P116)*VLOOKUP(MONTH(A116),Curveadj,3))</f>
        <v> </v>
      </c>
      <c r="C116" s="436" t="str">
        <f aca="false">IF(A116="N/A"," ",IF(ISERROR(Q116),C104*Pwresc,Q116)*VLOOKUP(MONTH(A116),Curveadj,3))</f>
        <v> </v>
      </c>
      <c r="D116" s="437" t="str">
        <f aca="false">IF(A116="N/A"," ",IF(ISERROR(R116),D104*Pwresc,R116)*VLOOKUP(MONTH(A116),Curveadj,3))</f>
        <v> </v>
      </c>
      <c r="E116" s="438" t="str">
        <f aca="false">IF(A116="N/A"," ",IF(Scalers=1,(IF(AND(Dynamic=1,MONTH(A116)&gt;=6,MONTH(A116)&lt;=8,OR($O$37="REGION 2",$O$37="REGION 2A",$O$37="REGION 2B",$O$37="REGION 3",$O$37="REGION 3A",$O$37="REGION 3B",$O$37="REGION 3C",$O$37="REGION 4",$O$37="REGION 4B",$O$37="REGION 4C",$O$37="REGION 5",$O$37="REGION 5A")),((0.059228/(B116/100))-(0.4980013/(SQRT(B116/100)))+2.137988),HLOOKUP(MONTH(A116),ScalarTable,28))),1))</f>
        <v> </v>
      </c>
      <c r="F116" s="439" t="str">
        <f aca="false">IF(A116="N/A"," ",B116*E116)</f>
        <v> </v>
      </c>
      <c r="G116" s="439" t="str">
        <f aca="false">IF(A116="N/A"," ",C116*E116)</f>
        <v> </v>
      </c>
      <c r="H116" s="440" t="str">
        <f aca="false">IF(A116="N/A"," ",D116*E116)</f>
        <v> </v>
      </c>
      <c r="I116" s="402" t="str">
        <f aca="false">IF(A116="N/A"," ",2-E116)</f>
        <v> </v>
      </c>
      <c r="J116" s="439" t="str">
        <f aca="false">IF(A116="N/A"," ",B116*I116)</f>
        <v> </v>
      </c>
      <c r="K116" s="439" t="str">
        <f aca="false">IF(A116="N/A"," ",C116*I116)</f>
        <v> </v>
      </c>
      <c r="L116" s="440" t="str">
        <f aca="false">IF(A116="N/A"," ",D116*I116)</f>
        <v> </v>
      </c>
      <c r="M116" s="441" t="str">
        <f aca="false">IF(A116="N/A"," ",IF(ISERROR(S116),M104*Pwresc,S116))</f>
        <v> </v>
      </c>
      <c r="N116" s="442" t="str">
        <f aca="false">IF(A116="N/A"," ",SUM(T116:X116))</f>
        <v> </v>
      </c>
      <c r="O116" s="370"/>
      <c r="P116" s="436" t="str">
        <f aca="false">IF(A116="N/A"," ",VLOOKUP(A116,PeakPowerCurves,(IF(BMO=2,3,IF(BMO=1,2,4))),FALSE())+Inputs!N99)</f>
        <v> </v>
      </c>
      <c r="Q116" s="436" t="str">
        <f aca="false">IF(A116="N/A"," ",VLOOKUP(A116,SatSunPeakPwr,(IF(BMO=2,3,IF(BMO=1,2,4))),FALSE())+Inputs!$N$23)</f>
        <v> </v>
      </c>
      <c r="R116" s="436" t="str">
        <f aca="false">IF(A116="N/A"," ",VLOOKUP(A116,SatSunPeakPwr,(IF(BMO=2,7,IF(BMO=1,6,8))),FALSE())+Inputs!$N$23)</f>
        <v> </v>
      </c>
      <c r="S116" s="443" t="str">
        <f aca="false">IF(A116="N/A"," ",(VLOOKUP(A116,OPPowerPrices,(IF(BMO=2,7,IF(BMO=1,6,8))),FALSE())+Inputs!$N$23))</f>
        <v> </v>
      </c>
      <c r="T116" s="444" t="str">
        <f aca="false">IF(A116="N/A"," ",(VLOOKUP(A116,GasCurves,9,FALSE()))+IF(BMO=1,Gasbmo,IF(BMO=3,-Gasbmo,0)))</f>
        <v> </v>
      </c>
      <c r="U116" s="444" t="str">
        <f aca="false">IF(A116="N/A"," ",IF(Basischeck=TRUE(),(VLOOKUP(A116,GasCurves,IF(MONTH(A116)&gt;=4,IF(MONTH(A116)&lt;=10,11,12),12),FALSE())),0))</f>
        <v> </v>
      </c>
      <c r="V116" s="444" t="str">
        <f aca="false">IF(A116="N/A"," ",IF(Indexcheck=TRUE(),(IF(MONTH(A116)&gt;=4,IF(MONTH(A116)&lt;=10,VLOOKUP(A116,'Gas Curves'!B94:O454,13),VLOOKUP(A116,'Gas Curves'!B94:O454,14)),VLOOKUP(A116,'Gas Curves'!B94:O454,14))),0))</f>
        <v> </v>
      </c>
      <c r="W116" s="444" t="str">
        <f aca="false">IF(A116="N/A"," ",((SUM(T116:V116))/(1-Inputs!$S$11)-(SUM(T116:V116))))</f>
        <v> </v>
      </c>
      <c r="X116" s="444" t="str">
        <f aca="false">IF(A116="N/A"," ",(IF(MONTH(A116)&gt;=4,IF(MONTH(A116)&lt;=10,Inputs!$S$9,Inputs!$S$10),Inputs!$S$10)))</f>
        <v> </v>
      </c>
      <c r="Y116" s="445" t="str">
        <f aca="false">IF(A116="N/A"," ",(VLOOKUP($A116,InterestRatesTable,2)))</f>
        <v> </v>
      </c>
      <c r="AF116" s="386" t="n">
        <v>39965</v>
      </c>
      <c r="AG116" s="376" t="n">
        <v>22</v>
      </c>
      <c r="AH116" s="376" t="n">
        <v>4</v>
      </c>
      <c r="AI116" s="376" t="n">
        <v>4</v>
      </c>
      <c r="AJ116" s="376" t="n">
        <v>0</v>
      </c>
      <c r="AK116" s="376" t="n">
        <v>30</v>
      </c>
    </row>
    <row r="117" customFormat="false" ht="12.75" hidden="false" customHeight="false" outlineLevel="0" collapsed="false">
      <c r="A117" s="434" t="str">
        <f aca="false">Calculations!A82</f>
        <v>N/A</v>
      </c>
      <c r="B117" s="435" t="str">
        <f aca="false">IF(A117="N/A"," ",IF(ISERROR(P117),B105*Pwresc,P117)*VLOOKUP(MONTH(A117),Curveadj,3))</f>
        <v> </v>
      </c>
      <c r="C117" s="436" t="str">
        <f aca="false">IF(A117="N/A"," ",IF(ISERROR(Q117),C105*Pwresc,Q117)*VLOOKUP(MONTH(A117),Curveadj,3))</f>
        <v> </v>
      </c>
      <c r="D117" s="437" t="str">
        <f aca="false">IF(A117="N/A"," ",IF(ISERROR(R117),D105*Pwresc,R117)*VLOOKUP(MONTH(A117),Curveadj,3))</f>
        <v> </v>
      </c>
      <c r="E117" s="438" t="str">
        <f aca="false">IF(A117="N/A"," ",IF(Scalers=1,(IF(AND(Dynamic=1,MONTH(A117)&gt;=6,MONTH(A117)&lt;=8,OR($O$37="REGION 2",$O$37="REGION 2A",$O$37="REGION 2B",$O$37="REGION 3",$O$37="REGION 3A",$O$37="REGION 3B",$O$37="REGION 3C",$O$37="REGION 4",$O$37="REGION 4B",$O$37="REGION 4C",$O$37="REGION 5",$O$37="REGION 5A")),((0.059228/(B117/100))-(0.4980013/(SQRT(B117/100)))+2.137988),HLOOKUP(MONTH(A117),ScalarTable,28))),1))</f>
        <v> </v>
      </c>
      <c r="F117" s="439" t="str">
        <f aca="false">IF(A117="N/A"," ",B117*E117)</f>
        <v> </v>
      </c>
      <c r="G117" s="439" t="str">
        <f aca="false">IF(A117="N/A"," ",C117*E117)</f>
        <v> </v>
      </c>
      <c r="H117" s="440" t="str">
        <f aca="false">IF(A117="N/A"," ",D117*E117)</f>
        <v> </v>
      </c>
      <c r="I117" s="402" t="str">
        <f aca="false">IF(A117="N/A"," ",2-E117)</f>
        <v> </v>
      </c>
      <c r="J117" s="439" t="str">
        <f aca="false">IF(A117="N/A"," ",B117*I117)</f>
        <v> </v>
      </c>
      <c r="K117" s="439" t="str">
        <f aca="false">IF(A117="N/A"," ",C117*I117)</f>
        <v> </v>
      </c>
      <c r="L117" s="440" t="str">
        <f aca="false">IF(A117="N/A"," ",D117*I117)</f>
        <v> </v>
      </c>
      <c r="M117" s="441" t="str">
        <f aca="false">IF(A117="N/A"," ",IF(ISERROR(S117),M105*Pwresc,S117))</f>
        <v> </v>
      </c>
      <c r="N117" s="442" t="str">
        <f aca="false">IF(A117="N/A"," ",SUM(T117:X117))</f>
        <v> </v>
      </c>
      <c r="O117" s="370"/>
      <c r="P117" s="436" t="str">
        <f aca="false">IF(A117="N/A"," ",VLOOKUP(A117,PeakPowerCurves,(IF(BMO=2,3,IF(BMO=1,2,4))),FALSE())+Inputs!N100)</f>
        <v> </v>
      </c>
      <c r="Q117" s="436" t="str">
        <f aca="false">IF(A117="N/A"," ",VLOOKUP(A117,SatSunPeakPwr,(IF(BMO=2,3,IF(BMO=1,2,4))),FALSE())+Inputs!$N$23)</f>
        <v> </v>
      </c>
      <c r="R117" s="436" t="str">
        <f aca="false">IF(A117="N/A"," ",VLOOKUP(A117,SatSunPeakPwr,(IF(BMO=2,7,IF(BMO=1,6,8))),FALSE())+Inputs!$N$23)</f>
        <v> </v>
      </c>
      <c r="S117" s="443" t="str">
        <f aca="false">IF(A117="N/A"," ",(VLOOKUP(A117,OPPowerPrices,(IF(BMO=2,7,IF(BMO=1,6,8))),FALSE())+Inputs!$N$23))</f>
        <v> </v>
      </c>
      <c r="T117" s="444" t="str">
        <f aca="false">IF(A117="N/A"," ",(VLOOKUP(A117,GasCurves,9,FALSE()))+IF(BMO=1,Gasbmo,IF(BMO=3,-Gasbmo,0)))</f>
        <v> </v>
      </c>
      <c r="U117" s="444" t="str">
        <f aca="false">IF(A117="N/A"," ",IF(Basischeck=TRUE(),(VLOOKUP(A117,GasCurves,IF(MONTH(A117)&gt;=4,IF(MONTH(A117)&lt;=10,11,12),12),FALSE())),0))</f>
        <v> </v>
      </c>
      <c r="V117" s="444" t="str">
        <f aca="false">IF(A117="N/A"," ",IF(Indexcheck=TRUE(),(IF(MONTH(A117)&gt;=4,IF(MONTH(A117)&lt;=10,VLOOKUP(A117,'Gas Curves'!B95:O455,13),VLOOKUP(A117,'Gas Curves'!B95:O455,14)),VLOOKUP(A117,'Gas Curves'!B95:O455,14))),0))</f>
        <v> </v>
      </c>
      <c r="W117" s="444" t="str">
        <f aca="false">IF(A117="N/A"," ",((SUM(T117:V117))/(1-Inputs!$S$11)-(SUM(T117:V117))))</f>
        <v> </v>
      </c>
      <c r="X117" s="444" t="str">
        <f aca="false">IF(A117="N/A"," ",(IF(MONTH(A117)&gt;=4,IF(MONTH(A117)&lt;=10,Inputs!$S$9,Inputs!$S$10),Inputs!$S$10)))</f>
        <v> </v>
      </c>
      <c r="Y117" s="445" t="str">
        <f aca="false">IF(A117="N/A"," ",(VLOOKUP($A117,InterestRatesTable,2)))</f>
        <v> </v>
      </c>
      <c r="AF117" s="386" t="n">
        <v>39995</v>
      </c>
      <c r="AG117" s="376" t="n">
        <v>23</v>
      </c>
      <c r="AH117" s="376" t="n">
        <v>3</v>
      </c>
      <c r="AI117" s="376" t="n">
        <v>5</v>
      </c>
      <c r="AJ117" s="376" t="n">
        <v>1</v>
      </c>
      <c r="AK117" s="376" t="n">
        <v>31</v>
      </c>
    </row>
    <row r="118" customFormat="false" ht="12.75" hidden="false" customHeight="false" outlineLevel="0" collapsed="false">
      <c r="A118" s="434" t="str">
        <f aca="false">Calculations!A83</f>
        <v>N/A</v>
      </c>
      <c r="B118" s="435" t="str">
        <f aca="false">IF(A118="N/A"," ",IF(ISERROR(P118),B106*Pwresc,P118)*VLOOKUP(MONTH(A118),Curveadj,3))</f>
        <v> </v>
      </c>
      <c r="C118" s="436" t="str">
        <f aca="false">IF(A118="N/A"," ",IF(ISERROR(Q118),C106*Pwresc,Q118)*VLOOKUP(MONTH(A118),Curveadj,3))</f>
        <v> </v>
      </c>
      <c r="D118" s="437" t="str">
        <f aca="false">IF(A118="N/A"," ",IF(ISERROR(R118),D106*Pwresc,R118)*VLOOKUP(MONTH(A118),Curveadj,3))</f>
        <v> </v>
      </c>
      <c r="E118" s="438" t="str">
        <f aca="false">IF(A118="N/A"," ",IF(Scalers=1,(IF(AND(Dynamic=1,MONTH(A118)&gt;=6,MONTH(A118)&lt;=8,OR($O$37="REGION 2",$O$37="REGION 2A",$O$37="REGION 2B",$O$37="REGION 3",$O$37="REGION 3A",$O$37="REGION 3B",$O$37="REGION 3C",$O$37="REGION 4",$O$37="REGION 4B",$O$37="REGION 4C",$O$37="REGION 5",$O$37="REGION 5A")),((0.059228/(B118/100))-(0.4980013/(SQRT(B118/100)))+2.137988),HLOOKUP(MONTH(A118),ScalarTable,28))),1))</f>
        <v> </v>
      </c>
      <c r="F118" s="439" t="str">
        <f aca="false">IF(A118="N/A"," ",B118*E118)</f>
        <v> </v>
      </c>
      <c r="G118" s="439" t="str">
        <f aca="false">IF(A118="N/A"," ",C118*E118)</f>
        <v> </v>
      </c>
      <c r="H118" s="440" t="str">
        <f aca="false">IF(A118="N/A"," ",D118*E118)</f>
        <v> </v>
      </c>
      <c r="I118" s="402" t="str">
        <f aca="false">IF(A118="N/A"," ",2-E118)</f>
        <v> </v>
      </c>
      <c r="J118" s="439" t="str">
        <f aca="false">IF(A118="N/A"," ",B118*I118)</f>
        <v> </v>
      </c>
      <c r="K118" s="439" t="str">
        <f aca="false">IF(A118="N/A"," ",C118*I118)</f>
        <v> </v>
      </c>
      <c r="L118" s="440" t="str">
        <f aca="false">IF(A118="N/A"," ",D118*I118)</f>
        <v> </v>
      </c>
      <c r="M118" s="441" t="str">
        <f aca="false">IF(A118="N/A"," ",IF(ISERROR(S118),M106*Pwresc,S118))</f>
        <v> </v>
      </c>
      <c r="N118" s="442" t="str">
        <f aca="false">IF(A118="N/A"," ",SUM(T118:X118))</f>
        <v> </v>
      </c>
      <c r="O118" s="370"/>
      <c r="P118" s="436" t="str">
        <f aca="false">IF(A118="N/A"," ",VLOOKUP(A118,PeakPowerCurves,(IF(BMO=2,3,IF(BMO=1,2,4))),FALSE())+Inputs!N101)</f>
        <v> </v>
      </c>
      <c r="Q118" s="436" t="str">
        <f aca="false">IF(A118="N/A"," ",VLOOKUP(A118,SatSunPeakPwr,(IF(BMO=2,3,IF(BMO=1,2,4))),FALSE())+Inputs!$N$23)</f>
        <v> </v>
      </c>
      <c r="R118" s="436" t="str">
        <f aca="false">IF(A118="N/A"," ",VLOOKUP(A118,SatSunPeakPwr,(IF(BMO=2,7,IF(BMO=1,6,8))),FALSE())+Inputs!$N$23)</f>
        <v> </v>
      </c>
      <c r="S118" s="443" t="str">
        <f aca="false">IF(A118="N/A"," ",(VLOOKUP(A118,OPPowerPrices,(IF(BMO=2,7,IF(BMO=1,6,8))),FALSE())+Inputs!$N$23))</f>
        <v> </v>
      </c>
      <c r="T118" s="444" t="str">
        <f aca="false">IF(A118="N/A"," ",(VLOOKUP(A118,GasCurves,9,FALSE()))+IF(BMO=1,Gasbmo,IF(BMO=3,-Gasbmo,0)))</f>
        <v> </v>
      </c>
      <c r="U118" s="444" t="str">
        <f aca="false">IF(A118="N/A"," ",IF(Basischeck=TRUE(),(VLOOKUP(A118,GasCurves,IF(MONTH(A118)&gt;=4,IF(MONTH(A118)&lt;=10,11,12),12),FALSE())),0))</f>
        <v> </v>
      </c>
      <c r="V118" s="444" t="str">
        <f aca="false">IF(A118="N/A"," ",IF(Indexcheck=TRUE(),(IF(MONTH(A118)&gt;=4,IF(MONTH(A118)&lt;=10,VLOOKUP(A118,'Gas Curves'!B96:O456,13),VLOOKUP(A118,'Gas Curves'!B96:O456,14)),VLOOKUP(A118,'Gas Curves'!B96:O456,14))),0))</f>
        <v> </v>
      </c>
      <c r="W118" s="444" t="str">
        <f aca="false">IF(A118="N/A"," ",((SUM(T118:V118))/(1-Inputs!$S$11)-(SUM(T118:V118))))</f>
        <v> </v>
      </c>
      <c r="X118" s="444" t="str">
        <f aca="false">IF(A118="N/A"," ",(IF(MONTH(A118)&gt;=4,IF(MONTH(A118)&lt;=10,Inputs!$S$9,Inputs!$S$10),Inputs!$S$10)))</f>
        <v> </v>
      </c>
      <c r="Y118" s="445" t="str">
        <f aca="false">IF(A118="N/A"," ",(VLOOKUP($A118,InterestRatesTable,2)))</f>
        <v> </v>
      </c>
      <c r="AF118" s="386" t="n">
        <v>40026</v>
      </c>
      <c r="AG118" s="376" t="n">
        <v>21</v>
      </c>
      <c r="AH118" s="376" t="n">
        <v>5</v>
      </c>
      <c r="AI118" s="376" t="n">
        <v>5</v>
      </c>
      <c r="AJ118" s="376" t="n">
        <v>0</v>
      </c>
      <c r="AK118" s="376" t="n">
        <v>31</v>
      </c>
    </row>
    <row r="119" customFormat="false" ht="12.75" hidden="false" customHeight="false" outlineLevel="0" collapsed="false">
      <c r="A119" s="434" t="str">
        <f aca="false">Calculations!A84</f>
        <v>N/A</v>
      </c>
      <c r="B119" s="435" t="str">
        <f aca="false">IF(A119="N/A"," ",IF(ISERROR(P119),B107*Pwresc,P119)*VLOOKUP(MONTH(A119),Curveadj,3))</f>
        <v> </v>
      </c>
      <c r="C119" s="436" t="str">
        <f aca="false">IF(A119="N/A"," ",IF(ISERROR(Q119),C107*Pwresc,Q119)*VLOOKUP(MONTH(A119),Curveadj,3))</f>
        <v> </v>
      </c>
      <c r="D119" s="437" t="str">
        <f aca="false">IF(A119="N/A"," ",IF(ISERROR(R119),D107*Pwresc,R119)*VLOOKUP(MONTH(A119),Curveadj,3))</f>
        <v> </v>
      </c>
      <c r="E119" s="438" t="str">
        <f aca="false">IF(A119="N/A"," ",IF(Scalers=1,(IF(AND(Dynamic=1,MONTH(A119)&gt;=6,MONTH(A119)&lt;=8,OR($O$37="REGION 2",$O$37="REGION 2A",$O$37="REGION 2B",$O$37="REGION 3",$O$37="REGION 3A",$O$37="REGION 3B",$O$37="REGION 3C",$O$37="REGION 4",$O$37="REGION 4B",$O$37="REGION 4C",$O$37="REGION 5",$O$37="REGION 5A")),((0.059228/(B119/100))-(0.4980013/(SQRT(B119/100)))+2.137988),HLOOKUP(MONTH(A119),ScalarTable,28))),1))</f>
        <v> </v>
      </c>
      <c r="F119" s="439" t="str">
        <f aca="false">IF(A119="N/A"," ",B119*E119)</f>
        <v> </v>
      </c>
      <c r="G119" s="439" t="str">
        <f aca="false">IF(A119="N/A"," ",C119*E119)</f>
        <v> </v>
      </c>
      <c r="H119" s="440" t="str">
        <f aca="false">IF(A119="N/A"," ",D119*E119)</f>
        <v> </v>
      </c>
      <c r="I119" s="402" t="str">
        <f aca="false">IF(A119="N/A"," ",2-E119)</f>
        <v> </v>
      </c>
      <c r="J119" s="439" t="str">
        <f aca="false">IF(A119="N/A"," ",B119*I119)</f>
        <v> </v>
      </c>
      <c r="K119" s="439" t="str">
        <f aca="false">IF(A119="N/A"," ",C119*I119)</f>
        <v> </v>
      </c>
      <c r="L119" s="440" t="str">
        <f aca="false">IF(A119="N/A"," ",D119*I119)</f>
        <v> </v>
      </c>
      <c r="M119" s="441" t="str">
        <f aca="false">IF(A119="N/A"," ",IF(ISERROR(S119),M107*Pwresc,S119))</f>
        <v> </v>
      </c>
      <c r="N119" s="442" t="str">
        <f aca="false">IF(A119="N/A"," ",SUM(T119:X119))</f>
        <v> </v>
      </c>
      <c r="O119" s="370"/>
      <c r="P119" s="436" t="str">
        <f aca="false">IF(A119="N/A"," ",VLOOKUP(A119,PeakPowerCurves,(IF(BMO=2,3,IF(BMO=1,2,4))),FALSE())+Inputs!N102)</f>
        <v> </v>
      </c>
      <c r="Q119" s="436" t="str">
        <f aca="false">IF(A119="N/A"," ",VLOOKUP(A119,SatSunPeakPwr,(IF(BMO=2,3,IF(BMO=1,2,4))),FALSE())+Inputs!$N$23)</f>
        <v> </v>
      </c>
      <c r="R119" s="436" t="str">
        <f aca="false">IF(A119="N/A"," ",VLOOKUP(A119,SatSunPeakPwr,(IF(BMO=2,7,IF(BMO=1,6,8))),FALSE())+Inputs!$N$23)</f>
        <v> </v>
      </c>
      <c r="S119" s="443" t="str">
        <f aca="false">IF(A119="N/A"," ",(VLOOKUP(A119,OPPowerPrices,(IF(BMO=2,7,IF(BMO=1,6,8))),FALSE())+Inputs!$N$23))</f>
        <v> </v>
      </c>
      <c r="T119" s="444" t="str">
        <f aca="false">IF(A119="N/A"," ",(VLOOKUP(A119,GasCurves,9,FALSE()))+IF(BMO=1,Gasbmo,IF(BMO=3,-Gasbmo,0)))</f>
        <v> </v>
      </c>
      <c r="U119" s="444" t="str">
        <f aca="false">IF(A119="N/A"," ",IF(Basischeck=TRUE(),(VLOOKUP(A119,GasCurves,IF(MONTH(A119)&gt;=4,IF(MONTH(A119)&lt;=10,11,12),12),FALSE())),0))</f>
        <v> </v>
      </c>
      <c r="V119" s="444" t="str">
        <f aca="false">IF(A119="N/A"," ",IF(Indexcheck=TRUE(),(IF(MONTH(A119)&gt;=4,IF(MONTH(A119)&lt;=10,VLOOKUP(A119,'Gas Curves'!B97:O457,13),VLOOKUP(A119,'Gas Curves'!B97:O457,14)),VLOOKUP(A119,'Gas Curves'!B97:O457,14))),0))</f>
        <v> </v>
      </c>
      <c r="W119" s="444" t="str">
        <f aca="false">IF(A119="N/A"," ",((SUM(T119:V119))/(1-Inputs!$S$11)-(SUM(T119:V119))))</f>
        <v> </v>
      </c>
      <c r="X119" s="444" t="str">
        <f aca="false">IF(A119="N/A"," ",(IF(MONTH(A119)&gt;=4,IF(MONTH(A119)&lt;=10,Inputs!$S$9,Inputs!$S$10),Inputs!$S$10)))</f>
        <v> </v>
      </c>
      <c r="Y119" s="445" t="str">
        <f aca="false">IF(A119="N/A"," ",(VLOOKUP($A119,InterestRatesTable,2)))</f>
        <v> </v>
      </c>
      <c r="AF119" s="386" t="n">
        <v>40057</v>
      </c>
      <c r="AG119" s="376" t="n">
        <v>21</v>
      </c>
      <c r="AH119" s="376" t="n">
        <v>4</v>
      </c>
      <c r="AI119" s="376" t="n">
        <v>5</v>
      </c>
      <c r="AJ119" s="376" t="n">
        <v>1</v>
      </c>
      <c r="AK119" s="376" t="n">
        <v>30</v>
      </c>
    </row>
    <row r="120" customFormat="false" ht="12.75" hidden="false" customHeight="false" outlineLevel="0" collapsed="false">
      <c r="A120" s="434" t="str">
        <f aca="false">Calculations!A85</f>
        <v>N/A</v>
      </c>
      <c r="B120" s="435" t="str">
        <f aca="false">IF(A120="N/A"," ",IF(ISERROR(P120),B108*Pwresc,P120)*VLOOKUP(MONTH(A120),Curveadj,3))</f>
        <v> </v>
      </c>
      <c r="C120" s="436" t="str">
        <f aca="false">IF(A120="N/A"," ",IF(ISERROR(Q120),C108*Pwresc,Q120)*VLOOKUP(MONTH(A120),Curveadj,3))</f>
        <v> </v>
      </c>
      <c r="D120" s="437" t="str">
        <f aca="false">IF(A120="N/A"," ",IF(ISERROR(R120),D108*Pwresc,R120)*VLOOKUP(MONTH(A120),Curveadj,3))</f>
        <v> </v>
      </c>
      <c r="E120" s="438" t="str">
        <f aca="false">IF(A120="N/A"," ",IF(Scalers=1,(IF(AND(Dynamic=1,MONTH(A120)&gt;=6,MONTH(A120)&lt;=8,OR($O$37="REGION 2",$O$37="REGION 2A",$O$37="REGION 2B",$O$37="REGION 3",$O$37="REGION 3A",$O$37="REGION 3B",$O$37="REGION 3C",$O$37="REGION 4",$O$37="REGION 4B",$O$37="REGION 4C",$O$37="REGION 5",$O$37="REGION 5A")),((0.059228/(B120/100))-(0.4980013/(SQRT(B120/100)))+2.137988),HLOOKUP(MONTH(A120),ScalarTable,28))),1))</f>
        <v> </v>
      </c>
      <c r="F120" s="439" t="str">
        <f aca="false">IF(A120="N/A"," ",B120*E120)</f>
        <v> </v>
      </c>
      <c r="G120" s="439" t="str">
        <f aca="false">IF(A120="N/A"," ",C120*E120)</f>
        <v> </v>
      </c>
      <c r="H120" s="440" t="str">
        <f aca="false">IF(A120="N/A"," ",D120*E120)</f>
        <v> </v>
      </c>
      <c r="I120" s="402" t="str">
        <f aca="false">IF(A120="N/A"," ",2-E120)</f>
        <v> </v>
      </c>
      <c r="J120" s="439" t="str">
        <f aca="false">IF(A120="N/A"," ",B120*I120)</f>
        <v> </v>
      </c>
      <c r="K120" s="439" t="str">
        <f aca="false">IF(A120="N/A"," ",C120*I120)</f>
        <v> </v>
      </c>
      <c r="L120" s="440" t="str">
        <f aca="false">IF(A120="N/A"," ",D120*I120)</f>
        <v> </v>
      </c>
      <c r="M120" s="441" t="str">
        <f aca="false">IF(A120="N/A"," ",IF(ISERROR(S120),M108*Pwresc,S120))</f>
        <v> </v>
      </c>
      <c r="N120" s="442" t="str">
        <f aca="false">IF(A120="N/A"," ",SUM(T120:X120))</f>
        <v> </v>
      </c>
      <c r="O120" s="370"/>
      <c r="P120" s="436" t="str">
        <f aca="false">IF(A120="N/A"," ",VLOOKUP(A120,PeakPowerCurves,(IF(BMO=2,3,IF(BMO=1,2,4))),FALSE())+Inputs!N103)</f>
        <v> </v>
      </c>
      <c r="Q120" s="436" t="str">
        <f aca="false">IF(A120="N/A"," ",VLOOKUP(A120,SatSunPeakPwr,(IF(BMO=2,3,IF(BMO=1,2,4))),FALSE())+Inputs!$N$23)</f>
        <v> </v>
      </c>
      <c r="R120" s="436" t="str">
        <f aca="false">IF(A120="N/A"," ",VLOOKUP(A120,SatSunPeakPwr,(IF(BMO=2,7,IF(BMO=1,6,8))),FALSE())+Inputs!$N$23)</f>
        <v> </v>
      </c>
      <c r="S120" s="443" t="str">
        <f aca="false">IF(A120="N/A"," ",(VLOOKUP(A120,OPPowerPrices,(IF(BMO=2,7,IF(BMO=1,6,8))),FALSE())+Inputs!$N$23))</f>
        <v> </v>
      </c>
      <c r="T120" s="444" t="str">
        <f aca="false">IF(A120="N/A"," ",(VLOOKUP(A120,GasCurves,9,FALSE()))+IF(BMO=1,Gasbmo,IF(BMO=3,-Gasbmo,0)))</f>
        <v> </v>
      </c>
      <c r="U120" s="444" t="str">
        <f aca="false">IF(A120="N/A"," ",IF(Basischeck=TRUE(),(VLOOKUP(A120,GasCurves,IF(MONTH(A120)&gt;=4,IF(MONTH(A120)&lt;=10,11,12),12),FALSE())),0))</f>
        <v> </v>
      </c>
      <c r="V120" s="444" t="str">
        <f aca="false">IF(A120="N/A"," ",IF(Indexcheck=TRUE(),(IF(MONTH(A120)&gt;=4,IF(MONTH(A120)&lt;=10,VLOOKUP(A120,'Gas Curves'!B98:O458,13),VLOOKUP(A120,'Gas Curves'!B98:O458,14)),VLOOKUP(A120,'Gas Curves'!B98:O458,14))),0))</f>
        <v> </v>
      </c>
      <c r="W120" s="444" t="str">
        <f aca="false">IF(A120="N/A"," ",((SUM(T120:V120))/(1-Inputs!$S$11)-(SUM(T120:V120))))</f>
        <v> </v>
      </c>
      <c r="X120" s="444" t="str">
        <f aca="false">IF(A120="N/A"," ",(IF(MONTH(A120)&gt;=4,IF(MONTH(A120)&lt;=10,Inputs!$S$9,Inputs!$S$10),Inputs!$S$10)))</f>
        <v> </v>
      </c>
      <c r="Y120" s="445" t="str">
        <f aca="false">IF(A120="N/A"," ",(VLOOKUP($A120,InterestRatesTable,2)))</f>
        <v> </v>
      </c>
      <c r="AF120" s="386" t="n">
        <v>40087</v>
      </c>
      <c r="AG120" s="376" t="n">
        <v>22</v>
      </c>
      <c r="AH120" s="376" t="n">
        <v>5</v>
      </c>
      <c r="AI120" s="376" t="n">
        <v>4</v>
      </c>
      <c r="AJ120" s="376" t="n">
        <v>0</v>
      </c>
      <c r="AK120" s="376" t="n">
        <v>31</v>
      </c>
    </row>
    <row r="121" customFormat="false" ht="12.75" hidden="false" customHeight="false" outlineLevel="0" collapsed="false">
      <c r="A121" s="434" t="str">
        <f aca="false">Calculations!A86</f>
        <v>N/A</v>
      </c>
      <c r="B121" s="435" t="str">
        <f aca="false">IF(A121="N/A"," ",IF(ISERROR(P121),B109*Pwresc,P121)*VLOOKUP(MONTH(A121),Curveadj,3))</f>
        <v> </v>
      </c>
      <c r="C121" s="436" t="str">
        <f aca="false">IF(A121="N/A"," ",IF(ISERROR(Q121),C109*Pwresc,Q121)*VLOOKUP(MONTH(A121),Curveadj,3))</f>
        <v> </v>
      </c>
      <c r="D121" s="437" t="str">
        <f aca="false">IF(A121="N/A"," ",IF(ISERROR(R121),D109*Pwresc,R121)*VLOOKUP(MONTH(A121),Curveadj,3))</f>
        <v> </v>
      </c>
      <c r="E121" s="438" t="str">
        <f aca="false">IF(A121="N/A"," ",IF(Scalers=1,(IF(AND(Dynamic=1,MONTH(A121)&gt;=6,MONTH(A121)&lt;=8,OR($O$37="REGION 2",$O$37="REGION 2A",$O$37="REGION 2B",$O$37="REGION 3",$O$37="REGION 3A",$O$37="REGION 3B",$O$37="REGION 3C",$O$37="REGION 4",$O$37="REGION 4B",$O$37="REGION 4C",$O$37="REGION 5",$O$37="REGION 5A")),((0.059228/(B121/100))-(0.4980013/(SQRT(B121/100)))+2.137988),HLOOKUP(MONTH(A121),ScalarTable,28))),1))</f>
        <v> </v>
      </c>
      <c r="F121" s="439" t="str">
        <f aca="false">IF(A121="N/A"," ",B121*E121)</f>
        <v> </v>
      </c>
      <c r="G121" s="439" t="str">
        <f aca="false">IF(A121="N/A"," ",C121*E121)</f>
        <v> </v>
      </c>
      <c r="H121" s="440" t="str">
        <f aca="false">IF(A121="N/A"," ",D121*E121)</f>
        <v> </v>
      </c>
      <c r="I121" s="402" t="str">
        <f aca="false">IF(A121="N/A"," ",2-E121)</f>
        <v> </v>
      </c>
      <c r="J121" s="439" t="str">
        <f aca="false">IF(A121="N/A"," ",B121*I121)</f>
        <v> </v>
      </c>
      <c r="K121" s="439" t="str">
        <f aca="false">IF(A121="N/A"," ",C121*I121)</f>
        <v> </v>
      </c>
      <c r="L121" s="440" t="str">
        <f aca="false">IF(A121="N/A"," ",D121*I121)</f>
        <v> </v>
      </c>
      <c r="M121" s="441" t="str">
        <f aca="false">IF(A121="N/A"," ",IF(ISERROR(S121),M109*Pwresc,S121))</f>
        <v> </v>
      </c>
      <c r="N121" s="442" t="str">
        <f aca="false">IF(A121="N/A"," ",SUM(T121:X121))</f>
        <v> </v>
      </c>
      <c r="O121" s="370"/>
      <c r="P121" s="436" t="str">
        <f aca="false">IF(A121="N/A"," ",VLOOKUP(A121,PeakPowerCurves,(IF(BMO=2,3,IF(BMO=1,2,4))),FALSE())+Inputs!N104)</f>
        <v> </v>
      </c>
      <c r="Q121" s="436" t="str">
        <f aca="false">IF(A121="N/A"," ",VLOOKUP(A121,SatSunPeakPwr,(IF(BMO=2,3,IF(BMO=1,2,4))),FALSE())+Inputs!$N$23)</f>
        <v> </v>
      </c>
      <c r="R121" s="436" t="str">
        <f aca="false">IF(A121="N/A"," ",VLOOKUP(A121,SatSunPeakPwr,(IF(BMO=2,7,IF(BMO=1,6,8))),FALSE())+Inputs!$N$23)</f>
        <v> </v>
      </c>
      <c r="S121" s="443" t="str">
        <f aca="false">IF(A121="N/A"," ",(VLOOKUP(A121,OPPowerPrices,(IF(BMO=2,7,IF(BMO=1,6,8))),FALSE())+Inputs!$N$23))</f>
        <v> </v>
      </c>
      <c r="T121" s="444" t="str">
        <f aca="false">IF(A121="N/A"," ",(VLOOKUP(A121,GasCurves,9,FALSE()))+IF(BMO=1,Gasbmo,IF(BMO=3,-Gasbmo,0)))</f>
        <v> </v>
      </c>
      <c r="U121" s="444" t="str">
        <f aca="false">IF(A121="N/A"," ",IF(Basischeck=TRUE(),(VLOOKUP(A121,GasCurves,IF(MONTH(A121)&gt;=4,IF(MONTH(A121)&lt;=10,11,12),12),FALSE())),0))</f>
        <v> </v>
      </c>
      <c r="V121" s="444" t="str">
        <f aca="false">IF(A121="N/A"," ",IF(Indexcheck=TRUE(),(IF(MONTH(A121)&gt;=4,IF(MONTH(A121)&lt;=10,VLOOKUP(A121,'Gas Curves'!B99:O459,13),VLOOKUP(A121,'Gas Curves'!B99:O459,14)),VLOOKUP(A121,'Gas Curves'!B99:O459,14))),0))</f>
        <v> </v>
      </c>
      <c r="W121" s="444" t="str">
        <f aca="false">IF(A121="N/A"," ",((SUM(T121:V121))/(1-Inputs!$S$11)-(SUM(T121:V121))))</f>
        <v> </v>
      </c>
      <c r="X121" s="444" t="str">
        <f aca="false">IF(A121="N/A"," ",(IF(MONTH(A121)&gt;=4,IF(MONTH(A121)&lt;=10,Inputs!$S$9,Inputs!$S$10),Inputs!$S$10)))</f>
        <v> </v>
      </c>
      <c r="Y121" s="445" t="str">
        <f aca="false">IF(A121="N/A"," ",(VLOOKUP($A121,InterestRatesTable,2)))</f>
        <v> </v>
      </c>
      <c r="AF121" s="386" t="n">
        <v>40118</v>
      </c>
      <c r="AG121" s="376" t="n">
        <v>20</v>
      </c>
      <c r="AH121" s="376" t="n">
        <v>4</v>
      </c>
      <c r="AI121" s="376" t="n">
        <v>6</v>
      </c>
      <c r="AJ121" s="376" t="n">
        <v>1</v>
      </c>
      <c r="AK121" s="376" t="n">
        <v>30</v>
      </c>
    </row>
    <row r="122" customFormat="false" ht="12.75" hidden="false" customHeight="false" outlineLevel="0" collapsed="false">
      <c r="A122" s="434" t="str">
        <f aca="false">Calculations!A87</f>
        <v>N/A</v>
      </c>
      <c r="B122" s="435" t="str">
        <f aca="false">IF(A122="N/A"," ",IF(ISERROR(P122),B110*Pwresc,P122)*VLOOKUP(MONTH(A122),Curveadj,3))</f>
        <v> </v>
      </c>
      <c r="C122" s="436" t="str">
        <f aca="false">IF(A122="N/A"," ",IF(ISERROR(Q122),C110*Pwresc,Q122)*VLOOKUP(MONTH(A122),Curveadj,3))</f>
        <v> </v>
      </c>
      <c r="D122" s="437" t="str">
        <f aca="false">IF(A122="N/A"," ",IF(ISERROR(R122),D110*Pwresc,R122)*VLOOKUP(MONTH(A122),Curveadj,3))</f>
        <v> </v>
      </c>
      <c r="E122" s="438" t="str">
        <f aca="false">IF(A122="N/A"," ",IF(Scalers=1,(IF(AND(Dynamic=1,MONTH(A122)&gt;=6,MONTH(A122)&lt;=8,OR($O$37="REGION 2",$O$37="REGION 2A",$O$37="REGION 2B",$O$37="REGION 3",$O$37="REGION 3A",$O$37="REGION 3B",$O$37="REGION 3C",$O$37="REGION 4",$O$37="REGION 4B",$O$37="REGION 4C",$O$37="REGION 5",$O$37="REGION 5A")),((0.059228/(B122/100))-(0.4980013/(SQRT(B122/100)))+2.137988),HLOOKUP(MONTH(A122),ScalarTable,28))),1))</f>
        <v> </v>
      </c>
      <c r="F122" s="439" t="str">
        <f aca="false">IF(A122="N/A"," ",B122*E122)</f>
        <v> </v>
      </c>
      <c r="G122" s="439" t="str">
        <f aca="false">IF(A122="N/A"," ",C122*E122)</f>
        <v> </v>
      </c>
      <c r="H122" s="440" t="str">
        <f aca="false">IF(A122="N/A"," ",D122*E122)</f>
        <v> </v>
      </c>
      <c r="I122" s="402" t="str">
        <f aca="false">IF(A122="N/A"," ",2-E122)</f>
        <v> </v>
      </c>
      <c r="J122" s="439" t="str">
        <f aca="false">IF(A122="N/A"," ",B122*I122)</f>
        <v> </v>
      </c>
      <c r="K122" s="439" t="str">
        <f aca="false">IF(A122="N/A"," ",C122*I122)</f>
        <v> </v>
      </c>
      <c r="L122" s="440" t="str">
        <f aca="false">IF(A122="N/A"," ",D122*I122)</f>
        <v> </v>
      </c>
      <c r="M122" s="441" t="str">
        <f aca="false">IF(A122="N/A"," ",IF(ISERROR(S122),M110*Pwresc,S122))</f>
        <v> </v>
      </c>
      <c r="N122" s="442" t="str">
        <f aca="false">IF(A122="N/A"," ",SUM(T122:X122))</f>
        <v> </v>
      </c>
      <c r="O122" s="370"/>
      <c r="P122" s="436" t="str">
        <f aca="false">IF(A122="N/A"," ",VLOOKUP(A122,PeakPowerCurves,(IF(BMO=2,3,IF(BMO=1,2,4))),FALSE())+Inputs!N105)</f>
        <v> </v>
      </c>
      <c r="Q122" s="436" t="str">
        <f aca="false">IF(A122="N/A"," ",VLOOKUP(A122,SatSunPeakPwr,(IF(BMO=2,3,IF(BMO=1,2,4))),FALSE())+Inputs!$N$23)</f>
        <v> </v>
      </c>
      <c r="R122" s="436" t="str">
        <f aca="false">IF(A122="N/A"," ",VLOOKUP(A122,SatSunPeakPwr,(IF(BMO=2,7,IF(BMO=1,6,8))),FALSE())+Inputs!$N$23)</f>
        <v> </v>
      </c>
      <c r="S122" s="443" t="str">
        <f aca="false">IF(A122="N/A"," ",(VLOOKUP(A122,OPPowerPrices,(IF(BMO=2,7,IF(BMO=1,6,8))),FALSE())+Inputs!$N$23))</f>
        <v> </v>
      </c>
      <c r="T122" s="444" t="str">
        <f aca="false">IF(A122="N/A"," ",(VLOOKUP(A122,GasCurves,9,FALSE()))+IF(BMO=1,Gasbmo,IF(BMO=3,-Gasbmo,0)))</f>
        <v> </v>
      </c>
      <c r="U122" s="444" t="str">
        <f aca="false">IF(A122="N/A"," ",IF(Basischeck=TRUE(),(VLOOKUP(A122,GasCurves,IF(MONTH(A122)&gt;=4,IF(MONTH(A122)&lt;=10,11,12),12),FALSE())),0))</f>
        <v> </v>
      </c>
      <c r="V122" s="444" t="str">
        <f aca="false">IF(A122="N/A"," ",IF(Indexcheck=TRUE(),(IF(MONTH(A122)&gt;=4,IF(MONTH(A122)&lt;=10,VLOOKUP(A122,'Gas Curves'!B100:O460,13),VLOOKUP(A122,'Gas Curves'!B100:O460,14)),VLOOKUP(A122,'Gas Curves'!B100:O460,14))),0))</f>
        <v> </v>
      </c>
      <c r="W122" s="444" t="str">
        <f aca="false">IF(A122="N/A"," ",((SUM(T122:V122))/(1-Inputs!$S$11)-(SUM(T122:V122))))</f>
        <v> </v>
      </c>
      <c r="X122" s="444" t="str">
        <f aca="false">IF(A122="N/A"," ",(IF(MONTH(A122)&gt;=4,IF(MONTH(A122)&lt;=10,Inputs!$S$9,Inputs!$S$10),Inputs!$S$10)))</f>
        <v> </v>
      </c>
      <c r="Y122" s="445" t="str">
        <f aca="false">IF(A122="N/A"," ",(VLOOKUP($A122,InterestRatesTable,2)))</f>
        <v> </v>
      </c>
      <c r="AF122" s="386" t="n">
        <v>40148</v>
      </c>
      <c r="AG122" s="376" t="n">
        <v>22</v>
      </c>
      <c r="AH122" s="376" t="n">
        <v>4</v>
      </c>
      <c r="AI122" s="376" t="n">
        <v>5</v>
      </c>
      <c r="AJ122" s="376" t="n">
        <v>1</v>
      </c>
      <c r="AK122" s="376" t="n">
        <v>31</v>
      </c>
    </row>
    <row r="123" customFormat="false" ht="12.75" hidden="false" customHeight="false" outlineLevel="0" collapsed="false">
      <c r="A123" s="434" t="str">
        <f aca="false">Calculations!A88</f>
        <v>N/A</v>
      </c>
      <c r="B123" s="435" t="str">
        <f aca="false">IF(A123="N/A"," ",IF(ISERROR(P123),B111*Pwresc,P123)*VLOOKUP(MONTH(A123),Curveadj,3))</f>
        <v> </v>
      </c>
      <c r="C123" s="436" t="str">
        <f aca="false">IF(A123="N/A"," ",IF(ISERROR(Q123),C111*Pwresc,Q123)*VLOOKUP(MONTH(A123),Curveadj,3))</f>
        <v> </v>
      </c>
      <c r="D123" s="437" t="str">
        <f aca="false">IF(A123="N/A"," ",IF(ISERROR(R123),D111*Pwresc,R123)*VLOOKUP(MONTH(A123),Curveadj,3))</f>
        <v> </v>
      </c>
      <c r="E123" s="438" t="str">
        <f aca="false">IF(A123="N/A"," ",IF(Scalers=1,(IF(AND(Dynamic=1,MONTH(A123)&gt;=6,MONTH(A123)&lt;=8,OR($O$37="REGION 2",$O$37="REGION 2A",$O$37="REGION 2B",$O$37="REGION 3",$O$37="REGION 3A",$O$37="REGION 3B",$O$37="REGION 3C",$O$37="REGION 4",$O$37="REGION 4B",$O$37="REGION 4C",$O$37="REGION 5",$O$37="REGION 5A")),((0.059228/(B123/100))-(0.4980013/(SQRT(B123/100)))+2.137988),HLOOKUP(MONTH(A123),ScalarTable,28))),1))</f>
        <v> </v>
      </c>
      <c r="F123" s="439" t="str">
        <f aca="false">IF(A123="N/A"," ",B123*E123)</f>
        <v> </v>
      </c>
      <c r="G123" s="439" t="str">
        <f aca="false">IF(A123="N/A"," ",C123*E123)</f>
        <v> </v>
      </c>
      <c r="H123" s="440" t="str">
        <f aca="false">IF(A123="N/A"," ",D123*E123)</f>
        <v> </v>
      </c>
      <c r="I123" s="402" t="str">
        <f aca="false">IF(A123="N/A"," ",2-E123)</f>
        <v> </v>
      </c>
      <c r="J123" s="439" t="str">
        <f aca="false">IF(A123="N/A"," ",B123*I123)</f>
        <v> </v>
      </c>
      <c r="K123" s="439" t="str">
        <f aca="false">IF(A123="N/A"," ",C123*I123)</f>
        <v> </v>
      </c>
      <c r="L123" s="440" t="str">
        <f aca="false">IF(A123="N/A"," ",D123*I123)</f>
        <v> </v>
      </c>
      <c r="M123" s="441" t="str">
        <f aca="false">IF(A123="N/A"," ",IF(ISERROR(S123),M111*Pwresc,S123))</f>
        <v> </v>
      </c>
      <c r="N123" s="442" t="str">
        <f aca="false">IF(A123="N/A"," ",SUM(T123:X123))</f>
        <v> </v>
      </c>
      <c r="O123" s="370"/>
      <c r="P123" s="436" t="str">
        <f aca="false">IF(A123="N/A"," ",VLOOKUP(A123,PeakPowerCurves,(IF(BMO=2,3,IF(BMO=1,2,4))),FALSE())+Inputs!N106)</f>
        <v> </v>
      </c>
      <c r="Q123" s="436" t="str">
        <f aca="false">IF(A123="N/A"," ",VLOOKUP(A123,SatSunPeakPwr,(IF(BMO=2,3,IF(BMO=1,2,4))),FALSE())+Inputs!$N$23)</f>
        <v> </v>
      </c>
      <c r="R123" s="436" t="str">
        <f aca="false">IF(A123="N/A"," ",VLOOKUP(A123,SatSunPeakPwr,(IF(BMO=2,7,IF(BMO=1,6,8))),FALSE())+Inputs!$N$23)</f>
        <v> </v>
      </c>
      <c r="S123" s="443" t="str">
        <f aca="false">IF(A123="N/A"," ",(VLOOKUP(A123,OPPowerPrices,(IF(BMO=2,7,IF(BMO=1,6,8))),FALSE())+Inputs!$N$23))</f>
        <v> </v>
      </c>
      <c r="T123" s="444" t="str">
        <f aca="false">IF(A123="N/A"," ",(VLOOKUP(A123,GasCurves,9,FALSE()))+IF(BMO=1,Gasbmo,IF(BMO=3,-Gasbmo,0)))</f>
        <v> </v>
      </c>
      <c r="U123" s="444" t="str">
        <f aca="false">IF(A123="N/A"," ",IF(Basischeck=TRUE(),(VLOOKUP(A123,GasCurves,IF(MONTH(A123)&gt;=4,IF(MONTH(A123)&lt;=10,11,12),12),FALSE())),0))</f>
        <v> </v>
      </c>
      <c r="V123" s="444" t="str">
        <f aca="false">IF(A123="N/A"," ",IF(Indexcheck=TRUE(),(IF(MONTH(A123)&gt;=4,IF(MONTH(A123)&lt;=10,VLOOKUP(A123,'Gas Curves'!B101:O461,13),VLOOKUP(A123,'Gas Curves'!B101:O461,14)),VLOOKUP(A123,'Gas Curves'!B101:O461,14))),0))</f>
        <v> </v>
      </c>
      <c r="W123" s="444" t="str">
        <f aca="false">IF(A123="N/A"," ",((SUM(T123:V123))/(1-Inputs!$S$11)-(SUM(T123:V123))))</f>
        <v> </v>
      </c>
      <c r="X123" s="444" t="str">
        <f aca="false">IF(A123="N/A"," ",(IF(MONTH(A123)&gt;=4,IF(MONTH(A123)&lt;=10,Inputs!$S$9,Inputs!$S$10),Inputs!$S$10)))</f>
        <v> </v>
      </c>
      <c r="Y123" s="445" t="str">
        <f aca="false">IF(A123="N/A"," ",(VLOOKUP($A123,InterestRatesTable,2)))</f>
        <v> </v>
      </c>
      <c r="AF123" s="386" t="n">
        <v>40179</v>
      </c>
      <c r="AG123" s="376" t="n">
        <v>20</v>
      </c>
      <c r="AH123" s="376" t="n">
        <v>5</v>
      </c>
      <c r="AI123" s="376" t="n">
        <v>6</v>
      </c>
      <c r="AJ123" s="376" t="n">
        <v>1</v>
      </c>
      <c r="AK123" s="376" t="n">
        <v>31</v>
      </c>
    </row>
    <row r="124" customFormat="false" ht="12.75" hidden="false" customHeight="false" outlineLevel="0" collapsed="false">
      <c r="A124" s="434" t="str">
        <f aca="false">Calculations!A89</f>
        <v>N/A</v>
      </c>
      <c r="B124" s="435" t="str">
        <f aca="false">IF(A124="N/A"," ",IF(ISERROR(P124),B112*Pwresc,P124)*VLOOKUP(MONTH(A124),Curveadj,3))</f>
        <v> </v>
      </c>
      <c r="C124" s="436" t="str">
        <f aca="false">IF(A124="N/A"," ",IF(ISERROR(Q124),C112*Pwresc,Q124)*VLOOKUP(MONTH(A124),Curveadj,3))</f>
        <v> </v>
      </c>
      <c r="D124" s="437" t="str">
        <f aca="false">IF(A124="N/A"," ",IF(ISERROR(R124),D112*Pwresc,R124)*VLOOKUP(MONTH(A124),Curveadj,3))</f>
        <v> </v>
      </c>
      <c r="E124" s="438" t="str">
        <f aca="false">IF(A124="N/A"," ",IF(Scalers=1,(IF(AND(Dynamic=1,MONTH(A124)&gt;=6,MONTH(A124)&lt;=8,OR($O$37="REGION 2",$O$37="REGION 2A",$O$37="REGION 2B",$O$37="REGION 3",$O$37="REGION 3A",$O$37="REGION 3B",$O$37="REGION 3C",$O$37="REGION 4",$O$37="REGION 4B",$O$37="REGION 4C",$O$37="REGION 5",$O$37="REGION 5A")),((0.059228/(B124/100))-(0.4980013/(SQRT(B124/100)))+2.137988),HLOOKUP(MONTH(A124),ScalarTable,28))),1))</f>
        <v> </v>
      </c>
      <c r="F124" s="439" t="str">
        <f aca="false">IF(A124="N/A"," ",B124*E124)</f>
        <v> </v>
      </c>
      <c r="G124" s="439" t="str">
        <f aca="false">IF(A124="N/A"," ",C124*E124)</f>
        <v> </v>
      </c>
      <c r="H124" s="440" t="str">
        <f aca="false">IF(A124="N/A"," ",D124*E124)</f>
        <v> </v>
      </c>
      <c r="I124" s="402" t="str">
        <f aca="false">IF(A124="N/A"," ",2-E124)</f>
        <v> </v>
      </c>
      <c r="J124" s="439" t="str">
        <f aca="false">IF(A124="N/A"," ",B124*I124)</f>
        <v> </v>
      </c>
      <c r="K124" s="439" t="str">
        <f aca="false">IF(A124="N/A"," ",C124*I124)</f>
        <v> </v>
      </c>
      <c r="L124" s="440" t="str">
        <f aca="false">IF(A124="N/A"," ",D124*I124)</f>
        <v> </v>
      </c>
      <c r="M124" s="441" t="str">
        <f aca="false">IF(A124="N/A"," ",IF(ISERROR(S124),M112*Pwresc,S124))</f>
        <v> </v>
      </c>
      <c r="N124" s="442" t="str">
        <f aca="false">IF(A124="N/A"," ",SUM(T124:X124))</f>
        <v> </v>
      </c>
      <c r="O124" s="370"/>
      <c r="P124" s="436" t="str">
        <f aca="false">IF(A124="N/A"," ",VLOOKUP(A124,PeakPowerCurves,(IF(BMO=2,3,IF(BMO=1,2,4))),FALSE())+Inputs!N107)</f>
        <v> </v>
      </c>
      <c r="Q124" s="436" t="str">
        <f aca="false">IF(A124="N/A"," ",VLOOKUP(A124,SatSunPeakPwr,(IF(BMO=2,3,IF(BMO=1,2,4))),FALSE())+Inputs!$N$23)</f>
        <v> </v>
      </c>
      <c r="R124" s="436" t="str">
        <f aca="false">IF(A124="N/A"," ",VLOOKUP(A124,SatSunPeakPwr,(IF(BMO=2,7,IF(BMO=1,6,8))),FALSE())+Inputs!$N$23)</f>
        <v> </v>
      </c>
      <c r="S124" s="443" t="str">
        <f aca="false">IF(A124="N/A"," ",(VLOOKUP(A124,OPPowerPrices,(IF(BMO=2,7,IF(BMO=1,6,8))),FALSE())+Inputs!$N$23))</f>
        <v> </v>
      </c>
      <c r="T124" s="444" t="str">
        <f aca="false">IF(A124="N/A"," ",(VLOOKUP(A124,GasCurves,9,FALSE()))+IF(BMO=1,Gasbmo,IF(BMO=3,-Gasbmo,0)))</f>
        <v> </v>
      </c>
      <c r="U124" s="444" t="str">
        <f aca="false">IF(A124="N/A"," ",IF(Basischeck=TRUE(),(VLOOKUP(A124,GasCurves,IF(MONTH(A124)&gt;=4,IF(MONTH(A124)&lt;=10,11,12),12),FALSE())),0))</f>
        <v> </v>
      </c>
      <c r="V124" s="444" t="str">
        <f aca="false">IF(A124="N/A"," ",IF(Indexcheck=TRUE(),(IF(MONTH(A124)&gt;=4,IF(MONTH(A124)&lt;=10,VLOOKUP(A124,'Gas Curves'!B102:O462,13),VLOOKUP(A124,'Gas Curves'!B102:O462,14)),VLOOKUP(A124,'Gas Curves'!B102:O462,14))),0))</f>
        <v> </v>
      </c>
      <c r="W124" s="444" t="str">
        <f aca="false">IF(A124="N/A"," ",((SUM(T124:V124))/(1-Inputs!$S$11)-(SUM(T124:V124))))</f>
        <v> </v>
      </c>
      <c r="X124" s="444" t="str">
        <f aca="false">IF(A124="N/A"," ",(IF(MONTH(A124)&gt;=4,IF(MONTH(A124)&lt;=10,Inputs!$S$9,Inputs!$S$10),Inputs!$S$10)))</f>
        <v> </v>
      </c>
      <c r="Y124" s="445" t="str">
        <f aca="false">IF(A124="N/A"," ",(VLOOKUP($A124,InterestRatesTable,2)))</f>
        <v> </v>
      </c>
      <c r="AF124" s="386" t="n">
        <v>40210</v>
      </c>
      <c r="AG124" s="376" t="n">
        <v>20</v>
      </c>
      <c r="AH124" s="376" t="n">
        <v>4</v>
      </c>
      <c r="AI124" s="376" t="n">
        <v>4</v>
      </c>
      <c r="AJ124" s="376" t="n">
        <v>0</v>
      </c>
      <c r="AK124" s="376" t="n">
        <v>28</v>
      </c>
    </row>
    <row r="125" customFormat="false" ht="12.75" hidden="false" customHeight="false" outlineLevel="0" collapsed="false">
      <c r="A125" s="434" t="str">
        <f aca="false">Calculations!A90</f>
        <v>N/A</v>
      </c>
      <c r="B125" s="435" t="str">
        <f aca="false">IF(A125="N/A"," ",IF(ISERROR(P125),B113*Pwresc,P125)*VLOOKUP(MONTH(A125),Curveadj,3))</f>
        <v> </v>
      </c>
      <c r="C125" s="436" t="str">
        <f aca="false">IF(A125="N/A"," ",IF(ISERROR(Q125),C113*Pwresc,Q125)*VLOOKUP(MONTH(A125),Curveadj,3))</f>
        <v> </v>
      </c>
      <c r="D125" s="437" t="str">
        <f aca="false">IF(A125="N/A"," ",IF(ISERROR(R125),D113*Pwresc,R125)*VLOOKUP(MONTH(A125),Curveadj,3))</f>
        <v> </v>
      </c>
      <c r="E125" s="438" t="str">
        <f aca="false">IF(A125="N/A"," ",IF(Scalers=1,(IF(AND(Dynamic=1,MONTH(A125)&gt;=6,MONTH(A125)&lt;=8,OR($O$37="REGION 2",$O$37="REGION 2A",$O$37="REGION 2B",$O$37="REGION 3",$O$37="REGION 3A",$O$37="REGION 3B",$O$37="REGION 3C",$O$37="REGION 4",$O$37="REGION 4B",$O$37="REGION 4C",$O$37="REGION 5",$O$37="REGION 5A")),((0.059228/(B125/100))-(0.4980013/(SQRT(B125/100)))+2.137988),HLOOKUP(MONTH(A125),ScalarTable,28))),1))</f>
        <v> </v>
      </c>
      <c r="F125" s="439" t="str">
        <f aca="false">IF(A125="N/A"," ",B125*E125)</f>
        <v> </v>
      </c>
      <c r="G125" s="439" t="str">
        <f aca="false">IF(A125="N/A"," ",C125*E125)</f>
        <v> </v>
      </c>
      <c r="H125" s="440" t="str">
        <f aca="false">IF(A125="N/A"," ",D125*E125)</f>
        <v> </v>
      </c>
      <c r="I125" s="402" t="str">
        <f aca="false">IF(A125="N/A"," ",2-E125)</f>
        <v> </v>
      </c>
      <c r="J125" s="439" t="str">
        <f aca="false">IF(A125="N/A"," ",B125*I125)</f>
        <v> </v>
      </c>
      <c r="K125" s="439" t="str">
        <f aca="false">IF(A125="N/A"," ",C125*I125)</f>
        <v> </v>
      </c>
      <c r="L125" s="440" t="str">
        <f aca="false">IF(A125="N/A"," ",D125*I125)</f>
        <v> </v>
      </c>
      <c r="M125" s="441" t="str">
        <f aca="false">IF(A125="N/A"," ",IF(ISERROR(S125),M113*Pwresc,S125))</f>
        <v> </v>
      </c>
      <c r="N125" s="442" t="str">
        <f aca="false">IF(A125="N/A"," ",SUM(T125:X125))</f>
        <v> </v>
      </c>
      <c r="O125" s="370"/>
      <c r="P125" s="436" t="str">
        <f aca="false">IF(A125="N/A"," ",VLOOKUP(A125,PeakPowerCurves,(IF(BMO=2,3,IF(BMO=1,2,4))),FALSE())+Inputs!N108)</f>
        <v> </v>
      </c>
      <c r="Q125" s="436" t="str">
        <f aca="false">IF(A125="N/A"," ",VLOOKUP(A125,SatSunPeakPwr,(IF(BMO=2,3,IF(BMO=1,2,4))),FALSE())+Inputs!$N$23)</f>
        <v> </v>
      </c>
      <c r="R125" s="436" t="str">
        <f aca="false">IF(A125="N/A"," ",VLOOKUP(A125,SatSunPeakPwr,(IF(BMO=2,7,IF(BMO=1,6,8))),FALSE())+Inputs!$N$23)</f>
        <v> </v>
      </c>
      <c r="S125" s="443" t="str">
        <f aca="false">IF(A125="N/A"," ",(VLOOKUP(A125,OPPowerPrices,(IF(BMO=2,7,IF(BMO=1,6,8))),FALSE())+Inputs!$N$23))</f>
        <v> </v>
      </c>
      <c r="T125" s="444" t="str">
        <f aca="false">IF(A125="N/A"," ",(VLOOKUP(A125,GasCurves,9,FALSE()))+IF(BMO=1,Gasbmo,IF(BMO=3,-Gasbmo,0)))</f>
        <v> </v>
      </c>
      <c r="U125" s="444" t="str">
        <f aca="false">IF(A125="N/A"," ",IF(Basischeck=TRUE(),(VLOOKUP(A125,GasCurves,IF(MONTH(A125)&gt;=4,IF(MONTH(A125)&lt;=10,11,12),12),FALSE())),0))</f>
        <v> </v>
      </c>
      <c r="V125" s="444" t="str">
        <f aca="false">IF(A125="N/A"," ",IF(Indexcheck=TRUE(),(IF(MONTH(A125)&gt;=4,IF(MONTH(A125)&lt;=10,VLOOKUP(A125,'Gas Curves'!B103:O463,13),VLOOKUP(A125,'Gas Curves'!B103:O463,14)),VLOOKUP(A125,'Gas Curves'!B103:O463,14))),0))</f>
        <v> </v>
      </c>
      <c r="W125" s="444" t="str">
        <f aca="false">IF(A125="N/A"," ",((SUM(T125:V125))/(1-Inputs!$S$11)-(SUM(T125:V125))))</f>
        <v> </v>
      </c>
      <c r="X125" s="444" t="str">
        <f aca="false">IF(A125="N/A"," ",(IF(MONTH(A125)&gt;=4,IF(MONTH(A125)&lt;=10,Inputs!$S$9,Inputs!$S$10),Inputs!$S$10)))</f>
        <v> </v>
      </c>
      <c r="Y125" s="445" t="str">
        <f aca="false">IF(A125="N/A"," ",(VLOOKUP($A125,InterestRatesTable,2)))</f>
        <v> </v>
      </c>
      <c r="AF125" s="386" t="n">
        <v>40238</v>
      </c>
      <c r="AG125" s="376" t="n">
        <v>23</v>
      </c>
      <c r="AH125" s="376" t="n">
        <v>4</v>
      </c>
      <c r="AI125" s="376" t="n">
        <v>4</v>
      </c>
      <c r="AJ125" s="376" t="n">
        <v>0</v>
      </c>
      <c r="AK125" s="376" t="n">
        <v>31</v>
      </c>
    </row>
    <row r="126" customFormat="false" ht="12.75" hidden="false" customHeight="false" outlineLevel="0" collapsed="false">
      <c r="A126" s="434" t="str">
        <f aca="false">Calculations!A91</f>
        <v>N/A</v>
      </c>
      <c r="B126" s="435" t="str">
        <f aca="false">IF(A126="N/A"," ",IF(ISERROR(P126),B114*Pwresc,P126)*VLOOKUP(MONTH(A126),Curveadj,3))</f>
        <v> </v>
      </c>
      <c r="C126" s="436" t="str">
        <f aca="false">IF(A126="N/A"," ",IF(ISERROR(Q126),C114*Pwresc,Q126)*VLOOKUP(MONTH(A126),Curveadj,3))</f>
        <v> </v>
      </c>
      <c r="D126" s="437" t="str">
        <f aca="false">IF(A126="N/A"," ",IF(ISERROR(R126),D114*Pwresc,R126)*VLOOKUP(MONTH(A126),Curveadj,3))</f>
        <v> </v>
      </c>
      <c r="E126" s="438" t="str">
        <f aca="false">IF(A126="N/A"," ",IF(Scalers=1,(IF(AND(Dynamic=1,MONTH(A126)&gt;=6,MONTH(A126)&lt;=8,OR($O$37="REGION 2",$O$37="REGION 2A",$O$37="REGION 2B",$O$37="REGION 3",$O$37="REGION 3A",$O$37="REGION 3B",$O$37="REGION 3C",$O$37="REGION 4",$O$37="REGION 4B",$O$37="REGION 4C",$O$37="REGION 5",$O$37="REGION 5A")),((0.059228/(B126/100))-(0.4980013/(SQRT(B126/100)))+2.137988),HLOOKUP(MONTH(A126),ScalarTable,28))),1))</f>
        <v> </v>
      </c>
      <c r="F126" s="439" t="str">
        <f aca="false">IF(A126="N/A"," ",B126*E126)</f>
        <v> </v>
      </c>
      <c r="G126" s="439" t="str">
        <f aca="false">IF(A126="N/A"," ",C126*E126)</f>
        <v> </v>
      </c>
      <c r="H126" s="440" t="str">
        <f aca="false">IF(A126="N/A"," ",D126*E126)</f>
        <v> </v>
      </c>
      <c r="I126" s="402" t="str">
        <f aca="false">IF(A126="N/A"," ",2-E126)</f>
        <v> </v>
      </c>
      <c r="J126" s="439" t="str">
        <f aca="false">IF(A126="N/A"," ",B126*I126)</f>
        <v> </v>
      </c>
      <c r="K126" s="439" t="str">
        <f aca="false">IF(A126="N/A"," ",C126*I126)</f>
        <v> </v>
      </c>
      <c r="L126" s="440" t="str">
        <f aca="false">IF(A126="N/A"," ",D126*I126)</f>
        <v> </v>
      </c>
      <c r="M126" s="441" t="str">
        <f aca="false">IF(A126="N/A"," ",IF(ISERROR(S126),M114*Pwresc,S126))</f>
        <v> </v>
      </c>
      <c r="N126" s="442" t="str">
        <f aca="false">IF(A126="N/A"," ",SUM(T126:X126))</f>
        <v> </v>
      </c>
      <c r="O126" s="370"/>
      <c r="P126" s="436" t="str">
        <f aca="false">IF(A126="N/A"," ",VLOOKUP(A126,PeakPowerCurves,(IF(BMO=2,3,IF(BMO=1,2,4))),FALSE())+Inputs!N109)</f>
        <v> </v>
      </c>
      <c r="Q126" s="436" t="str">
        <f aca="false">IF(A126="N/A"," ",VLOOKUP(A126,SatSunPeakPwr,(IF(BMO=2,3,IF(BMO=1,2,4))),FALSE())+Inputs!$N$23)</f>
        <v> </v>
      </c>
      <c r="R126" s="436" t="str">
        <f aca="false">IF(A126="N/A"," ",VLOOKUP(A126,SatSunPeakPwr,(IF(BMO=2,7,IF(BMO=1,6,8))),FALSE())+Inputs!$N$23)</f>
        <v> </v>
      </c>
      <c r="S126" s="443" t="str">
        <f aca="false">IF(A126="N/A"," ",(VLOOKUP(A126,OPPowerPrices,(IF(BMO=2,7,IF(BMO=1,6,8))),FALSE())+Inputs!$N$23))</f>
        <v> </v>
      </c>
      <c r="T126" s="444" t="str">
        <f aca="false">IF(A126="N/A"," ",(VLOOKUP(A126,GasCurves,9,FALSE()))+IF(BMO=1,Gasbmo,IF(BMO=3,-Gasbmo,0)))</f>
        <v> </v>
      </c>
      <c r="U126" s="444" t="str">
        <f aca="false">IF(A126="N/A"," ",IF(Basischeck=TRUE(),(VLOOKUP(A126,GasCurves,IF(MONTH(A126)&gt;=4,IF(MONTH(A126)&lt;=10,11,12),12),FALSE())),0))</f>
        <v> </v>
      </c>
      <c r="V126" s="444" t="str">
        <f aca="false">IF(A126="N/A"," ",IF(Indexcheck=TRUE(),(IF(MONTH(A126)&gt;=4,IF(MONTH(A126)&lt;=10,VLOOKUP(A126,'Gas Curves'!B104:O464,13),VLOOKUP(A126,'Gas Curves'!B104:O464,14)),VLOOKUP(A126,'Gas Curves'!B104:O464,14))),0))</f>
        <v> </v>
      </c>
      <c r="W126" s="444" t="str">
        <f aca="false">IF(A126="N/A"," ",((SUM(T126:V126))/(1-Inputs!$S$11)-(SUM(T126:V126))))</f>
        <v> </v>
      </c>
      <c r="X126" s="444" t="str">
        <f aca="false">IF(A126="N/A"," ",(IF(MONTH(A126)&gt;=4,IF(MONTH(A126)&lt;=10,Inputs!$S$9,Inputs!$S$10),Inputs!$S$10)))</f>
        <v> </v>
      </c>
      <c r="Y126" s="445" t="str">
        <f aca="false">IF(A126="N/A"," ",(VLOOKUP($A126,InterestRatesTable,2)))</f>
        <v> </v>
      </c>
      <c r="AF126" s="386" t="n">
        <v>40269</v>
      </c>
      <c r="AG126" s="376" t="n">
        <v>22</v>
      </c>
      <c r="AH126" s="376" t="n">
        <v>4</v>
      </c>
      <c r="AI126" s="376" t="n">
        <v>4</v>
      </c>
      <c r="AJ126" s="376" t="n">
        <v>0</v>
      </c>
      <c r="AK126" s="376" t="n">
        <v>30</v>
      </c>
    </row>
    <row r="127" customFormat="false" ht="12.75" hidden="false" customHeight="false" outlineLevel="0" collapsed="false">
      <c r="A127" s="434" t="str">
        <f aca="false">Calculations!A92</f>
        <v>N/A</v>
      </c>
      <c r="B127" s="435" t="str">
        <f aca="false">IF(A127="N/A"," ",IF(ISERROR(P127),B115*Pwresc,P127)*VLOOKUP(MONTH(A127),Curveadj,3))</f>
        <v> </v>
      </c>
      <c r="C127" s="436" t="str">
        <f aca="false">IF(A127="N/A"," ",IF(ISERROR(Q127),C115*Pwresc,Q127)*VLOOKUP(MONTH(A127),Curveadj,3))</f>
        <v> </v>
      </c>
      <c r="D127" s="437" t="str">
        <f aca="false">IF(A127="N/A"," ",IF(ISERROR(R127),D115*Pwresc,R127)*VLOOKUP(MONTH(A127),Curveadj,3))</f>
        <v> </v>
      </c>
      <c r="E127" s="438" t="str">
        <f aca="false">IF(A127="N/A"," ",IF(Scalers=1,(IF(AND(Dynamic=1,MONTH(A127)&gt;=6,MONTH(A127)&lt;=8,OR($O$37="REGION 2",$O$37="REGION 2A",$O$37="REGION 2B",$O$37="REGION 3",$O$37="REGION 3A",$O$37="REGION 3B",$O$37="REGION 3C",$O$37="REGION 4",$O$37="REGION 4B",$O$37="REGION 4C",$O$37="REGION 5",$O$37="REGION 5A")),((0.059228/(B127/100))-(0.4980013/(SQRT(B127/100)))+2.137988),HLOOKUP(MONTH(A127),ScalarTable,28))),1))</f>
        <v> </v>
      </c>
      <c r="F127" s="439" t="str">
        <f aca="false">IF(A127="N/A"," ",B127*E127)</f>
        <v> </v>
      </c>
      <c r="G127" s="439" t="str">
        <f aca="false">IF(A127="N/A"," ",C127*E127)</f>
        <v> </v>
      </c>
      <c r="H127" s="440" t="str">
        <f aca="false">IF(A127="N/A"," ",D127*E127)</f>
        <v> </v>
      </c>
      <c r="I127" s="402" t="str">
        <f aca="false">IF(A127="N/A"," ",2-E127)</f>
        <v> </v>
      </c>
      <c r="J127" s="439" t="str">
        <f aca="false">IF(A127="N/A"," ",B127*I127)</f>
        <v> </v>
      </c>
      <c r="K127" s="439" t="str">
        <f aca="false">IF(A127="N/A"," ",C127*I127)</f>
        <v> </v>
      </c>
      <c r="L127" s="440" t="str">
        <f aca="false">IF(A127="N/A"," ",D127*I127)</f>
        <v> </v>
      </c>
      <c r="M127" s="441" t="str">
        <f aca="false">IF(A127="N/A"," ",IF(ISERROR(S127),M115*Pwresc,S127))</f>
        <v> </v>
      </c>
      <c r="N127" s="442" t="str">
        <f aca="false">IF(A127="N/A"," ",SUM(T127:X127))</f>
        <v> </v>
      </c>
      <c r="O127" s="370"/>
      <c r="P127" s="436" t="str">
        <f aca="false">IF(A127="N/A"," ",VLOOKUP(A127,PeakPowerCurves,(IF(BMO=2,3,IF(BMO=1,2,4))),FALSE())+Inputs!N110)</f>
        <v> </v>
      </c>
      <c r="Q127" s="436" t="str">
        <f aca="false">IF(A127="N/A"," ",VLOOKUP(A127,SatSunPeakPwr,(IF(BMO=2,3,IF(BMO=1,2,4))),FALSE())+Inputs!$N$23)</f>
        <v> </v>
      </c>
      <c r="R127" s="436" t="str">
        <f aca="false">IF(A127="N/A"," ",VLOOKUP(A127,SatSunPeakPwr,(IF(BMO=2,7,IF(BMO=1,6,8))),FALSE())+Inputs!$N$23)</f>
        <v> </v>
      </c>
      <c r="S127" s="443" t="str">
        <f aca="false">IF(A127="N/A"," ",(VLOOKUP(A127,OPPowerPrices,(IF(BMO=2,7,IF(BMO=1,6,8))),FALSE())+Inputs!$N$23))</f>
        <v> </v>
      </c>
      <c r="T127" s="444" t="str">
        <f aca="false">IF(A127="N/A"," ",(VLOOKUP(A127,GasCurves,9,FALSE()))+IF(BMO=1,Gasbmo,IF(BMO=3,-Gasbmo,0)))</f>
        <v> </v>
      </c>
      <c r="U127" s="444" t="str">
        <f aca="false">IF(A127="N/A"," ",IF(Basischeck=TRUE(),(VLOOKUP(A127,GasCurves,IF(MONTH(A127)&gt;=4,IF(MONTH(A127)&lt;=10,11,12),12),FALSE())),0))</f>
        <v> </v>
      </c>
      <c r="V127" s="444" t="str">
        <f aca="false">IF(A127="N/A"," ",IF(Indexcheck=TRUE(),(IF(MONTH(A127)&gt;=4,IF(MONTH(A127)&lt;=10,VLOOKUP(A127,'Gas Curves'!B105:O465,13),VLOOKUP(A127,'Gas Curves'!B105:O465,14)),VLOOKUP(A127,'Gas Curves'!B105:O465,14))),0))</f>
        <v> </v>
      </c>
      <c r="W127" s="444" t="str">
        <f aca="false">IF(A127="N/A"," ",((SUM(T127:V127))/(1-Inputs!$S$11)-(SUM(T127:V127))))</f>
        <v> </v>
      </c>
      <c r="X127" s="444" t="str">
        <f aca="false">IF(A127="N/A"," ",(IF(MONTH(A127)&gt;=4,IF(MONTH(A127)&lt;=10,Inputs!$S$9,Inputs!$S$10),Inputs!$S$10)))</f>
        <v> </v>
      </c>
      <c r="Y127" s="445" t="str">
        <f aca="false">IF(A127="N/A"," ",(VLOOKUP($A127,InterestRatesTable,2)))</f>
        <v> </v>
      </c>
      <c r="AF127" s="386" t="n">
        <v>40299</v>
      </c>
      <c r="AG127" s="376" t="n">
        <v>20</v>
      </c>
      <c r="AH127" s="376" t="n">
        <v>5</v>
      </c>
      <c r="AI127" s="376" t="n">
        <v>6</v>
      </c>
      <c r="AJ127" s="376" t="n">
        <v>1</v>
      </c>
      <c r="AK127" s="376" t="n">
        <v>31</v>
      </c>
    </row>
    <row r="128" customFormat="false" ht="12.75" hidden="false" customHeight="false" outlineLevel="0" collapsed="false">
      <c r="A128" s="434" t="str">
        <f aca="false">Calculations!A93</f>
        <v>N/A</v>
      </c>
      <c r="B128" s="435" t="str">
        <f aca="false">IF(A128="N/A"," ",IF(ISERROR(P128),B116*Pwresc,P128)*VLOOKUP(MONTH(A128),Curveadj,3))</f>
        <v> </v>
      </c>
      <c r="C128" s="436" t="str">
        <f aca="false">IF(A128="N/A"," ",IF(ISERROR(Q128),C116*Pwresc,Q128)*VLOOKUP(MONTH(A128),Curveadj,3))</f>
        <v> </v>
      </c>
      <c r="D128" s="437" t="str">
        <f aca="false">IF(A128="N/A"," ",IF(ISERROR(R128),D116*Pwresc,R128)*VLOOKUP(MONTH(A128),Curveadj,3))</f>
        <v> </v>
      </c>
      <c r="E128" s="438" t="str">
        <f aca="false">IF(A128="N/A"," ",IF(Scalers=1,(IF(AND(Dynamic=1,MONTH(A128)&gt;=6,MONTH(A128)&lt;=8,OR($O$37="REGION 2",$O$37="REGION 2A",$O$37="REGION 2B",$O$37="REGION 3",$O$37="REGION 3A",$O$37="REGION 3B",$O$37="REGION 3C",$O$37="REGION 4",$O$37="REGION 4B",$O$37="REGION 4C",$O$37="REGION 5",$O$37="REGION 5A")),((0.059228/(B128/100))-(0.4980013/(SQRT(B128/100)))+2.137988),HLOOKUP(MONTH(A128),ScalarTable,28))),1))</f>
        <v> </v>
      </c>
      <c r="F128" s="439" t="str">
        <f aca="false">IF(A128="N/A"," ",B128*E128)</f>
        <v> </v>
      </c>
      <c r="G128" s="439" t="str">
        <f aca="false">IF(A128="N/A"," ",C128*E128)</f>
        <v> </v>
      </c>
      <c r="H128" s="440" t="str">
        <f aca="false">IF(A128="N/A"," ",D128*E128)</f>
        <v> </v>
      </c>
      <c r="I128" s="402" t="str">
        <f aca="false">IF(A128="N/A"," ",2-E128)</f>
        <v> </v>
      </c>
      <c r="J128" s="439" t="str">
        <f aca="false">IF(A128="N/A"," ",B128*I128)</f>
        <v> </v>
      </c>
      <c r="K128" s="439" t="str">
        <f aca="false">IF(A128="N/A"," ",C128*I128)</f>
        <v> </v>
      </c>
      <c r="L128" s="440" t="str">
        <f aca="false">IF(A128="N/A"," ",D128*I128)</f>
        <v> </v>
      </c>
      <c r="M128" s="441" t="str">
        <f aca="false">IF(A128="N/A"," ",IF(ISERROR(S128),M116*Pwresc,S128))</f>
        <v> </v>
      </c>
      <c r="N128" s="442" t="str">
        <f aca="false">IF(A128="N/A"," ",SUM(T128:X128))</f>
        <v> </v>
      </c>
      <c r="O128" s="370"/>
      <c r="P128" s="436" t="str">
        <f aca="false">IF(A128="N/A"," ",VLOOKUP(A128,PeakPowerCurves,(IF(BMO=2,3,IF(BMO=1,2,4))),FALSE())+Inputs!N111)</f>
        <v> </v>
      </c>
      <c r="Q128" s="436" t="str">
        <f aca="false">IF(A128="N/A"," ",VLOOKUP(A128,SatSunPeakPwr,(IF(BMO=2,3,IF(BMO=1,2,4))),FALSE())+Inputs!$N$23)</f>
        <v> </v>
      </c>
      <c r="R128" s="436" t="str">
        <f aca="false">IF(A128="N/A"," ",VLOOKUP(A128,SatSunPeakPwr,(IF(BMO=2,7,IF(BMO=1,6,8))),FALSE())+Inputs!$N$23)</f>
        <v> </v>
      </c>
      <c r="S128" s="443" t="str">
        <f aca="false">IF(A128="N/A"," ",(VLOOKUP(A128,OPPowerPrices,(IF(BMO=2,7,IF(BMO=1,6,8))),FALSE())+Inputs!$N$23))</f>
        <v> </v>
      </c>
      <c r="T128" s="444" t="str">
        <f aca="false">IF(A128="N/A"," ",(VLOOKUP(A128,GasCurves,9,FALSE()))+IF(BMO=1,Gasbmo,IF(BMO=3,-Gasbmo,0)))</f>
        <v> </v>
      </c>
      <c r="U128" s="444" t="str">
        <f aca="false">IF(A128="N/A"," ",IF(Basischeck=TRUE(),(VLOOKUP(A128,GasCurves,IF(MONTH(A128)&gt;=4,IF(MONTH(A128)&lt;=10,11,12),12),FALSE())),0))</f>
        <v> </v>
      </c>
      <c r="V128" s="444" t="str">
        <f aca="false">IF(A128="N/A"," ",IF(Indexcheck=TRUE(),(IF(MONTH(A128)&gt;=4,IF(MONTH(A128)&lt;=10,VLOOKUP(A128,'Gas Curves'!B106:O466,13),VLOOKUP(A128,'Gas Curves'!B106:O466,14)),VLOOKUP(A128,'Gas Curves'!B106:O466,14))),0))</f>
        <v> </v>
      </c>
      <c r="W128" s="444" t="str">
        <f aca="false">IF(A128="N/A"," ",((SUM(T128:V128))/(1-Inputs!$S$11)-(SUM(T128:V128))))</f>
        <v> </v>
      </c>
      <c r="X128" s="444" t="str">
        <f aca="false">IF(A128="N/A"," ",(IF(MONTH(A128)&gt;=4,IF(MONTH(A128)&lt;=10,Inputs!$S$9,Inputs!$S$10),Inputs!$S$10)))</f>
        <v> </v>
      </c>
      <c r="Y128" s="445" t="str">
        <f aca="false">IF(A128="N/A"," ",(VLOOKUP($A128,InterestRatesTable,2)))</f>
        <v> </v>
      </c>
      <c r="AF128" s="386" t="n">
        <v>40330</v>
      </c>
      <c r="AG128" s="376" t="n">
        <v>22</v>
      </c>
      <c r="AH128" s="376" t="n">
        <v>4</v>
      </c>
      <c r="AI128" s="376" t="n">
        <v>4</v>
      </c>
      <c r="AJ128" s="376" t="n">
        <v>0</v>
      </c>
      <c r="AK128" s="376" t="n">
        <v>30</v>
      </c>
    </row>
    <row r="129" customFormat="false" ht="12.75" hidden="false" customHeight="false" outlineLevel="0" collapsed="false">
      <c r="A129" s="434" t="str">
        <f aca="false">Calculations!A94</f>
        <v>N/A</v>
      </c>
      <c r="B129" s="435" t="str">
        <f aca="false">IF(A129="N/A"," ",IF(ISERROR(P129),B117*Pwresc,P129)*VLOOKUP(MONTH(A129),Curveadj,3))</f>
        <v> </v>
      </c>
      <c r="C129" s="436" t="str">
        <f aca="false">IF(A129="N/A"," ",IF(ISERROR(Q129),C117*Pwresc,Q129)*VLOOKUP(MONTH(A129),Curveadj,3))</f>
        <v> </v>
      </c>
      <c r="D129" s="437" t="str">
        <f aca="false">IF(A129="N/A"," ",IF(ISERROR(R129),D117*Pwresc,R129)*VLOOKUP(MONTH(A129),Curveadj,3))</f>
        <v> </v>
      </c>
      <c r="E129" s="438" t="str">
        <f aca="false">IF(A129="N/A"," ",IF(Scalers=1,(IF(AND(Dynamic=1,MONTH(A129)&gt;=6,MONTH(A129)&lt;=8,OR($O$37="REGION 2",$O$37="REGION 2A",$O$37="REGION 2B",$O$37="REGION 3",$O$37="REGION 3A",$O$37="REGION 3B",$O$37="REGION 3C",$O$37="REGION 4",$O$37="REGION 4B",$O$37="REGION 4C",$O$37="REGION 5",$O$37="REGION 5A")),((0.059228/(B129/100))-(0.4980013/(SQRT(B129/100)))+2.137988),HLOOKUP(MONTH(A129),ScalarTable,28))),1))</f>
        <v> </v>
      </c>
      <c r="F129" s="439" t="str">
        <f aca="false">IF(A129="N/A"," ",B129*E129)</f>
        <v> </v>
      </c>
      <c r="G129" s="439" t="str">
        <f aca="false">IF(A129="N/A"," ",C129*E129)</f>
        <v> </v>
      </c>
      <c r="H129" s="440" t="str">
        <f aca="false">IF(A129="N/A"," ",D129*E129)</f>
        <v> </v>
      </c>
      <c r="I129" s="402" t="str">
        <f aca="false">IF(A129="N/A"," ",2-E129)</f>
        <v> </v>
      </c>
      <c r="J129" s="439" t="str">
        <f aca="false">IF(A129="N/A"," ",B129*I129)</f>
        <v> </v>
      </c>
      <c r="K129" s="439" t="str">
        <f aca="false">IF(A129="N/A"," ",C129*I129)</f>
        <v> </v>
      </c>
      <c r="L129" s="440" t="str">
        <f aca="false">IF(A129="N/A"," ",D129*I129)</f>
        <v> </v>
      </c>
      <c r="M129" s="441" t="str">
        <f aca="false">IF(A129="N/A"," ",IF(ISERROR(S129),M117*Pwresc,S129))</f>
        <v> </v>
      </c>
      <c r="N129" s="442" t="str">
        <f aca="false">IF(A129="N/A"," ",SUM(T129:X129))</f>
        <v> </v>
      </c>
      <c r="O129" s="370"/>
      <c r="P129" s="436" t="str">
        <f aca="false">IF(A129="N/A"," ",VLOOKUP(A129,PeakPowerCurves,(IF(BMO=2,3,IF(BMO=1,2,4))),FALSE())+Inputs!N112)</f>
        <v> </v>
      </c>
      <c r="Q129" s="436" t="str">
        <f aca="false">IF(A129="N/A"," ",VLOOKUP(A129,SatSunPeakPwr,(IF(BMO=2,3,IF(BMO=1,2,4))),FALSE())+Inputs!$N$23)</f>
        <v> </v>
      </c>
      <c r="R129" s="436" t="str">
        <f aca="false">IF(A129="N/A"," ",VLOOKUP(A129,SatSunPeakPwr,(IF(BMO=2,7,IF(BMO=1,6,8))),FALSE())+Inputs!$N$23)</f>
        <v> </v>
      </c>
      <c r="S129" s="443" t="str">
        <f aca="false">IF(A129="N/A"," ",(VLOOKUP(A129,OPPowerPrices,(IF(BMO=2,7,IF(BMO=1,6,8))),FALSE())+Inputs!$N$23))</f>
        <v> </v>
      </c>
      <c r="T129" s="444" t="str">
        <f aca="false">IF(A129="N/A"," ",(VLOOKUP(A129,GasCurves,9,FALSE()))+IF(BMO=1,Gasbmo,IF(BMO=3,-Gasbmo,0)))</f>
        <v> </v>
      </c>
      <c r="U129" s="444" t="str">
        <f aca="false">IF(A129="N/A"," ",IF(Basischeck=TRUE(),(VLOOKUP(A129,GasCurves,IF(MONTH(A129)&gt;=4,IF(MONTH(A129)&lt;=10,11,12),12),FALSE())),0))</f>
        <v> </v>
      </c>
      <c r="V129" s="444" t="str">
        <f aca="false">IF(A129="N/A"," ",IF(Indexcheck=TRUE(),(IF(MONTH(A129)&gt;=4,IF(MONTH(A129)&lt;=10,VLOOKUP(A129,'Gas Curves'!B107:O467,13),VLOOKUP(A129,'Gas Curves'!B107:O467,14)),VLOOKUP(A129,'Gas Curves'!B107:O467,14))),0))</f>
        <v> </v>
      </c>
      <c r="W129" s="444" t="str">
        <f aca="false">IF(A129="N/A"," ",((SUM(T129:V129))/(1-Inputs!$S$11)-(SUM(T129:V129))))</f>
        <v> </v>
      </c>
      <c r="X129" s="444" t="str">
        <f aca="false">IF(A129="N/A"," ",(IF(MONTH(A129)&gt;=4,IF(MONTH(A129)&lt;=10,Inputs!$S$9,Inputs!$S$10),Inputs!$S$10)))</f>
        <v> </v>
      </c>
      <c r="Y129" s="445" t="str">
        <f aca="false">IF(A129="N/A"," ",(VLOOKUP($A129,InterestRatesTable,2)))</f>
        <v> </v>
      </c>
      <c r="AF129" s="386" t="n">
        <v>40360</v>
      </c>
      <c r="AG129" s="376" t="n">
        <v>21</v>
      </c>
      <c r="AH129" s="376" t="n">
        <v>5</v>
      </c>
      <c r="AI129" s="376" t="n">
        <v>5</v>
      </c>
      <c r="AJ129" s="376" t="n">
        <v>1</v>
      </c>
      <c r="AK129" s="376" t="n">
        <v>31</v>
      </c>
    </row>
    <row r="130" customFormat="false" ht="12.75" hidden="false" customHeight="false" outlineLevel="0" collapsed="false">
      <c r="A130" s="434" t="str">
        <f aca="false">Calculations!A95</f>
        <v>N/A</v>
      </c>
      <c r="B130" s="435" t="str">
        <f aca="false">IF(A130="N/A"," ",IF(ISERROR(P130),B118*Pwresc,P130)*VLOOKUP(MONTH(A130),Curveadj,3))</f>
        <v> </v>
      </c>
      <c r="C130" s="436" t="str">
        <f aca="false">IF(A130="N/A"," ",IF(ISERROR(Q130),C118*Pwresc,Q130)*VLOOKUP(MONTH(A130),Curveadj,3))</f>
        <v> </v>
      </c>
      <c r="D130" s="437" t="str">
        <f aca="false">IF(A130="N/A"," ",IF(ISERROR(R130),D118*Pwresc,R130)*VLOOKUP(MONTH(A130),Curveadj,3))</f>
        <v> </v>
      </c>
      <c r="E130" s="438" t="str">
        <f aca="false">IF(A130="N/A"," ",IF(Scalers=1,(IF(AND(Dynamic=1,MONTH(A130)&gt;=6,MONTH(A130)&lt;=8,OR($O$37="REGION 2",$O$37="REGION 2A",$O$37="REGION 2B",$O$37="REGION 3",$O$37="REGION 3A",$O$37="REGION 3B",$O$37="REGION 3C",$O$37="REGION 4",$O$37="REGION 4B",$O$37="REGION 4C",$O$37="REGION 5",$O$37="REGION 5A")),((0.059228/(B130/100))-(0.4980013/(SQRT(B130/100)))+2.137988),HLOOKUP(MONTH(A130),ScalarTable,28))),1))</f>
        <v> </v>
      </c>
      <c r="F130" s="439" t="str">
        <f aca="false">IF(A130="N/A"," ",B130*E130)</f>
        <v> </v>
      </c>
      <c r="G130" s="439" t="str">
        <f aca="false">IF(A130="N/A"," ",C130*E130)</f>
        <v> </v>
      </c>
      <c r="H130" s="440" t="str">
        <f aca="false">IF(A130="N/A"," ",D130*E130)</f>
        <v> </v>
      </c>
      <c r="I130" s="402" t="str">
        <f aca="false">IF(A130="N/A"," ",2-E130)</f>
        <v> </v>
      </c>
      <c r="J130" s="439" t="str">
        <f aca="false">IF(A130="N/A"," ",B130*I130)</f>
        <v> </v>
      </c>
      <c r="K130" s="439" t="str">
        <f aca="false">IF(A130="N/A"," ",C130*I130)</f>
        <v> </v>
      </c>
      <c r="L130" s="440" t="str">
        <f aca="false">IF(A130="N/A"," ",D130*I130)</f>
        <v> </v>
      </c>
      <c r="M130" s="441" t="str">
        <f aca="false">IF(A130="N/A"," ",IF(ISERROR(S130),M118*Pwresc,S130))</f>
        <v> </v>
      </c>
      <c r="N130" s="442" t="str">
        <f aca="false">IF(A130="N/A"," ",SUM(T130:X130))</f>
        <v> </v>
      </c>
      <c r="O130" s="370"/>
      <c r="P130" s="436" t="str">
        <f aca="false">IF(A130="N/A"," ",VLOOKUP(A130,PeakPowerCurves,(IF(BMO=2,3,IF(BMO=1,2,4))),FALSE())+Inputs!N113)</f>
        <v> </v>
      </c>
      <c r="Q130" s="436" t="str">
        <f aca="false">IF(A130="N/A"," ",VLOOKUP(A130,SatSunPeakPwr,(IF(BMO=2,3,IF(BMO=1,2,4))),FALSE())+Inputs!$N$23)</f>
        <v> </v>
      </c>
      <c r="R130" s="436" t="str">
        <f aca="false">IF(A130="N/A"," ",VLOOKUP(A130,SatSunPeakPwr,(IF(BMO=2,7,IF(BMO=1,6,8))),FALSE())+Inputs!$N$23)</f>
        <v> </v>
      </c>
      <c r="S130" s="443" t="str">
        <f aca="false">IF(A130="N/A"," ",(VLOOKUP(A130,OPPowerPrices,(IF(BMO=2,7,IF(BMO=1,6,8))),FALSE())+Inputs!$N$23))</f>
        <v> </v>
      </c>
      <c r="T130" s="444" t="str">
        <f aca="false">IF(A130="N/A"," ",(VLOOKUP(A130,GasCurves,9,FALSE()))+IF(BMO=1,Gasbmo,IF(BMO=3,-Gasbmo,0)))</f>
        <v> </v>
      </c>
      <c r="U130" s="444" t="str">
        <f aca="false">IF(A130="N/A"," ",IF(Basischeck=TRUE(),(VLOOKUP(A130,GasCurves,IF(MONTH(A130)&gt;=4,IF(MONTH(A130)&lt;=10,11,12),12),FALSE())),0))</f>
        <v> </v>
      </c>
      <c r="V130" s="444" t="str">
        <f aca="false">IF(A130="N/A"," ",IF(Indexcheck=TRUE(),(IF(MONTH(A130)&gt;=4,IF(MONTH(A130)&lt;=10,VLOOKUP(A130,'Gas Curves'!B108:O468,13),VLOOKUP(A130,'Gas Curves'!B108:O468,14)),VLOOKUP(A130,'Gas Curves'!B108:O468,14))),0))</f>
        <v> </v>
      </c>
      <c r="W130" s="444" t="str">
        <f aca="false">IF(A130="N/A"," ",((SUM(T130:V130))/(1-Inputs!$S$11)-(SUM(T130:V130))))</f>
        <v> </v>
      </c>
      <c r="X130" s="444" t="str">
        <f aca="false">IF(A130="N/A"," ",(IF(MONTH(A130)&gt;=4,IF(MONTH(A130)&lt;=10,Inputs!$S$9,Inputs!$S$10),Inputs!$S$10)))</f>
        <v> </v>
      </c>
      <c r="Y130" s="445" t="str">
        <f aca="false">IF(A130="N/A"," ",(VLOOKUP($A130,InterestRatesTable,2)))</f>
        <v> </v>
      </c>
      <c r="AF130" s="386" t="n">
        <v>40391</v>
      </c>
      <c r="AG130" s="376" t="n">
        <v>22</v>
      </c>
      <c r="AH130" s="376" t="n">
        <v>4</v>
      </c>
      <c r="AI130" s="376" t="n">
        <v>5</v>
      </c>
      <c r="AJ130" s="376" t="n">
        <v>0</v>
      </c>
      <c r="AK130" s="376" t="n">
        <v>31</v>
      </c>
    </row>
    <row r="131" customFormat="false" ht="12.75" hidden="false" customHeight="false" outlineLevel="0" collapsed="false">
      <c r="A131" s="434" t="str">
        <f aca="false">Calculations!A96</f>
        <v>N/A</v>
      </c>
      <c r="B131" s="435" t="str">
        <f aca="false">IF(A131="N/A"," ",IF(ISERROR(P131),B119*Pwresc,P131)*VLOOKUP(MONTH(A131),Curveadj,3))</f>
        <v> </v>
      </c>
      <c r="C131" s="436" t="str">
        <f aca="false">IF(A131="N/A"," ",IF(ISERROR(Q131),C119*Pwresc,Q131)*VLOOKUP(MONTH(A131),Curveadj,3))</f>
        <v> </v>
      </c>
      <c r="D131" s="437" t="str">
        <f aca="false">IF(A131="N/A"," ",IF(ISERROR(R131),D119*Pwresc,R131)*VLOOKUP(MONTH(A131),Curveadj,3))</f>
        <v> </v>
      </c>
      <c r="E131" s="438" t="str">
        <f aca="false">IF(A131="N/A"," ",IF(Scalers=1,(IF(AND(Dynamic=1,MONTH(A131)&gt;=6,MONTH(A131)&lt;=8,OR($O$37="REGION 2",$O$37="REGION 2A",$O$37="REGION 2B",$O$37="REGION 3",$O$37="REGION 3A",$O$37="REGION 3B",$O$37="REGION 3C",$O$37="REGION 4",$O$37="REGION 4B",$O$37="REGION 4C",$O$37="REGION 5",$O$37="REGION 5A")),((0.059228/(B131/100))-(0.4980013/(SQRT(B131/100)))+2.137988),HLOOKUP(MONTH(A131),ScalarTable,28))),1))</f>
        <v> </v>
      </c>
      <c r="F131" s="439" t="str">
        <f aca="false">IF(A131="N/A"," ",B131*E131)</f>
        <v> </v>
      </c>
      <c r="G131" s="439" t="str">
        <f aca="false">IF(A131="N/A"," ",C131*E131)</f>
        <v> </v>
      </c>
      <c r="H131" s="440" t="str">
        <f aca="false">IF(A131="N/A"," ",D131*E131)</f>
        <v> </v>
      </c>
      <c r="I131" s="402" t="str">
        <f aca="false">IF(A131="N/A"," ",2-E131)</f>
        <v> </v>
      </c>
      <c r="J131" s="439" t="str">
        <f aca="false">IF(A131="N/A"," ",B131*I131)</f>
        <v> </v>
      </c>
      <c r="K131" s="439" t="str">
        <f aca="false">IF(A131="N/A"," ",C131*I131)</f>
        <v> </v>
      </c>
      <c r="L131" s="440" t="str">
        <f aca="false">IF(A131="N/A"," ",D131*I131)</f>
        <v> </v>
      </c>
      <c r="M131" s="441" t="str">
        <f aca="false">IF(A131="N/A"," ",IF(ISERROR(S131),M119*Pwresc,S131))</f>
        <v> </v>
      </c>
      <c r="N131" s="442" t="str">
        <f aca="false">IF(A131="N/A"," ",SUM(T131:X131))</f>
        <v> </v>
      </c>
      <c r="O131" s="370"/>
      <c r="P131" s="436" t="str">
        <f aca="false">IF(A131="N/A"," ",VLOOKUP(A131,PeakPowerCurves,(IF(BMO=2,3,IF(BMO=1,2,4))),FALSE())+Inputs!N114)</f>
        <v> </v>
      </c>
      <c r="Q131" s="436" t="str">
        <f aca="false">IF(A131="N/A"," ",VLOOKUP(A131,SatSunPeakPwr,(IF(BMO=2,3,IF(BMO=1,2,4))),FALSE())+Inputs!$N$23)</f>
        <v> </v>
      </c>
      <c r="R131" s="436" t="str">
        <f aca="false">IF(A131="N/A"," ",VLOOKUP(A131,SatSunPeakPwr,(IF(BMO=2,7,IF(BMO=1,6,8))),FALSE())+Inputs!$N$23)</f>
        <v> </v>
      </c>
      <c r="S131" s="443" t="str">
        <f aca="false">IF(A131="N/A"," ",(VLOOKUP(A131,OPPowerPrices,(IF(BMO=2,7,IF(BMO=1,6,8))),FALSE())+Inputs!$N$23))</f>
        <v> </v>
      </c>
      <c r="T131" s="444" t="str">
        <f aca="false">IF(A131="N/A"," ",(VLOOKUP(A131,GasCurves,9,FALSE()))+IF(BMO=1,Gasbmo,IF(BMO=3,-Gasbmo,0)))</f>
        <v> </v>
      </c>
      <c r="U131" s="444" t="str">
        <f aca="false">IF(A131="N/A"," ",IF(Basischeck=TRUE(),(VLOOKUP(A131,GasCurves,IF(MONTH(A131)&gt;=4,IF(MONTH(A131)&lt;=10,11,12),12),FALSE())),0))</f>
        <v> </v>
      </c>
      <c r="V131" s="444" t="str">
        <f aca="false">IF(A131="N/A"," ",IF(Indexcheck=TRUE(),(IF(MONTH(A131)&gt;=4,IF(MONTH(A131)&lt;=10,VLOOKUP(A131,'Gas Curves'!B109:O469,13),VLOOKUP(A131,'Gas Curves'!B109:O469,14)),VLOOKUP(A131,'Gas Curves'!B109:O469,14))),0))</f>
        <v> </v>
      </c>
      <c r="W131" s="444" t="str">
        <f aca="false">IF(A131="N/A"," ",((SUM(T131:V131))/(1-Inputs!$S$11)-(SUM(T131:V131))))</f>
        <v> </v>
      </c>
      <c r="X131" s="444" t="str">
        <f aca="false">IF(A131="N/A"," ",(IF(MONTH(A131)&gt;=4,IF(MONTH(A131)&lt;=10,Inputs!$S$9,Inputs!$S$10),Inputs!$S$10)))</f>
        <v> </v>
      </c>
      <c r="Y131" s="445" t="str">
        <f aca="false">IF(A131="N/A"," ",(VLOOKUP($A131,InterestRatesTable,2)))</f>
        <v> </v>
      </c>
      <c r="AF131" s="386" t="n">
        <v>40422</v>
      </c>
      <c r="AG131" s="376" t="n">
        <v>21</v>
      </c>
      <c r="AH131" s="376" t="n">
        <v>4</v>
      </c>
      <c r="AI131" s="376" t="n">
        <v>5</v>
      </c>
      <c r="AJ131" s="376" t="n">
        <v>1</v>
      </c>
      <c r="AK131" s="376" t="n">
        <v>30</v>
      </c>
    </row>
    <row r="132" customFormat="false" ht="12.75" hidden="false" customHeight="false" outlineLevel="0" collapsed="false">
      <c r="A132" s="434" t="str">
        <f aca="false">Calculations!A97</f>
        <v>N/A</v>
      </c>
      <c r="B132" s="435" t="str">
        <f aca="false">IF(A132="N/A"," ",IF(ISERROR(P132),B120*Pwresc,P132)*VLOOKUP(MONTH(A132),Curveadj,3))</f>
        <v> </v>
      </c>
      <c r="C132" s="436" t="str">
        <f aca="false">IF(A132="N/A"," ",IF(ISERROR(Q132),C120*Pwresc,Q132)*VLOOKUP(MONTH(A132),Curveadj,3))</f>
        <v> </v>
      </c>
      <c r="D132" s="437" t="str">
        <f aca="false">IF(A132="N/A"," ",IF(ISERROR(R132),D120*Pwresc,R132)*VLOOKUP(MONTH(A132),Curveadj,3))</f>
        <v> </v>
      </c>
      <c r="E132" s="438" t="str">
        <f aca="false">IF(A132="N/A"," ",IF(Scalers=1,(IF(AND(Dynamic=1,MONTH(A132)&gt;=6,MONTH(A132)&lt;=8,OR($O$37="REGION 2",$O$37="REGION 2A",$O$37="REGION 2B",$O$37="REGION 3",$O$37="REGION 3A",$O$37="REGION 3B",$O$37="REGION 3C",$O$37="REGION 4",$O$37="REGION 4B",$O$37="REGION 4C",$O$37="REGION 5",$O$37="REGION 5A")),((0.059228/(B132/100))-(0.4980013/(SQRT(B132/100)))+2.137988),HLOOKUP(MONTH(A132),ScalarTable,28))),1))</f>
        <v> </v>
      </c>
      <c r="F132" s="439" t="str">
        <f aca="false">IF(A132="N/A"," ",B132*E132)</f>
        <v> </v>
      </c>
      <c r="G132" s="439" t="str">
        <f aca="false">IF(A132="N/A"," ",C132*E132)</f>
        <v> </v>
      </c>
      <c r="H132" s="440" t="str">
        <f aca="false">IF(A132="N/A"," ",D132*E132)</f>
        <v> </v>
      </c>
      <c r="I132" s="402" t="str">
        <f aca="false">IF(A132="N/A"," ",2-E132)</f>
        <v> </v>
      </c>
      <c r="J132" s="439" t="str">
        <f aca="false">IF(A132="N/A"," ",B132*I132)</f>
        <v> </v>
      </c>
      <c r="K132" s="439" t="str">
        <f aca="false">IF(A132="N/A"," ",C132*I132)</f>
        <v> </v>
      </c>
      <c r="L132" s="440" t="str">
        <f aca="false">IF(A132="N/A"," ",D132*I132)</f>
        <v> </v>
      </c>
      <c r="M132" s="441" t="str">
        <f aca="false">IF(A132="N/A"," ",IF(ISERROR(S132),M120*Pwresc,S132))</f>
        <v> </v>
      </c>
      <c r="N132" s="442" t="str">
        <f aca="false">IF(A132="N/A"," ",SUM(T132:X132))</f>
        <v> </v>
      </c>
      <c r="O132" s="370"/>
      <c r="P132" s="436" t="str">
        <f aca="false">IF(A132="N/A"," ",VLOOKUP(A132,PeakPowerCurves,(IF(BMO=2,3,IF(BMO=1,2,4))),FALSE())+Inputs!N115)</f>
        <v> </v>
      </c>
      <c r="Q132" s="436" t="str">
        <f aca="false">IF(A132="N/A"," ",VLOOKUP(A132,SatSunPeakPwr,(IF(BMO=2,3,IF(BMO=1,2,4))),FALSE())+Inputs!$N$23)</f>
        <v> </v>
      </c>
      <c r="R132" s="436" t="str">
        <f aca="false">IF(A132="N/A"," ",VLOOKUP(A132,SatSunPeakPwr,(IF(BMO=2,7,IF(BMO=1,6,8))),FALSE())+Inputs!$N$23)</f>
        <v> </v>
      </c>
      <c r="S132" s="443" t="str">
        <f aca="false">IF(A132="N/A"," ",(VLOOKUP(A132,OPPowerPrices,(IF(BMO=2,7,IF(BMO=1,6,8))),FALSE())+Inputs!$N$23))</f>
        <v> </v>
      </c>
      <c r="T132" s="444" t="str">
        <f aca="false">IF(A132="N/A"," ",(VLOOKUP(A132,GasCurves,9,FALSE()))+IF(BMO=1,Gasbmo,IF(BMO=3,-Gasbmo,0)))</f>
        <v> </v>
      </c>
      <c r="U132" s="444" t="str">
        <f aca="false">IF(A132="N/A"," ",IF(Basischeck=TRUE(),(VLOOKUP(A132,GasCurves,IF(MONTH(A132)&gt;=4,IF(MONTH(A132)&lt;=10,11,12),12),FALSE())),0))</f>
        <v> </v>
      </c>
      <c r="V132" s="444" t="str">
        <f aca="false">IF(A132="N/A"," ",IF(Indexcheck=TRUE(),(IF(MONTH(A132)&gt;=4,IF(MONTH(A132)&lt;=10,VLOOKUP(A132,'Gas Curves'!B110:O470,13),VLOOKUP(A132,'Gas Curves'!B110:O470,14)),VLOOKUP(A132,'Gas Curves'!B110:O470,14))),0))</f>
        <v> </v>
      </c>
      <c r="W132" s="444" t="str">
        <f aca="false">IF(A132="N/A"," ",((SUM(T132:V132))/(1-Inputs!$S$11)-(SUM(T132:V132))))</f>
        <v> </v>
      </c>
      <c r="X132" s="444" t="str">
        <f aca="false">IF(A132="N/A"," ",(IF(MONTH(A132)&gt;=4,IF(MONTH(A132)&lt;=10,Inputs!$S$9,Inputs!$S$10),Inputs!$S$10)))</f>
        <v> </v>
      </c>
      <c r="Y132" s="445" t="str">
        <f aca="false">IF(A132="N/A"," ",(VLOOKUP($A132,InterestRatesTable,2)))</f>
        <v> </v>
      </c>
      <c r="AF132" s="386" t="n">
        <v>40452</v>
      </c>
      <c r="AG132" s="376" t="n">
        <v>21</v>
      </c>
      <c r="AH132" s="376" t="n">
        <v>5</v>
      </c>
      <c r="AI132" s="376" t="n">
        <v>5</v>
      </c>
      <c r="AJ132" s="376" t="n">
        <v>0</v>
      </c>
      <c r="AK132" s="376" t="n">
        <v>31</v>
      </c>
    </row>
    <row r="133" customFormat="false" ht="12.75" hidden="false" customHeight="false" outlineLevel="0" collapsed="false">
      <c r="A133" s="434" t="str">
        <f aca="false">Calculations!A98</f>
        <v>N/A</v>
      </c>
      <c r="B133" s="435" t="str">
        <f aca="false">IF(A133="N/A"," ",IF(ISERROR(P133),B121*Pwresc,P133)*VLOOKUP(MONTH(A133),Curveadj,3))</f>
        <v> </v>
      </c>
      <c r="C133" s="436" t="str">
        <f aca="false">IF(A133="N/A"," ",IF(ISERROR(Q133),C121*Pwresc,Q133)*VLOOKUP(MONTH(A133),Curveadj,3))</f>
        <v> </v>
      </c>
      <c r="D133" s="437" t="str">
        <f aca="false">IF(A133="N/A"," ",IF(ISERROR(R133),D121*Pwresc,R133)*VLOOKUP(MONTH(A133),Curveadj,3))</f>
        <v> </v>
      </c>
      <c r="E133" s="438" t="str">
        <f aca="false">IF(A133="N/A"," ",IF(Scalers=1,(IF(AND(Dynamic=1,MONTH(A133)&gt;=6,MONTH(A133)&lt;=8,OR($O$37="REGION 2",$O$37="REGION 2A",$O$37="REGION 2B",$O$37="REGION 3",$O$37="REGION 3A",$O$37="REGION 3B",$O$37="REGION 3C",$O$37="REGION 4",$O$37="REGION 4B",$O$37="REGION 4C",$O$37="REGION 5",$O$37="REGION 5A")),((0.059228/(B133/100))-(0.4980013/(SQRT(B133/100)))+2.137988),HLOOKUP(MONTH(A133),ScalarTable,28))),1))</f>
        <v> </v>
      </c>
      <c r="F133" s="439" t="str">
        <f aca="false">IF(A133="N/A"," ",B133*E133)</f>
        <v> </v>
      </c>
      <c r="G133" s="439" t="str">
        <f aca="false">IF(A133="N/A"," ",C133*E133)</f>
        <v> </v>
      </c>
      <c r="H133" s="440" t="str">
        <f aca="false">IF(A133="N/A"," ",D133*E133)</f>
        <v> </v>
      </c>
      <c r="I133" s="402" t="str">
        <f aca="false">IF(A133="N/A"," ",2-E133)</f>
        <v> </v>
      </c>
      <c r="J133" s="439" t="str">
        <f aca="false">IF(A133="N/A"," ",B133*I133)</f>
        <v> </v>
      </c>
      <c r="K133" s="439" t="str">
        <f aca="false">IF(A133="N/A"," ",C133*I133)</f>
        <v> </v>
      </c>
      <c r="L133" s="440" t="str">
        <f aca="false">IF(A133="N/A"," ",D133*I133)</f>
        <v> </v>
      </c>
      <c r="M133" s="441" t="str">
        <f aca="false">IF(A133="N/A"," ",IF(ISERROR(S133),M121*Pwresc,S133))</f>
        <v> </v>
      </c>
      <c r="N133" s="442" t="str">
        <f aca="false">IF(A133="N/A"," ",SUM(T133:X133))</f>
        <v> </v>
      </c>
      <c r="O133" s="370"/>
      <c r="P133" s="436" t="str">
        <f aca="false">IF(A133="N/A"," ",VLOOKUP(A133,PeakPowerCurves,(IF(BMO=2,3,IF(BMO=1,2,4))),FALSE())+Inputs!N116)</f>
        <v> </v>
      </c>
      <c r="Q133" s="436" t="str">
        <f aca="false">IF(A133="N/A"," ",VLOOKUP(A133,SatSunPeakPwr,(IF(BMO=2,3,IF(BMO=1,2,4))),FALSE())+Inputs!$N$23)</f>
        <v> </v>
      </c>
      <c r="R133" s="436" t="str">
        <f aca="false">IF(A133="N/A"," ",VLOOKUP(A133,SatSunPeakPwr,(IF(BMO=2,7,IF(BMO=1,6,8))),FALSE())+Inputs!$N$23)</f>
        <v> </v>
      </c>
      <c r="S133" s="443" t="str">
        <f aca="false">IF(A133="N/A"," ",(VLOOKUP(A133,OPPowerPrices,(IF(BMO=2,7,IF(BMO=1,6,8))),FALSE())+Inputs!$N$23))</f>
        <v> </v>
      </c>
      <c r="T133" s="444" t="str">
        <f aca="false">IF(A133="N/A"," ",(VLOOKUP(A133,GasCurves,9,FALSE()))+IF(BMO=1,Gasbmo,IF(BMO=3,-Gasbmo,0)))</f>
        <v> </v>
      </c>
      <c r="U133" s="444" t="str">
        <f aca="false">IF(A133="N/A"," ",IF(Basischeck=TRUE(),(VLOOKUP(A133,GasCurves,IF(MONTH(A133)&gt;=4,IF(MONTH(A133)&lt;=10,11,12),12),FALSE())),0))</f>
        <v> </v>
      </c>
      <c r="V133" s="444" t="str">
        <f aca="false">IF(A133="N/A"," ",IF(Indexcheck=TRUE(),(IF(MONTH(A133)&gt;=4,IF(MONTH(A133)&lt;=10,VLOOKUP(A133,'Gas Curves'!B111:O471,13),VLOOKUP(A133,'Gas Curves'!B111:O471,14)),VLOOKUP(A133,'Gas Curves'!B111:O471,14))),0))</f>
        <v> </v>
      </c>
      <c r="W133" s="444" t="str">
        <f aca="false">IF(A133="N/A"," ",((SUM(T133:V133))/(1-Inputs!$S$11)-(SUM(T133:V133))))</f>
        <v> </v>
      </c>
      <c r="X133" s="444" t="str">
        <f aca="false">IF(A133="N/A"," ",(IF(MONTH(A133)&gt;=4,IF(MONTH(A133)&lt;=10,Inputs!$S$9,Inputs!$S$10),Inputs!$S$10)))</f>
        <v> </v>
      </c>
      <c r="Y133" s="445" t="str">
        <f aca="false">IF(A133="N/A"," ",(VLOOKUP($A133,InterestRatesTable,2)))</f>
        <v> </v>
      </c>
      <c r="AF133" s="386" t="n">
        <v>40483</v>
      </c>
      <c r="AG133" s="376" t="n">
        <v>21</v>
      </c>
      <c r="AH133" s="376" t="n">
        <v>4</v>
      </c>
      <c r="AI133" s="376" t="n">
        <v>5</v>
      </c>
      <c r="AJ133" s="376" t="n">
        <v>1</v>
      </c>
      <c r="AK133" s="376" t="n">
        <v>30</v>
      </c>
    </row>
    <row r="134" customFormat="false" ht="12.75" hidden="false" customHeight="false" outlineLevel="0" collapsed="false">
      <c r="A134" s="434" t="str">
        <f aca="false">Calculations!A99</f>
        <v>N/A</v>
      </c>
      <c r="B134" s="435" t="str">
        <f aca="false">IF(A134="N/A"," ",IF(ISERROR(P134),B122*Pwresc,P134)*VLOOKUP(MONTH(A134),Curveadj,3))</f>
        <v> </v>
      </c>
      <c r="C134" s="436" t="str">
        <f aca="false">IF(A134="N/A"," ",IF(ISERROR(Q134),C122*Pwresc,Q134)*VLOOKUP(MONTH(A134),Curveadj,3))</f>
        <v> </v>
      </c>
      <c r="D134" s="437" t="str">
        <f aca="false">IF(A134="N/A"," ",IF(ISERROR(R134),D122*Pwresc,R134)*VLOOKUP(MONTH(A134),Curveadj,3))</f>
        <v> </v>
      </c>
      <c r="E134" s="438" t="str">
        <f aca="false">IF(A134="N/A"," ",IF(Scalers=1,(IF(AND(Dynamic=1,MONTH(A134)&gt;=6,MONTH(A134)&lt;=8,OR($O$37="REGION 2",$O$37="REGION 2A",$O$37="REGION 2B",$O$37="REGION 3",$O$37="REGION 3A",$O$37="REGION 3B",$O$37="REGION 3C",$O$37="REGION 4",$O$37="REGION 4B",$O$37="REGION 4C",$O$37="REGION 5",$O$37="REGION 5A")),((0.059228/(B134/100))-(0.4980013/(SQRT(B134/100)))+2.137988),HLOOKUP(MONTH(A134),ScalarTable,28))),1))</f>
        <v> </v>
      </c>
      <c r="F134" s="439" t="str">
        <f aca="false">IF(A134="N/A"," ",B134*E134)</f>
        <v> </v>
      </c>
      <c r="G134" s="439" t="str">
        <f aca="false">IF(A134="N/A"," ",C134*E134)</f>
        <v> </v>
      </c>
      <c r="H134" s="440" t="str">
        <f aca="false">IF(A134="N/A"," ",D134*E134)</f>
        <v> </v>
      </c>
      <c r="I134" s="402" t="str">
        <f aca="false">IF(A134="N/A"," ",2-E134)</f>
        <v> </v>
      </c>
      <c r="J134" s="439" t="str">
        <f aca="false">IF(A134="N/A"," ",B134*I134)</f>
        <v> </v>
      </c>
      <c r="K134" s="439" t="str">
        <f aca="false">IF(A134="N/A"," ",C134*I134)</f>
        <v> </v>
      </c>
      <c r="L134" s="440" t="str">
        <f aca="false">IF(A134="N/A"," ",D134*I134)</f>
        <v> </v>
      </c>
      <c r="M134" s="441" t="str">
        <f aca="false">IF(A134="N/A"," ",IF(ISERROR(S134),M122*Pwresc,S134))</f>
        <v> </v>
      </c>
      <c r="N134" s="442" t="str">
        <f aca="false">IF(A134="N/A"," ",SUM(T134:X134))</f>
        <v> </v>
      </c>
      <c r="O134" s="370"/>
      <c r="P134" s="436" t="str">
        <f aca="false">IF(A134="N/A"," ",VLOOKUP(A134,PeakPowerCurves,(IF(BMO=2,3,IF(BMO=1,2,4))),FALSE())+Inputs!N117)</f>
        <v> </v>
      </c>
      <c r="Q134" s="436" t="str">
        <f aca="false">IF(A134="N/A"," ",VLOOKUP(A134,SatSunPeakPwr,(IF(BMO=2,3,IF(BMO=1,2,4))),FALSE())+Inputs!$N$23)</f>
        <v> </v>
      </c>
      <c r="R134" s="436" t="str">
        <f aca="false">IF(A134="N/A"," ",VLOOKUP(A134,SatSunPeakPwr,(IF(BMO=2,7,IF(BMO=1,6,8))),FALSE())+Inputs!$N$23)</f>
        <v> </v>
      </c>
      <c r="S134" s="443" t="str">
        <f aca="false">IF(A134="N/A"," ",(VLOOKUP(A134,OPPowerPrices,(IF(BMO=2,7,IF(BMO=1,6,8))),FALSE())+Inputs!$N$23))</f>
        <v> </v>
      </c>
      <c r="T134" s="444" t="str">
        <f aca="false">IF(A134="N/A"," ",(VLOOKUP(A134,GasCurves,9,FALSE()))+IF(BMO=1,Gasbmo,IF(BMO=3,-Gasbmo,0)))</f>
        <v> </v>
      </c>
      <c r="U134" s="444" t="str">
        <f aca="false">IF(A134="N/A"," ",IF(Basischeck=TRUE(),(VLOOKUP(A134,GasCurves,IF(MONTH(A134)&gt;=4,IF(MONTH(A134)&lt;=10,11,12),12),FALSE())),0))</f>
        <v> </v>
      </c>
      <c r="V134" s="444" t="str">
        <f aca="false">IF(A134="N/A"," ",IF(Indexcheck=TRUE(),(IF(MONTH(A134)&gt;=4,IF(MONTH(A134)&lt;=10,VLOOKUP(A134,'Gas Curves'!B112:O472,13),VLOOKUP(A134,'Gas Curves'!B112:O472,14)),VLOOKUP(A134,'Gas Curves'!B112:O472,14))),0))</f>
        <v> </v>
      </c>
      <c r="W134" s="444" t="str">
        <f aca="false">IF(A134="N/A"," ",((SUM(T134:V134))/(1-Inputs!$S$11)-(SUM(T134:V134))))</f>
        <v> </v>
      </c>
      <c r="X134" s="444" t="str">
        <f aca="false">IF(A134="N/A"," ",(IF(MONTH(A134)&gt;=4,IF(MONTH(A134)&lt;=10,Inputs!$S$9,Inputs!$S$10),Inputs!$S$10)))</f>
        <v> </v>
      </c>
      <c r="Y134" s="445" t="str">
        <f aca="false">IF(A134="N/A"," ",(VLOOKUP($A134,InterestRatesTable,2)))</f>
        <v> </v>
      </c>
      <c r="AF134" s="386" t="n">
        <v>40513</v>
      </c>
      <c r="AG134" s="376" t="n">
        <v>23</v>
      </c>
      <c r="AH134" s="376" t="n">
        <v>3</v>
      </c>
      <c r="AI134" s="376" t="n">
        <v>5</v>
      </c>
      <c r="AJ134" s="376" t="n">
        <v>1</v>
      </c>
      <c r="AK134" s="376" t="n">
        <v>31</v>
      </c>
    </row>
    <row r="135" customFormat="false" ht="12.75" hidden="false" customHeight="false" outlineLevel="0" collapsed="false">
      <c r="A135" s="434" t="str">
        <f aca="false">Calculations!A100</f>
        <v>N/A</v>
      </c>
      <c r="B135" s="435" t="str">
        <f aca="false">IF(A135="N/A"," ",IF(ISERROR(P135),B123*Pwresc,P135)*VLOOKUP(MONTH(A135),Curveadj,3))</f>
        <v> </v>
      </c>
      <c r="C135" s="436" t="str">
        <f aca="false">IF(A135="N/A"," ",IF(ISERROR(Q135),C123*Pwresc,Q135)*VLOOKUP(MONTH(A135),Curveadj,3))</f>
        <v> </v>
      </c>
      <c r="D135" s="437" t="str">
        <f aca="false">IF(A135="N/A"," ",IF(ISERROR(R135),D123*Pwresc,R135)*VLOOKUP(MONTH(A135),Curveadj,3))</f>
        <v> </v>
      </c>
      <c r="E135" s="438" t="str">
        <f aca="false">IF(A135="N/A"," ",IF(Scalers=1,(IF(AND(Dynamic=1,MONTH(A135)&gt;=6,MONTH(A135)&lt;=8,OR($O$37="REGION 2",$O$37="REGION 2A",$O$37="REGION 2B",$O$37="REGION 3",$O$37="REGION 3A",$O$37="REGION 3B",$O$37="REGION 3C",$O$37="REGION 4",$O$37="REGION 4B",$O$37="REGION 4C",$O$37="REGION 5",$O$37="REGION 5A")),((0.059228/(B135/100))-(0.4980013/(SQRT(B135/100)))+2.137988),HLOOKUP(MONTH(A135),ScalarTable,28))),1))</f>
        <v> </v>
      </c>
      <c r="F135" s="439" t="str">
        <f aca="false">IF(A135="N/A"," ",B135*E135)</f>
        <v> </v>
      </c>
      <c r="G135" s="439" t="str">
        <f aca="false">IF(A135="N/A"," ",C135*E135)</f>
        <v> </v>
      </c>
      <c r="H135" s="440" t="str">
        <f aca="false">IF(A135="N/A"," ",D135*E135)</f>
        <v> </v>
      </c>
      <c r="I135" s="402" t="str">
        <f aca="false">IF(A135="N/A"," ",2-E135)</f>
        <v> </v>
      </c>
      <c r="J135" s="439" t="str">
        <f aca="false">IF(A135="N/A"," ",B135*I135)</f>
        <v> </v>
      </c>
      <c r="K135" s="439" t="str">
        <f aca="false">IF(A135="N/A"," ",C135*I135)</f>
        <v> </v>
      </c>
      <c r="L135" s="440" t="str">
        <f aca="false">IF(A135="N/A"," ",D135*I135)</f>
        <v> </v>
      </c>
      <c r="M135" s="441" t="str">
        <f aca="false">IF(A135="N/A"," ",IF(ISERROR(S135),M123*Pwresc,S135))</f>
        <v> </v>
      </c>
      <c r="N135" s="442" t="str">
        <f aca="false">IF(A135="N/A"," ",SUM(T135:X135))</f>
        <v> </v>
      </c>
      <c r="O135" s="370"/>
      <c r="P135" s="436" t="str">
        <f aca="false">IF(A135="N/A"," ",VLOOKUP(A135,PeakPowerCurves,(IF(BMO=2,3,IF(BMO=1,2,4))),FALSE())+Inputs!N118)</f>
        <v> </v>
      </c>
      <c r="Q135" s="436" t="str">
        <f aca="false">IF(A135="N/A"," ",VLOOKUP(A135,SatSunPeakPwr,(IF(BMO=2,3,IF(BMO=1,2,4))),FALSE())+Inputs!$N$23)</f>
        <v> </v>
      </c>
      <c r="R135" s="436" t="str">
        <f aca="false">IF(A135="N/A"," ",VLOOKUP(A135,SatSunPeakPwr,(IF(BMO=2,7,IF(BMO=1,6,8))),FALSE())+Inputs!$N$23)</f>
        <v> </v>
      </c>
      <c r="S135" s="443" t="str">
        <f aca="false">IF(A135="N/A"," ",(VLOOKUP(A135,OPPowerPrices,(IF(BMO=2,7,IF(BMO=1,6,8))),FALSE())+Inputs!$N$23))</f>
        <v> </v>
      </c>
      <c r="T135" s="444" t="str">
        <f aca="false">IF(A135="N/A"," ",(VLOOKUP(A135,GasCurves,9,FALSE()))+IF(BMO=1,Gasbmo,IF(BMO=3,-Gasbmo,0)))</f>
        <v> </v>
      </c>
      <c r="U135" s="444" t="str">
        <f aca="false">IF(A135="N/A"," ",IF(Basischeck=TRUE(),(VLOOKUP(A135,GasCurves,IF(MONTH(A135)&gt;=4,IF(MONTH(A135)&lt;=10,11,12),12),FALSE())),0))</f>
        <v> </v>
      </c>
      <c r="V135" s="444" t="str">
        <f aca="false">IF(A135="N/A"," ",IF(Indexcheck=TRUE(),(IF(MONTH(A135)&gt;=4,IF(MONTH(A135)&lt;=10,VLOOKUP(A135,'Gas Curves'!B113:O473,13),VLOOKUP(A135,'Gas Curves'!B113:O473,14)),VLOOKUP(A135,'Gas Curves'!B113:O473,14))),0))</f>
        <v> </v>
      </c>
      <c r="W135" s="444" t="str">
        <f aca="false">IF(A135="N/A"," ",((SUM(T135:V135))/(1-Inputs!$S$11)-(SUM(T135:V135))))</f>
        <v> </v>
      </c>
      <c r="X135" s="444" t="str">
        <f aca="false">IF(A135="N/A"," ",(IF(MONTH(A135)&gt;=4,IF(MONTH(A135)&lt;=10,Inputs!$S$9,Inputs!$S$10),Inputs!$S$10)))</f>
        <v> </v>
      </c>
      <c r="Y135" s="445" t="str">
        <f aca="false">IF(A135="N/A"," ",(VLOOKUP($A135,InterestRatesTable,2)))</f>
        <v> </v>
      </c>
      <c r="AF135" s="386" t="n">
        <v>40544</v>
      </c>
      <c r="AG135" s="376" t="n">
        <v>21</v>
      </c>
      <c r="AH135" s="376" t="n">
        <v>4</v>
      </c>
      <c r="AI135" s="376" t="n">
        <v>6</v>
      </c>
      <c r="AJ135" s="376" t="n">
        <v>1</v>
      </c>
      <c r="AK135" s="376" t="n">
        <v>31</v>
      </c>
    </row>
    <row r="136" customFormat="false" ht="12.75" hidden="false" customHeight="false" outlineLevel="0" collapsed="false">
      <c r="A136" s="434" t="str">
        <f aca="false">Calculations!A101</f>
        <v>N/A</v>
      </c>
      <c r="B136" s="435" t="str">
        <f aca="false">IF(A136="N/A"," ",IF(ISERROR(P136),B124*Pwresc,P136)*VLOOKUP(MONTH(A136),Curveadj,3))</f>
        <v> </v>
      </c>
      <c r="C136" s="436" t="str">
        <f aca="false">IF(A136="N/A"," ",IF(ISERROR(Q136),C124*Pwresc,Q136)*VLOOKUP(MONTH(A136),Curveadj,3))</f>
        <v> </v>
      </c>
      <c r="D136" s="437" t="str">
        <f aca="false">IF(A136="N/A"," ",IF(ISERROR(R136),D124*Pwresc,R136)*VLOOKUP(MONTH(A136),Curveadj,3))</f>
        <v> </v>
      </c>
      <c r="E136" s="438" t="str">
        <f aca="false">IF(A136="N/A"," ",IF(Scalers=1,(IF(AND(Dynamic=1,MONTH(A136)&gt;=6,MONTH(A136)&lt;=8,OR($O$37="REGION 2",$O$37="REGION 2A",$O$37="REGION 2B",$O$37="REGION 3",$O$37="REGION 3A",$O$37="REGION 3B",$O$37="REGION 3C",$O$37="REGION 4",$O$37="REGION 4B",$O$37="REGION 4C",$O$37="REGION 5",$O$37="REGION 5A")),((0.059228/(B136/100))-(0.4980013/(SQRT(B136/100)))+2.137988),HLOOKUP(MONTH(A136),ScalarTable,28))),1))</f>
        <v> </v>
      </c>
      <c r="F136" s="439" t="str">
        <f aca="false">IF(A136="N/A"," ",B136*E136)</f>
        <v> </v>
      </c>
      <c r="G136" s="439" t="str">
        <f aca="false">IF(A136="N/A"," ",C136*E136)</f>
        <v> </v>
      </c>
      <c r="H136" s="440" t="str">
        <f aca="false">IF(A136="N/A"," ",D136*E136)</f>
        <v> </v>
      </c>
      <c r="I136" s="402" t="str">
        <f aca="false">IF(A136="N/A"," ",2-E136)</f>
        <v> </v>
      </c>
      <c r="J136" s="439" t="str">
        <f aca="false">IF(A136="N/A"," ",B136*I136)</f>
        <v> </v>
      </c>
      <c r="K136" s="439" t="str">
        <f aca="false">IF(A136="N/A"," ",C136*I136)</f>
        <v> </v>
      </c>
      <c r="L136" s="440" t="str">
        <f aca="false">IF(A136="N/A"," ",D136*I136)</f>
        <v> </v>
      </c>
      <c r="M136" s="441" t="str">
        <f aca="false">IF(A136="N/A"," ",IF(ISERROR(S136),M124*Pwresc,S136))</f>
        <v> </v>
      </c>
      <c r="N136" s="442" t="str">
        <f aca="false">IF(A136="N/A"," ",SUM(T136:X136))</f>
        <v> </v>
      </c>
      <c r="O136" s="370"/>
      <c r="P136" s="436" t="str">
        <f aca="false">IF(A136="N/A"," ",VLOOKUP(A136,PeakPowerCurves,(IF(BMO=2,3,IF(BMO=1,2,4))),FALSE())+Inputs!N119)</f>
        <v> </v>
      </c>
      <c r="Q136" s="436" t="str">
        <f aca="false">IF(A136="N/A"," ",VLOOKUP(A136,SatSunPeakPwr,(IF(BMO=2,3,IF(BMO=1,2,4))),FALSE())+Inputs!$N$23)</f>
        <v> </v>
      </c>
      <c r="R136" s="436" t="str">
        <f aca="false">IF(A136="N/A"," ",VLOOKUP(A136,SatSunPeakPwr,(IF(BMO=2,7,IF(BMO=1,6,8))),FALSE())+Inputs!$N$23)</f>
        <v> </v>
      </c>
      <c r="S136" s="443" t="str">
        <f aca="false">IF(A136="N/A"," ",(VLOOKUP(A136,OPPowerPrices,(IF(BMO=2,7,IF(BMO=1,6,8))),FALSE())+Inputs!$N$23))</f>
        <v> </v>
      </c>
      <c r="T136" s="444" t="str">
        <f aca="false">IF(A136="N/A"," ",(VLOOKUP(A136,GasCurves,9,FALSE()))+IF(BMO=1,Gasbmo,IF(BMO=3,-Gasbmo,0)))</f>
        <v> </v>
      </c>
      <c r="U136" s="444" t="str">
        <f aca="false">IF(A136="N/A"," ",IF(Basischeck=TRUE(),(VLOOKUP(A136,GasCurves,IF(MONTH(A136)&gt;=4,IF(MONTH(A136)&lt;=10,11,12),12),FALSE())),0))</f>
        <v> </v>
      </c>
      <c r="V136" s="444" t="str">
        <f aca="false">IF(A136="N/A"," ",IF(Indexcheck=TRUE(),(IF(MONTH(A136)&gt;=4,IF(MONTH(A136)&lt;=10,VLOOKUP(A136,'Gas Curves'!B114:O474,13),VLOOKUP(A136,'Gas Curves'!B114:O474,14)),VLOOKUP(A136,'Gas Curves'!B114:O474,14))),0))</f>
        <v> </v>
      </c>
      <c r="W136" s="444" t="str">
        <f aca="false">IF(A136="N/A"," ",((SUM(T136:V136))/(1-Inputs!$S$11)-(SUM(T136:V136))))</f>
        <v> </v>
      </c>
      <c r="X136" s="444" t="str">
        <f aca="false">IF(A136="N/A"," ",(IF(MONTH(A136)&gt;=4,IF(MONTH(A136)&lt;=10,Inputs!$S$9,Inputs!$S$10),Inputs!$S$10)))</f>
        <v> </v>
      </c>
      <c r="Y136" s="445" t="str">
        <f aca="false">IF(A136="N/A"," ",(VLOOKUP($A136,InterestRatesTable,2)))</f>
        <v> </v>
      </c>
      <c r="AF136" s="386" t="n">
        <v>40575</v>
      </c>
      <c r="AG136" s="376" t="n">
        <v>20</v>
      </c>
      <c r="AH136" s="376" t="n">
        <v>4</v>
      </c>
      <c r="AI136" s="376" t="n">
        <v>4</v>
      </c>
      <c r="AJ136" s="376" t="n">
        <v>0</v>
      </c>
      <c r="AK136" s="376" t="n">
        <v>28</v>
      </c>
    </row>
    <row r="137" customFormat="false" ht="12.75" hidden="false" customHeight="false" outlineLevel="0" collapsed="false">
      <c r="A137" s="434" t="str">
        <f aca="false">Calculations!A102</f>
        <v>N/A</v>
      </c>
      <c r="B137" s="435" t="str">
        <f aca="false">IF(A137="N/A"," ",IF(ISERROR(P137),B125*Pwresc,P137)*VLOOKUP(MONTH(A137),Curveadj,3))</f>
        <v> </v>
      </c>
      <c r="C137" s="436" t="str">
        <f aca="false">IF(A137="N/A"," ",IF(ISERROR(Q137),C125*Pwresc,Q137)*VLOOKUP(MONTH(A137),Curveadj,3))</f>
        <v> </v>
      </c>
      <c r="D137" s="437" t="str">
        <f aca="false">IF(A137="N/A"," ",IF(ISERROR(R137),D125*Pwresc,R137)*VLOOKUP(MONTH(A137),Curveadj,3))</f>
        <v> </v>
      </c>
      <c r="E137" s="438" t="str">
        <f aca="false">IF(A137="N/A"," ",IF(Scalers=1,(IF(AND(Dynamic=1,MONTH(A137)&gt;=6,MONTH(A137)&lt;=8,OR($O$37="REGION 2",$O$37="REGION 2A",$O$37="REGION 2B",$O$37="REGION 3",$O$37="REGION 3A",$O$37="REGION 3B",$O$37="REGION 3C",$O$37="REGION 4",$O$37="REGION 4B",$O$37="REGION 4C",$O$37="REGION 5",$O$37="REGION 5A")),((0.059228/(B137/100))-(0.4980013/(SQRT(B137/100)))+2.137988),HLOOKUP(MONTH(A137),ScalarTable,28))),1))</f>
        <v> </v>
      </c>
      <c r="F137" s="439" t="str">
        <f aca="false">IF(A137="N/A"," ",B137*E137)</f>
        <v> </v>
      </c>
      <c r="G137" s="439" t="str">
        <f aca="false">IF(A137="N/A"," ",C137*E137)</f>
        <v> </v>
      </c>
      <c r="H137" s="440" t="str">
        <f aca="false">IF(A137="N/A"," ",D137*E137)</f>
        <v> </v>
      </c>
      <c r="I137" s="402" t="str">
        <f aca="false">IF(A137="N/A"," ",2-E137)</f>
        <v> </v>
      </c>
      <c r="J137" s="439" t="str">
        <f aca="false">IF(A137="N/A"," ",B137*I137)</f>
        <v> </v>
      </c>
      <c r="K137" s="439" t="str">
        <f aca="false">IF(A137="N/A"," ",C137*I137)</f>
        <v> </v>
      </c>
      <c r="L137" s="440" t="str">
        <f aca="false">IF(A137="N/A"," ",D137*I137)</f>
        <v> </v>
      </c>
      <c r="M137" s="441" t="str">
        <f aca="false">IF(A137="N/A"," ",IF(ISERROR(S137),M125*Pwresc,S137))</f>
        <v> </v>
      </c>
      <c r="N137" s="442" t="str">
        <f aca="false">IF(A137="N/A"," ",SUM(T137:X137))</f>
        <v> </v>
      </c>
      <c r="O137" s="370"/>
      <c r="P137" s="436" t="str">
        <f aca="false">IF(A137="N/A"," ",VLOOKUP(A137,PeakPowerCurves,(IF(BMO=2,3,IF(BMO=1,2,4))),FALSE())+Inputs!N120)</f>
        <v> </v>
      </c>
      <c r="Q137" s="436" t="str">
        <f aca="false">IF(A137="N/A"," ",VLOOKUP(A137,SatSunPeakPwr,(IF(BMO=2,3,IF(BMO=1,2,4))),FALSE())+Inputs!$N$23)</f>
        <v> </v>
      </c>
      <c r="R137" s="436" t="str">
        <f aca="false">IF(A137="N/A"," ",VLOOKUP(A137,SatSunPeakPwr,(IF(BMO=2,7,IF(BMO=1,6,8))),FALSE())+Inputs!$N$23)</f>
        <v> </v>
      </c>
      <c r="S137" s="443" t="str">
        <f aca="false">IF(A137="N/A"," ",(VLOOKUP(A137,OPPowerPrices,(IF(BMO=2,7,IF(BMO=1,6,8))),FALSE())+Inputs!$N$23))</f>
        <v> </v>
      </c>
      <c r="T137" s="444" t="str">
        <f aca="false">IF(A137="N/A"," ",(VLOOKUP(A137,GasCurves,9,FALSE()))+IF(BMO=1,Gasbmo,IF(BMO=3,-Gasbmo,0)))</f>
        <v> </v>
      </c>
      <c r="U137" s="444" t="str">
        <f aca="false">IF(A137="N/A"," ",IF(Basischeck=TRUE(),(VLOOKUP(A137,GasCurves,IF(MONTH(A137)&gt;=4,IF(MONTH(A137)&lt;=10,11,12),12),FALSE())),0))</f>
        <v> </v>
      </c>
      <c r="V137" s="444" t="str">
        <f aca="false">IF(A137="N/A"," ",IF(Indexcheck=TRUE(),(IF(MONTH(A137)&gt;=4,IF(MONTH(A137)&lt;=10,VLOOKUP(A137,'Gas Curves'!B115:O475,13),VLOOKUP(A137,'Gas Curves'!B115:O475,14)),VLOOKUP(A137,'Gas Curves'!B115:O475,14))),0))</f>
        <v> </v>
      </c>
      <c r="W137" s="444" t="str">
        <f aca="false">IF(A137="N/A"," ",((SUM(T137:V137))/(1-Inputs!$S$11)-(SUM(T137:V137))))</f>
        <v> </v>
      </c>
      <c r="X137" s="444" t="str">
        <f aca="false">IF(A137="N/A"," ",(IF(MONTH(A137)&gt;=4,IF(MONTH(A137)&lt;=10,Inputs!$S$9,Inputs!$S$10),Inputs!$S$10)))</f>
        <v> </v>
      </c>
      <c r="Y137" s="445" t="str">
        <f aca="false">IF(A137="N/A"," ",(VLOOKUP($A137,InterestRatesTable,2)))</f>
        <v> </v>
      </c>
      <c r="AF137" s="386" t="n">
        <v>40603</v>
      </c>
      <c r="AG137" s="376" t="n">
        <v>23</v>
      </c>
      <c r="AH137" s="376" t="n">
        <v>4</v>
      </c>
      <c r="AI137" s="376" t="n">
        <v>4</v>
      </c>
      <c r="AJ137" s="376" t="n">
        <v>0</v>
      </c>
      <c r="AK137" s="376" t="n">
        <v>31</v>
      </c>
    </row>
    <row r="138" customFormat="false" ht="12.75" hidden="false" customHeight="false" outlineLevel="0" collapsed="false">
      <c r="A138" s="434" t="str">
        <f aca="false">Calculations!A103</f>
        <v>N/A</v>
      </c>
      <c r="B138" s="435" t="str">
        <f aca="false">IF(A138="N/A"," ",IF(ISERROR(P138),B126*Pwresc,P138)*VLOOKUP(MONTH(A138),Curveadj,3))</f>
        <v> </v>
      </c>
      <c r="C138" s="436" t="str">
        <f aca="false">IF(A138="N/A"," ",IF(ISERROR(Q138),C126*Pwresc,Q138)*VLOOKUP(MONTH(A138),Curveadj,3))</f>
        <v> </v>
      </c>
      <c r="D138" s="437" t="str">
        <f aca="false">IF(A138="N/A"," ",IF(ISERROR(R138),D126*Pwresc,R138)*VLOOKUP(MONTH(A138),Curveadj,3))</f>
        <v> </v>
      </c>
      <c r="E138" s="438" t="str">
        <f aca="false">IF(A138="N/A"," ",IF(Scalers=1,(IF(AND(Dynamic=1,MONTH(A138)&gt;=6,MONTH(A138)&lt;=8,OR($O$37="REGION 2",$O$37="REGION 2A",$O$37="REGION 2B",$O$37="REGION 3",$O$37="REGION 3A",$O$37="REGION 3B",$O$37="REGION 3C",$O$37="REGION 4",$O$37="REGION 4B",$O$37="REGION 4C",$O$37="REGION 5",$O$37="REGION 5A")),((0.059228/(B138/100))-(0.4980013/(SQRT(B138/100)))+2.137988),HLOOKUP(MONTH(A138),ScalarTable,28))),1))</f>
        <v> </v>
      </c>
      <c r="F138" s="439" t="str">
        <f aca="false">IF(A138="N/A"," ",B138*E138)</f>
        <v> </v>
      </c>
      <c r="G138" s="439" t="str">
        <f aca="false">IF(A138="N/A"," ",C138*E138)</f>
        <v> </v>
      </c>
      <c r="H138" s="440" t="str">
        <f aca="false">IF(A138="N/A"," ",D138*E138)</f>
        <v> </v>
      </c>
      <c r="I138" s="402" t="str">
        <f aca="false">IF(A138="N/A"," ",2-E138)</f>
        <v> </v>
      </c>
      <c r="J138" s="439" t="str">
        <f aca="false">IF(A138="N/A"," ",B138*I138)</f>
        <v> </v>
      </c>
      <c r="K138" s="439" t="str">
        <f aca="false">IF(A138="N/A"," ",C138*I138)</f>
        <v> </v>
      </c>
      <c r="L138" s="440" t="str">
        <f aca="false">IF(A138="N/A"," ",D138*I138)</f>
        <v> </v>
      </c>
      <c r="M138" s="441" t="str">
        <f aca="false">IF(A138="N/A"," ",IF(ISERROR(S138),M126*Pwresc,S138))</f>
        <v> </v>
      </c>
      <c r="N138" s="442" t="str">
        <f aca="false">IF(A138="N/A"," ",SUM(T138:X138))</f>
        <v> </v>
      </c>
      <c r="O138" s="370"/>
      <c r="P138" s="436" t="str">
        <f aca="false">IF(A138="N/A"," ",VLOOKUP(A138,PeakPowerCurves,(IF(BMO=2,3,IF(BMO=1,2,4))),FALSE())+Inputs!N121)</f>
        <v> </v>
      </c>
      <c r="Q138" s="436" t="str">
        <f aca="false">IF(A138="N/A"," ",VLOOKUP(A138,SatSunPeakPwr,(IF(BMO=2,3,IF(BMO=1,2,4))),FALSE())+Inputs!$N$23)</f>
        <v> </v>
      </c>
      <c r="R138" s="436" t="str">
        <f aca="false">IF(A138="N/A"," ",VLOOKUP(A138,SatSunPeakPwr,(IF(BMO=2,7,IF(BMO=1,6,8))),FALSE())+Inputs!$N$23)</f>
        <v> </v>
      </c>
      <c r="S138" s="443" t="str">
        <f aca="false">IF(A138="N/A"," ",(VLOOKUP(A138,OPPowerPrices,(IF(BMO=2,7,IF(BMO=1,6,8))),FALSE())+Inputs!$N$23))</f>
        <v> </v>
      </c>
      <c r="T138" s="444" t="str">
        <f aca="false">IF(A138="N/A"," ",(VLOOKUP(A138,GasCurves,9,FALSE()))+IF(BMO=1,Gasbmo,IF(BMO=3,-Gasbmo,0)))</f>
        <v> </v>
      </c>
      <c r="U138" s="444" t="str">
        <f aca="false">IF(A138="N/A"," ",IF(Basischeck=TRUE(),(VLOOKUP(A138,GasCurves,IF(MONTH(A138)&gt;=4,IF(MONTH(A138)&lt;=10,11,12),12),FALSE())),0))</f>
        <v> </v>
      </c>
      <c r="V138" s="444" t="str">
        <f aca="false">IF(A138="N/A"," ",IF(Indexcheck=TRUE(),(IF(MONTH(A138)&gt;=4,IF(MONTH(A138)&lt;=10,VLOOKUP(A138,'Gas Curves'!B116:O476,13),VLOOKUP(A138,'Gas Curves'!B116:O476,14)),VLOOKUP(A138,'Gas Curves'!B116:O476,14))),0))</f>
        <v> </v>
      </c>
      <c r="W138" s="444" t="str">
        <f aca="false">IF(A138="N/A"," ",((SUM(T138:V138))/(1-Inputs!$S$11)-(SUM(T138:V138))))</f>
        <v> </v>
      </c>
      <c r="X138" s="444" t="str">
        <f aca="false">IF(A138="N/A"," ",(IF(MONTH(A138)&gt;=4,IF(MONTH(A138)&lt;=10,Inputs!$S$9,Inputs!$S$10),Inputs!$S$10)))</f>
        <v> </v>
      </c>
      <c r="Y138" s="445" t="str">
        <f aca="false">IF(A138="N/A"," ",(VLOOKUP($A138,InterestRatesTable,2)))</f>
        <v> </v>
      </c>
      <c r="AF138" s="386" t="n">
        <v>40634</v>
      </c>
      <c r="AG138" s="376" t="n">
        <v>21</v>
      </c>
      <c r="AH138" s="376" t="n">
        <v>5</v>
      </c>
      <c r="AI138" s="376" t="n">
        <v>4</v>
      </c>
      <c r="AJ138" s="376" t="n">
        <v>0</v>
      </c>
      <c r="AK138" s="376" t="n">
        <v>30</v>
      </c>
    </row>
    <row r="139" customFormat="false" ht="12.75" hidden="false" customHeight="false" outlineLevel="0" collapsed="false">
      <c r="A139" s="434" t="str">
        <f aca="false">Calculations!A104</f>
        <v>N/A</v>
      </c>
      <c r="B139" s="435" t="str">
        <f aca="false">IF(A139="N/A"," ",IF(ISERROR(P139),B127*Pwresc,P139)*VLOOKUP(MONTH(A139),Curveadj,3))</f>
        <v> </v>
      </c>
      <c r="C139" s="436" t="str">
        <f aca="false">IF(A139="N/A"," ",IF(ISERROR(Q139),C127*Pwresc,Q139)*VLOOKUP(MONTH(A139),Curveadj,3))</f>
        <v> </v>
      </c>
      <c r="D139" s="437" t="str">
        <f aca="false">IF(A139="N/A"," ",IF(ISERROR(R139),D127*Pwresc,R139)*VLOOKUP(MONTH(A139),Curveadj,3))</f>
        <v> </v>
      </c>
      <c r="E139" s="438" t="str">
        <f aca="false">IF(A139="N/A"," ",IF(Scalers=1,(IF(AND(Dynamic=1,MONTH(A139)&gt;=6,MONTH(A139)&lt;=8,OR($O$37="REGION 2",$O$37="REGION 2A",$O$37="REGION 2B",$O$37="REGION 3",$O$37="REGION 3A",$O$37="REGION 3B",$O$37="REGION 3C",$O$37="REGION 4",$O$37="REGION 4B",$O$37="REGION 4C",$O$37="REGION 5",$O$37="REGION 5A")),((0.059228/(B139/100))-(0.4980013/(SQRT(B139/100)))+2.137988),HLOOKUP(MONTH(A139),ScalarTable,28))),1))</f>
        <v> </v>
      </c>
      <c r="F139" s="439" t="str">
        <f aca="false">IF(A139="N/A"," ",B139*E139)</f>
        <v> </v>
      </c>
      <c r="G139" s="439" t="str">
        <f aca="false">IF(A139="N/A"," ",C139*E139)</f>
        <v> </v>
      </c>
      <c r="H139" s="440" t="str">
        <f aca="false">IF(A139="N/A"," ",D139*E139)</f>
        <v> </v>
      </c>
      <c r="I139" s="402" t="str">
        <f aca="false">IF(A139="N/A"," ",2-E139)</f>
        <v> </v>
      </c>
      <c r="J139" s="439" t="str">
        <f aca="false">IF(A139="N/A"," ",B139*I139)</f>
        <v> </v>
      </c>
      <c r="K139" s="439" t="str">
        <f aca="false">IF(A139="N/A"," ",C139*I139)</f>
        <v> </v>
      </c>
      <c r="L139" s="440" t="str">
        <f aca="false">IF(A139="N/A"," ",D139*I139)</f>
        <v> </v>
      </c>
      <c r="M139" s="441" t="str">
        <f aca="false">IF(A139="N/A"," ",IF(ISERROR(S139),M127*Pwresc,S139))</f>
        <v> </v>
      </c>
      <c r="N139" s="442" t="str">
        <f aca="false">IF(A139="N/A"," ",SUM(T139:X139))</f>
        <v> </v>
      </c>
      <c r="O139" s="370"/>
      <c r="P139" s="436" t="str">
        <f aca="false">IF(A139="N/A"," ",VLOOKUP(A139,PeakPowerCurves,(IF(BMO=2,3,IF(BMO=1,2,4))),FALSE())+Inputs!N122)</f>
        <v> </v>
      </c>
      <c r="Q139" s="436" t="str">
        <f aca="false">IF(A139="N/A"," ",VLOOKUP(A139,SatSunPeakPwr,(IF(BMO=2,3,IF(BMO=1,2,4))),FALSE())+Inputs!$N$23)</f>
        <v> </v>
      </c>
      <c r="R139" s="436" t="str">
        <f aca="false">IF(A139="N/A"," ",VLOOKUP(A139,SatSunPeakPwr,(IF(BMO=2,7,IF(BMO=1,6,8))),FALSE())+Inputs!$N$23)</f>
        <v> </v>
      </c>
      <c r="S139" s="443" t="str">
        <f aca="false">IF(A139="N/A"," ",(VLOOKUP(A139,OPPowerPrices,(IF(BMO=2,7,IF(BMO=1,6,8))),FALSE())+Inputs!$N$23))</f>
        <v> </v>
      </c>
      <c r="T139" s="444" t="str">
        <f aca="false">IF(A139="N/A"," ",(VLOOKUP(A139,GasCurves,9,FALSE()))+IF(BMO=1,Gasbmo,IF(BMO=3,-Gasbmo,0)))</f>
        <v> </v>
      </c>
      <c r="U139" s="444" t="str">
        <f aca="false">IF(A139="N/A"," ",IF(Basischeck=TRUE(),(VLOOKUP(A139,GasCurves,IF(MONTH(A139)&gt;=4,IF(MONTH(A139)&lt;=10,11,12),12),FALSE())),0))</f>
        <v> </v>
      </c>
      <c r="V139" s="444" t="str">
        <f aca="false">IF(A139="N/A"," ",IF(Indexcheck=TRUE(),(IF(MONTH(A139)&gt;=4,IF(MONTH(A139)&lt;=10,VLOOKUP(A139,'Gas Curves'!B117:O477,13),VLOOKUP(A139,'Gas Curves'!B117:O477,14)),VLOOKUP(A139,'Gas Curves'!B117:O477,14))),0))</f>
        <v> </v>
      </c>
      <c r="W139" s="444" t="str">
        <f aca="false">IF(A139="N/A"," ",((SUM(T139:V139))/(1-Inputs!$S$11)-(SUM(T139:V139))))</f>
        <v> </v>
      </c>
      <c r="X139" s="444" t="str">
        <f aca="false">IF(A139="N/A"," ",(IF(MONTH(A139)&gt;=4,IF(MONTH(A139)&lt;=10,Inputs!$S$9,Inputs!$S$10),Inputs!$S$10)))</f>
        <v> </v>
      </c>
      <c r="Y139" s="445" t="str">
        <f aca="false">IF(A139="N/A"," ",(VLOOKUP($A139,InterestRatesTable,2)))</f>
        <v> </v>
      </c>
      <c r="AF139" s="386" t="n">
        <v>40664</v>
      </c>
      <c r="AG139" s="376" t="n">
        <v>21</v>
      </c>
      <c r="AH139" s="376" t="n">
        <v>4</v>
      </c>
      <c r="AI139" s="376" t="n">
        <v>6</v>
      </c>
      <c r="AJ139" s="376" t="n">
        <v>1</v>
      </c>
      <c r="AK139" s="376" t="n">
        <v>31</v>
      </c>
    </row>
    <row r="140" customFormat="false" ht="12.75" hidden="false" customHeight="false" outlineLevel="0" collapsed="false">
      <c r="A140" s="434" t="str">
        <f aca="false">Calculations!A105</f>
        <v>N/A</v>
      </c>
      <c r="B140" s="435" t="str">
        <f aca="false">IF(A140="N/A"," ",IF(ISERROR(P140),B128*Pwresc,P140)*VLOOKUP(MONTH(A140),Curveadj,3))</f>
        <v> </v>
      </c>
      <c r="C140" s="436" t="str">
        <f aca="false">IF(A140="N/A"," ",IF(ISERROR(Q140),C128*Pwresc,Q140)*VLOOKUP(MONTH(A140),Curveadj,3))</f>
        <v> </v>
      </c>
      <c r="D140" s="437" t="str">
        <f aca="false">IF(A140="N/A"," ",IF(ISERROR(R140),D128*Pwresc,R140)*VLOOKUP(MONTH(A140),Curveadj,3))</f>
        <v> </v>
      </c>
      <c r="E140" s="438" t="str">
        <f aca="false">IF(A140="N/A"," ",IF(Scalers=1,(IF(AND(Dynamic=1,MONTH(A140)&gt;=6,MONTH(A140)&lt;=8,OR($O$37="REGION 2",$O$37="REGION 2A",$O$37="REGION 2B",$O$37="REGION 3",$O$37="REGION 3A",$O$37="REGION 3B",$O$37="REGION 3C",$O$37="REGION 4",$O$37="REGION 4B",$O$37="REGION 4C",$O$37="REGION 5",$O$37="REGION 5A")),((0.059228/(B140/100))-(0.4980013/(SQRT(B140/100)))+2.137988),HLOOKUP(MONTH(A140),ScalarTable,28))),1))</f>
        <v> </v>
      </c>
      <c r="F140" s="439" t="str">
        <f aca="false">IF(A140="N/A"," ",B140*E140)</f>
        <v> </v>
      </c>
      <c r="G140" s="439" t="str">
        <f aca="false">IF(A140="N/A"," ",C140*E140)</f>
        <v> </v>
      </c>
      <c r="H140" s="440" t="str">
        <f aca="false">IF(A140="N/A"," ",D140*E140)</f>
        <v> </v>
      </c>
      <c r="I140" s="402" t="str">
        <f aca="false">IF(A140="N/A"," ",2-E140)</f>
        <v> </v>
      </c>
      <c r="J140" s="439" t="str">
        <f aca="false">IF(A140="N/A"," ",B140*I140)</f>
        <v> </v>
      </c>
      <c r="K140" s="439" t="str">
        <f aca="false">IF(A140="N/A"," ",C140*I140)</f>
        <v> </v>
      </c>
      <c r="L140" s="440" t="str">
        <f aca="false">IF(A140="N/A"," ",D140*I140)</f>
        <v> </v>
      </c>
      <c r="M140" s="441" t="str">
        <f aca="false">IF(A140="N/A"," ",IF(ISERROR(S140),M128*Pwresc,S140))</f>
        <v> </v>
      </c>
      <c r="N140" s="442" t="str">
        <f aca="false">IF(A140="N/A"," ",SUM(T140:X140))</f>
        <v> </v>
      </c>
      <c r="O140" s="370"/>
      <c r="P140" s="436" t="str">
        <f aca="false">IF(A140="N/A"," ",VLOOKUP(A140,PeakPowerCurves,(IF(BMO=2,3,IF(BMO=1,2,4))),FALSE())+Inputs!N123)</f>
        <v> </v>
      </c>
      <c r="Q140" s="436" t="str">
        <f aca="false">IF(A140="N/A"," ",VLOOKUP(A140,SatSunPeakPwr,(IF(BMO=2,3,IF(BMO=1,2,4))),FALSE())+Inputs!$N$23)</f>
        <v> </v>
      </c>
      <c r="R140" s="436" t="str">
        <f aca="false">IF(A140="N/A"," ",VLOOKUP(A140,SatSunPeakPwr,(IF(BMO=2,7,IF(BMO=1,6,8))),FALSE())+Inputs!$N$23)</f>
        <v> </v>
      </c>
      <c r="S140" s="443" t="str">
        <f aca="false">IF(A140="N/A"," ",(VLOOKUP(A140,OPPowerPrices,(IF(BMO=2,7,IF(BMO=1,6,8))),FALSE())+Inputs!$N$23))</f>
        <v> </v>
      </c>
      <c r="T140" s="444" t="str">
        <f aca="false">IF(A140="N/A"," ",(VLOOKUP(A140,GasCurves,9,FALSE()))+IF(BMO=1,Gasbmo,IF(BMO=3,-Gasbmo,0)))</f>
        <v> </v>
      </c>
      <c r="U140" s="444" t="str">
        <f aca="false">IF(A140="N/A"," ",IF(Basischeck=TRUE(),(VLOOKUP(A140,GasCurves,IF(MONTH(A140)&gt;=4,IF(MONTH(A140)&lt;=10,11,12),12),FALSE())),0))</f>
        <v> </v>
      </c>
      <c r="V140" s="444" t="str">
        <f aca="false">IF(A140="N/A"," ",IF(Indexcheck=TRUE(),(IF(MONTH(A140)&gt;=4,IF(MONTH(A140)&lt;=10,VLOOKUP(A140,'Gas Curves'!B118:O478,13),VLOOKUP(A140,'Gas Curves'!B118:O478,14)),VLOOKUP(A140,'Gas Curves'!B118:O478,14))),0))</f>
        <v> </v>
      </c>
      <c r="W140" s="444" t="str">
        <f aca="false">IF(A140="N/A"," ",((SUM(T140:V140))/(1-Inputs!$S$11)-(SUM(T140:V140))))</f>
        <v> </v>
      </c>
      <c r="X140" s="444" t="str">
        <f aca="false">IF(A140="N/A"," ",(IF(MONTH(A140)&gt;=4,IF(MONTH(A140)&lt;=10,Inputs!$S$9,Inputs!$S$10),Inputs!$S$10)))</f>
        <v> </v>
      </c>
      <c r="Y140" s="445" t="str">
        <f aca="false">IF(A140="N/A"," ",(VLOOKUP($A140,InterestRatesTable,2)))</f>
        <v> </v>
      </c>
      <c r="AF140" s="386" t="n">
        <v>40695</v>
      </c>
      <c r="AG140" s="376" t="n">
        <v>22</v>
      </c>
      <c r="AH140" s="376" t="n">
        <v>4</v>
      </c>
      <c r="AI140" s="376" t="n">
        <v>4</v>
      </c>
      <c r="AJ140" s="376" t="n">
        <v>0</v>
      </c>
      <c r="AK140" s="376" t="n">
        <v>30</v>
      </c>
    </row>
    <row r="141" customFormat="false" ht="12.75" hidden="false" customHeight="false" outlineLevel="0" collapsed="false">
      <c r="A141" s="434" t="str">
        <f aca="false">Calculations!A106</f>
        <v>N/A</v>
      </c>
      <c r="B141" s="435" t="str">
        <f aca="false">IF(A141="N/A"," ",IF(ISERROR(P141),B129*Pwresc,P141)*VLOOKUP(MONTH(A141),Curveadj,3))</f>
        <v> </v>
      </c>
      <c r="C141" s="436" t="str">
        <f aca="false">IF(A141="N/A"," ",IF(ISERROR(Q141),C129*Pwresc,Q141)*VLOOKUP(MONTH(A141),Curveadj,3))</f>
        <v> </v>
      </c>
      <c r="D141" s="437" t="str">
        <f aca="false">IF(A141="N/A"," ",IF(ISERROR(R141),D129*Pwresc,R141)*VLOOKUP(MONTH(A141),Curveadj,3))</f>
        <v> </v>
      </c>
      <c r="E141" s="438" t="str">
        <f aca="false">IF(A141="N/A"," ",IF(Scalers=1,(IF(AND(Dynamic=1,MONTH(A141)&gt;=6,MONTH(A141)&lt;=8,OR($O$37="REGION 2",$O$37="REGION 2A",$O$37="REGION 2B",$O$37="REGION 3",$O$37="REGION 3A",$O$37="REGION 3B",$O$37="REGION 3C",$O$37="REGION 4",$O$37="REGION 4B",$O$37="REGION 4C",$O$37="REGION 5",$O$37="REGION 5A")),((0.059228/(B141/100))-(0.4980013/(SQRT(B141/100)))+2.137988),HLOOKUP(MONTH(A141),ScalarTable,28))),1))</f>
        <v> </v>
      </c>
      <c r="F141" s="439" t="str">
        <f aca="false">IF(A141="N/A"," ",B141*E141)</f>
        <v> </v>
      </c>
      <c r="G141" s="439" t="str">
        <f aca="false">IF(A141="N/A"," ",C141*E141)</f>
        <v> </v>
      </c>
      <c r="H141" s="440" t="str">
        <f aca="false">IF(A141="N/A"," ",D141*E141)</f>
        <v> </v>
      </c>
      <c r="I141" s="402" t="str">
        <f aca="false">IF(A141="N/A"," ",2-E141)</f>
        <v> </v>
      </c>
      <c r="J141" s="439" t="str">
        <f aca="false">IF(A141="N/A"," ",B141*I141)</f>
        <v> </v>
      </c>
      <c r="K141" s="439" t="str">
        <f aca="false">IF(A141="N/A"," ",C141*I141)</f>
        <v> </v>
      </c>
      <c r="L141" s="440" t="str">
        <f aca="false">IF(A141="N/A"," ",D141*I141)</f>
        <v> </v>
      </c>
      <c r="M141" s="441" t="str">
        <f aca="false">IF(A141="N/A"," ",IF(ISERROR(S141),M129*Pwresc,S141))</f>
        <v> </v>
      </c>
      <c r="N141" s="442" t="str">
        <f aca="false">IF(A141="N/A"," ",SUM(T141:X141))</f>
        <v> </v>
      </c>
      <c r="O141" s="370"/>
      <c r="P141" s="436" t="str">
        <f aca="false">IF(A141="N/A"," ",VLOOKUP(A141,PeakPowerCurves,(IF(BMO=2,3,IF(BMO=1,2,4))),FALSE())+Inputs!N124)</f>
        <v> </v>
      </c>
      <c r="Q141" s="436" t="str">
        <f aca="false">IF(A141="N/A"," ",VLOOKUP(A141,SatSunPeakPwr,(IF(BMO=2,3,IF(BMO=1,2,4))),FALSE())+Inputs!$N$23)</f>
        <v> </v>
      </c>
      <c r="R141" s="436" t="str">
        <f aca="false">IF(A141="N/A"," ",VLOOKUP(A141,SatSunPeakPwr,(IF(BMO=2,7,IF(BMO=1,6,8))),FALSE())+Inputs!$N$23)</f>
        <v> </v>
      </c>
      <c r="S141" s="443" t="str">
        <f aca="false">IF(A141="N/A"," ",(VLOOKUP(A141,OPPowerPrices,(IF(BMO=2,7,IF(BMO=1,6,8))),FALSE())+Inputs!$N$23))</f>
        <v> </v>
      </c>
      <c r="T141" s="444" t="str">
        <f aca="false">IF(A141="N/A"," ",(VLOOKUP(A141,GasCurves,9,FALSE()))+IF(BMO=1,Gasbmo,IF(BMO=3,-Gasbmo,0)))</f>
        <v> </v>
      </c>
      <c r="U141" s="444" t="str">
        <f aca="false">IF(A141="N/A"," ",IF(Basischeck=TRUE(),(VLOOKUP(A141,GasCurves,IF(MONTH(A141)&gt;=4,IF(MONTH(A141)&lt;=10,11,12),12),FALSE())),0))</f>
        <v> </v>
      </c>
      <c r="V141" s="444" t="str">
        <f aca="false">IF(A141="N/A"," ",IF(Indexcheck=TRUE(),(IF(MONTH(A141)&gt;=4,IF(MONTH(A141)&lt;=10,VLOOKUP(A141,'Gas Curves'!B119:O479,13),VLOOKUP(A141,'Gas Curves'!B119:O479,14)),VLOOKUP(A141,'Gas Curves'!B119:O479,14))),0))</f>
        <v> </v>
      </c>
      <c r="W141" s="444" t="str">
        <f aca="false">IF(A141="N/A"," ",((SUM(T141:V141))/(1-Inputs!$S$11)-(SUM(T141:V141))))</f>
        <v> </v>
      </c>
      <c r="X141" s="444" t="str">
        <f aca="false">IF(A141="N/A"," ",(IF(MONTH(A141)&gt;=4,IF(MONTH(A141)&lt;=10,Inputs!$S$9,Inputs!$S$10),Inputs!$S$10)))</f>
        <v> </v>
      </c>
      <c r="Y141" s="445" t="str">
        <f aca="false">IF(A141="N/A"," ",(VLOOKUP($A141,InterestRatesTable,2)))</f>
        <v> </v>
      </c>
      <c r="AF141" s="386" t="n">
        <v>40725</v>
      </c>
      <c r="AG141" s="376" t="n">
        <v>20</v>
      </c>
      <c r="AH141" s="376" t="n">
        <v>5</v>
      </c>
      <c r="AI141" s="376" t="n">
        <v>6</v>
      </c>
      <c r="AJ141" s="376" t="n">
        <v>1</v>
      </c>
      <c r="AK141" s="376" t="n">
        <v>31</v>
      </c>
    </row>
    <row r="142" customFormat="false" ht="12.75" hidden="false" customHeight="false" outlineLevel="0" collapsed="false">
      <c r="A142" s="434" t="str">
        <f aca="false">Calculations!A107</f>
        <v>N/A</v>
      </c>
      <c r="B142" s="435" t="str">
        <f aca="false">IF(A142="N/A"," ",IF(ISERROR(P142),B130*Pwresc,P142)*VLOOKUP(MONTH(A142),Curveadj,3))</f>
        <v> </v>
      </c>
      <c r="C142" s="436" t="str">
        <f aca="false">IF(A142="N/A"," ",IF(ISERROR(Q142),C130*Pwresc,Q142)*VLOOKUP(MONTH(A142),Curveadj,3))</f>
        <v> </v>
      </c>
      <c r="D142" s="437" t="str">
        <f aca="false">IF(A142="N/A"," ",IF(ISERROR(R142),D130*Pwresc,R142)*VLOOKUP(MONTH(A142),Curveadj,3))</f>
        <v> </v>
      </c>
      <c r="E142" s="438" t="str">
        <f aca="false">IF(A142="N/A"," ",IF(Scalers=1,(IF(AND(Dynamic=1,MONTH(A142)&gt;=6,MONTH(A142)&lt;=8,OR($O$37="REGION 2",$O$37="REGION 2A",$O$37="REGION 2B",$O$37="REGION 3",$O$37="REGION 3A",$O$37="REGION 3B",$O$37="REGION 3C",$O$37="REGION 4",$O$37="REGION 4B",$O$37="REGION 4C",$O$37="REGION 5",$O$37="REGION 5A")),((0.059228/(B142/100))-(0.4980013/(SQRT(B142/100)))+2.137988),HLOOKUP(MONTH(A142),ScalarTable,28))),1))</f>
        <v> </v>
      </c>
      <c r="F142" s="439" t="str">
        <f aca="false">IF(A142="N/A"," ",B142*E142)</f>
        <v> </v>
      </c>
      <c r="G142" s="439" t="str">
        <f aca="false">IF(A142="N/A"," ",C142*E142)</f>
        <v> </v>
      </c>
      <c r="H142" s="440" t="str">
        <f aca="false">IF(A142="N/A"," ",D142*E142)</f>
        <v> </v>
      </c>
      <c r="I142" s="402" t="str">
        <f aca="false">IF(A142="N/A"," ",2-E142)</f>
        <v> </v>
      </c>
      <c r="J142" s="439" t="str">
        <f aca="false">IF(A142="N/A"," ",B142*I142)</f>
        <v> </v>
      </c>
      <c r="K142" s="439" t="str">
        <f aca="false">IF(A142="N/A"," ",C142*I142)</f>
        <v> </v>
      </c>
      <c r="L142" s="440" t="str">
        <f aca="false">IF(A142="N/A"," ",D142*I142)</f>
        <v> </v>
      </c>
      <c r="M142" s="441" t="str">
        <f aca="false">IF(A142="N/A"," ",IF(ISERROR(S142),M130*Pwresc,S142))</f>
        <v> </v>
      </c>
      <c r="N142" s="442" t="str">
        <f aca="false">IF(A142="N/A"," ",SUM(T142:X142))</f>
        <v> </v>
      </c>
      <c r="O142" s="370"/>
      <c r="P142" s="436" t="str">
        <f aca="false">IF(A142="N/A"," ",VLOOKUP(A142,PeakPowerCurves,(IF(BMO=2,3,IF(BMO=1,2,4))),FALSE())+Inputs!N125)</f>
        <v> </v>
      </c>
      <c r="Q142" s="436" t="str">
        <f aca="false">IF(A142="N/A"," ",VLOOKUP(A142,SatSunPeakPwr,(IF(BMO=2,3,IF(BMO=1,2,4))),FALSE())+Inputs!$N$23)</f>
        <v> </v>
      </c>
      <c r="R142" s="436" t="str">
        <f aca="false">IF(A142="N/A"," ",VLOOKUP(A142,SatSunPeakPwr,(IF(BMO=2,7,IF(BMO=1,6,8))),FALSE())+Inputs!$N$23)</f>
        <v> </v>
      </c>
      <c r="S142" s="443" t="str">
        <f aca="false">IF(A142="N/A"," ",(VLOOKUP(A142,OPPowerPrices,(IF(BMO=2,7,IF(BMO=1,6,8))),FALSE())+Inputs!$N$23))</f>
        <v> </v>
      </c>
      <c r="T142" s="444" t="str">
        <f aca="false">IF(A142="N/A"," ",(VLOOKUP(A142,GasCurves,9,FALSE()))+IF(BMO=1,Gasbmo,IF(BMO=3,-Gasbmo,0)))</f>
        <v> </v>
      </c>
      <c r="U142" s="444" t="str">
        <f aca="false">IF(A142="N/A"," ",IF(Basischeck=TRUE(),(VLOOKUP(A142,GasCurves,IF(MONTH(A142)&gt;=4,IF(MONTH(A142)&lt;=10,11,12),12),FALSE())),0))</f>
        <v> </v>
      </c>
      <c r="V142" s="444" t="str">
        <f aca="false">IF(A142="N/A"," ",IF(Indexcheck=TRUE(),(IF(MONTH(A142)&gt;=4,IF(MONTH(A142)&lt;=10,VLOOKUP(A142,'Gas Curves'!B120:O480,13),VLOOKUP(A142,'Gas Curves'!B120:O480,14)),VLOOKUP(A142,'Gas Curves'!B120:O480,14))),0))</f>
        <v> </v>
      </c>
      <c r="W142" s="444" t="str">
        <f aca="false">IF(A142="N/A"," ",((SUM(T142:V142))/(1-Inputs!$S$11)-(SUM(T142:V142))))</f>
        <v> </v>
      </c>
      <c r="X142" s="444" t="str">
        <f aca="false">IF(A142="N/A"," ",(IF(MONTH(A142)&gt;=4,IF(MONTH(A142)&lt;=10,Inputs!$S$9,Inputs!$S$10),Inputs!$S$10)))</f>
        <v> </v>
      </c>
      <c r="Y142" s="445" t="str">
        <f aca="false">IF(A142="N/A"," ",(VLOOKUP($A142,InterestRatesTable,2)))</f>
        <v> </v>
      </c>
      <c r="AF142" s="386" t="n">
        <v>40756</v>
      </c>
      <c r="AG142" s="376" t="n">
        <v>23</v>
      </c>
      <c r="AH142" s="376" t="n">
        <v>4</v>
      </c>
      <c r="AI142" s="376" t="n">
        <v>4</v>
      </c>
      <c r="AJ142" s="376" t="n">
        <v>0</v>
      </c>
      <c r="AK142" s="376" t="n">
        <v>31</v>
      </c>
    </row>
    <row r="143" customFormat="false" ht="12.75" hidden="false" customHeight="false" outlineLevel="0" collapsed="false">
      <c r="A143" s="434" t="str">
        <f aca="false">Calculations!A108</f>
        <v>N/A</v>
      </c>
      <c r="B143" s="435" t="str">
        <f aca="false">IF(A143="N/A"," ",IF(ISERROR(P143),B131*Pwresc,P143)*VLOOKUP(MONTH(A143),Curveadj,3))</f>
        <v> </v>
      </c>
      <c r="C143" s="436" t="str">
        <f aca="false">IF(A143="N/A"," ",IF(ISERROR(Q143),C131*Pwresc,Q143)*VLOOKUP(MONTH(A143),Curveadj,3))</f>
        <v> </v>
      </c>
      <c r="D143" s="437" t="str">
        <f aca="false">IF(A143="N/A"," ",IF(ISERROR(R143),D131*Pwresc,R143)*VLOOKUP(MONTH(A143),Curveadj,3))</f>
        <v> </v>
      </c>
      <c r="E143" s="438" t="str">
        <f aca="false">IF(A143="N/A"," ",IF(Scalers=1,(IF(AND(Dynamic=1,MONTH(A143)&gt;=6,MONTH(A143)&lt;=8,OR($O$37="REGION 2",$O$37="REGION 2A",$O$37="REGION 2B",$O$37="REGION 3",$O$37="REGION 3A",$O$37="REGION 3B",$O$37="REGION 3C",$O$37="REGION 4",$O$37="REGION 4B",$O$37="REGION 4C",$O$37="REGION 5",$O$37="REGION 5A")),((0.059228/(B143/100))-(0.4980013/(SQRT(B143/100)))+2.137988),HLOOKUP(MONTH(A143),ScalarTable,28))),1))</f>
        <v> </v>
      </c>
      <c r="F143" s="439" t="str">
        <f aca="false">IF(A143="N/A"," ",B143*E143)</f>
        <v> </v>
      </c>
      <c r="G143" s="439" t="str">
        <f aca="false">IF(A143="N/A"," ",C143*E143)</f>
        <v> </v>
      </c>
      <c r="H143" s="440" t="str">
        <f aca="false">IF(A143="N/A"," ",D143*E143)</f>
        <v> </v>
      </c>
      <c r="I143" s="402" t="str">
        <f aca="false">IF(A143="N/A"," ",2-E143)</f>
        <v> </v>
      </c>
      <c r="J143" s="439" t="str">
        <f aca="false">IF(A143="N/A"," ",B143*I143)</f>
        <v> </v>
      </c>
      <c r="K143" s="439" t="str">
        <f aca="false">IF(A143="N/A"," ",C143*I143)</f>
        <v> </v>
      </c>
      <c r="L143" s="440" t="str">
        <f aca="false">IF(A143="N/A"," ",D143*I143)</f>
        <v> </v>
      </c>
      <c r="M143" s="441" t="str">
        <f aca="false">IF(A143="N/A"," ",IF(ISERROR(S143),M131*Pwresc,S143))</f>
        <v> </v>
      </c>
      <c r="N143" s="442" t="str">
        <f aca="false">IF(A143="N/A"," ",SUM(T143:X143))</f>
        <v> </v>
      </c>
      <c r="O143" s="370"/>
      <c r="P143" s="436" t="str">
        <f aca="false">IF(A143="N/A"," ",VLOOKUP(A143,PeakPowerCurves,(IF(BMO=2,3,IF(BMO=1,2,4))),FALSE())+Inputs!N126)</f>
        <v> </v>
      </c>
      <c r="Q143" s="436" t="str">
        <f aca="false">IF(A143="N/A"," ",VLOOKUP(A143,SatSunPeakPwr,(IF(BMO=2,3,IF(BMO=1,2,4))),FALSE())+Inputs!$N$23)</f>
        <v> </v>
      </c>
      <c r="R143" s="436" t="str">
        <f aca="false">IF(A143="N/A"," ",VLOOKUP(A143,SatSunPeakPwr,(IF(BMO=2,7,IF(BMO=1,6,8))),FALSE())+Inputs!$N$23)</f>
        <v> </v>
      </c>
      <c r="S143" s="443" t="str">
        <f aca="false">IF(A143="N/A"," ",(VLOOKUP(A143,OPPowerPrices,(IF(BMO=2,7,IF(BMO=1,6,8))),FALSE())+Inputs!$N$23))</f>
        <v> </v>
      </c>
      <c r="T143" s="444" t="str">
        <f aca="false">IF(A143="N/A"," ",(VLOOKUP(A143,GasCurves,9,FALSE()))+IF(BMO=1,Gasbmo,IF(BMO=3,-Gasbmo,0)))</f>
        <v> </v>
      </c>
      <c r="U143" s="444" t="str">
        <f aca="false">IF(A143="N/A"," ",IF(Basischeck=TRUE(),(VLOOKUP(A143,GasCurves,IF(MONTH(A143)&gt;=4,IF(MONTH(A143)&lt;=10,11,12),12),FALSE())),0))</f>
        <v> </v>
      </c>
      <c r="V143" s="444" t="str">
        <f aca="false">IF(A143="N/A"," ",IF(Indexcheck=TRUE(),(IF(MONTH(A143)&gt;=4,IF(MONTH(A143)&lt;=10,VLOOKUP(A143,'Gas Curves'!B121:O481,13),VLOOKUP(A143,'Gas Curves'!B121:O481,14)),VLOOKUP(A143,'Gas Curves'!B121:O481,14))),0))</f>
        <v> </v>
      </c>
      <c r="W143" s="444" t="str">
        <f aca="false">IF(A143="N/A"," ",((SUM(T143:V143))/(1-Inputs!$S$11)-(SUM(T143:V143))))</f>
        <v> </v>
      </c>
      <c r="X143" s="444" t="str">
        <f aca="false">IF(A143="N/A"," ",(IF(MONTH(A143)&gt;=4,IF(MONTH(A143)&lt;=10,Inputs!$S$9,Inputs!$S$10),Inputs!$S$10)))</f>
        <v> </v>
      </c>
      <c r="Y143" s="445" t="str">
        <f aca="false">IF(A143="N/A"," ",(VLOOKUP($A143,InterestRatesTable,2)))</f>
        <v> </v>
      </c>
      <c r="AF143" s="386" t="n">
        <v>40787</v>
      </c>
      <c r="AG143" s="376" t="n">
        <v>21</v>
      </c>
      <c r="AH143" s="376" t="n">
        <v>4</v>
      </c>
      <c r="AI143" s="376" t="n">
        <v>5</v>
      </c>
      <c r="AJ143" s="376" t="n">
        <v>1</v>
      </c>
      <c r="AK143" s="376" t="n">
        <v>30</v>
      </c>
    </row>
    <row r="144" customFormat="false" ht="12.75" hidden="false" customHeight="false" outlineLevel="0" collapsed="false">
      <c r="A144" s="434" t="str">
        <f aca="false">Calculations!A109</f>
        <v>N/A</v>
      </c>
      <c r="B144" s="435" t="str">
        <f aca="false">IF(A144="N/A"," ",IF(ISERROR(P144),B132*Pwresc,P144)*VLOOKUP(MONTH(A144),Curveadj,3))</f>
        <v> </v>
      </c>
      <c r="C144" s="436" t="str">
        <f aca="false">IF(A144="N/A"," ",IF(ISERROR(Q144),C132*Pwresc,Q144)*VLOOKUP(MONTH(A144),Curveadj,3))</f>
        <v> </v>
      </c>
      <c r="D144" s="437" t="str">
        <f aca="false">IF(A144="N/A"," ",IF(ISERROR(R144),D132*Pwresc,R144)*VLOOKUP(MONTH(A144),Curveadj,3))</f>
        <v> </v>
      </c>
      <c r="E144" s="438" t="str">
        <f aca="false">IF(A144="N/A"," ",IF(Scalers=1,(IF(AND(Dynamic=1,MONTH(A144)&gt;=6,MONTH(A144)&lt;=8,OR($O$37="REGION 2",$O$37="REGION 2A",$O$37="REGION 2B",$O$37="REGION 3",$O$37="REGION 3A",$O$37="REGION 3B",$O$37="REGION 3C",$O$37="REGION 4",$O$37="REGION 4B",$O$37="REGION 4C",$O$37="REGION 5",$O$37="REGION 5A")),((0.059228/(B144/100))-(0.4980013/(SQRT(B144/100)))+2.137988),HLOOKUP(MONTH(A144),ScalarTable,28))),1))</f>
        <v> </v>
      </c>
      <c r="F144" s="439" t="str">
        <f aca="false">IF(A144="N/A"," ",B144*E144)</f>
        <v> </v>
      </c>
      <c r="G144" s="439" t="str">
        <f aca="false">IF(A144="N/A"," ",C144*E144)</f>
        <v> </v>
      </c>
      <c r="H144" s="440" t="str">
        <f aca="false">IF(A144="N/A"," ",D144*E144)</f>
        <v> </v>
      </c>
      <c r="I144" s="402" t="str">
        <f aca="false">IF(A144="N/A"," ",2-E144)</f>
        <v> </v>
      </c>
      <c r="J144" s="439" t="str">
        <f aca="false">IF(A144="N/A"," ",B144*I144)</f>
        <v> </v>
      </c>
      <c r="K144" s="439" t="str">
        <f aca="false">IF(A144="N/A"," ",C144*I144)</f>
        <v> </v>
      </c>
      <c r="L144" s="440" t="str">
        <f aca="false">IF(A144="N/A"," ",D144*I144)</f>
        <v> </v>
      </c>
      <c r="M144" s="441" t="str">
        <f aca="false">IF(A144="N/A"," ",IF(ISERROR(S144),M132*Pwresc,S144))</f>
        <v> </v>
      </c>
      <c r="N144" s="442" t="str">
        <f aca="false">IF(A144="N/A"," ",SUM(T144:X144))</f>
        <v> </v>
      </c>
      <c r="O144" s="370"/>
      <c r="P144" s="436" t="str">
        <f aca="false">IF(A144="N/A"," ",VLOOKUP(A144,PeakPowerCurves,(IF(BMO=2,3,IF(BMO=1,2,4))),FALSE())+Inputs!N127)</f>
        <v> </v>
      </c>
      <c r="Q144" s="436" t="str">
        <f aca="false">IF(A144="N/A"," ",VLOOKUP(A144,SatSunPeakPwr,(IF(BMO=2,3,IF(BMO=1,2,4))),FALSE())+Inputs!$N$23)</f>
        <v> </v>
      </c>
      <c r="R144" s="436" t="str">
        <f aca="false">IF(A144="N/A"," ",VLOOKUP(A144,SatSunPeakPwr,(IF(BMO=2,7,IF(BMO=1,6,8))),FALSE())+Inputs!$N$23)</f>
        <v> </v>
      </c>
      <c r="S144" s="443" t="str">
        <f aca="false">IF(A144="N/A"," ",(VLOOKUP(A144,OPPowerPrices,(IF(BMO=2,7,IF(BMO=1,6,8))),FALSE())+Inputs!$N$23))</f>
        <v> </v>
      </c>
      <c r="T144" s="444" t="str">
        <f aca="false">IF(A144="N/A"," ",(VLOOKUP(A144,GasCurves,9,FALSE()))+IF(BMO=1,Gasbmo,IF(BMO=3,-Gasbmo,0)))</f>
        <v> </v>
      </c>
      <c r="U144" s="444" t="str">
        <f aca="false">IF(A144="N/A"," ",IF(Basischeck=TRUE(),(VLOOKUP(A144,GasCurves,IF(MONTH(A144)&gt;=4,IF(MONTH(A144)&lt;=10,11,12),12),FALSE())),0))</f>
        <v> </v>
      </c>
      <c r="V144" s="444" t="str">
        <f aca="false">IF(A144="N/A"," ",IF(Indexcheck=TRUE(),(IF(MONTH(A144)&gt;=4,IF(MONTH(A144)&lt;=10,VLOOKUP(A144,'Gas Curves'!B122:O482,13),VLOOKUP(A144,'Gas Curves'!B122:O482,14)),VLOOKUP(A144,'Gas Curves'!B122:O482,14))),0))</f>
        <v> </v>
      </c>
      <c r="W144" s="444" t="str">
        <f aca="false">IF(A144="N/A"," ",((SUM(T144:V144))/(1-Inputs!$S$11)-(SUM(T144:V144))))</f>
        <v> </v>
      </c>
      <c r="X144" s="444" t="str">
        <f aca="false">IF(A144="N/A"," ",(IF(MONTH(A144)&gt;=4,IF(MONTH(A144)&lt;=10,Inputs!$S$9,Inputs!$S$10),Inputs!$S$10)))</f>
        <v> </v>
      </c>
      <c r="Y144" s="445" t="str">
        <f aca="false">IF(A144="N/A"," ",(VLOOKUP($A144,InterestRatesTable,2)))</f>
        <v> </v>
      </c>
      <c r="AF144" s="386" t="n">
        <v>40817</v>
      </c>
      <c r="AG144" s="376" t="n">
        <v>21</v>
      </c>
      <c r="AH144" s="376" t="n">
        <v>5</v>
      </c>
      <c r="AI144" s="376" t="n">
        <v>5</v>
      </c>
      <c r="AJ144" s="376" t="n">
        <v>0</v>
      </c>
      <c r="AK144" s="376" t="n">
        <v>31</v>
      </c>
    </row>
    <row r="145" customFormat="false" ht="12.75" hidden="false" customHeight="false" outlineLevel="0" collapsed="false">
      <c r="A145" s="434" t="str">
        <f aca="false">Calculations!A110</f>
        <v>N/A</v>
      </c>
      <c r="B145" s="435" t="str">
        <f aca="false">IF(A145="N/A"," ",IF(ISERROR(P145),B133*Pwresc,P145)*VLOOKUP(MONTH(A145),Curveadj,3))</f>
        <v> </v>
      </c>
      <c r="C145" s="436" t="str">
        <f aca="false">IF(A145="N/A"," ",IF(ISERROR(Q145),C133*Pwresc,Q145)*VLOOKUP(MONTH(A145),Curveadj,3))</f>
        <v> </v>
      </c>
      <c r="D145" s="437" t="str">
        <f aca="false">IF(A145="N/A"," ",IF(ISERROR(R145),D133*Pwresc,R145)*VLOOKUP(MONTH(A145),Curveadj,3))</f>
        <v> </v>
      </c>
      <c r="E145" s="438" t="str">
        <f aca="false">IF(A145="N/A"," ",IF(Scalers=1,(IF(AND(Dynamic=1,MONTH(A145)&gt;=6,MONTH(A145)&lt;=8,OR($O$37="REGION 2",$O$37="REGION 2A",$O$37="REGION 2B",$O$37="REGION 3",$O$37="REGION 3A",$O$37="REGION 3B",$O$37="REGION 3C",$O$37="REGION 4",$O$37="REGION 4B",$O$37="REGION 4C",$O$37="REGION 5",$O$37="REGION 5A")),((0.059228/(B145/100))-(0.4980013/(SQRT(B145/100)))+2.137988),HLOOKUP(MONTH(A145),ScalarTable,28))),1))</f>
        <v> </v>
      </c>
      <c r="F145" s="439" t="str">
        <f aca="false">IF(A145="N/A"," ",B145*E145)</f>
        <v> </v>
      </c>
      <c r="G145" s="439" t="str">
        <f aca="false">IF(A145="N/A"," ",C145*E145)</f>
        <v> </v>
      </c>
      <c r="H145" s="440" t="str">
        <f aca="false">IF(A145="N/A"," ",D145*E145)</f>
        <v> </v>
      </c>
      <c r="I145" s="402" t="str">
        <f aca="false">IF(A145="N/A"," ",2-E145)</f>
        <v> </v>
      </c>
      <c r="J145" s="439" t="str">
        <f aca="false">IF(A145="N/A"," ",B145*I145)</f>
        <v> </v>
      </c>
      <c r="K145" s="439" t="str">
        <f aca="false">IF(A145="N/A"," ",C145*I145)</f>
        <v> </v>
      </c>
      <c r="L145" s="440" t="str">
        <f aca="false">IF(A145="N/A"," ",D145*I145)</f>
        <v> </v>
      </c>
      <c r="M145" s="441" t="str">
        <f aca="false">IF(A145="N/A"," ",IF(ISERROR(S145),M133*Pwresc,S145))</f>
        <v> </v>
      </c>
      <c r="N145" s="442" t="str">
        <f aca="false">IF(A145="N/A"," ",SUM(T145:X145))</f>
        <v> </v>
      </c>
      <c r="O145" s="370"/>
      <c r="P145" s="436" t="str">
        <f aca="false">IF(A145="N/A"," ",VLOOKUP(A145,PeakPowerCurves,(IF(BMO=2,3,IF(BMO=1,2,4))),FALSE())+Inputs!N128)</f>
        <v> </v>
      </c>
      <c r="Q145" s="436" t="str">
        <f aca="false">IF(A145="N/A"," ",VLOOKUP(A145,SatSunPeakPwr,(IF(BMO=2,3,IF(BMO=1,2,4))),FALSE())+Inputs!$N$23)</f>
        <v> </v>
      </c>
      <c r="R145" s="436" t="str">
        <f aca="false">IF(A145="N/A"," ",VLOOKUP(A145,SatSunPeakPwr,(IF(BMO=2,7,IF(BMO=1,6,8))),FALSE())+Inputs!$N$23)</f>
        <v> </v>
      </c>
      <c r="S145" s="443" t="str">
        <f aca="false">IF(A145="N/A"," ",(VLOOKUP(A145,OPPowerPrices,(IF(BMO=2,7,IF(BMO=1,6,8))),FALSE())+Inputs!$N$23))</f>
        <v> </v>
      </c>
      <c r="T145" s="444" t="str">
        <f aca="false">IF(A145="N/A"," ",(VLOOKUP(A145,GasCurves,9,FALSE()))+IF(BMO=1,Gasbmo,IF(BMO=3,-Gasbmo,0)))</f>
        <v> </v>
      </c>
      <c r="U145" s="444" t="str">
        <f aca="false">IF(A145="N/A"," ",IF(Basischeck=TRUE(),(VLOOKUP(A145,GasCurves,IF(MONTH(A145)&gt;=4,IF(MONTH(A145)&lt;=10,11,12),12),FALSE())),0))</f>
        <v> </v>
      </c>
      <c r="V145" s="444" t="str">
        <f aca="false">IF(A145="N/A"," ",IF(Indexcheck=TRUE(),(IF(MONTH(A145)&gt;=4,IF(MONTH(A145)&lt;=10,VLOOKUP(A145,'Gas Curves'!B123:O483,13),VLOOKUP(A145,'Gas Curves'!B123:O483,14)),VLOOKUP(A145,'Gas Curves'!B123:O483,14))),0))</f>
        <v> </v>
      </c>
      <c r="W145" s="444" t="str">
        <f aca="false">IF(A145="N/A"," ",((SUM(T145:V145))/(1-Inputs!$S$11)-(SUM(T145:V145))))</f>
        <v> </v>
      </c>
      <c r="X145" s="444" t="str">
        <f aca="false">IF(A145="N/A"," ",(IF(MONTH(A145)&gt;=4,IF(MONTH(A145)&lt;=10,Inputs!$S$9,Inputs!$S$10),Inputs!$S$10)))</f>
        <v> </v>
      </c>
      <c r="Y145" s="445" t="str">
        <f aca="false">IF(A145="N/A"," ",(VLOOKUP($A145,InterestRatesTable,2)))</f>
        <v> </v>
      </c>
      <c r="AF145" s="386" t="n">
        <v>40848</v>
      </c>
      <c r="AG145" s="376" t="n">
        <v>21</v>
      </c>
      <c r="AH145" s="376" t="n">
        <v>4</v>
      </c>
      <c r="AI145" s="376" t="n">
        <v>5</v>
      </c>
      <c r="AJ145" s="376" t="n">
        <v>1</v>
      </c>
      <c r="AK145" s="376" t="n">
        <v>30</v>
      </c>
    </row>
    <row r="146" customFormat="false" ht="12.75" hidden="false" customHeight="false" outlineLevel="0" collapsed="false">
      <c r="A146" s="434" t="str">
        <f aca="false">Calculations!A111</f>
        <v>N/A</v>
      </c>
      <c r="B146" s="435" t="str">
        <f aca="false">IF(A146="N/A"," ",IF(ISERROR(P146),B134*Pwresc,P146)*VLOOKUP(MONTH(A146),Curveadj,3))</f>
        <v> </v>
      </c>
      <c r="C146" s="436" t="str">
        <f aca="false">IF(A146="N/A"," ",IF(ISERROR(Q146),C134*Pwresc,Q146)*VLOOKUP(MONTH(A146),Curveadj,3))</f>
        <v> </v>
      </c>
      <c r="D146" s="437" t="str">
        <f aca="false">IF(A146="N/A"," ",IF(ISERROR(R146),D134*Pwresc,R146)*VLOOKUP(MONTH(A146),Curveadj,3))</f>
        <v> </v>
      </c>
      <c r="E146" s="438" t="str">
        <f aca="false">IF(A146="N/A"," ",IF(Scalers=1,(IF(AND(Dynamic=1,MONTH(A146)&gt;=6,MONTH(A146)&lt;=8,OR($O$37="REGION 2",$O$37="REGION 2A",$O$37="REGION 2B",$O$37="REGION 3",$O$37="REGION 3A",$O$37="REGION 3B",$O$37="REGION 3C",$O$37="REGION 4",$O$37="REGION 4B",$O$37="REGION 4C",$O$37="REGION 5",$O$37="REGION 5A")),((0.059228/(B146/100))-(0.4980013/(SQRT(B146/100)))+2.137988),HLOOKUP(MONTH(A146),ScalarTable,28))),1))</f>
        <v> </v>
      </c>
      <c r="F146" s="439" t="str">
        <f aca="false">IF(A146="N/A"," ",B146*E146)</f>
        <v> </v>
      </c>
      <c r="G146" s="439" t="str">
        <f aca="false">IF(A146="N/A"," ",C146*E146)</f>
        <v> </v>
      </c>
      <c r="H146" s="440" t="str">
        <f aca="false">IF(A146="N/A"," ",D146*E146)</f>
        <v> </v>
      </c>
      <c r="I146" s="402" t="str">
        <f aca="false">IF(A146="N/A"," ",2-E146)</f>
        <v> </v>
      </c>
      <c r="J146" s="439" t="str">
        <f aca="false">IF(A146="N/A"," ",B146*I146)</f>
        <v> </v>
      </c>
      <c r="K146" s="439" t="str">
        <f aca="false">IF(A146="N/A"," ",C146*I146)</f>
        <v> </v>
      </c>
      <c r="L146" s="440" t="str">
        <f aca="false">IF(A146="N/A"," ",D146*I146)</f>
        <v> </v>
      </c>
      <c r="M146" s="441" t="str">
        <f aca="false">IF(A146="N/A"," ",IF(ISERROR(S146),M134*Pwresc,S146))</f>
        <v> </v>
      </c>
      <c r="N146" s="442" t="str">
        <f aca="false">IF(A146="N/A"," ",SUM(T146:X146))</f>
        <v> </v>
      </c>
      <c r="O146" s="370"/>
      <c r="P146" s="436" t="str">
        <f aca="false">IF(A146="N/A"," ",VLOOKUP(A146,PeakPowerCurves,(IF(BMO=2,3,IF(BMO=1,2,4))),FALSE())+Inputs!N129)</f>
        <v> </v>
      </c>
      <c r="Q146" s="436" t="str">
        <f aca="false">IF(A146="N/A"," ",VLOOKUP(A146,SatSunPeakPwr,(IF(BMO=2,3,IF(BMO=1,2,4))),FALSE())+Inputs!$N$23)</f>
        <v> </v>
      </c>
      <c r="R146" s="436" t="str">
        <f aca="false">IF(A146="N/A"," ",VLOOKUP(A146,SatSunPeakPwr,(IF(BMO=2,7,IF(BMO=1,6,8))),FALSE())+Inputs!$N$23)</f>
        <v> </v>
      </c>
      <c r="S146" s="443" t="str">
        <f aca="false">IF(A146="N/A"," ",(VLOOKUP(A146,OPPowerPrices,(IF(BMO=2,7,IF(BMO=1,6,8))),FALSE())+Inputs!$N$23))</f>
        <v> </v>
      </c>
      <c r="T146" s="444" t="str">
        <f aca="false">IF(A146="N/A"," ",(VLOOKUP(A146,GasCurves,9,FALSE()))+IF(BMO=1,Gasbmo,IF(BMO=3,-Gasbmo,0)))</f>
        <v> </v>
      </c>
      <c r="U146" s="444" t="str">
        <f aca="false">IF(A146="N/A"," ",IF(Basischeck=TRUE(),(VLOOKUP(A146,GasCurves,IF(MONTH(A146)&gt;=4,IF(MONTH(A146)&lt;=10,11,12),12),FALSE())),0))</f>
        <v> </v>
      </c>
      <c r="V146" s="444" t="str">
        <f aca="false">IF(A146="N/A"," ",IF(Indexcheck=TRUE(),(IF(MONTH(A146)&gt;=4,IF(MONTH(A146)&lt;=10,VLOOKUP(A146,'Gas Curves'!B124:O484,13),VLOOKUP(A146,'Gas Curves'!B124:O484,14)),VLOOKUP(A146,'Gas Curves'!B124:O484,14))),0))</f>
        <v> </v>
      </c>
      <c r="W146" s="444" t="str">
        <f aca="false">IF(A146="N/A"," ",((SUM(T146:V146))/(1-Inputs!$S$11)-(SUM(T146:V146))))</f>
        <v> </v>
      </c>
      <c r="X146" s="444" t="str">
        <f aca="false">IF(A146="N/A"," ",(IF(MONTH(A146)&gt;=4,IF(MONTH(A146)&lt;=10,Inputs!$S$9,Inputs!$S$10),Inputs!$S$10)))</f>
        <v> </v>
      </c>
      <c r="Y146" s="445" t="str">
        <f aca="false">IF(A146="N/A"," ",(VLOOKUP($A146,InterestRatesTable,2)))</f>
        <v> </v>
      </c>
      <c r="AF146" s="386" t="n">
        <v>40878</v>
      </c>
      <c r="AG146" s="376" t="n">
        <v>21</v>
      </c>
      <c r="AH146" s="376" t="n">
        <v>5</v>
      </c>
      <c r="AI146" s="376" t="n">
        <v>5</v>
      </c>
      <c r="AJ146" s="376" t="n">
        <v>1</v>
      </c>
      <c r="AK146" s="376" t="n">
        <v>31</v>
      </c>
    </row>
    <row r="147" customFormat="false" ht="12.75" hidden="false" customHeight="false" outlineLevel="0" collapsed="false">
      <c r="A147" s="434" t="str">
        <f aca="false">Calculations!A112</f>
        <v>N/A</v>
      </c>
      <c r="B147" s="435" t="str">
        <f aca="false">IF(A147="N/A"," ",IF(ISERROR(P147),B135*Pwresc,P147)*VLOOKUP(MONTH(A147),Curveadj,3))</f>
        <v> </v>
      </c>
      <c r="C147" s="436" t="str">
        <f aca="false">IF(A147="N/A"," ",IF(ISERROR(Q147),C135*Pwresc,Q147)*VLOOKUP(MONTH(A147),Curveadj,3))</f>
        <v> </v>
      </c>
      <c r="D147" s="437" t="str">
        <f aca="false">IF(A147="N/A"," ",IF(ISERROR(R147),D135*Pwresc,R147)*VLOOKUP(MONTH(A147),Curveadj,3))</f>
        <v> </v>
      </c>
      <c r="E147" s="438" t="str">
        <f aca="false">IF(A147="N/A"," ",IF(Scalers=1,(IF(AND(Dynamic=1,MONTH(A147)&gt;=6,MONTH(A147)&lt;=8,OR($O$37="REGION 2",$O$37="REGION 2A",$O$37="REGION 2B",$O$37="REGION 3",$O$37="REGION 3A",$O$37="REGION 3B",$O$37="REGION 3C",$O$37="REGION 4",$O$37="REGION 4B",$O$37="REGION 4C",$O$37="REGION 5",$O$37="REGION 5A")),((0.059228/(B147/100))-(0.4980013/(SQRT(B147/100)))+2.137988),HLOOKUP(MONTH(A147),ScalarTable,28))),1))</f>
        <v> </v>
      </c>
      <c r="F147" s="439" t="str">
        <f aca="false">IF(A147="N/A"," ",B147*E147)</f>
        <v> </v>
      </c>
      <c r="G147" s="439" t="str">
        <f aca="false">IF(A147="N/A"," ",C147*E147)</f>
        <v> </v>
      </c>
      <c r="H147" s="440" t="str">
        <f aca="false">IF(A147="N/A"," ",D147*E147)</f>
        <v> </v>
      </c>
      <c r="I147" s="402" t="str">
        <f aca="false">IF(A147="N/A"," ",2-E147)</f>
        <v> </v>
      </c>
      <c r="J147" s="439" t="str">
        <f aca="false">IF(A147="N/A"," ",B147*I147)</f>
        <v> </v>
      </c>
      <c r="K147" s="439" t="str">
        <f aca="false">IF(A147="N/A"," ",C147*I147)</f>
        <v> </v>
      </c>
      <c r="L147" s="440" t="str">
        <f aca="false">IF(A147="N/A"," ",D147*I147)</f>
        <v> </v>
      </c>
      <c r="M147" s="441" t="str">
        <f aca="false">IF(A147="N/A"," ",IF(ISERROR(S147),M135*Pwresc,S147))</f>
        <v> </v>
      </c>
      <c r="N147" s="442" t="str">
        <f aca="false">IF(A147="N/A"," ",SUM(T147:X147))</f>
        <v> </v>
      </c>
      <c r="O147" s="370"/>
      <c r="P147" s="436" t="str">
        <f aca="false">IF(A147="N/A"," ",VLOOKUP(A147,PeakPowerCurves,(IF(BMO=2,3,IF(BMO=1,2,4))),FALSE())+Inputs!N130)</f>
        <v> </v>
      </c>
      <c r="Q147" s="436" t="str">
        <f aca="false">IF(A147="N/A"," ",VLOOKUP(A147,SatSunPeakPwr,(IF(BMO=2,3,IF(BMO=1,2,4))),FALSE())+Inputs!$N$23)</f>
        <v> </v>
      </c>
      <c r="R147" s="436" t="str">
        <f aca="false">IF(A147="N/A"," ",VLOOKUP(A147,SatSunPeakPwr,(IF(BMO=2,7,IF(BMO=1,6,8))),FALSE())+Inputs!$N$23)</f>
        <v> </v>
      </c>
      <c r="S147" s="443" t="str">
        <f aca="false">IF(A147="N/A"," ",(VLOOKUP(A147,OPPowerPrices,(IF(BMO=2,7,IF(BMO=1,6,8))),FALSE())+Inputs!$N$23))</f>
        <v> </v>
      </c>
      <c r="T147" s="444" t="str">
        <f aca="false">IF(A147="N/A"," ",(VLOOKUP(A147,GasCurves,9,FALSE()))+IF(BMO=1,Gasbmo,IF(BMO=3,-Gasbmo,0)))</f>
        <v> </v>
      </c>
      <c r="U147" s="444" t="str">
        <f aca="false">IF(A147="N/A"," ",IF(Basischeck=TRUE(),(VLOOKUP(A147,GasCurves,IF(MONTH(A147)&gt;=4,IF(MONTH(A147)&lt;=10,11,12),12),FALSE())),0))</f>
        <v> </v>
      </c>
      <c r="V147" s="444" t="str">
        <f aca="false">IF(A147="N/A"," ",IF(Indexcheck=TRUE(),(IF(MONTH(A147)&gt;=4,IF(MONTH(A147)&lt;=10,VLOOKUP(A147,'Gas Curves'!B125:O485,13),VLOOKUP(A147,'Gas Curves'!B125:O485,14)),VLOOKUP(A147,'Gas Curves'!B125:O485,14))),0))</f>
        <v> </v>
      </c>
      <c r="W147" s="444" t="str">
        <f aca="false">IF(A147="N/A"," ",((SUM(T147:V147))/(1-Inputs!$S$11)-(SUM(T147:V147))))</f>
        <v> </v>
      </c>
      <c r="X147" s="444" t="str">
        <f aca="false">IF(A147="N/A"," ",(IF(MONTH(A147)&gt;=4,IF(MONTH(A147)&lt;=10,Inputs!$S$9,Inputs!$S$10),Inputs!$S$10)))</f>
        <v> </v>
      </c>
      <c r="Y147" s="445" t="str">
        <f aca="false">IF(A147="N/A"," ",(VLOOKUP($A147,InterestRatesTable,2)))</f>
        <v> </v>
      </c>
      <c r="AF147" s="386" t="n">
        <v>40909</v>
      </c>
      <c r="AG147" s="376" t="n">
        <v>21</v>
      </c>
      <c r="AH147" s="376" t="n">
        <v>4</v>
      </c>
      <c r="AI147" s="376" t="n">
        <v>6</v>
      </c>
      <c r="AJ147" s="376" t="n">
        <v>1</v>
      </c>
      <c r="AK147" s="376" t="n">
        <v>31</v>
      </c>
    </row>
    <row r="148" customFormat="false" ht="12.75" hidden="false" customHeight="false" outlineLevel="0" collapsed="false">
      <c r="A148" s="434" t="str">
        <f aca="false">Calculations!A113</f>
        <v>N/A</v>
      </c>
      <c r="B148" s="435" t="str">
        <f aca="false">IF(A148="N/A"," ",IF(ISERROR(P148),B136*Pwresc,P148)*VLOOKUP(MONTH(A148),Curveadj,3))</f>
        <v> </v>
      </c>
      <c r="C148" s="436" t="str">
        <f aca="false">IF(A148="N/A"," ",IF(ISERROR(Q148),C136*Pwresc,Q148)*VLOOKUP(MONTH(A148),Curveadj,3))</f>
        <v> </v>
      </c>
      <c r="D148" s="437" t="str">
        <f aca="false">IF(A148="N/A"," ",IF(ISERROR(R148),D136*Pwresc,R148)*VLOOKUP(MONTH(A148),Curveadj,3))</f>
        <v> </v>
      </c>
      <c r="E148" s="438" t="str">
        <f aca="false">IF(A148="N/A"," ",IF(Scalers=1,(IF(AND(Dynamic=1,MONTH(A148)&gt;=6,MONTH(A148)&lt;=8,OR($O$37="REGION 2",$O$37="REGION 2A",$O$37="REGION 2B",$O$37="REGION 3",$O$37="REGION 3A",$O$37="REGION 3B",$O$37="REGION 3C",$O$37="REGION 4",$O$37="REGION 4B",$O$37="REGION 4C",$O$37="REGION 5",$O$37="REGION 5A")),((0.059228/(B148/100))-(0.4980013/(SQRT(B148/100)))+2.137988),HLOOKUP(MONTH(A148),ScalarTable,28))),1))</f>
        <v> </v>
      </c>
      <c r="F148" s="439" t="str">
        <f aca="false">IF(A148="N/A"," ",B148*E148)</f>
        <v> </v>
      </c>
      <c r="G148" s="439" t="str">
        <f aca="false">IF(A148="N/A"," ",C148*E148)</f>
        <v> </v>
      </c>
      <c r="H148" s="440" t="str">
        <f aca="false">IF(A148="N/A"," ",D148*E148)</f>
        <v> </v>
      </c>
      <c r="I148" s="402" t="str">
        <f aca="false">IF(A148="N/A"," ",2-E148)</f>
        <v> </v>
      </c>
      <c r="J148" s="439" t="str">
        <f aca="false">IF(A148="N/A"," ",B148*I148)</f>
        <v> </v>
      </c>
      <c r="K148" s="439" t="str">
        <f aca="false">IF(A148="N/A"," ",C148*I148)</f>
        <v> </v>
      </c>
      <c r="L148" s="440" t="str">
        <f aca="false">IF(A148="N/A"," ",D148*I148)</f>
        <v> </v>
      </c>
      <c r="M148" s="441" t="str">
        <f aca="false">IF(A148="N/A"," ",IF(ISERROR(S148),M136*Pwresc,S148))</f>
        <v> </v>
      </c>
      <c r="N148" s="442" t="str">
        <f aca="false">IF(A148="N/A"," ",SUM(T148:X148))</f>
        <v> </v>
      </c>
      <c r="O148" s="370"/>
      <c r="P148" s="436" t="str">
        <f aca="false">IF(A148="N/A"," ",VLOOKUP(A148,PeakPowerCurves,(IF(BMO=2,3,IF(BMO=1,2,4))),FALSE())+Inputs!N131)</f>
        <v> </v>
      </c>
      <c r="Q148" s="436" t="str">
        <f aca="false">IF(A148="N/A"," ",VLOOKUP(A148,SatSunPeakPwr,(IF(BMO=2,3,IF(BMO=1,2,4))),FALSE())+Inputs!$N$23)</f>
        <v> </v>
      </c>
      <c r="R148" s="436" t="str">
        <f aca="false">IF(A148="N/A"," ",VLOOKUP(A148,SatSunPeakPwr,(IF(BMO=2,7,IF(BMO=1,6,8))),FALSE())+Inputs!$N$23)</f>
        <v> </v>
      </c>
      <c r="S148" s="443" t="str">
        <f aca="false">IF(A148="N/A"," ",(VLOOKUP(A148,OPPowerPrices,(IF(BMO=2,7,IF(BMO=1,6,8))),FALSE())+Inputs!$N$23))</f>
        <v> </v>
      </c>
      <c r="T148" s="444" t="str">
        <f aca="false">IF(A148="N/A"," ",(VLOOKUP(A148,GasCurves,9,FALSE()))+IF(BMO=1,Gasbmo,IF(BMO=3,-Gasbmo,0)))</f>
        <v> </v>
      </c>
      <c r="U148" s="444" t="str">
        <f aca="false">IF(A148="N/A"," ",IF(Basischeck=TRUE(),(VLOOKUP(A148,GasCurves,IF(MONTH(A148)&gt;=4,IF(MONTH(A148)&lt;=10,11,12),12),FALSE())),0))</f>
        <v> </v>
      </c>
      <c r="V148" s="444" t="str">
        <f aca="false">IF(A148="N/A"," ",IF(Indexcheck=TRUE(),(IF(MONTH(A148)&gt;=4,IF(MONTH(A148)&lt;=10,VLOOKUP(A148,'Gas Curves'!B126:O486,13),VLOOKUP(A148,'Gas Curves'!B126:O486,14)),VLOOKUP(A148,'Gas Curves'!B126:O486,14))),0))</f>
        <v> </v>
      </c>
      <c r="W148" s="444" t="str">
        <f aca="false">IF(A148="N/A"," ",((SUM(T148:V148))/(1-Inputs!$S$11)-(SUM(T148:V148))))</f>
        <v> </v>
      </c>
      <c r="X148" s="444" t="str">
        <f aca="false">IF(A148="N/A"," ",(IF(MONTH(A148)&gt;=4,IF(MONTH(A148)&lt;=10,Inputs!$S$9,Inputs!$S$10),Inputs!$S$10)))</f>
        <v> </v>
      </c>
      <c r="Y148" s="445" t="str">
        <f aca="false">IF(A148="N/A"," ",(VLOOKUP($A148,InterestRatesTable,2)))</f>
        <v> </v>
      </c>
      <c r="AF148" s="386" t="n">
        <v>40940</v>
      </c>
      <c r="AG148" s="376" t="n">
        <v>21</v>
      </c>
      <c r="AH148" s="376" t="n">
        <v>4</v>
      </c>
      <c r="AI148" s="376" t="n">
        <v>4</v>
      </c>
      <c r="AJ148" s="376" t="n">
        <v>0</v>
      </c>
      <c r="AK148" s="376" t="n">
        <v>29</v>
      </c>
    </row>
    <row r="149" customFormat="false" ht="12.75" hidden="false" customHeight="false" outlineLevel="0" collapsed="false">
      <c r="A149" s="434" t="str">
        <f aca="false">Calculations!A114</f>
        <v>N/A</v>
      </c>
      <c r="B149" s="435" t="str">
        <f aca="false">IF(A149="N/A"," ",IF(ISERROR(P149),B137*Pwresc,P149)*VLOOKUP(MONTH(A149),Curveadj,3))</f>
        <v> </v>
      </c>
      <c r="C149" s="436" t="str">
        <f aca="false">IF(A149="N/A"," ",IF(ISERROR(Q149),C137*Pwresc,Q149)*VLOOKUP(MONTH(A149),Curveadj,3))</f>
        <v> </v>
      </c>
      <c r="D149" s="437" t="str">
        <f aca="false">IF(A149="N/A"," ",IF(ISERROR(R149),D137*Pwresc,R149)*VLOOKUP(MONTH(A149),Curveadj,3))</f>
        <v> </v>
      </c>
      <c r="E149" s="438" t="str">
        <f aca="false">IF(A149="N/A"," ",IF(Scalers=1,(IF(AND(Dynamic=1,MONTH(A149)&gt;=6,MONTH(A149)&lt;=8,OR($O$37="REGION 2",$O$37="REGION 2A",$O$37="REGION 2B",$O$37="REGION 3",$O$37="REGION 3A",$O$37="REGION 3B",$O$37="REGION 3C",$O$37="REGION 4",$O$37="REGION 4B",$O$37="REGION 4C",$O$37="REGION 5",$O$37="REGION 5A")),((0.059228/(B149/100))-(0.4980013/(SQRT(B149/100)))+2.137988),HLOOKUP(MONTH(A149),ScalarTable,28))),1))</f>
        <v> </v>
      </c>
      <c r="F149" s="439" t="str">
        <f aca="false">IF(A149="N/A"," ",B149*E149)</f>
        <v> </v>
      </c>
      <c r="G149" s="439" t="str">
        <f aca="false">IF(A149="N/A"," ",C149*E149)</f>
        <v> </v>
      </c>
      <c r="H149" s="440" t="str">
        <f aca="false">IF(A149="N/A"," ",D149*E149)</f>
        <v> </v>
      </c>
      <c r="I149" s="402" t="str">
        <f aca="false">IF(A149="N/A"," ",2-E149)</f>
        <v> </v>
      </c>
      <c r="J149" s="439" t="str">
        <f aca="false">IF(A149="N/A"," ",B149*I149)</f>
        <v> </v>
      </c>
      <c r="K149" s="439" t="str">
        <f aca="false">IF(A149="N/A"," ",C149*I149)</f>
        <v> </v>
      </c>
      <c r="L149" s="440" t="str">
        <f aca="false">IF(A149="N/A"," ",D149*I149)</f>
        <v> </v>
      </c>
      <c r="M149" s="441" t="str">
        <f aca="false">IF(A149="N/A"," ",IF(ISERROR(S149),M137*Pwresc,S149))</f>
        <v> </v>
      </c>
      <c r="N149" s="442" t="str">
        <f aca="false">IF(A149="N/A"," ",SUM(T149:X149))</f>
        <v> </v>
      </c>
      <c r="O149" s="370"/>
      <c r="P149" s="436" t="str">
        <f aca="false">IF(A149="N/A"," ",VLOOKUP(A149,PeakPowerCurves,(IF(BMO=2,3,IF(BMO=1,2,4))),FALSE())+Inputs!N132)</f>
        <v> </v>
      </c>
      <c r="Q149" s="436" t="str">
        <f aca="false">IF(A149="N/A"," ",VLOOKUP(A149,SatSunPeakPwr,(IF(BMO=2,3,IF(BMO=1,2,4))),FALSE())+Inputs!$N$23)</f>
        <v> </v>
      </c>
      <c r="R149" s="436" t="str">
        <f aca="false">IF(A149="N/A"," ",VLOOKUP(A149,SatSunPeakPwr,(IF(BMO=2,7,IF(BMO=1,6,8))),FALSE())+Inputs!$N$23)</f>
        <v> </v>
      </c>
      <c r="S149" s="443" t="str">
        <f aca="false">IF(A149="N/A"," ",(VLOOKUP(A149,OPPowerPrices,(IF(BMO=2,7,IF(BMO=1,6,8))),FALSE())+Inputs!$N$23))</f>
        <v> </v>
      </c>
      <c r="T149" s="444" t="str">
        <f aca="false">IF(A149="N/A"," ",(VLOOKUP(A149,GasCurves,9,FALSE()))+IF(BMO=1,Gasbmo,IF(BMO=3,-Gasbmo,0)))</f>
        <v> </v>
      </c>
      <c r="U149" s="444" t="str">
        <f aca="false">IF(A149="N/A"," ",IF(Basischeck=TRUE(),(VLOOKUP(A149,GasCurves,IF(MONTH(A149)&gt;=4,IF(MONTH(A149)&lt;=10,11,12),12),FALSE())),0))</f>
        <v> </v>
      </c>
      <c r="V149" s="444" t="str">
        <f aca="false">IF(A149="N/A"," ",IF(Indexcheck=TRUE(),(IF(MONTH(A149)&gt;=4,IF(MONTH(A149)&lt;=10,VLOOKUP(A149,'Gas Curves'!B127:O487,13),VLOOKUP(A149,'Gas Curves'!B127:O487,14)),VLOOKUP(A149,'Gas Curves'!B127:O487,14))),0))</f>
        <v> </v>
      </c>
      <c r="W149" s="444" t="str">
        <f aca="false">IF(A149="N/A"," ",((SUM(T149:V149))/(1-Inputs!$S$11)-(SUM(T149:V149))))</f>
        <v> </v>
      </c>
      <c r="X149" s="444" t="str">
        <f aca="false">IF(A149="N/A"," ",(IF(MONTH(A149)&gt;=4,IF(MONTH(A149)&lt;=10,Inputs!$S$9,Inputs!$S$10),Inputs!$S$10)))</f>
        <v> </v>
      </c>
      <c r="Y149" s="445" t="str">
        <f aca="false">IF(A149="N/A"," ",(VLOOKUP($A149,InterestRatesTable,2)))</f>
        <v> </v>
      </c>
      <c r="AF149" s="386" t="n">
        <v>40969</v>
      </c>
      <c r="AG149" s="376" t="n">
        <v>22</v>
      </c>
      <c r="AH149" s="376" t="n">
        <v>5</v>
      </c>
      <c r="AI149" s="376" t="n">
        <v>4</v>
      </c>
      <c r="AJ149" s="376" t="n">
        <v>0</v>
      </c>
      <c r="AK149" s="376" t="n">
        <v>31</v>
      </c>
    </row>
    <row r="150" customFormat="false" ht="12.75" hidden="false" customHeight="false" outlineLevel="0" collapsed="false">
      <c r="A150" s="434" t="str">
        <f aca="false">Calculations!A115</f>
        <v>N/A</v>
      </c>
      <c r="B150" s="435" t="str">
        <f aca="false">IF(A150="N/A"," ",IF(ISERROR(P150),B138*Pwresc,P150)*VLOOKUP(MONTH(A150),Curveadj,3))</f>
        <v> </v>
      </c>
      <c r="C150" s="436" t="str">
        <f aca="false">IF(A150="N/A"," ",IF(ISERROR(Q150),C138*Pwresc,Q150)*VLOOKUP(MONTH(A150),Curveadj,3))</f>
        <v> </v>
      </c>
      <c r="D150" s="437" t="str">
        <f aca="false">IF(A150="N/A"," ",IF(ISERROR(R150),D138*Pwresc,R150)*VLOOKUP(MONTH(A150),Curveadj,3))</f>
        <v> </v>
      </c>
      <c r="E150" s="438" t="str">
        <f aca="false">IF(A150="N/A"," ",IF(Scalers=1,(IF(AND(Dynamic=1,MONTH(A150)&gt;=6,MONTH(A150)&lt;=8,OR($O$37="REGION 2",$O$37="REGION 2A",$O$37="REGION 2B",$O$37="REGION 3",$O$37="REGION 3A",$O$37="REGION 3B",$O$37="REGION 3C",$O$37="REGION 4",$O$37="REGION 4B",$O$37="REGION 4C",$O$37="REGION 5",$O$37="REGION 5A")),((0.059228/(B150/100))-(0.4980013/(SQRT(B150/100)))+2.137988),HLOOKUP(MONTH(A150),ScalarTable,28))),1))</f>
        <v> </v>
      </c>
      <c r="F150" s="439" t="str">
        <f aca="false">IF(A150="N/A"," ",B150*E150)</f>
        <v> </v>
      </c>
      <c r="G150" s="439" t="str">
        <f aca="false">IF(A150="N/A"," ",C150*E150)</f>
        <v> </v>
      </c>
      <c r="H150" s="440" t="str">
        <f aca="false">IF(A150="N/A"," ",D150*E150)</f>
        <v> </v>
      </c>
      <c r="I150" s="402" t="str">
        <f aca="false">IF(A150="N/A"," ",2-E150)</f>
        <v> </v>
      </c>
      <c r="J150" s="439" t="str">
        <f aca="false">IF(A150="N/A"," ",B150*I150)</f>
        <v> </v>
      </c>
      <c r="K150" s="439" t="str">
        <f aca="false">IF(A150="N/A"," ",C150*I150)</f>
        <v> </v>
      </c>
      <c r="L150" s="440" t="str">
        <f aca="false">IF(A150="N/A"," ",D150*I150)</f>
        <v> </v>
      </c>
      <c r="M150" s="441" t="str">
        <f aca="false">IF(A150="N/A"," ",IF(ISERROR(S150),M138*Pwresc,S150))</f>
        <v> </v>
      </c>
      <c r="N150" s="442" t="str">
        <f aca="false">IF(A150="N/A"," ",SUM(T150:X150))</f>
        <v> </v>
      </c>
      <c r="O150" s="370"/>
      <c r="P150" s="436" t="str">
        <f aca="false">IF(A150="N/A"," ",VLOOKUP(A150,PeakPowerCurves,(IF(BMO=2,3,IF(BMO=1,2,4))),FALSE())+Inputs!N133)</f>
        <v> </v>
      </c>
      <c r="Q150" s="436" t="str">
        <f aca="false">IF(A150="N/A"," ",VLOOKUP(A150,SatSunPeakPwr,(IF(BMO=2,3,IF(BMO=1,2,4))),FALSE())+Inputs!$N$23)</f>
        <v> </v>
      </c>
      <c r="R150" s="436" t="str">
        <f aca="false">IF(A150="N/A"," ",VLOOKUP(A150,SatSunPeakPwr,(IF(BMO=2,7,IF(BMO=1,6,8))),FALSE())+Inputs!$N$23)</f>
        <v> </v>
      </c>
      <c r="S150" s="443" t="str">
        <f aca="false">IF(A150="N/A"," ",(VLOOKUP(A150,OPPowerPrices,(IF(BMO=2,7,IF(BMO=1,6,8))),FALSE())+Inputs!$N$23))</f>
        <v> </v>
      </c>
      <c r="T150" s="444" t="str">
        <f aca="false">IF(A150="N/A"," ",(VLOOKUP(A150,GasCurves,9,FALSE()))+IF(BMO=1,Gasbmo,IF(BMO=3,-Gasbmo,0)))</f>
        <v> </v>
      </c>
      <c r="U150" s="444" t="str">
        <f aca="false">IF(A150="N/A"," ",IF(Basischeck=TRUE(),(VLOOKUP(A150,GasCurves,IF(MONTH(A150)&gt;=4,IF(MONTH(A150)&lt;=10,11,12),12),FALSE())),0))</f>
        <v> </v>
      </c>
      <c r="V150" s="444" t="str">
        <f aca="false">IF(A150="N/A"," ",IF(Indexcheck=TRUE(),(IF(MONTH(A150)&gt;=4,IF(MONTH(A150)&lt;=10,VLOOKUP(A150,'Gas Curves'!B128:O488,13),VLOOKUP(A150,'Gas Curves'!B128:O488,14)),VLOOKUP(A150,'Gas Curves'!B128:O488,14))),0))</f>
        <v> </v>
      </c>
      <c r="W150" s="444" t="str">
        <f aca="false">IF(A150="N/A"," ",((SUM(T150:V150))/(1-Inputs!$S$11)-(SUM(T150:V150))))</f>
        <v> </v>
      </c>
      <c r="X150" s="444" t="str">
        <f aca="false">IF(A150="N/A"," ",(IF(MONTH(A150)&gt;=4,IF(MONTH(A150)&lt;=10,Inputs!$S$9,Inputs!$S$10),Inputs!$S$10)))</f>
        <v> </v>
      </c>
      <c r="Y150" s="445" t="str">
        <f aca="false">IF(A150="N/A"," ",(VLOOKUP($A150,InterestRatesTable,2)))</f>
        <v> </v>
      </c>
      <c r="AF150" s="386" t="n">
        <v>41000</v>
      </c>
      <c r="AG150" s="376" t="n">
        <v>21</v>
      </c>
      <c r="AH150" s="376" t="n">
        <v>4</v>
      </c>
      <c r="AI150" s="376" t="n">
        <v>5</v>
      </c>
      <c r="AJ150" s="376" t="n">
        <v>0</v>
      </c>
      <c r="AK150" s="376" t="n">
        <v>30</v>
      </c>
    </row>
    <row r="151" customFormat="false" ht="12.75" hidden="false" customHeight="false" outlineLevel="0" collapsed="false">
      <c r="A151" s="434" t="str">
        <f aca="false">Calculations!A116</f>
        <v>N/A</v>
      </c>
      <c r="B151" s="435" t="str">
        <f aca="false">IF(A151="N/A"," ",IF(ISERROR(P151),B139*Pwresc,P151)*VLOOKUP(MONTH(A151),Curveadj,3))</f>
        <v> </v>
      </c>
      <c r="C151" s="436" t="str">
        <f aca="false">IF(A151="N/A"," ",IF(ISERROR(Q151),C139*Pwresc,Q151)*VLOOKUP(MONTH(A151),Curveadj,3))</f>
        <v> </v>
      </c>
      <c r="D151" s="437" t="str">
        <f aca="false">IF(A151="N/A"," ",IF(ISERROR(R151),D139*Pwresc,R151)*VLOOKUP(MONTH(A151),Curveadj,3))</f>
        <v> </v>
      </c>
      <c r="E151" s="438" t="str">
        <f aca="false">IF(A151="N/A"," ",IF(Scalers=1,(IF(AND(Dynamic=1,MONTH(A151)&gt;=6,MONTH(A151)&lt;=8,OR($O$37="REGION 2",$O$37="REGION 2A",$O$37="REGION 2B",$O$37="REGION 3",$O$37="REGION 3A",$O$37="REGION 3B",$O$37="REGION 3C",$O$37="REGION 4",$O$37="REGION 4B",$O$37="REGION 4C",$O$37="REGION 5",$O$37="REGION 5A")),((0.059228/(B151/100))-(0.4980013/(SQRT(B151/100)))+2.137988),HLOOKUP(MONTH(A151),ScalarTable,28))),1))</f>
        <v> </v>
      </c>
      <c r="F151" s="439" t="str">
        <f aca="false">IF(A151="N/A"," ",B151*E151)</f>
        <v> </v>
      </c>
      <c r="G151" s="439" t="str">
        <f aca="false">IF(A151="N/A"," ",C151*E151)</f>
        <v> </v>
      </c>
      <c r="H151" s="440" t="str">
        <f aca="false">IF(A151="N/A"," ",D151*E151)</f>
        <v> </v>
      </c>
      <c r="I151" s="402" t="str">
        <f aca="false">IF(A151="N/A"," ",2-E151)</f>
        <v> </v>
      </c>
      <c r="J151" s="439" t="str">
        <f aca="false">IF(A151="N/A"," ",B151*I151)</f>
        <v> </v>
      </c>
      <c r="K151" s="439" t="str">
        <f aca="false">IF(A151="N/A"," ",C151*I151)</f>
        <v> </v>
      </c>
      <c r="L151" s="440" t="str">
        <f aca="false">IF(A151="N/A"," ",D151*I151)</f>
        <v> </v>
      </c>
      <c r="M151" s="441" t="str">
        <f aca="false">IF(A151="N/A"," ",IF(ISERROR(S151),M139*Pwresc,S151))</f>
        <v> </v>
      </c>
      <c r="N151" s="442" t="str">
        <f aca="false">IF(A151="N/A"," ",SUM(T151:X151))</f>
        <v> </v>
      </c>
      <c r="O151" s="370"/>
      <c r="P151" s="436" t="str">
        <f aca="false">IF(A151="N/A"," ",VLOOKUP(A151,PeakPowerCurves,(IF(BMO=2,3,IF(BMO=1,2,4))),FALSE())+Inputs!N134)</f>
        <v> </v>
      </c>
      <c r="Q151" s="436" t="str">
        <f aca="false">IF(A151="N/A"," ",VLOOKUP(A151,SatSunPeakPwr,(IF(BMO=2,3,IF(BMO=1,2,4))),FALSE())+Inputs!$N$23)</f>
        <v> </v>
      </c>
      <c r="R151" s="436" t="str">
        <f aca="false">IF(A151="N/A"," ",VLOOKUP(A151,SatSunPeakPwr,(IF(BMO=2,7,IF(BMO=1,6,8))),FALSE())+Inputs!$N$23)</f>
        <v> </v>
      </c>
      <c r="S151" s="443" t="str">
        <f aca="false">IF(A151="N/A"," ",(VLOOKUP(A151,OPPowerPrices,(IF(BMO=2,7,IF(BMO=1,6,8))),FALSE())+Inputs!$N$23))</f>
        <v> </v>
      </c>
      <c r="T151" s="444" t="str">
        <f aca="false">IF(A151="N/A"," ",(VLOOKUP(A151,GasCurves,9,FALSE()))+IF(BMO=1,Gasbmo,IF(BMO=3,-Gasbmo,0)))</f>
        <v> </v>
      </c>
      <c r="U151" s="444" t="str">
        <f aca="false">IF(A151="N/A"," ",IF(Basischeck=TRUE(),(VLOOKUP(A151,GasCurves,IF(MONTH(A151)&gt;=4,IF(MONTH(A151)&lt;=10,11,12),12),FALSE())),0))</f>
        <v> </v>
      </c>
      <c r="V151" s="444" t="str">
        <f aca="false">IF(A151="N/A"," ",IF(Indexcheck=TRUE(),(IF(MONTH(A151)&gt;=4,IF(MONTH(A151)&lt;=10,VLOOKUP(A151,'Gas Curves'!B129:O489,13),VLOOKUP(A151,'Gas Curves'!B129:O489,14)),VLOOKUP(A151,'Gas Curves'!B129:O489,14))),0))</f>
        <v> </v>
      </c>
      <c r="W151" s="444" t="str">
        <f aca="false">IF(A151="N/A"," ",((SUM(T151:V151))/(1-Inputs!$S$11)-(SUM(T151:V151))))</f>
        <v> </v>
      </c>
      <c r="X151" s="444" t="str">
        <f aca="false">IF(A151="N/A"," ",(IF(MONTH(A151)&gt;=4,IF(MONTH(A151)&lt;=10,Inputs!$S$9,Inputs!$S$10),Inputs!$S$10)))</f>
        <v> </v>
      </c>
      <c r="Y151" s="445" t="str">
        <f aca="false">IF(A151="N/A"," ",(VLOOKUP($A151,InterestRatesTable,2)))</f>
        <v> </v>
      </c>
      <c r="AF151" s="386" t="n">
        <v>41030</v>
      </c>
      <c r="AG151" s="376" t="n">
        <v>22</v>
      </c>
      <c r="AH151" s="376" t="n">
        <v>4</v>
      </c>
      <c r="AI151" s="376" t="n">
        <v>5</v>
      </c>
      <c r="AJ151" s="376" t="n">
        <v>1</v>
      </c>
      <c r="AK151" s="376" t="n">
        <v>31</v>
      </c>
    </row>
    <row r="152" customFormat="false" ht="12.75" hidden="false" customHeight="false" outlineLevel="0" collapsed="false">
      <c r="A152" s="434" t="str">
        <f aca="false">Calculations!A117</f>
        <v>N/A</v>
      </c>
      <c r="B152" s="435" t="str">
        <f aca="false">IF(A152="N/A"," ",IF(ISERROR(P152),B140*Pwresc,P152)*VLOOKUP(MONTH(A152),Curveadj,3))</f>
        <v> </v>
      </c>
      <c r="C152" s="436" t="str">
        <f aca="false">IF(A152="N/A"," ",IF(ISERROR(Q152),C140*Pwresc,Q152)*VLOOKUP(MONTH(A152),Curveadj,3))</f>
        <v> </v>
      </c>
      <c r="D152" s="437" t="str">
        <f aca="false">IF(A152="N/A"," ",IF(ISERROR(R152),D140*Pwresc,R152)*VLOOKUP(MONTH(A152),Curveadj,3))</f>
        <v> </v>
      </c>
      <c r="E152" s="438" t="str">
        <f aca="false">IF(A152="N/A"," ",IF(Scalers=1,(IF(AND(Dynamic=1,MONTH(A152)&gt;=6,MONTH(A152)&lt;=8,OR($O$37="REGION 2",$O$37="REGION 2A",$O$37="REGION 2B",$O$37="REGION 3",$O$37="REGION 3A",$O$37="REGION 3B",$O$37="REGION 3C",$O$37="REGION 4",$O$37="REGION 4B",$O$37="REGION 4C",$O$37="REGION 5",$O$37="REGION 5A")),((0.059228/(B152/100))-(0.4980013/(SQRT(B152/100)))+2.137988),HLOOKUP(MONTH(A152),ScalarTable,28))),1))</f>
        <v> </v>
      </c>
      <c r="F152" s="439" t="str">
        <f aca="false">IF(A152="N/A"," ",B152*E152)</f>
        <v> </v>
      </c>
      <c r="G152" s="439" t="str">
        <f aca="false">IF(A152="N/A"," ",C152*E152)</f>
        <v> </v>
      </c>
      <c r="H152" s="440" t="str">
        <f aca="false">IF(A152="N/A"," ",D152*E152)</f>
        <v> </v>
      </c>
      <c r="I152" s="402" t="str">
        <f aca="false">IF(A152="N/A"," ",2-E152)</f>
        <v> </v>
      </c>
      <c r="J152" s="439" t="str">
        <f aca="false">IF(A152="N/A"," ",B152*I152)</f>
        <v> </v>
      </c>
      <c r="K152" s="439" t="str">
        <f aca="false">IF(A152="N/A"," ",C152*I152)</f>
        <v> </v>
      </c>
      <c r="L152" s="440" t="str">
        <f aca="false">IF(A152="N/A"," ",D152*I152)</f>
        <v> </v>
      </c>
      <c r="M152" s="441" t="str">
        <f aca="false">IF(A152="N/A"," ",IF(ISERROR(S152),M140*Pwresc,S152))</f>
        <v> </v>
      </c>
      <c r="N152" s="442" t="str">
        <f aca="false">IF(A152="N/A"," ",SUM(T152:X152))</f>
        <v> </v>
      </c>
      <c r="O152" s="370"/>
      <c r="P152" s="436" t="str">
        <f aca="false">IF(A152="N/A"," ",VLOOKUP(A152,PeakPowerCurves,(IF(BMO=2,3,IF(BMO=1,2,4))),FALSE())+Inputs!N135)</f>
        <v> </v>
      </c>
      <c r="Q152" s="436" t="str">
        <f aca="false">IF(A152="N/A"," ",VLOOKUP(A152,SatSunPeakPwr,(IF(BMO=2,3,IF(BMO=1,2,4))),FALSE())+Inputs!$N$23)</f>
        <v> </v>
      </c>
      <c r="R152" s="436" t="str">
        <f aca="false">IF(A152="N/A"," ",VLOOKUP(A152,SatSunPeakPwr,(IF(BMO=2,7,IF(BMO=1,6,8))),FALSE())+Inputs!$N$23)</f>
        <v> </v>
      </c>
      <c r="S152" s="443" t="str">
        <f aca="false">IF(A152="N/A"," ",(VLOOKUP(A152,OPPowerPrices,(IF(BMO=2,7,IF(BMO=1,6,8))),FALSE())+Inputs!$N$23))</f>
        <v> </v>
      </c>
      <c r="T152" s="444" t="str">
        <f aca="false">IF(A152="N/A"," ",(VLOOKUP(A152,GasCurves,9,FALSE()))+IF(BMO=1,Gasbmo,IF(BMO=3,-Gasbmo,0)))</f>
        <v> </v>
      </c>
      <c r="U152" s="444" t="str">
        <f aca="false">IF(A152="N/A"," ",IF(Basischeck=TRUE(),(VLOOKUP(A152,GasCurves,IF(MONTH(A152)&gt;=4,IF(MONTH(A152)&lt;=10,11,12),12),FALSE())),0))</f>
        <v> </v>
      </c>
      <c r="V152" s="444" t="str">
        <f aca="false">IF(A152="N/A"," ",IF(Indexcheck=TRUE(),(IF(MONTH(A152)&gt;=4,IF(MONTH(A152)&lt;=10,VLOOKUP(A152,'Gas Curves'!B130:O490,13),VLOOKUP(A152,'Gas Curves'!B130:O490,14)),VLOOKUP(A152,'Gas Curves'!B130:O490,14))),0))</f>
        <v> </v>
      </c>
      <c r="W152" s="444" t="str">
        <f aca="false">IF(A152="N/A"," ",((SUM(T152:V152))/(1-Inputs!$S$11)-(SUM(T152:V152))))</f>
        <v> </v>
      </c>
      <c r="X152" s="444" t="str">
        <f aca="false">IF(A152="N/A"," ",(IF(MONTH(A152)&gt;=4,IF(MONTH(A152)&lt;=10,Inputs!$S$9,Inputs!$S$10),Inputs!$S$10)))</f>
        <v> </v>
      </c>
      <c r="Y152" s="445" t="str">
        <f aca="false">IF(A152="N/A"," ",(VLOOKUP($A152,InterestRatesTable,2)))</f>
        <v> </v>
      </c>
      <c r="AF152" s="386" t="n">
        <v>41061</v>
      </c>
      <c r="AG152" s="376" t="n">
        <v>21</v>
      </c>
      <c r="AH152" s="376" t="n">
        <v>5</v>
      </c>
      <c r="AI152" s="376" t="n">
        <v>4</v>
      </c>
      <c r="AJ152" s="376" t="n">
        <v>0</v>
      </c>
      <c r="AK152" s="376" t="n">
        <v>30</v>
      </c>
    </row>
    <row r="153" customFormat="false" ht="12.75" hidden="false" customHeight="false" outlineLevel="0" collapsed="false">
      <c r="A153" s="434" t="str">
        <f aca="false">Calculations!A118</f>
        <v>N/A</v>
      </c>
      <c r="B153" s="435" t="str">
        <f aca="false">IF(A153="N/A"," ",IF(ISERROR(P153),B141*Pwresc,P153)*VLOOKUP(MONTH(A153),Curveadj,3))</f>
        <v> </v>
      </c>
      <c r="C153" s="436" t="str">
        <f aca="false">IF(A153="N/A"," ",IF(ISERROR(Q153),C141*Pwresc,Q153)*VLOOKUP(MONTH(A153),Curveadj,3))</f>
        <v> </v>
      </c>
      <c r="D153" s="437" t="str">
        <f aca="false">IF(A153="N/A"," ",IF(ISERROR(R153),D141*Pwresc,R153)*VLOOKUP(MONTH(A153),Curveadj,3))</f>
        <v> </v>
      </c>
      <c r="E153" s="438" t="str">
        <f aca="false">IF(A153="N/A"," ",IF(Scalers=1,(IF(AND(Dynamic=1,MONTH(A153)&gt;=6,MONTH(A153)&lt;=8,OR($O$37="REGION 2",$O$37="REGION 2A",$O$37="REGION 2B",$O$37="REGION 3",$O$37="REGION 3A",$O$37="REGION 3B",$O$37="REGION 3C",$O$37="REGION 4",$O$37="REGION 4B",$O$37="REGION 4C",$O$37="REGION 5",$O$37="REGION 5A")),((0.059228/(B153/100))-(0.4980013/(SQRT(B153/100)))+2.137988),HLOOKUP(MONTH(A153),ScalarTable,28))),1))</f>
        <v> </v>
      </c>
      <c r="F153" s="439" t="str">
        <f aca="false">IF(A153="N/A"," ",B153*E153)</f>
        <v> </v>
      </c>
      <c r="G153" s="439" t="str">
        <f aca="false">IF(A153="N/A"," ",C153*E153)</f>
        <v> </v>
      </c>
      <c r="H153" s="440" t="str">
        <f aca="false">IF(A153="N/A"," ",D153*E153)</f>
        <v> </v>
      </c>
      <c r="I153" s="402" t="str">
        <f aca="false">IF(A153="N/A"," ",2-E153)</f>
        <v> </v>
      </c>
      <c r="J153" s="439" t="str">
        <f aca="false">IF(A153="N/A"," ",B153*I153)</f>
        <v> </v>
      </c>
      <c r="K153" s="439" t="str">
        <f aca="false">IF(A153="N/A"," ",C153*I153)</f>
        <v> </v>
      </c>
      <c r="L153" s="440" t="str">
        <f aca="false">IF(A153="N/A"," ",D153*I153)</f>
        <v> </v>
      </c>
      <c r="M153" s="441" t="str">
        <f aca="false">IF(A153="N/A"," ",IF(ISERROR(S153),M141*Pwresc,S153))</f>
        <v> </v>
      </c>
      <c r="N153" s="442" t="str">
        <f aca="false">IF(A153="N/A"," ",SUM(T153:X153))</f>
        <v> </v>
      </c>
      <c r="O153" s="370"/>
      <c r="P153" s="436" t="str">
        <f aca="false">IF(A153="N/A"," ",VLOOKUP(A153,PeakPowerCurves,(IF(BMO=2,3,IF(BMO=1,2,4))),FALSE())+Inputs!N136)</f>
        <v> </v>
      </c>
      <c r="Q153" s="436" t="str">
        <f aca="false">IF(A153="N/A"," ",VLOOKUP(A153,SatSunPeakPwr,(IF(BMO=2,3,IF(BMO=1,2,4))),FALSE())+Inputs!$N$23)</f>
        <v> </v>
      </c>
      <c r="R153" s="436" t="str">
        <f aca="false">IF(A153="N/A"," ",VLOOKUP(A153,SatSunPeakPwr,(IF(BMO=2,7,IF(BMO=1,6,8))),FALSE())+Inputs!$N$23)</f>
        <v> </v>
      </c>
      <c r="S153" s="443" t="str">
        <f aca="false">IF(A153="N/A"," ",(VLOOKUP(A153,OPPowerPrices,(IF(BMO=2,7,IF(BMO=1,6,8))),FALSE())+Inputs!$N$23))</f>
        <v> </v>
      </c>
      <c r="T153" s="444" t="str">
        <f aca="false">IF(A153="N/A"," ",(VLOOKUP(A153,GasCurves,9,FALSE()))+IF(BMO=1,Gasbmo,IF(BMO=3,-Gasbmo,0)))</f>
        <v> </v>
      </c>
      <c r="U153" s="444" t="str">
        <f aca="false">IF(A153="N/A"," ",IF(Basischeck=TRUE(),(VLOOKUP(A153,GasCurves,IF(MONTH(A153)&gt;=4,IF(MONTH(A153)&lt;=10,11,12),12),FALSE())),0))</f>
        <v> </v>
      </c>
      <c r="V153" s="444" t="str">
        <f aca="false">IF(A153="N/A"," ",IF(Indexcheck=TRUE(),(IF(MONTH(A153)&gt;=4,IF(MONTH(A153)&lt;=10,VLOOKUP(A153,'Gas Curves'!B131:O491,13),VLOOKUP(A153,'Gas Curves'!B131:O491,14)),VLOOKUP(A153,'Gas Curves'!B131:O491,14))),0))</f>
        <v> </v>
      </c>
      <c r="W153" s="444" t="str">
        <f aca="false">IF(A153="N/A"," ",((SUM(T153:V153))/(1-Inputs!$S$11)-(SUM(T153:V153))))</f>
        <v> </v>
      </c>
      <c r="X153" s="444" t="str">
        <f aca="false">IF(A153="N/A"," ",(IF(MONTH(A153)&gt;=4,IF(MONTH(A153)&lt;=10,Inputs!$S$9,Inputs!$S$10),Inputs!$S$10)))</f>
        <v> </v>
      </c>
      <c r="Y153" s="445" t="str">
        <f aca="false">IF(A153="N/A"," ",(VLOOKUP($A153,InterestRatesTable,2)))</f>
        <v> </v>
      </c>
      <c r="AF153" s="386" t="n">
        <v>41091</v>
      </c>
      <c r="AG153" s="376" t="n">
        <v>21</v>
      </c>
      <c r="AH153" s="376" t="n">
        <v>4</v>
      </c>
      <c r="AI153" s="376" t="n">
        <v>6</v>
      </c>
      <c r="AJ153" s="376" t="n">
        <v>1</v>
      </c>
      <c r="AK153" s="376" t="n">
        <v>31</v>
      </c>
    </row>
    <row r="154" customFormat="false" ht="12.75" hidden="false" customHeight="false" outlineLevel="0" collapsed="false">
      <c r="A154" s="434" t="str">
        <f aca="false">Calculations!A119</f>
        <v>N/A</v>
      </c>
      <c r="B154" s="435" t="str">
        <f aca="false">IF(A154="N/A"," ",IF(ISERROR(P154),B142*Pwresc,P154)*VLOOKUP(MONTH(A154),Curveadj,3))</f>
        <v> </v>
      </c>
      <c r="C154" s="436" t="str">
        <f aca="false">IF(A154="N/A"," ",IF(ISERROR(Q154),C142*Pwresc,Q154)*VLOOKUP(MONTH(A154),Curveadj,3))</f>
        <v> </v>
      </c>
      <c r="D154" s="437" t="str">
        <f aca="false">IF(A154="N/A"," ",IF(ISERROR(R154),D142*Pwresc,R154)*VLOOKUP(MONTH(A154),Curveadj,3))</f>
        <v> </v>
      </c>
      <c r="E154" s="438" t="str">
        <f aca="false">IF(A154="N/A"," ",IF(Scalers=1,(IF(AND(Dynamic=1,MONTH(A154)&gt;=6,MONTH(A154)&lt;=8,OR($O$37="REGION 2",$O$37="REGION 2A",$O$37="REGION 2B",$O$37="REGION 3",$O$37="REGION 3A",$O$37="REGION 3B",$O$37="REGION 3C",$O$37="REGION 4",$O$37="REGION 4B",$O$37="REGION 4C",$O$37="REGION 5",$O$37="REGION 5A")),((0.059228/(B154/100))-(0.4980013/(SQRT(B154/100)))+2.137988),HLOOKUP(MONTH(A154),ScalarTable,28))),1))</f>
        <v> </v>
      </c>
      <c r="F154" s="439" t="str">
        <f aca="false">IF(A154="N/A"," ",B154*E154)</f>
        <v> </v>
      </c>
      <c r="G154" s="439" t="str">
        <f aca="false">IF(A154="N/A"," ",C154*E154)</f>
        <v> </v>
      </c>
      <c r="H154" s="440" t="str">
        <f aca="false">IF(A154="N/A"," ",D154*E154)</f>
        <v> </v>
      </c>
      <c r="I154" s="402" t="str">
        <f aca="false">IF(A154="N/A"," ",2-E154)</f>
        <v> </v>
      </c>
      <c r="J154" s="439" t="str">
        <f aca="false">IF(A154="N/A"," ",B154*I154)</f>
        <v> </v>
      </c>
      <c r="K154" s="439" t="str">
        <f aca="false">IF(A154="N/A"," ",C154*I154)</f>
        <v> </v>
      </c>
      <c r="L154" s="440" t="str">
        <f aca="false">IF(A154="N/A"," ",D154*I154)</f>
        <v> </v>
      </c>
      <c r="M154" s="441" t="str">
        <f aca="false">IF(A154="N/A"," ",IF(ISERROR(S154),M142*Pwresc,S154))</f>
        <v> </v>
      </c>
      <c r="N154" s="442" t="str">
        <f aca="false">IF(A154="N/A"," ",SUM(T154:X154))</f>
        <v> </v>
      </c>
      <c r="O154" s="370"/>
      <c r="P154" s="436" t="str">
        <f aca="false">IF(A154="N/A"," ",VLOOKUP(A154,PeakPowerCurves,(IF(BMO=2,3,IF(BMO=1,2,4))),FALSE())+Inputs!N137)</f>
        <v> </v>
      </c>
      <c r="Q154" s="436" t="str">
        <f aca="false">IF(A154="N/A"," ",VLOOKUP(A154,SatSunPeakPwr,(IF(BMO=2,3,IF(BMO=1,2,4))),FALSE())+Inputs!$N$23)</f>
        <v> </v>
      </c>
      <c r="R154" s="436" t="str">
        <f aca="false">IF(A154="N/A"," ",VLOOKUP(A154,SatSunPeakPwr,(IF(BMO=2,7,IF(BMO=1,6,8))),FALSE())+Inputs!$N$23)</f>
        <v> </v>
      </c>
      <c r="S154" s="443" t="str">
        <f aca="false">IF(A154="N/A"," ",(VLOOKUP(A154,OPPowerPrices,(IF(BMO=2,7,IF(BMO=1,6,8))),FALSE())+Inputs!$N$23))</f>
        <v> </v>
      </c>
      <c r="T154" s="444" t="str">
        <f aca="false">IF(A154="N/A"," ",(VLOOKUP(A154,GasCurves,9,FALSE()))+IF(BMO=1,Gasbmo,IF(BMO=3,-Gasbmo,0)))</f>
        <v> </v>
      </c>
      <c r="U154" s="444" t="str">
        <f aca="false">IF(A154="N/A"," ",IF(Basischeck=TRUE(),(VLOOKUP(A154,GasCurves,IF(MONTH(A154)&gt;=4,IF(MONTH(A154)&lt;=10,11,12),12),FALSE())),0))</f>
        <v> </v>
      </c>
      <c r="V154" s="444" t="str">
        <f aca="false">IF(A154="N/A"," ",IF(Indexcheck=TRUE(),(IF(MONTH(A154)&gt;=4,IF(MONTH(A154)&lt;=10,VLOOKUP(A154,'Gas Curves'!B132:O492,13),VLOOKUP(A154,'Gas Curves'!B132:O492,14)),VLOOKUP(A154,'Gas Curves'!B132:O492,14))),0))</f>
        <v> </v>
      </c>
      <c r="W154" s="444" t="str">
        <f aca="false">IF(A154="N/A"," ",((SUM(T154:V154))/(1-Inputs!$S$11)-(SUM(T154:V154))))</f>
        <v> </v>
      </c>
      <c r="X154" s="444" t="str">
        <f aca="false">IF(A154="N/A"," ",(IF(MONTH(A154)&gt;=4,IF(MONTH(A154)&lt;=10,Inputs!$S$9,Inputs!$S$10),Inputs!$S$10)))</f>
        <v> </v>
      </c>
      <c r="Y154" s="445" t="str">
        <f aca="false">IF(A154="N/A"," ",(VLOOKUP($A154,InterestRatesTable,2)))</f>
        <v> </v>
      </c>
      <c r="AF154" s="386" t="n">
        <v>41122</v>
      </c>
      <c r="AG154" s="376" t="n">
        <v>23</v>
      </c>
      <c r="AH154" s="376" t="n">
        <v>4</v>
      </c>
      <c r="AI154" s="376" t="n">
        <v>4</v>
      </c>
      <c r="AJ154" s="376" t="n">
        <v>0</v>
      </c>
      <c r="AK154" s="376" t="n">
        <v>31</v>
      </c>
    </row>
    <row r="155" customFormat="false" ht="12.75" hidden="false" customHeight="false" outlineLevel="0" collapsed="false">
      <c r="A155" s="434" t="str">
        <f aca="false">Calculations!A120</f>
        <v>N/A</v>
      </c>
      <c r="B155" s="435" t="str">
        <f aca="false">IF(A155="N/A"," ",IF(ISERROR(P155),B143*Pwresc,P155)*VLOOKUP(MONTH(A155),Curveadj,3))</f>
        <v> </v>
      </c>
      <c r="C155" s="436" t="str">
        <f aca="false">IF(A155="N/A"," ",IF(ISERROR(Q155),C143*Pwresc,Q155)*VLOOKUP(MONTH(A155),Curveadj,3))</f>
        <v> </v>
      </c>
      <c r="D155" s="437" t="str">
        <f aca="false">IF(A155="N/A"," ",IF(ISERROR(R155),D143*Pwresc,R155)*VLOOKUP(MONTH(A155),Curveadj,3))</f>
        <v> </v>
      </c>
      <c r="E155" s="438" t="str">
        <f aca="false">IF(A155="N/A"," ",IF(Scalers=1,(IF(AND(Dynamic=1,MONTH(A155)&gt;=6,MONTH(A155)&lt;=8,OR($O$37="REGION 2",$O$37="REGION 2A",$O$37="REGION 2B",$O$37="REGION 3",$O$37="REGION 3A",$O$37="REGION 3B",$O$37="REGION 3C",$O$37="REGION 4",$O$37="REGION 4B",$O$37="REGION 4C",$O$37="REGION 5",$O$37="REGION 5A")),((0.059228/(B155/100))-(0.4980013/(SQRT(B155/100)))+2.137988),HLOOKUP(MONTH(A155),ScalarTable,28))),1))</f>
        <v> </v>
      </c>
      <c r="F155" s="439" t="str">
        <f aca="false">IF(A155="N/A"," ",B155*E155)</f>
        <v> </v>
      </c>
      <c r="G155" s="439" t="str">
        <f aca="false">IF(A155="N/A"," ",C155*E155)</f>
        <v> </v>
      </c>
      <c r="H155" s="440" t="str">
        <f aca="false">IF(A155="N/A"," ",D155*E155)</f>
        <v> </v>
      </c>
      <c r="I155" s="402" t="str">
        <f aca="false">IF(A155="N/A"," ",2-E155)</f>
        <v> </v>
      </c>
      <c r="J155" s="439" t="str">
        <f aca="false">IF(A155="N/A"," ",B155*I155)</f>
        <v> </v>
      </c>
      <c r="K155" s="439" t="str">
        <f aca="false">IF(A155="N/A"," ",C155*I155)</f>
        <v> </v>
      </c>
      <c r="L155" s="440" t="str">
        <f aca="false">IF(A155="N/A"," ",D155*I155)</f>
        <v> </v>
      </c>
      <c r="M155" s="441" t="str">
        <f aca="false">IF(A155="N/A"," ",IF(ISERROR(S155),M143*Pwresc,S155))</f>
        <v> </v>
      </c>
      <c r="N155" s="442" t="str">
        <f aca="false">IF(A155="N/A"," ",SUM(T155:X155))</f>
        <v> </v>
      </c>
      <c r="O155" s="370"/>
      <c r="P155" s="436" t="str">
        <f aca="false">IF(A155="N/A"," ",VLOOKUP(A155,PeakPowerCurves,(IF(BMO=2,3,IF(BMO=1,2,4))),FALSE())+Inputs!N138)</f>
        <v> </v>
      </c>
      <c r="Q155" s="436" t="str">
        <f aca="false">IF(A155="N/A"," ",VLOOKUP(A155,SatSunPeakPwr,(IF(BMO=2,3,IF(BMO=1,2,4))),FALSE())+Inputs!$N$23)</f>
        <v> </v>
      </c>
      <c r="R155" s="436" t="str">
        <f aca="false">IF(A155="N/A"," ",VLOOKUP(A155,SatSunPeakPwr,(IF(BMO=2,7,IF(BMO=1,6,8))),FALSE())+Inputs!$N$23)</f>
        <v> </v>
      </c>
      <c r="S155" s="443" t="str">
        <f aca="false">IF(A155="N/A"," ",(VLOOKUP(A155,OPPowerPrices,(IF(BMO=2,7,IF(BMO=1,6,8))),FALSE())+Inputs!$N$23))</f>
        <v> </v>
      </c>
      <c r="T155" s="444" t="str">
        <f aca="false">IF(A155="N/A"," ",(VLOOKUP(A155,GasCurves,9,FALSE()))+IF(BMO=1,Gasbmo,IF(BMO=3,-Gasbmo,0)))</f>
        <v> </v>
      </c>
      <c r="U155" s="444" t="str">
        <f aca="false">IF(A155="N/A"," ",IF(Basischeck=TRUE(),(VLOOKUP(A155,GasCurves,IF(MONTH(A155)&gt;=4,IF(MONTH(A155)&lt;=10,11,12),12),FALSE())),0))</f>
        <v> </v>
      </c>
      <c r="V155" s="444" t="str">
        <f aca="false">IF(A155="N/A"," ",IF(Indexcheck=TRUE(),(IF(MONTH(A155)&gt;=4,IF(MONTH(A155)&lt;=10,VLOOKUP(A155,'Gas Curves'!B133:O493,13),VLOOKUP(A155,'Gas Curves'!B133:O493,14)),VLOOKUP(A155,'Gas Curves'!B133:O493,14))),0))</f>
        <v> </v>
      </c>
      <c r="W155" s="444" t="str">
        <f aca="false">IF(A155="N/A"," ",((SUM(T155:V155))/(1-Inputs!$S$11)-(SUM(T155:V155))))</f>
        <v> </v>
      </c>
      <c r="X155" s="444" t="str">
        <f aca="false">IF(A155="N/A"," ",(IF(MONTH(A155)&gt;=4,IF(MONTH(A155)&lt;=10,Inputs!$S$9,Inputs!$S$10),Inputs!$S$10)))</f>
        <v> </v>
      </c>
      <c r="Y155" s="445" t="str">
        <f aca="false">IF(A155="N/A"," ",(VLOOKUP($A155,InterestRatesTable,2)))</f>
        <v> </v>
      </c>
      <c r="AF155" s="386" t="n">
        <v>41153</v>
      </c>
      <c r="AG155" s="376" t="n">
        <v>19</v>
      </c>
      <c r="AH155" s="376" t="n">
        <v>5</v>
      </c>
      <c r="AI155" s="376" t="n">
        <v>6</v>
      </c>
      <c r="AJ155" s="376" t="n">
        <v>1</v>
      </c>
      <c r="AK155" s="376" t="n">
        <v>30</v>
      </c>
    </row>
    <row r="156" customFormat="false" ht="12.75" hidden="false" customHeight="false" outlineLevel="0" collapsed="false">
      <c r="A156" s="434" t="str">
        <f aca="false">Calculations!A121</f>
        <v>N/A</v>
      </c>
      <c r="B156" s="435" t="str">
        <f aca="false">IF(A156="N/A"," ",IF(ISERROR(P156),B144*Pwresc,P156)*VLOOKUP(MONTH(A156),Curveadj,3))</f>
        <v> </v>
      </c>
      <c r="C156" s="436" t="str">
        <f aca="false">IF(A156="N/A"," ",IF(ISERROR(Q156),C144*Pwresc,Q156)*VLOOKUP(MONTH(A156),Curveadj,3))</f>
        <v> </v>
      </c>
      <c r="D156" s="437" t="str">
        <f aca="false">IF(A156="N/A"," ",IF(ISERROR(R156),D144*Pwresc,R156)*VLOOKUP(MONTH(A156),Curveadj,3))</f>
        <v> </v>
      </c>
      <c r="E156" s="438" t="str">
        <f aca="false">IF(A156="N/A"," ",IF(Scalers=1,(IF(AND(Dynamic=1,MONTH(A156)&gt;=6,MONTH(A156)&lt;=8,OR($O$37="REGION 2",$O$37="REGION 2A",$O$37="REGION 2B",$O$37="REGION 3",$O$37="REGION 3A",$O$37="REGION 3B",$O$37="REGION 3C",$O$37="REGION 4",$O$37="REGION 4B",$O$37="REGION 4C",$O$37="REGION 5",$O$37="REGION 5A")),((0.059228/(B156/100))-(0.4980013/(SQRT(B156/100)))+2.137988),HLOOKUP(MONTH(A156),ScalarTable,28))),1))</f>
        <v> </v>
      </c>
      <c r="F156" s="439" t="str">
        <f aca="false">IF(A156="N/A"," ",B156*E156)</f>
        <v> </v>
      </c>
      <c r="G156" s="439" t="str">
        <f aca="false">IF(A156="N/A"," ",C156*E156)</f>
        <v> </v>
      </c>
      <c r="H156" s="440" t="str">
        <f aca="false">IF(A156="N/A"," ",D156*E156)</f>
        <v> </v>
      </c>
      <c r="I156" s="402" t="str">
        <f aca="false">IF(A156="N/A"," ",2-E156)</f>
        <v> </v>
      </c>
      <c r="J156" s="439" t="str">
        <f aca="false">IF(A156="N/A"," ",B156*I156)</f>
        <v> </v>
      </c>
      <c r="K156" s="439" t="str">
        <f aca="false">IF(A156="N/A"," ",C156*I156)</f>
        <v> </v>
      </c>
      <c r="L156" s="440" t="str">
        <f aca="false">IF(A156="N/A"," ",D156*I156)</f>
        <v> </v>
      </c>
      <c r="M156" s="441" t="str">
        <f aca="false">IF(A156="N/A"," ",IF(ISERROR(S156),M144*Pwresc,S156))</f>
        <v> </v>
      </c>
      <c r="N156" s="442" t="str">
        <f aca="false">IF(A156="N/A"," ",SUM(T156:X156))</f>
        <v> </v>
      </c>
      <c r="O156" s="370"/>
      <c r="P156" s="436" t="str">
        <f aca="false">IF(A156="N/A"," ",VLOOKUP(A156,PeakPowerCurves,(IF(BMO=2,3,IF(BMO=1,2,4))),FALSE())+Inputs!N139)</f>
        <v> </v>
      </c>
      <c r="Q156" s="436" t="str">
        <f aca="false">IF(A156="N/A"," ",VLOOKUP(A156,SatSunPeakPwr,(IF(BMO=2,3,IF(BMO=1,2,4))),FALSE())+Inputs!$N$23)</f>
        <v> </v>
      </c>
      <c r="R156" s="436" t="str">
        <f aca="false">IF(A156="N/A"," ",VLOOKUP(A156,SatSunPeakPwr,(IF(BMO=2,7,IF(BMO=1,6,8))),FALSE())+Inputs!$N$23)</f>
        <v> </v>
      </c>
      <c r="S156" s="443" t="str">
        <f aca="false">IF(A156="N/A"," ",(VLOOKUP(A156,OPPowerPrices,(IF(BMO=2,7,IF(BMO=1,6,8))),FALSE())+Inputs!$N$23))</f>
        <v> </v>
      </c>
      <c r="T156" s="444" t="str">
        <f aca="false">IF(A156="N/A"," ",(VLOOKUP(A156,GasCurves,9,FALSE()))+IF(BMO=1,Gasbmo,IF(BMO=3,-Gasbmo,0)))</f>
        <v> </v>
      </c>
      <c r="U156" s="444" t="str">
        <f aca="false">IF(A156="N/A"," ",IF(Basischeck=TRUE(),(VLOOKUP(A156,GasCurves,IF(MONTH(A156)&gt;=4,IF(MONTH(A156)&lt;=10,11,12),12),FALSE())),0))</f>
        <v> </v>
      </c>
      <c r="V156" s="444" t="str">
        <f aca="false">IF(A156="N/A"," ",IF(Indexcheck=TRUE(),(IF(MONTH(A156)&gt;=4,IF(MONTH(A156)&lt;=10,VLOOKUP(A156,'Gas Curves'!B134:O494,13),VLOOKUP(A156,'Gas Curves'!B134:O494,14)),VLOOKUP(A156,'Gas Curves'!B134:O494,14))),0))</f>
        <v> </v>
      </c>
      <c r="W156" s="444" t="str">
        <f aca="false">IF(A156="N/A"," ",((SUM(T156:V156))/(1-Inputs!$S$11)-(SUM(T156:V156))))</f>
        <v> </v>
      </c>
      <c r="X156" s="444" t="str">
        <f aca="false">IF(A156="N/A"," ",(IF(MONTH(A156)&gt;=4,IF(MONTH(A156)&lt;=10,Inputs!$S$9,Inputs!$S$10),Inputs!$S$10)))</f>
        <v> </v>
      </c>
      <c r="Y156" s="445" t="str">
        <f aca="false">IF(A156="N/A"," ",(VLOOKUP($A156,InterestRatesTable,2)))</f>
        <v> </v>
      </c>
      <c r="AF156" s="386" t="n">
        <v>41183</v>
      </c>
      <c r="AG156" s="376" t="n">
        <v>23</v>
      </c>
      <c r="AH156" s="376" t="n">
        <v>4</v>
      </c>
      <c r="AI156" s="376" t="n">
        <v>4</v>
      </c>
      <c r="AJ156" s="376" t="n">
        <v>0</v>
      </c>
      <c r="AK156" s="376" t="n">
        <v>31</v>
      </c>
    </row>
    <row r="157" customFormat="false" ht="12.75" hidden="false" customHeight="false" outlineLevel="0" collapsed="false">
      <c r="A157" s="434" t="str">
        <f aca="false">Calculations!A122</f>
        <v>N/A</v>
      </c>
      <c r="B157" s="435" t="str">
        <f aca="false">IF(A157="N/A"," ",IF(ISERROR(P157),B145*Pwresc,P157)*VLOOKUP(MONTH(A157),Curveadj,3))</f>
        <v> </v>
      </c>
      <c r="C157" s="436" t="str">
        <f aca="false">IF(A157="N/A"," ",IF(ISERROR(Q157),C145*Pwresc,Q157)*VLOOKUP(MONTH(A157),Curveadj,3))</f>
        <v> </v>
      </c>
      <c r="D157" s="437" t="str">
        <f aca="false">IF(A157="N/A"," ",IF(ISERROR(R157),D145*Pwresc,R157)*VLOOKUP(MONTH(A157),Curveadj,3))</f>
        <v> </v>
      </c>
      <c r="E157" s="438" t="str">
        <f aca="false">IF(A157="N/A"," ",IF(Scalers=1,(IF(AND(Dynamic=1,MONTH(A157)&gt;=6,MONTH(A157)&lt;=8,OR($O$37="REGION 2",$O$37="REGION 2A",$O$37="REGION 2B",$O$37="REGION 3",$O$37="REGION 3A",$O$37="REGION 3B",$O$37="REGION 3C",$O$37="REGION 4",$O$37="REGION 4B",$O$37="REGION 4C",$O$37="REGION 5",$O$37="REGION 5A")),((0.059228/(B157/100))-(0.4980013/(SQRT(B157/100)))+2.137988),HLOOKUP(MONTH(A157),ScalarTable,28))),1))</f>
        <v> </v>
      </c>
      <c r="F157" s="439" t="str">
        <f aca="false">IF(A157="N/A"," ",B157*E157)</f>
        <v> </v>
      </c>
      <c r="G157" s="439" t="str">
        <f aca="false">IF(A157="N/A"," ",C157*E157)</f>
        <v> </v>
      </c>
      <c r="H157" s="440" t="str">
        <f aca="false">IF(A157="N/A"," ",D157*E157)</f>
        <v> </v>
      </c>
      <c r="I157" s="402" t="str">
        <f aca="false">IF(A157="N/A"," ",2-E157)</f>
        <v> </v>
      </c>
      <c r="J157" s="439" t="str">
        <f aca="false">IF(A157="N/A"," ",B157*I157)</f>
        <v> </v>
      </c>
      <c r="K157" s="439" t="str">
        <f aca="false">IF(A157="N/A"," ",C157*I157)</f>
        <v> </v>
      </c>
      <c r="L157" s="440" t="str">
        <f aca="false">IF(A157="N/A"," ",D157*I157)</f>
        <v> </v>
      </c>
      <c r="M157" s="441" t="str">
        <f aca="false">IF(A157="N/A"," ",IF(ISERROR(S157),M145*Pwresc,S157))</f>
        <v> </v>
      </c>
      <c r="N157" s="442" t="str">
        <f aca="false">IF(A157="N/A"," ",SUM(T157:X157))</f>
        <v> </v>
      </c>
      <c r="O157" s="370"/>
      <c r="P157" s="436" t="str">
        <f aca="false">IF(A157="N/A"," ",VLOOKUP(A157,PeakPowerCurves,(IF(BMO=2,3,IF(BMO=1,2,4))),FALSE())+Inputs!N140)</f>
        <v> </v>
      </c>
      <c r="Q157" s="436" t="str">
        <f aca="false">IF(A157="N/A"," ",VLOOKUP(A157,SatSunPeakPwr,(IF(BMO=2,3,IF(BMO=1,2,4))),FALSE())+Inputs!$N$23)</f>
        <v> </v>
      </c>
      <c r="R157" s="436" t="str">
        <f aca="false">IF(A157="N/A"," ",VLOOKUP(A157,SatSunPeakPwr,(IF(BMO=2,7,IF(BMO=1,6,8))),FALSE())+Inputs!$N$23)</f>
        <v> </v>
      </c>
      <c r="S157" s="443" t="str">
        <f aca="false">IF(A157="N/A"," ",(VLOOKUP(A157,OPPowerPrices,(IF(BMO=2,7,IF(BMO=1,6,8))),FALSE())+Inputs!$N$23))</f>
        <v> </v>
      </c>
      <c r="T157" s="444" t="str">
        <f aca="false">IF(A157="N/A"," ",(VLOOKUP(A157,GasCurves,9,FALSE()))+IF(BMO=1,Gasbmo,IF(BMO=3,-Gasbmo,0)))</f>
        <v> </v>
      </c>
      <c r="U157" s="444" t="str">
        <f aca="false">IF(A157="N/A"," ",IF(Basischeck=TRUE(),(VLOOKUP(A157,GasCurves,IF(MONTH(A157)&gt;=4,IF(MONTH(A157)&lt;=10,11,12),12),FALSE())),0))</f>
        <v> </v>
      </c>
      <c r="V157" s="444" t="str">
        <f aca="false">IF(A157="N/A"," ",IF(Indexcheck=TRUE(),(IF(MONTH(A157)&gt;=4,IF(MONTH(A157)&lt;=10,VLOOKUP(A157,'Gas Curves'!B135:O495,13),VLOOKUP(A157,'Gas Curves'!B135:O495,14)),VLOOKUP(A157,'Gas Curves'!B135:O495,14))),0))</f>
        <v> </v>
      </c>
      <c r="W157" s="444" t="str">
        <f aca="false">IF(A157="N/A"," ",((SUM(T157:V157))/(1-Inputs!$S$11)-(SUM(T157:V157))))</f>
        <v> </v>
      </c>
      <c r="X157" s="444" t="str">
        <f aca="false">IF(A157="N/A"," ",(IF(MONTH(A157)&gt;=4,IF(MONTH(A157)&lt;=10,Inputs!$S$9,Inputs!$S$10),Inputs!$S$10)))</f>
        <v> </v>
      </c>
      <c r="Y157" s="445" t="str">
        <f aca="false">IF(A157="N/A"," ",(VLOOKUP($A157,InterestRatesTable,2)))</f>
        <v> </v>
      </c>
      <c r="AF157" s="386" t="n">
        <v>41214</v>
      </c>
      <c r="AG157" s="376" t="n">
        <v>21</v>
      </c>
      <c r="AH157" s="376" t="n">
        <v>4</v>
      </c>
      <c r="AI157" s="376" t="n">
        <v>5</v>
      </c>
      <c r="AJ157" s="376" t="n">
        <v>1</v>
      </c>
      <c r="AK157" s="376" t="n">
        <v>30</v>
      </c>
    </row>
    <row r="158" customFormat="false" ht="12.75" hidden="false" customHeight="false" outlineLevel="0" collapsed="false">
      <c r="A158" s="434" t="str">
        <f aca="false">Calculations!A123</f>
        <v>N/A</v>
      </c>
      <c r="B158" s="435" t="str">
        <f aca="false">IF(A158="N/A"," ",IF(ISERROR(P158),B146*Pwresc,P158)*VLOOKUP(MONTH(A158),Curveadj,3))</f>
        <v> </v>
      </c>
      <c r="C158" s="436" t="str">
        <f aca="false">IF(A158="N/A"," ",IF(ISERROR(Q158),C146*Pwresc,Q158)*VLOOKUP(MONTH(A158),Curveadj,3))</f>
        <v> </v>
      </c>
      <c r="D158" s="437" t="str">
        <f aca="false">IF(A158="N/A"," ",IF(ISERROR(R158),D146*Pwresc,R158)*VLOOKUP(MONTH(A158),Curveadj,3))</f>
        <v> </v>
      </c>
      <c r="E158" s="438" t="str">
        <f aca="false">IF(A158="N/A"," ",IF(Scalers=1,(IF(AND(Dynamic=1,MONTH(A158)&gt;=6,MONTH(A158)&lt;=8,OR($O$37="REGION 2",$O$37="REGION 2A",$O$37="REGION 2B",$O$37="REGION 3",$O$37="REGION 3A",$O$37="REGION 3B",$O$37="REGION 3C",$O$37="REGION 4",$O$37="REGION 4B",$O$37="REGION 4C",$O$37="REGION 5",$O$37="REGION 5A")),((0.059228/(B158/100))-(0.4980013/(SQRT(B158/100)))+2.137988),HLOOKUP(MONTH(A158),ScalarTable,28))),1))</f>
        <v> </v>
      </c>
      <c r="F158" s="439" t="str">
        <f aca="false">IF(A158="N/A"," ",B158*E158)</f>
        <v> </v>
      </c>
      <c r="G158" s="439" t="str">
        <f aca="false">IF(A158="N/A"," ",C158*E158)</f>
        <v> </v>
      </c>
      <c r="H158" s="440" t="str">
        <f aca="false">IF(A158="N/A"," ",D158*E158)</f>
        <v> </v>
      </c>
      <c r="I158" s="402" t="str">
        <f aca="false">IF(A158="N/A"," ",2-E158)</f>
        <v> </v>
      </c>
      <c r="J158" s="439" t="str">
        <f aca="false">IF(A158="N/A"," ",B158*I158)</f>
        <v> </v>
      </c>
      <c r="K158" s="439" t="str">
        <f aca="false">IF(A158="N/A"," ",C158*I158)</f>
        <v> </v>
      </c>
      <c r="L158" s="440" t="str">
        <f aca="false">IF(A158="N/A"," ",D158*I158)</f>
        <v> </v>
      </c>
      <c r="M158" s="441" t="str">
        <f aca="false">IF(A158="N/A"," ",IF(ISERROR(S158),M146*Pwresc,S158))</f>
        <v> </v>
      </c>
      <c r="N158" s="442" t="str">
        <f aca="false">IF(A158="N/A"," ",SUM(T158:X158))</f>
        <v> </v>
      </c>
      <c r="O158" s="370"/>
      <c r="P158" s="436" t="str">
        <f aca="false">IF(A158="N/A"," ",VLOOKUP(A158,PeakPowerCurves,(IF(BMO=2,3,IF(BMO=1,2,4))),FALSE())+Inputs!N141)</f>
        <v> </v>
      </c>
      <c r="Q158" s="436" t="str">
        <f aca="false">IF(A158="N/A"," ",VLOOKUP(A158,SatSunPeakPwr,(IF(BMO=2,3,IF(BMO=1,2,4))),FALSE())+Inputs!$N$23)</f>
        <v> </v>
      </c>
      <c r="R158" s="436" t="str">
        <f aca="false">IF(A158="N/A"," ",VLOOKUP(A158,SatSunPeakPwr,(IF(BMO=2,7,IF(BMO=1,6,8))),FALSE())+Inputs!$N$23)</f>
        <v> </v>
      </c>
      <c r="S158" s="443" t="str">
        <f aca="false">IF(A158="N/A"," ",(VLOOKUP(A158,OPPowerPrices,(IF(BMO=2,7,IF(BMO=1,6,8))),FALSE())+Inputs!$N$23))</f>
        <v> </v>
      </c>
      <c r="T158" s="444" t="str">
        <f aca="false">IF(A158="N/A"," ",(VLOOKUP(A158,GasCurves,9,FALSE()))+IF(BMO=1,Gasbmo,IF(BMO=3,-Gasbmo,0)))</f>
        <v> </v>
      </c>
      <c r="U158" s="444" t="str">
        <f aca="false">IF(A158="N/A"," ",IF(Basischeck=TRUE(),(VLOOKUP(A158,GasCurves,IF(MONTH(A158)&gt;=4,IF(MONTH(A158)&lt;=10,11,12),12),FALSE())),0))</f>
        <v> </v>
      </c>
      <c r="V158" s="444" t="str">
        <f aca="false">IF(A158="N/A"," ",IF(Indexcheck=TRUE(),(IF(MONTH(A158)&gt;=4,IF(MONTH(A158)&lt;=10,VLOOKUP(A158,'Gas Curves'!B136:O496,13),VLOOKUP(A158,'Gas Curves'!B136:O496,14)),VLOOKUP(A158,'Gas Curves'!B136:O496,14))),0))</f>
        <v> </v>
      </c>
      <c r="W158" s="444" t="str">
        <f aca="false">IF(A158="N/A"," ",((SUM(T158:V158))/(1-Inputs!$S$11)-(SUM(T158:V158))))</f>
        <v> </v>
      </c>
      <c r="X158" s="444" t="str">
        <f aca="false">IF(A158="N/A"," ",(IF(MONTH(A158)&gt;=4,IF(MONTH(A158)&lt;=10,Inputs!$S$9,Inputs!$S$10),Inputs!$S$10)))</f>
        <v> </v>
      </c>
      <c r="Y158" s="445" t="str">
        <f aca="false">IF(A158="N/A"," ",(VLOOKUP($A158,InterestRatesTable,2)))</f>
        <v> </v>
      </c>
      <c r="AF158" s="386" t="n">
        <v>41244</v>
      </c>
      <c r="AG158" s="376" t="n">
        <v>20</v>
      </c>
      <c r="AH158" s="376" t="n">
        <v>5</v>
      </c>
      <c r="AI158" s="376" t="n">
        <v>6</v>
      </c>
      <c r="AJ158" s="376" t="n">
        <v>1</v>
      </c>
      <c r="AK158" s="376" t="n">
        <v>31</v>
      </c>
    </row>
    <row r="159" customFormat="false" ht="12.75" hidden="false" customHeight="false" outlineLevel="0" collapsed="false">
      <c r="A159" s="434" t="str">
        <f aca="false">Calculations!A124</f>
        <v>N/A</v>
      </c>
      <c r="B159" s="435" t="str">
        <f aca="false">IF(A159="N/A"," ",IF(ISERROR(P159),B147*Pwresc,P159)*VLOOKUP(MONTH(A159),Curveadj,3))</f>
        <v> </v>
      </c>
      <c r="C159" s="436" t="str">
        <f aca="false">IF(A159="N/A"," ",IF(ISERROR(Q159),C147*Pwresc,Q159)*VLOOKUP(MONTH(A159),Curveadj,3))</f>
        <v> </v>
      </c>
      <c r="D159" s="437" t="str">
        <f aca="false">IF(A159="N/A"," ",IF(ISERROR(R159),D147*Pwresc,R159)*VLOOKUP(MONTH(A159),Curveadj,3))</f>
        <v> </v>
      </c>
      <c r="E159" s="438" t="str">
        <f aca="false">IF(A159="N/A"," ",IF(Scalers=1,(IF(AND(Dynamic=1,MONTH(A159)&gt;=6,MONTH(A159)&lt;=8,OR($O$37="REGION 2",$O$37="REGION 2A",$O$37="REGION 2B",$O$37="REGION 3",$O$37="REGION 3A",$O$37="REGION 3B",$O$37="REGION 3C",$O$37="REGION 4",$O$37="REGION 4B",$O$37="REGION 4C",$O$37="REGION 5",$O$37="REGION 5A")),((0.059228/(B159/100))-(0.4980013/(SQRT(B159/100)))+2.137988),HLOOKUP(MONTH(A159),ScalarTable,28))),1))</f>
        <v> </v>
      </c>
      <c r="F159" s="439" t="str">
        <f aca="false">IF(A159="N/A"," ",B159*E159)</f>
        <v> </v>
      </c>
      <c r="G159" s="439" t="str">
        <f aca="false">IF(A159="N/A"," ",C159*E159)</f>
        <v> </v>
      </c>
      <c r="H159" s="440" t="str">
        <f aca="false">IF(A159="N/A"," ",D159*E159)</f>
        <v> </v>
      </c>
      <c r="I159" s="402" t="str">
        <f aca="false">IF(A159="N/A"," ",2-E159)</f>
        <v> </v>
      </c>
      <c r="J159" s="439" t="str">
        <f aca="false">IF(A159="N/A"," ",B159*I159)</f>
        <v> </v>
      </c>
      <c r="K159" s="439" t="str">
        <f aca="false">IF(A159="N/A"," ",C159*I159)</f>
        <v> </v>
      </c>
      <c r="L159" s="440" t="str">
        <f aca="false">IF(A159="N/A"," ",D159*I159)</f>
        <v> </v>
      </c>
      <c r="M159" s="441" t="str">
        <f aca="false">IF(A159="N/A"," ",IF(ISERROR(S159),M147*Pwresc,S159))</f>
        <v> </v>
      </c>
      <c r="N159" s="442" t="str">
        <f aca="false">IF(A159="N/A"," ",SUM(T159:X159))</f>
        <v> </v>
      </c>
      <c r="O159" s="370"/>
      <c r="P159" s="436" t="str">
        <f aca="false">IF(A159="N/A"," ",VLOOKUP(A159,PeakPowerCurves,(IF(BMO=2,3,IF(BMO=1,2,4))),FALSE())+Inputs!N142)</f>
        <v> </v>
      </c>
      <c r="Q159" s="436" t="str">
        <f aca="false">IF(A159="N/A"," ",VLOOKUP(A159,SatSunPeakPwr,(IF(BMO=2,3,IF(BMO=1,2,4))),FALSE())+Inputs!$N$23)</f>
        <v> </v>
      </c>
      <c r="R159" s="436" t="str">
        <f aca="false">IF(A159="N/A"," ",VLOOKUP(A159,SatSunPeakPwr,(IF(BMO=2,7,IF(BMO=1,6,8))),FALSE())+Inputs!$N$23)</f>
        <v> </v>
      </c>
      <c r="S159" s="443" t="str">
        <f aca="false">IF(A159="N/A"," ",(VLOOKUP(A159,OPPowerPrices,(IF(BMO=2,7,IF(BMO=1,6,8))),FALSE())+Inputs!$N$23))</f>
        <v> </v>
      </c>
      <c r="T159" s="444" t="str">
        <f aca="false">IF(A159="N/A"," ",(VLOOKUP(A159,GasCurves,9,FALSE()))+IF(BMO=1,Gasbmo,IF(BMO=3,-Gasbmo,0)))</f>
        <v> </v>
      </c>
      <c r="U159" s="444" t="str">
        <f aca="false">IF(A159="N/A"," ",IF(Basischeck=TRUE(),(VLOOKUP(A159,GasCurves,IF(MONTH(A159)&gt;=4,IF(MONTH(A159)&lt;=10,11,12),12),FALSE())),0))</f>
        <v> </v>
      </c>
      <c r="V159" s="444" t="str">
        <f aca="false">IF(A159="N/A"," ",IF(Indexcheck=TRUE(),(IF(MONTH(A159)&gt;=4,IF(MONTH(A159)&lt;=10,VLOOKUP(A159,'Gas Curves'!B137:O497,13),VLOOKUP(A159,'Gas Curves'!B137:O497,14)),VLOOKUP(A159,'Gas Curves'!B137:O497,14))),0))</f>
        <v> </v>
      </c>
      <c r="W159" s="444" t="str">
        <f aca="false">IF(A159="N/A"," ",((SUM(T159:V159))/(1-Inputs!$S$11)-(SUM(T159:V159))))</f>
        <v> </v>
      </c>
      <c r="X159" s="444" t="str">
        <f aca="false">IF(A159="N/A"," ",(IF(MONTH(A159)&gt;=4,IF(MONTH(A159)&lt;=10,Inputs!$S$9,Inputs!$S$10),Inputs!$S$10)))</f>
        <v> </v>
      </c>
      <c r="Y159" s="445" t="str">
        <f aca="false">IF(A159="N/A"," ",(VLOOKUP($A159,InterestRatesTable,2)))</f>
        <v> </v>
      </c>
      <c r="AF159" s="386" t="n">
        <v>41275</v>
      </c>
      <c r="AG159" s="376" t="n">
        <v>22</v>
      </c>
      <c r="AH159" s="376" t="n">
        <v>4</v>
      </c>
      <c r="AI159" s="376" t="n">
        <v>5</v>
      </c>
      <c r="AJ159" s="376" t="n">
        <v>1</v>
      </c>
      <c r="AK159" s="376" t="n">
        <v>31</v>
      </c>
    </row>
    <row r="160" customFormat="false" ht="12.75" hidden="false" customHeight="false" outlineLevel="0" collapsed="false">
      <c r="A160" s="434" t="str">
        <f aca="false">Calculations!A125</f>
        <v>N/A</v>
      </c>
      <c r="B160" s="435" t="str">
        <f aca="false">IF(A160="N/A"," ",IF(ISERROR(P160),B148*Pwresc,P160)*VLOOKUP(MONTH(A160),Curveadj,3))</f>
        <v> </v>
      </c>
      <c r="C160" s="436" t="str">
        <f aca="false">IF(A160="N/A"," ",IF(ISERROR(Q160),C148*Pwresc,Q160)*VLOOKUP(MONTH(A160),Curveadj,3))</f>
        <v> </v>
      </c>
      <c r="D160" s="437" t="str">
        <f aca="false">IF(A160="N/A"," ",IF(ISERROR(R160),D148*Pwresc,R160)*VLOOKUP(MONTH(A160),Curveadj,3))</f>
        <v> </v>
      </c>
      <c r="E160" s="438" t="str">
        <f aca="false">IF(A160="N/A"," ",IF(Scalers=1,(IF(AND(Dynamic=1,MONTH(A160)&gt;=6,MONTH(A160)&lt;=8,OR($O$37="REGION 2",$O$37="REGION 2A",$O$37="REGION 2B",$O$37="REGION 3",$O$37="REGION 3A",$O$37="REGION 3B",$O$37="REGION 3C",$O$37="REGION 4",$O$37="REGION 4B",$O$37="REGION 4C",$O$37="REGION 5",$O$37="REGION 5A")),((0.059228/(B160/100))-(0.4980013/(SQRT(B160/100)))+2.137988),HLOOKUP(MONTH(A160),ScalarTable,28))),1))</f>
        <v> </v>
      </c>
      <c r="F160" s="439" t="str">
        <f aca="false">IF(A160="N/A"," ",B160*E160)</f>
        <v> </v>
      </c>
      <c r="G160" s="439" t="str">
        <f aca="false">IF(A160="N/A"," ",C160*E160)</f>
        <v> </v>
      </c>
      <c r="H160" s="440" t="str">
        <f aca="false">IF(A160="N/A"," ",D160*E160)</f>
        <v> </v>
      </c>
      <c r="I160" s="402" t="str">
        <f aca="false">IF(A160="N/A"," ",2-E160)</f>
        <v> </v>
      </c>
      <c r="J160" s="439" t="str">
        <f aca="false">IF(A160="N/A"," ",B160*I160)</f>
        <v> </v>
      </c>
      <c r="K160" s="439" t="str">
        <f aca="false">IF(A160="N/A"," ",C160*I160)</f>
        <v> </v>
      </c>
      <c r="L160" s="440" t="str">
        <f aca="false">IF(A160="N/A"," ",D160*I160)</f>
        <v> </v>
      </c>
      <c r="M160" s="441" t="str">
        <f aca="false">IF(A160="N/A"," ",IF(ISERROR(S160),M148*Pwresc,S160))</f>
        <v> </v>
      </c>
      <c r="N160" s="442" t="str">
        <f aca="false">IF(A160="N/A"," ",SUM(T160:X160))</f>
        <v> </v>
      </c>
      <c r="O160" s="370"/>
      <c r="P160" s="436" t="str">
        <f aca="false">IF(A160="N/A"," ",VLOOKUP(A160,PeakPowerCurves,(IF(BMO=2,3,IF(BMO=1,2,4))),FALSE())+Inputs!N143)</f>
        <v> </v>
      </c>
      <c r="Q160" s="436" t="str">
        <f aca="false">IF(A160="N/A"," ",VLOOKUP(A160,SatSunPeakPwr,(IF(BMO=2,3,IF(BMO=1,2,4))),FALSE())+Inputs!$N$23)</f>
        <v> </v>
      </c>
      <c r="R160" s="436" t="str">
        <f aca="false">IF(A160="N/A"," ",VLOOKUP(A160,SatSunPeakPwr,(IF(BMO=2,7,IF(BMO=1,6,8))),FALSE())+Inputs!$N$23)</f>
        <v> </v>
      </c>
      <c r="S160" s="443" t="str">
        <f aca="false">IF(A160="N/A"," ",(VLOOKUP(A160,OPPowerPrices,(IF(BMO=2,7,IF(BMO=1,6,8))),FALSE())+Inputs!$N$23))</f>
        <v> </v>
      </c>
      <c r="T160" s="444" t="str">
        <f aca="false">IF(A160="N/A"," ",(VLOOKUP(A160,GasCurves,9,FALSE()))+IF(BMO=1,Gasbmo,IF(BMO=3,-Gasbmo,0)))</f>
        <v> </v>
      </c>
      <c r="U160" s="444" t="str">
        <f aca="false">IF(A160="N/A"," ",IF(Basischeck=TRUE(),(VLOOKUP(A160,GasCurves,IF(MONTH(A160)&gt;=4,IF(MONTH(A160)&lt;=10,11,12),12),FALSE())),0))</f>
        <v> </v>
      </c>
      <c r="V160" s="444" t="str">
        <f aca="false">IF(A160="N/A"," ",IF(Indexcheck=TRUE(),(IF(MONTH(A160)&gt;=4,IF(MONTH(A160)&lt;=10,VLOOKUP(A160,'Gas Curves'!B138:O498,13),VLOOKUP(A160,'Gas Curves'!B138:O498,14)),VLOOKUP(A160,'Gas Curves'!B138:O498,14))),0))</f>
        <v> </v>
      </c>
      <c r="W160" s="444" t="str">
        <f aca="false">IF(A160="N/A"," ",((SUM(T160:V160))/(1-Inputs!$S$11)-(SUM(T160:V160))))</f>
        <v> </v>
      </c>
      <c r="X160" s="444" t="str">
        <f aca="false">IF(A160="N/A"," ",(IF(MONTH(A160)&gt;=4,IF(MONTH(A160)&lt;=10,Inputs!$S$9,Inputs!$S$10),Inputs!$S$10)))</f>
        <v> </v>
      </c>
      <c r="Y160" s="445" t="str">
        <f aca="false">IF(A160="N/A"," ",(VLOOKUP($A160,InterestRatesTable,2)))</f>
        <v> </v>
      </c>
      <c r="AF160" s="386" t="n">
        <v>41306</v>
      </c>
      <c r="AG160" s="376" t="n">
        <v>20</v>
      </c>
      <c r="AH160" s="376" t="n">
        <v>4</v>
      </c>
      <c r="AI160" s="376" t="n">
        <v>4</v>
      </c>
      <c r="AJ160" s="376" t="n">
        <v>0</v>
      </c>
      <c r="AK160" s="376" t="n">
        <v>28</v>
      </c>
    </row>
    <row r="161" customFormat="false" ht="12.75" hidden="false" customHeight="false" outlineLevel="0" collapsed="false">
      <c r="A161" s="434" t="str">
        <f aca="false">Calculations!A126</f>
        <v>N/A</v>
      </c>
      <c r="B161" s="435" t="str">
        <f aca="false">IF(A161="N/A"," ",IF(ISERROR(P161),B149*Pwresc,P161)*VLOOKUP(MONTH(A161),Curveadj,3))</f>
        <v> </v>
      </c>
      <c r="C161" s="436" t="str">
        <f aca="false">IF(A161="N/A"," ",IF(ISERROR(Q161),C149*Pwresc,Q161)*VLOOKUP(MONTH(A161),Curveadj,3))</f>
        <v> </v>
      </c>
      <c r="D161" s="437" t="str">
        <f aca="false">IF(A161="N/A"," ",IF(ISERROR(R161),D149*Pwresc,R161)*VLOOKUP(MONTH(A161),Curveadj,3))</f>
        <v> </v>
      </c>
      <c r="E161" s="438" t="str">
        <f aca="false">IF(A161="N/A"," ",IF(Scalers=1,(IF(AND(Dynamic=1,MONTH(A161)&gt;=6,MONTH(A161)&lt;=8,OR($O$37="REGION 2",$O$37="REGION 2A",$O$37="REGION 2B",$O$37="REGION 3",$O$37="REGION 3A",$O$37="REGION 3B",$O$37="REGION 3C",$O$37="REGION 4",$O$37="REGION 4B",$O$37="REGION 4C",$O$37="REGION 5",$O$37="REGION 5A")),((0.059228/(B161/100))-(0.4980013/(SQRT(B161/100)))+2.137988),HLOOKUP(MONTH(A161),ScalarTable,28))),1))</f>
        <v> </v>
      </c>
      <c r="F161" s="439" t="str">
        <f aca="false">IF(A161="N/A"," ",B161*E161)</f>
        <v> </v>
      </c>
      <c r="G161" s="439" t="str">
        <f aca="false">IF(A161="N/A"," ",C161*E161)</f>
        <v> </v>
      </c>
      <c r="H161" s="440" t="str">
        <f aca="false">IF(A161="N/A"," ",D161*E161)</f>
        <v> </v>
      </c>
      <c r="I161" s="402" t="str">
        <f aca="false">IF(A161="N/A"," ",2-E161)</f>
        <v> </v>
      </c>
      <c r="J161" s="439" t="str">
        <f aca="false">IF(A161="N/A"," ",B161*I161)</f>
        <v> </v>
      </c>
      <c r="K161" s="439" t="str">
        <f aca="false">IF(A161="N/A"," ",C161*I161)</f>
        <v> </v>
      </c>
      <c r="L161" s="440" t="str">
        <f aca="false">IF(A161="N/A"," ",D161*I161)</f>
        <v> </v>
      </c>
      <c r="M161" s="441" t="str">
        <f aca="false">IF(A161="N/A"," ",IF(ISERROR(S161),M149*Pwresc,S161))</f>
        <v> </v>
      </c>
      <c r="N161" s="442" t="str">
        <f aca="false">IF(A161="N/A"," ",SUM(T161:X161))</f>
        <v> </v>
      </c>
      <c r="O161" s="370"/>
      <c r="P161" s="436" t="str">
        <f aca="false">IF(A161="N/A"," ",VLOOKUP(A161,PeakPowerCurves,(IF(BMO=2,3,IF(BMO=1,2,4))),FALSE())+Inputs!N144)</f>
        <v> </v>
      </c>
      <c r="Q161" s="436" t="str">
        <f aca="false">IF(A161="N/A"," ",VLOOKUP(A161,SatSunPeakPwr,(IF(BMO=2,3,IF(BMO=1,2,4))),FALSE())+Inputs!$N$23)</f>
        <v> </v>
      </c>
      <c r="R161" s="436" t="str">
        <f aca="false">IF(A161="N/A"," ",VLOOKUP(A161,SatSunPeakPwr,(IF(BMO=2,7,IF(BMO=1,6,8))),FALSE())+Inputs!$N$23)</f>
        <v> </v>
      </c>
      <c r="S161" s="443" t="str">
        <f aca="false">IF(A161="N/A"," ",(VLOOKUP(A161,OPPowerPrices,(IF(BMO=2,7,IF(BMO=1,6,8))),FALSE())+Inputs!$N$23))</f>
        <v> </v>
      </c>
      <c r="T161" s="444" t="str">
        <f aca="false">IF(A161="N/A"," ",(VLOOKUP(A161,GasCurves,9,FALSE()))+IF(BMO=1,Gasbmo,IF(BMO=3,-Gasbmo,0)))</f>
        <v> </v>
      </c>
      <c r="U161" s="444" t="str">
        <f aca="false">IF(A161="N/A"," ",IF(Basischeck=TRUE(),(VLOOKUP(A161,GasCurves,IF(MONTH(A161)&gt;=4,IF(MONTH(A161)&lt;=10,11,12),12),FALSE())),0))</f>
        <v> </v>
      </c>
      <c r="V161" s="444" t="str">
        <f aca="false">IF(A161="N/A"," ",IF(Indexcheck=TRUE(),(IF(MONTH(A161)&gt;=4,IF(MONTH(A161)&lt;=10,VLOOKUP(A161,'Gas Curves'!B139:O499,13),VLOOKUP(A161,'Gas Curves'!B139:O499,14)),VLOOKUP(A161,'Gas Curves'!B139:O499,14))),0))</f>
        <v> </v>
      </c>
      <c r="W161" s="444" t="str">
        <f aca="false">IF(A161="N/A"," ",((SUM(T161:V161))/(1-Inputs!$S$11)-(SUM(T161:V161))))</f>
        <v> </v>
      </c>
      <c r="X161" s="444" t="str">
        <f aca="false">IF(A161="N/A"," ",(IF(MONTH(A161)&gt;=4,IF(MONTH(A161)&lt;=10,Inputs!$S$9,Inputs!$S$10),Inputs!$S$10)))</f>
        <v> </v>
      </c>
      <c r="Y161" s="445" t="str">
        <f aca="false">IF(A161="N/A"," ",(VLOOKUP($A161,InterestRatesTable,2)))</f>
        <v> </v>
      </c>
      <c r="AF161" s="386" t="n">
        <v>41334</v>
      </c>
      <c r="AG161" s="376" t="n">
        <v>21</v>
      </c>
      <c r="AH161" s="376" t="n">
        <v>5</v>
      </c>
      <c r="AI161" s="376" t="n">
        <v>5</v>
      </c>
      <c r="AJ161" s="376" t="n">
        <v>0</v>
      </c>
      <c r="AK161" s="376" t="n">
        <v>31</v>
      </c>
    </row>
    <row r="162" customFormat="false" ht="12.75" hidden="false" customHeight="false" outlineLevel="0" collapsed="false">
      <c r="A162" s="434" t="str">
        <f aca="false">Calculations!A127</f>
        <v>N/A</v>
      </c>
      <c r="B162" s="435" t="str">
        <f aca="false">IF(A162="N/A"," ",IF(ISERROR(P162),B150*Pwresc,P162)*VLOOKUP(MONTH(A162),Curveadj,3))</f>
        <v> </v>
      </c>
      <c r="C162" s="436" t="str">
        <f aca="false">IF(A162="N/A"," ",IF(ISERROR(Q162),C150*Pwresc,Q162)*VLOOKUP(MONTH(A162),Curveadj,3))</f>
        <v> </v>
      </c>
      <c r="D162" s="437" t="str">
        <f aca="false">IF(A162="N/A"," ",IF(ISERROR(R162),D150*Pwresc,R162)*VLOOKUP(MONTH(A162),Curveadj,3))</f>
        <v> </v>
      </c>
      <c r="E162" s="438" t="str">
        <f aca="false">IF(A162="N/A"," ",IF(Scalers=1,(IF(AND(Dynamic=1,MONTH(A162)&gt;=6,MONTH(A162)&lt;=8,OR($O$37="REGION 2",$O$37="REGION 2A",$O$37="REGION 2B",$O$37="REGION 3",$O$37="REGION 3A",$O$37="REGION 3B",$O$37="REGION 3C",$O$37="REGION 4",$O$37="REGION 4B",$O$37="REGION 4C",$O$37="REGION 5",$O$37="REGION 5A")),((0.059228/(B162/100))-(0.4980013/(SQRT(B162/100)))+2.137988),HLOOKUP(MONTH(A162),ScalarTable,28))),1))</f>
        <v> </v>
      </c>
      <c r="F162" s="439" t="str">
        <f aca="false">IF(A162="N/A"," ",B162*E162)</f>
        <v> </v>
      </c>
      <c r="G162" s="439" t="str">
        <f aca="false">IF(A162="N/A"," ",C162*E162)</f>
        <v> </v>
      </c>
      <c r="H162" s="440" t="str">
        <f aca="false">IF(A162="N/A"," ",D162*E162)</f>
        <v> </v>
      </c>
      <c r="I162" s="402" t="str">
        <f aca="false">IF(A162="N/A"," ",2-E162)</f>
        <v> </v>
      </c>
      <c r="J162" s="439" t="str">
        <f aca="false">IF(A162="N/A"," ",B162*I162)</f>
        <v> </v>
      </c>
      <c r="K162" s="439" t="str">
        <f aca="false">IF(A162="N/A"," ",C162*I162)</f>
        <v> </v>
      </c>
      <c r="L162" s="440" t="str">
        <f aca="false">IF(A162="N/A"," ",D162*I162)</f>
        <v> </v>
      </c>
      <c r="M162" s="441" t="str">
        <f aca="false">IF(A162="N/A"," ",IF(ISERROR(S162),M150*Pwresc,S162))</f>
        <v> </v>
      </c>
      <c r="N162" s="442" t="str">
        <f aca="false">IF(A162="N/A"," ",SUM(T162:X162))</f>
        <v> </v>
      </c>
      <c r="O162" s="370"/>
      <c r="P162" s="436" t="str">
        <f aca="false">IF(A162="N/A"," ",VLOOKUP(A162,PeakPowerCurves,(IF(BMO=2,3,IF(BMO=1,2,4))),FALSE())+Inputs!N145)</f>
        <v> </v>
      </c>
      <c r="Q162" s="436" t="str">
        <f aca="false">IF(A162="N/A"," ",VLOOKUP(A162,SatSunPeakPwr,(IF(BMO=2,3,IF(BMO=1,2,4))),FALSE())+Inputs!$N$23)</f>
        <v> </v>
      </c>
      <c r="R162" s="436" t="str">
        <f aca="false">IF(A162="N/A"," ",VLOOKUP(A162,SatSunPeakPwr,(IF(BMO=2,7,IF(BMO=1,6,8))),FALSE())+Inputs!$N$23)</f>
        <v> </v>
      </c>
      <c r="S162" s="443" t="str">
        <f aca="false">IF(A162="N/A"," ",(VLOOKUP(A162,OPPowerPrices,(IF(BMO=2,7,IF(BMO=1,6,8))),FALSE())+Inputs!$N$23))</f>
        <v> </v>
      </c>
      <c r="T162" s="444" t="str">
        <f aca="false">IF(A162="N/A"," ",(VLOOKUP(A162,GasCurves,9,FALSE()))+IF(BMO=1,Gasbmo,IF(BMO=3,-Gasbmo,0)))</f>
        <v> </v>
      </c>
      <c r="U162" s="444" t="str">
        <f aca="false">IF(A162="N/A"," ",IF(Basischeck=TRUE(),(VLOOKUP(A162,GasCurves,IF(MONTH(A162)&gt;=4,IF(MONTH(A162)&lt;=10,11,12),12),FALSE())),0))</f>
        <v> </v>
      </c>
      <c r="V162" s="444" t="str">
        <f aca="false">IF(A162="N/A"," ",IF(Indexcheck=TRUE(),(IF(MONTH(A162)&gt;=4,IF(MONTH(A162)&lt;=10,VLOOKUP(A162,'Gas Curves'!B140:O500,13),VLOOKUP(A162,'Gas Curves'!B140:O500,14)),VLOOKUP(A162,'Gas Curves'!B140:O500,14))),0))</f>
        <v> </v>
      </c>
      <c r="W162" s="444" t="str">
        <f aca="false">IF(A162="N/A"," ",((SUM(T162:V162))/(1-Inputs!$S$11)-(SUM(T162:V162))))</f>
        <v> </v>
      </c>
      <c r="X162" s="444" t="str">
        <f aca="false">IF(A162="N/A"," ",(IF(MONTH(A162)&gt;=4,IF(MONTH(A162)&lt;=10,Inputs!$S$9,Inputs!$S$10),Inputs!$S$10)))</f>
        <v> </v>
      </c>
      <c r="Y162" s="445" t="str">
        <f aca="false">IF(A162="N/A"," ",(VLOOKUP($A162,InterestRatesTable,2)))</f>
        <v> </v>
      </c>
      <c r="AF162" s="386" t="n">
        <v>41365</v>
      </c>
      <c r="AG162" s="376" t="n">
        <v>22</v>
      </c>
      <c r="AH162" s="376" t="n">
        <v>4</v>
      </c>
      <c r="AI162" s="376" t="n">
        <v>4</v>
      </c>
      <c r="AJ162" s="376" t="n">
        <v>0</v>
      </c>
      <c r="AK162" s="376" t="n">
        <v>30</v>
      </c>
    </row>
    <row r="163" customFormat="false" ht="12.75" hidden="false" customHeight="false" outlineLevel="0" collapsed="false">
      <c r="A163" s="434" t="str">
        <f aca="false">Calculations!A128</f>
        <v>N/A</v>
      </c>
      <c r="B163" s="435" t="str">
        <f aca="false">IF(A163="N/A"," ",IF(ISERROR(P163),B151*Pwresc,P163)*VLOOKUP(MONTH(A163),Curveadj,3))</f>
        <v> </v>
      </c>
      <c r="C163" s="436" t="str">
        <f aca="false">IF(A163="N/A"," ",IF(ISERROR(Q163),C151*Pwresc,Q163)*VLOOKUP(MONTH(A163),Curveadj,3))</f>
        <v> </v>
      </c>
      <c r="D163" s="437" t="str">
        <f aca="false">IF(A163="N/A"," ",IF(ISERROR(R163),D151*Pwresc,R163)*VLOOKUP(MONTH(A163),Curveadj,3))</f>
        <v> </v>
      </c>
      <c r="E163" s="438" t="str">
        <f aca="false">IF(A163="N/A"," ",IF(Scalers=1,(IF(AND(Dynamic=1,MONTH(A163)&gt;=6,MONTH(A163)&lt;=8,OR($O$37="REGION 2",$O$37="REGION 2A",$O$37="REGION 2B",$O$37="REGION 3",$O$37="REGION 3A",$O$37="REGION 3B",$O$37="REGION 3C",$O$37="REGION 4",$O$37="REGION 4B",$O$37="REGION 4C",$O$37="REGION 5",$O$37="REGION 5A")),((0.059228/(B163/100))-(0.4980013/(SQRT(B163/100)))+2.137988),HLOOKUP(MONTH(A163),ScalarTable,28))),1))</f>
        <v> </v>
      </c>
      <c r="F163" s="439" t="str">
        <f aca="false">IF(A163="N/A"," ",B163*E163)</f>
        <v> </v>
      </c>
      <c r="G163" s="439" t="str">
        <f aca="false">IF(A163="N/A"," ",C163*E163)</f>
        <v> </v>
      </c>
      <c r="H163" s="440" t="str">
        <f aca="false">IF(A163="N/A"," ",D163*E163)</f>
        <v> </v>
      </c>
      <c r="I163" s="402" t="str">
        <f aca="false">IF(A163="N/A"," ",2-E163)</f>
        <v> </v>
      </c>
      <c r="J163" s="439" t="str">
        <f aca="false">IF(A163="N/A"," ",B163*I163)</f>
        <v> </v>
      </c>
      <c r="K163" s="439" t="str">
        <f aca="false">IF(A163="N/A"," ",C163*I163)</f>
        <v> </v>
      </c>
      <c r="L163" s="440" t="str">
        <f aca="false">IF(A163="N/A"," ",D163*I163)</f>
        <v> </v>
      </c>
      <c r="M163" s="441" t="str">
        <f aca="false">IF(A163="N/A"," ",IF(ISERROR(S163),M151*Pwresc,S163))</f>
        <v> </v>
      </c>
      <c r="N163" s="442" t="str">
        <f aca="false">IF(A163="N/A"," ",SUM(T163:X163))</f>
        <v> </v>
      </c>
      <c r="O163" s="370"/>
      <c r="P163" s="436" t="str">
        <f aca="false">IF(A163="N/A"," ",VLOOKUP(A163,PeakPowerCurves,(IF(BMO=2,3,IF(BMO=1,2,4))),FALSE())+Inputs!N146)</f>
        <v> </v>
      </c>
      <c r="Q163" s="436" t="str">
        <f aca="false">IF(A163="N/A"," ",VLOOKUP(A163,SatSunPeakPwr,(IF(BMO=2,3,IF(BMO=1,2,4))),FALSE())+Inputs!$N$23)</f>
        <v> </v>
      </c>
      <c r="R163" s="436" t="str">
        <f aca="false">IF(A163="N/A"," ",VLOOKUP(A163,SatSunPeakPwr,(IF(BMO=2,7,IF(BMO=1,6,8))),FALSE())+Inputs!$N$23)</f>
        <v> </v>
      </c>
      <c r="S163" s="443" t="str">
        <f aca="false">IF(A163="N/A"," ",(VLOOKUP(A163,OPPowerPrices,(IF(BMO=2,7,IF(BMO=1,6,8))),FALSE())+Inputs!$N$23))</f>
        <v> </v>
      </c>
      <c r="T163" s="444" t="str">
        <f aca="false">IF(A163="N/A"," ",(VLOOKUP(A163,GasCurves,9,FALSE()))+IF(BMO=1,Gasbmo,IF(BMO=3,-Gasbmo,0)))</f>
        <v> </v>
      </c>
      <c r="U163" s="444" t="str">
        <f aca="false">IF(A163="N/A"," ",IF(Basischeck=TRUE(),(VLOOKUP(A163,GasCurves,IF(MONTH(A163)&gt;=4,IF(MONTH(A163)&lt;=10,11,12),12),FALSE())),0))</f>
        <v> </v>
      </c>
      <c r="V163" s="444" t="str">
        <f aca="false">IF(A163="N/A"," ",IF(Indexcheck=TRUE(),(IF(MONTH(A163)&gt;=4,IF(MONTH(A163)&lt;=10,VLOOKUP(A163,'Gas Curves'!B141:O501,13),VLOOKUP(A163,'Gas Curves'!B141:O501,14)),VLOOKUP(A163,'Gas Curves'!B141:O501,14))),0))</f>
        <v> </v>
      </c>
      <c r="W163" s="444" t="str">
        <f aca="false">IF(A163="N/A"," ",((SUM(T163:V163))/(1-Inputs!$S$11)-(SUM(T163:V163))))</f>
        <v> </v>
      </c>
      <c r="X163" s="444" t="str">
        <f aca="false">IF(A163="N/A"," ",(IF(MONTH(A163)&gt;=4,IF(MONTH(A163)&lt;=10,Inputs!$S$9,Inputs!$S$10),Inputs!$S$10)))</f>
        <v> </v>
      </c>
      <c r="Y163" s="445" t="str">
        <f aca="false">IF(A163="N/A"," ",(VLOOKUP($A163,InterestRatesTable,2)))</f>
        <v> </v>
      </c>
      <c r="AF163" s="386" t="n">
        <v>41395</v>
      </c>
      <c r="AG163" s="376" t="n">
        <v>22</v>
      </c>
      <c r="AH163" s="376" t="n">
        <v>4</v>
      </c>
      <c r="AI163" s="376" t="n">
        <v>5</v>
      </c>
      <c r="AJ163" s="376" t="n">
        <v>1</v>
      </c>
      <c r="AK163" s="376" t="n">
        <v>31</v>
      </c>
    </row>
    <row r="164" customFormat="false" ht="12.75" hidden="false" customHeight="false" outlineLevel="0" collapsed="false">
      <c r="A164" s="434" t="str">
        <f aca="false">Calculations!A129</f>
        <v>N/A</v>
      </c>
      <c r="B164" s="435" t="str">
        <f aca="false">IF(A164="N/A"," ",IF(ISERROR(P164),B152*Pwresc,P164)*VLOOKUP(MONTH(A164),Curveadj,3))</f>
        <v> </v>
      </c>
      <c r="C164" s="436" t="str">
        <f aca="false">IF(A164="N/A"," ",IF(ISERROR(Q164),C152*Pwresc,Q164)*VLOOKUP(MONTH(A164),Curveadj,3))</f>
        <v> </v>
      </c>
      <c r="D164" s="437" t="str">
        <f aca="false">IF(A164="N/A"," ",IF(ISERROR(R164),D152*Pwresc,R164)*VLOOKUP(MONTH(A164),Curveadj,3))</f>
        <v> </v>
      </c>
      <c r="E164" s="438" t="str">
        <f aca="false">IF(A164="N/A"," ",IF(Scalers=1,(IF(AND(Dynamic=1,MONTH(A164)&gt;=6,MONTH(A164)&lt;=8,OR($O$37="REGION 2",$O$37="REGION 2A",$O$37="REGION 2B",$O$37="REGION 3",$O$37="REGION 3A",$O$37="REGION 3B",$O$37="REGION 3C",$O$37="REGION 4",$O$37="REGION 4B",$O$37="REGION 4C",$O$37="REGION 5",$O$37="REGION 5A")),((0.059228/(B164/100))-(0.4980013/(SQRT(B164/100)))+2.137988),HLOOKUP(MONTH(A164),ScalarTable,28))),1))</f>
        <v> </v>
      </c>
      <c r="F164" s="439" t="str">
        <f aca="false">IF(A164="N/A"," ",B164*E164)</f>
        <v> </v>
      </c>
      <c r="G164" s="439" t="str">
        <f aca="false">IF(A164="N/A"," ",C164*E164)</f>
        <v> </v>
      </c>
      <c r="H164" s="440" t="str">
        <f aca="false">IF(A164="N/A"," ",D164*E164)</f>
        <v> </v>
      </c>
      <c r="I164" s="402" t="str">
        <f aca="false">IF(A164="N/A"," ",2-E164)</f>
        <v> </v>
      </c>
      <c r="J164" s="439" t="str">
        <f aca="false">IF(A164="N/A"," ",B164*I164)</f>
        <v> </v>
      </c>
      <c r="K164" s="439" t="str">
        <f aca="false">IF(A164="N/A"," ",C164*I164)</f>
        <v> </v>
      </c>
      <c r="L164" s="440" t="str">
        <f aca="false">IF(A164="N/A"," ",D164*I164)</f>
        <v> </v>
      </c>
      <c r="M164" s="441" t="str">
        <f aca="false">IF(A164="N/A"," ",IF(ISERROR(S164),M152*Pwresc,S164))</f>
        <v> </v>
      </c>
      <c r="N164" s="442" t="str">
        <f aca="false">IF(A164="N/A"," ",SUM(T164:X164))</f>
        <v> </v>
      </c>
      <c r="O164" s="370"/>
      <c r="P164" s="436" t="str">
        <f aca="false">IF(A164="N/A"," ",VLOOKUP(A164,PeakPowerCurves,(IF(BMO=2,3,IF(BMO=1,2,4))),FALSE())+Inputs!N147)</f>
        <v> </v>
      </c>
      <c r="Q164" s="436" t="str">
        <f aca="false">IF(A164="N/A"," ",VLOOKUP(A164,SatSunPeakPwr,(IF(BMO=2,3,IF(BMO=1,2,4))),FALSE())+Inputs!$N$23)</f>
        <v> </v>
      </c>
      <c r="R164" s="436" t="str">
        <f aca="false">IF(A164="N/A"," ",VLOOKUP(A164,SatSunPeakPwr,(IF(BMO=2,7,IF(BMO=1,6,8))),FALSE())+Inputs!$N$23)</f>
        <v> </v>
      </c>
      <c r="S164" s="443" t="str">
        <f aca="false">IF(A164="N/A"," ",(VLOOKUP(A164,OPPowerPrices,(IF(BMO=2,7,IF(BMO=1,6,8))),FALSE())+Inputs!$N$23))</f>
        <v> </v>
      </c>
      <c r="T164" s="444" t="str">
        <f aca="false">IF(A164="N/A"," ",(VLOOKUP(A164,GasCurves,9,FALSE()))+IF(BMO=1,Gasbmo,IF(BMO=3,-Gasbmo,0)))</f>
        <v> </v>
      </c>
      <c r="U164" s="444" t="str">
        <f aca="false">IF(A164="N/A"," ",IF(Basischeck=TRUE(),(VLOOKUP(A164,GasCurves,IF(MONTH(A164)&gt;=4,IF(MONTH(A164)&lt;=10,11,12),12),FALSE())),0))</f>
        <v> </v>
      </c>
      <c r="V164" s="444" t="str">
        <f aca="false">IF(A164="N/A"," ",IF(Indexcheck=TRUE(),(IF(MONTH(A164)&gt;=4,IF(MONTH(A164)&lt;=10,VLOOKUP(A164,'Gas Curves'!B142:O502,13),VLOOKUP(A164,'Gas Curves'!B142:O502,14)),VLOOKUP(A164,'Gas Curves'!B142:O502,14))),0))</f>
        <v> </v>
      </c>
      <c r="W164" s="444" t="str">
        <f aca="false">IF(A164="N/A"," ",((SUM(T164:V164))/(1-Inputs!$S$11)-(SUM(T164:V164))))</f>
        <v> </v>
      </c>
      <c r="X164" s="444" t="str">
        <f aca="false">IF(A164="N/A"," ",(IF(MONTH(A164)&gt;=4,IF(MONTH(A164)&lt;=10,Inputs!$S$9,Inputs!$S$10),Inputs!$S$10)))</f>
        <v> </v>
      </c>
      <c r="Y164" s="445" t="str">
        <f aca="false">IF(A164="N/A"," ",(VLOOKUP($A164,InterestRatesTable,2)))</f>
        <v> </v>
      </c>
      <c r="AF164" s="386" t="n">
        <v>41426</v>
      </c>
      <c r="AG164" s="376" t="n">
        <v>20</v>
      </c>
      <c r="AH164" s="376" t="n">
        <v>5</v>
      </c>
      <c r="AI164" s="376" t="n">
        <v>5</v>
      </c>
      <c r="AJ164" s="376" t="n">
        <v>0</v>
      </c>
      <c r="AK164" s="376" t="n">
        <v>30</v>
      </c>
    </row>
    <row r="165" customFormat="false" ht="12.75" hidden="false" customHeight="false" outlineLevel="0" collapsed="false">
      <c r="A165" s="434" t="str">
        <f aca="false">Calculations!A130</f>
        <v>N/A</v>
      </c>
      <c r="B165" s="435" t="str">
        <f aca="false">IF(A165="N/A"," ",IF(ISERROR(P165),B153*Pwresc,P165)*VLOOKUP(MONTH(A165),Curveadj,3))</f>
        <v> </v>
      </c>
      <c r="C165" s="436" t="str">
        <f aca="false">IF(A165="N/A"," ",IF(ISERROR(Q165),C153*Pwresc,Q165)*VLOOKUP(MONTH(A165),Curveadj,3))</f>
        <v> </v>
      </c>
      <c r="D165" s="437" t="str">
        <f aca="false">IF(A165="N/A"," ",IF(ISERROR(R165),D153*Pwresc,R165)*VLOOKUP(MONTH(A165),Curveadj,3))</f>
        <v> </v>
      </c>
      <c r="E165" s="438" t="str">
        <f aca="false">IF(A165="N/A"," ",IF(Scalers=1,(IF(AND(Dynamic=1,MONTH(A165)&gt;=6,MONTH(A165)&lt;=8,OR($O$37="REGION 2",$O$37="REGION 2A",$O$37="REGION 2B",$O$37="REGION 3",$O$37="REGION 3A",$O$37="REGION 3B",$O$37="REGION 3C",$O$37="REGION 4",$O$37="REGION 4B",$O$37="REGION 4C",$O$37="REGION 5",$O$37="REGION 5A")),((0.059228/(B165/100))-(0.4980013/(SQRT(B165/100)))+2.137988),HLOOKUP(MONTH(A165),ScalarTable,28))),1))</f>
        <v> </v>
      </c>
      <c r="F165" s="439" t="str">
        <f aca="false">IF(A165="N/A"," ",B165*E165)</f>
        <v> </v>
      </c>
      <c r="G165" s="439" t="str">
        <f aca="false">IF(A165="N/A"," ",C165*E165)</f>
        <v> </v>
      </c>
      <c r="H165" s="440" t="str">
        <f aca="false">IF(A165="N/A"," ",D165*E165)</f>
        <v> </v>
      </c>
      <c r="I165" s="402" t="str">
        <f aca="false">IF(A165="N/A"," ",2-E165)</f>
        <v> </v>
      </c>
      <c r="J165" s="439" t="str">
        <f aca="false">IF(A165="N/A"," ",B165*I165)</f>
        <v> </v>
      </c>
      <c r="K165" s="439" t="str">
        <f aca="false">IF(A165="N/A"," ",C165*I165)</f>
        <v> </v>
      </c>
      <c r="L165" s="440" t="str">
        <f aca="false">IF(A165="N/A"," ",D165*I165)</f>
        <v> </v>
      </c>
      <c r="M165" s="441" t="str">
        <f aca="false">IF(A165="N/A"," ",IF(ISERROR(S165),M153*Pwresc,S165))</f>
        <v> </v>
      </c>
      <c r="N165" s="442" t="str">
        <f aca="false">IF(A165="N/A"," ",SUM(T165:X165))</f>
        <v> </v>
      </c>
      <c r="O165" s="370"/>
      <c r="P165" s="436" t="str">
        <f aca="false">IF(A165="N/A"," ",VLOOKUP(A165,PeakPowerCurves,(IF(BMO=2,3,IF(BMO=1,2,4))),FALSE())+Inputs!N148)</f>
        <v> </v>
      </c>
      <c r="Q165" s="436" t="str">
        <f aca="false">IF(A165="N/A"," ",VLOOKUP(A165,SatSunPeakPwr,(IF(BMO=2,3,IF(BMO=1,2,4))),FALSE())+Inputs!$N$23)</f>
        <v> </v>
      </c>
      <c r="R165" s="436" t="str">
        <f aca="false">IF(A165="N/A"," ",VLOOKUP(A165,SatSunPeakPwr,(IF(BMO=2,7,IF(BMO=1,6,8))),FALSE())+Inputs!$N$23)</f>
        <v> </v>
      </c>
      <c r="S165" s="443" t="str">
        <f aca="false">IF(A165="N/A"," ",(VLOOKUP(A165,OPPowerPrices,(IF(BMO=2,7,IF(BMO=1,6,8))),FALSE())+Inputs!$N$23))</f>
        <v> </v>
      </c>
      <c r="T165" s="444" t="str">
        <f aca="false">IF(A165="N/A"," ",(VLOOKUP(A165,GasCurves,9,FALSE()))+IF(BMO=1,Gasbmo,IF(BMO=3,-Gasbmo,0)))</f>
        <v> </v>
      </c>
      <c r="U165" s="444" t="str">
        <f aca="false">IF(A165="N/A"," ",IF(Basischeck=TRUE(),(VLOOKUP(A165,GasCurves,IF(MONTH(A165)&gt;=4,IF(MONTH(A165)&lt;=10,11,12),12),FALSE())),0))</f>
        <v> </v>
      </c>
      <c r="V165" s="444" t="str">
        <f aca="false">IF(A165="N/A"," ",IF(Indexcheck=TRUE(),(IF(MONTH(A165)&gt;=4,IF(MONTH(A165)&lt;=10,VLOOKUP(A165,'Gas Curves'!B143:O503,13),VLOOKUP(A165,'Gas Curves'!B143:O503,14)),VLOOKUP(A165,'Gas Curves'!B143:O503,14))),0))</f>
        <v> </v>
      </c>
      <c r="W165" s="444" t="str">
        <f aca="false">IF(A165="N/A"," ",((SUM(T165:V165))/(1-Inputs!$S$11)-(SUM(T165:V165))))</f>
        <v> </v>
      </c>
      <c r="X165" s="444" t="str">
        <f aca="false">IF(A165="N/A"," ",(IF(MONTH(A165)&gt;=4,IF(MONTH(A165)&lt;=10,Inputs!$S$9,Inputs!$S$10),Inputs!$S$10)))</f>
        <v> </v>
      </c>
      <c r="Y165" s="445" t="str">
        <f aca="false">IF(A165="N/A"," ",(VLOOKUP($A165,InterestRatesTable,2)))</f>
        <v> </v>
      </c>
      <c r="AF165" s="386" t="n">
        <v>41456</v>
      </c>
      <c r="AG165" s="376" t="n">
        <v>22</v>
      </c>
      <c r="AH165" s="376" t="n">
        <v>4</v>
      </c>
      <c r="AI165" s="376" t="n">
        <v>5</v>
      </c>
      <c r="AJ165" s="376" t="n">
        <v>1</v>
      </c>
      <c r="AK165" s="376" t="n">
        <v>31</v>
      </c>
    </row>
    <row r="166" customFormat="false" ht="12.75" hidden="false" customHeight="false" outlineLevel="0" collapsed="false">
      <c r="A166" s="434" t="str">
        <f aca="false">Calculations!A131</f>
        <v>N/A</v>
      </c>
      <c r="B166" s="435" t="str">
        <f aca="false">IF(A166="N/A"," ",IF(ISERROR(P166),B154*Pwresc,P166)*VLOOKUP(MONTH(A166),Curveadj,3))</f>
        <v> </v>
      </c>
      <c r="C166" s="436" t="str">
        <f aca="false">IF(A166="N/A"," ",IF(ISERROR(Q166),C154*Pwresc,Q166)*VLOOKUP(MONTH(A166),Curveadj,3))</f>
        <v> </v>
      </c>
      <c r="D166" s="437" t="str">
        <f aca="false">IF(A166="N/A"," ",IF(ISERROR(R166),D154*Pwresc,R166)*VLOOKUP(MONTH(A166),Curveadj,3))</f>
        <v> </v>
      </c>
      <c r="E166" s="438" t="str">
        <f aca="false">IF(A166="N/A"," ",IF(Scalers=1,(IF(AND(Dynamic=1,MONTH(A166)&gt;=6,MONTH(A166)&lt;=8,OR($O$37="REGION 2",$O$37="REGION 2A",$O$37="REGION 2B",$O$37="REGION 3",$O$37="REGION 3A",$O$37="REGION 3B",$O$37="REGION 3C",$O$37="REGION 4",$O$37="REGION 4B",$O$37="REGION 4C",$O$37="REGION 5",$O$37="REGION 5A")),((0.059228/(B166/100))-(0.4980013/(SQRT(B166/100)))+2.137988),HLOOKUP(MONTH(A166),ScalarTable,28))),1))</f>
        <v> </v>
      </c>
      <c r="F166" s="439" t="str">
        <f aca="false">IF(A166="N/A"," ",B166*E166)</f>
        <v> </v>
      </c>
      <c r="G166" s="439" t="str">
        <f aca="false">IF(A166="N/A"," ",C166*E166)</f>
        <v> </v>
      </c>
      <c r="H166" s="440" t="str">
        <f aca="false">IF(A166="N/A"," ",D166*E166)</f>
        <v> </v>
      </c>
      <c r="I166" s="402" t="str">
        <f aca="false">IF(A166="N/A"," ",2-E166)</f>
        <v> </v>
      </c>
      <c r="J166" s="439" t="str">
        <f aca="false">IF(A166="N/A"," ",B166*I166)</f>
        <v> </v>
      </c>
      <c r="K166" s="439" t="str">
        <f aca="false">IF(A166="N/A"," ",C166*I166)</f>
        <v> </v>
      </c>
      <c r="L166" s="440" t="str">
        <f aca="false">IF(A166="N/A"," ",D166*I166)</f>
        <v> </v>
      </c>
      <c r="M166" s="441" t="str">
        <f aca="false">IF(A166="N/A"," ",IF(ISERROR(S166),M154*Pwresc,S166))</f>
        <v> </v>
      </c>
      <c r="N166" s="442" t="str">
        <f aca="false">IF(A166="N/A"," ",SUM(T166:X166))</f>
        <v> </v>
      </c>
      <c r="O166" s="370"/>
      <c r="P166" s="436" t="str">
        <f aca="false">IF(A166="N/A"," ",VLOOKUP(A166,PeakPowerCurves,(IF(BMO=2,3,IF(BMO=1,2,4))),FALSE())+Inputs!N149)</f>
        <v> </v>
      </c>
      <c r="Q166" s="436" t="str">
        <f aca="false">IF(A166="N/A"," ",VLOOKUP(A166,SatSunPeakPwr,(IF(BMO=2,3,IF(BMO=1,2,4))),FALSE())+Inputs!$N$23)</f>
        <v> </v>
      </c>
      <c r="R166" s="436" t="str">
        <f aca="false">IF(A166="N/A"," ",VLOOKUP(A166,SatSunPeakPwr,(IF(BMO=2,7,IF(BMO=1,6,8))),FALSE())+Inputs!$N$23)</f>
        <v> </v>
      </c>
      <c r="S166" s="443" t="str">
        <f aca="false">IF(A166="N/A"," ",(VLOOKUP(A166,OPPowerPrices,(IF(BMO=2,7,IF(BMO=1,6,8))),FALSE())+Inputs!$N$23))</f>
        <v> </v>
      </c>
      <c r="T166" s="444" t="str">
        <f aca="false">IF(A166="N/A"," ",(VLOOKUP(A166,GasCurves,9,FALSE()))+IF(BMO=1,Gasbmo,IF(BMO=3,-Gasbmo,0)))</f>
        <v> </v>
      </c>
      <c r="U166" s="444" t="str">
        <f aca="false">IF(A166="N/A"," ",IF(Basischeck=TRUE(),(VLOOKUP(A166,GasCurves,IF(MONTH(A166)&gt;=4,IF(MONTH(A166)&lt;=10,11,12),12),FALSE())),0))</f>
        <v> </v>
      </c>
      <c r="V166" s="444" t="str">
        <f aca="false">IF(A166="N/A"," ",IF(Indexcheck=TRUE(),(IF(MONTH(A166)&gt;=4,IF(MONTH(A166)&lt;=10,VLOOKUP(A166,'Gas Curves'!B144:O504,13),VLOOKUP(A166,'Gas Curves'!B144:O504,14)),VLOOKUP(A166,'Gas Curves'!B144:O504,14))),0))</f>
        <v> </v>
      </c>
      <c r="W166" s="444" t="str">
        <f aca="false">IF(A166="N/A"," ",((SUM(T166:V166))/(1-Inputs!$S$11)-(SUM(T166:V166))))</f>
        <v> </v>
      </c>
      <c r="X166" s="444" t="str">
        <f aca="false">IF(A166="N/A"," ",(IF(MONTH(A166)&gt;=4,IF(MONTH(A166)&lt;=10,Inputs!$S$9,Inputs!$S$10),Inputs!$S$10)))</f>
        <v> </v>
      </c>
      <c r="Y166" s="445" t="str">
        <f aca="false">IF(A166="N/A"," ",(VLOOKUP($A166,InterestRatesTable,2)))</f>
        <v> </v>
      </c>
      <c r="AF166" s="386" t="n">
        <v>41487</v>
      </c>
      <c r="AG166" s="376" t="n">
        <v>22</v>
      </c>
      <c r="AH166" s="376" t="n">
        <v>5</v>
      </c>
      <c r="AI166" s="376" t="n">
        <v>4</v>
      </c>
      <c r="AJ166" s="376" t="n">
        <v>0</v>
      </c>
      <c r="AK166" s="376" t="n">
        <v>31</v>
      </c>
    </row>
    <row r="167" customFormat="false" ht="12.75" hidden="false" customHeight="false" outlineLevel="0" collapsed="false">
      <c r="A167" s="434" t="str">
        <f aca="false">Calculations!A132</f>
        <v>N/A</v>
      </c>
      <c r="B167" s="435" t="str">
        <f aca="false">IF(A167="N/A"," ",IF(ISERROR(P167),B155*Pwresc,P167)*VLOOKUP(MONTH(A167),Curveadj,3))</f>
        <v> </v>
      </c>
      <c r="C167" s="436" t="str">
        <f aca="false">IF(A167="N/A"," ",IF(ISERROR(Q167),C155*Pwresc,Q167)*VLOOKUP(MONTH(A167),Curveadj,3))</f>
        <v> </v>
      </c>
      <c r="D167" s="437" t="str">
        <f aca="false">IF(A167="N/A"," ",IF(ISERROR(R167),D155*Pwresc,R167)*VLOOKUP(MONTH(A167),Curveadj,3))</f>
        <v> </v>
      </c>
      <c r="E167" s="438" t="str">
        <f aca="false">IF(A167="N/A"," ",IF(Scalers=1,(IF(AND(Dynamic=1,MONTH(A167)&gt;=6,MONTH(A167)&lt;=8,OR($O$37="REGION 2",$O$37="REGION 2A",$O$37="REGION 2B",$O$37="REGION 3",$O$37="REGION 3A",$O$37="REGION 3B",$O$37="REGION 3C",$O$37="REGION 4",$O$37="REGION 4B",$O$37="REGION 4C",$O$37="REGION 5",$O$37="REGION 5A")),((0.059228/(B167/100))-(0.4980013/(SQRT(B167/100)))+2.137988),HLOOKUP(MONTH(A167),ScalarTable,28))),1))</f>
        <v> </v>
      </c>
      <c r="F167" s="439" t="str">
        <f aca="false">IF(A167="N/A"," ",B167*E167)</f>
        <v> </v>
      </c>
      <c r="G167" s="439" t="str">
        <f aca="false">IF(A167="N/A"," ",C167*E167)</f>
        <v> </v>
      </c>
      <c r="H167" s="440" t="str">
        <f aca="false">IF(A167="N/A"," ",D167*E167)</f>
        <v> </v>
      </c>
      <c r="I167" s="402" t="str">
        <f aca="false">IF(A167="N/A"," ",2-E167)</f>
        <v> </v>
      </c>
      <c r="J167" s="439" t="str">
        <f aca="false">IF(A167="N/A"," ",B167*I167)</f>
        <v> </v>
      </c>
      <c r="K167" s="439" t="str">
        <f aca="false">IF(A167="N/A"," ",C167*I167)</f>
        <v> </v>
      </c>
      <c r="L167" s="440" t="str">
        <f aca="false">IF(A167="N/A"," ",D167*I167)</f>
        <v> </v>
      </c>
      <c r="M167" s="441" t="str">
        <f aca="false">IF(A167="N/A"," ",IF(ISERROR(S167),M155*Pwresc,S167))</f>
        <v> </v>
      </c>
      <c r="N167" s="442" t="str">
        <f aca="false">IF(A167="N/A"," ",SUM(T167:X167))</f>
        <v> </v>
      </c>
      <c r="O167" s="370"/>
      <c r="P167" s="436" t="str">
        <f aca="false">IF(A167="N/A"," ",VLOOKUP(A167,PeakPowerCurves,(IF(BMO=2,3,IF(BMO=1,2,4))),FALSE())+Inputs!N150)</f>
        <v> </v>
      </c>
      <c r="Q167" s="436" t="str">
        <f aca="false">IF(A167="N/A"," ",VLOOKUP(A167,SatSunPeakPwr,(IF(BMO=2,3,IF(BMO=1,2,4))),FALSE())+Inputs!$N$23)</f>
        <v> </v>
      </c>
      <c r="R167" s="436" t="str">
        <f aca="false">IF(A167="N/A"," ",VLOOKUP(A167,SatSunPeakPwr,(IF(BMO=2,7,IF(BMO=1,6,8))),FALSE())+Inputs!$N$23)</f>
        <v> </v>
      </c>
      <c r="S167" s="443" t="str">
        <f aca="false">IF(A167="N/A"," ",(VLOOKUP(A167,OPPowerPrices,(IF(BMO=2,7,IF(BMO=1,6,8))),FALSE())+Inputs!$N$23))</f>
        <v> </v>
      </c>
      <c r="T167" s="444" t="str">
        <f aca="false">IF(A167="N/A"," ",(VLOOKUP(A167,GasCurves,9,FALSE()))+IF(BMO=1,Gasbmo,IF(BMO=3,-Gasbmo,0)))</f>
        <v> </v>
      </c>
      <c r="U167" s="444" t="str">
        <f aca="false">IF(A167="N/A"," ",IF(Basischeck=TRUE(),(VLOOKUP(A167,GasCurves,IF(MONTH(A167)&gt;=4,IF(MONTH(A167)&lt;=10,11,12),12),FALSE())),0))</f>
        <v> </v>
      </c>
      <c r="V167" s="444" t="str">
        <f aca="false">IF(A167="N/A"," ",IF(Indexcheck=TRUE(),(IF(MONTH(A167)&gt;=4,IF(MONTH(A167)&lt;=10,VLOOKUP(A167,'Gas Curves'!B145:O505,13),VLOOKUP(A167,'Gas Curves'!B145:O505,14)),VLOOKUP(A167,'Gas Curves'!B145:O505,14))),0))</f>
        <v> </v>
      </c>
      <c r="W167" s="444" t="str">
        <f aca="false">IF(A167="N/A"," ",((SUM(T167:V167))/(1-Inputs!$S$11)-(SUM(T167:V167))))</f>
        <v> </v>
      </c>
      <c r="X167" s="444" t="str">
        <f aca="false">IF(A167="N/A"," ",(IF(MONTH(A167)&gt;=4,IF(MONTH(A167)&lt;=10,Inputs!$S$9,Inputs!$S$10),Inputs!$S$10)))</f>
        <v> </v>
      </c>
      <c r="Y167" s="445" t="str">
        <f aca="false">IF(A167="N/A"," ",(VLOOKUP($A167,InterestRatesTable,2)))</f>
        <v> </v>
      </c>
      <c r="AF167" s="386" t="n">
        <v>41518</v>
      </c>
      <c r="AG167" s="376" t="n">
        <v>20</v>
      </c>
      <c r="AH167" s="376" t="n">
        <v>4</v>
      </c>
      <c r="AI167" s="376" t="n">
        <v>6</v>
      </c>
      <c r="AJ167" s="376" t="n">
        <v>1</v>
      </c>
      <c r="AK167" s="376" t="n">
        <v>30</v>
      </c>
    </row>
    <row r="168" customFormat="false" ht="12.75" hidden="false" customHeight="false" outlineLevel="0" collapsed="false">
      <c r="A168" s="434" t="str">
        <f aca="false">Calculations!A133</f>
        <v>N/A</v>
      </c>
      <c r="B168" s="435" t="str">
        <f aca="false">IF(A168="N/A"," ",IF(ISERROR(P168),B156*Pwresc,P168)*VLOOKUP(MONTH(A168),Curveadj,3))</f>
        <v> </v>
      </c>
      <c r="C168" s="436" t="str">
        <f aca="false">IF(A168="N/A"," ",IF(ISERROR(Q168),C156*Pwresc,Q168)*VLOOKUP(MONTH(A168),Curveadj,3))</f>
        <v> </v>
      </c>
      <c r="D168" s="437" t="str">
        <f aca="false">IF(A168="N/A"," ",IF(ISERROR(R168),D156*Pwresc,R168)*VLOOKUP(MONTH(A168),Curveadj,3))</f>
        <v> </v>
      </c>
      <c r="E168" s="438" t="str">
        <f aca="false">IF(A168="N/A"," ",IF(Scalers=1,(IF(AND(Dynamic=1,MONTH(A168)&gt;=6,MONTH(A168)&lt;=8,OR($O$37="REGION 2",$O$37="REGION 2A",$O$37="REGION 2B",$O$37="REGION 3",$O$37="REGION 3A",$O$37="REGION 3B",$O$37="REGION 3C",$O$37="REGION 4",$O$37="REGION 4B",$O$37="REGION 4C",$O$37="REGION 5",$O$37="REGION 5A")),((0.059228/(B168/100))-(0.4980013/(SQRT(B168/100)))+2.137988),HLOOKUP(MONTH(A168),ScalarTable,28))),1))</f>
        <v> </v>
      </c>
      <c r="F168" s="439" t="str">
        <f aca="false">IF(A168="N/A"," ",B168*E168)</f>
        <v> </v>
      </c>
      <c r="G168" s="439" t="str">
        <f aca="false">IF(A168="N/A"," ",C168*E168)</f>
        <v> </v>
      </c>
      <c r="H168" s="440" t="str">
        <f aca="false">IF(A168="N/A"," ",D168*E168)</f>
        <v> </v>
      </c>
      <c r="I168" s="402" t="str">
        <f aca="false">IF(A168="N/A"," ",2-E168)</f>
        <v> </v>
      </c>
      <c r="J168" s="439" t="str">
        <f aca="false">IF(A168="N/A"," ",B168*I168)</f>
        <v> </v>
      </c>
      <c r="K168" s="439" t="str">
        <f aca="false">IF(A168="N/A"," ",C168*I168)</f>
        <v> </v>
      </c>
      <c r="L168" s="440" t="str">
        <f aca="false">IF(A168="N/A"," ",D168*I168)</f>
        <v> </v>
      </c>
      <c r="M168" s="441" t="str">
        <f aca="false">IF(A168="N/A"," ",IF(ISERROR(S168),M156*Pwresc,S168))</f>
        <v> </v>
      </c>
      <c r="N168" s="442" t="str">
        <f aca="false">IF(A168="N/A"," ",SUM(T168:X168))</f>
        <v> </v>
      </c>
      <c r="O168" s="370"/>
      <c r="P168" s="436" t="str">
        <f aca="false">IF(A168="N/A"," ",VLOOKUP(A168,PeakPowerCurves,(IF(BMO=2,3,IF(BMO=1,2,4))),FALSE())+Inputs!N151)</f>
        <v> </v>
      </c>
      <c r="Q168" s="436" t="str">
        <f aca="false">IF(A168="N/A"," ",VLOOKUP(A168,SatSunPeakPwr,(IF(BMO=2,3,IF(BMO=1,2,4))),FALSE())+Inputs!$N$23)</f>
        <v> </v>
      </c>
      <c r="R168" s="436" t="str">
        <f aca="false">IF(A168="N/A"," ",VLOOKUP(A168,SatSunPeakPwr,(IF(BMO=2,7,IF(BMO=1,6,8))),FALSE())+Inputs!$N$23)</f>
        <v> </v>
      </c>
      <c r="S168" s="443" t="str">
        <f aca="false">IF(A168="N/A"," ",(VLOOKUP(A168,OPPowerPrices,(IF(BMO=2,7,IF(BMO=1,6,8))),FALSE())+Inputs!$N$23))</f>
        <v> </v>
      </c>
      <c r="T168" s="444" t="str">
        <f aca="false">IF(A168="N/A"," ",(VLOOKUP(A168,GasCurves,9,FALSE()))+IF(BMO=1,Gasbmo,IF(BMO=3,-Gasbmo,0)))</f>
        <v> </v>
      </c>
      <c r="U168" s="444" t="str">
        <f aca="false">IF(A168="N/A"," ",IF(Basischeck=TRUE(),(VLOOKUP(A168,GasCurves,IF(MONTH(A168)&gt;=4,IF(MONTH(A168)&lt;=10,11,12),12),FALSE())),0))</f>
        <v> </v>
      </c>
      <c r="V168" s="444" t="str">
        <f aca="false">IF(A168="N/A"," ",IF(Indexcheck=TRUE(),(IF(MONTH(A168)&gt;=4,IF(MONTH(A168)&lt;=10,VLOOKUP(A168,'Gas Curves'!B146:O506,13),VLOOKUP(A168,'Gas Curves'!B146:O506,14)),VLOOKUP(A168,'Gas Curves'!B146:O506,14))),0))</f>
        <v> </v>
      </c>
      <c r="W168" s="444" t="str">
        <f aca="false">IF(A168="N/A"," ",((SUM(T168:V168))/(1-Inputs!$S$11)-(SUM(T168:V168))))</f>
        <v> </v>
      </c>
      <c r="X168" s="444" t="str">
        <f aca="false">IF(A168="N/A"," ",(IF(MONTH(A168)&gt;=4,IF(MONTH(A168)&lt;=10,Inputs!$S$9,Inputs!$S$10),Inputs!$S$10)))</f>
        <v> </v>
      </c>
      <c r="Y168" s="445" t="str">
        <f aca="false">IF(A168="N/A"," ",(VLOOKUP($A168,InterestRatesTable,2)))</f>
        <v> </v>
      </c>
      <c r="AF168" s="386" t="n">
        <v>41548</v>
      </c>
      <c r="AG168" s="376" t="n">
        <v>23</v>
      </c>
      <c r="AH168" s="376" t="n">
        <v>4</v>
      </c>
      <c r="AI168" s="376" t="n">
        <v>4</v>
      </c>
      <c r="AJ168" s="376" t="n">
        <v>0</v>
      </c>
      <c r="AK168" s="376" t="n">
        <v>31</v>
      </c>
    </row>
    <row r="169" customFormat="false" ht="12.75" hidden="false" customHeight="false" outlineLevel="0" collapsed="false">
      <c r="A169" s="434" t="str">
        <f aca="false">Calculations!A134</f>
        <v>N/A</v>
      </c>
      <c r="B169" s="435" t="str">
        <f aca="false">IF(A169="N/A"," ",IF(ISERROR(P169),B157*Pwresc,P169)*VLOOKUP(MONTH(A169),Curveadj,3))</f>
        <v> </v>
      </c>
      <c r="C169" s="436" t="str">
        <f aca="false">IF(A169="N/A"," ",IF(ISERROR(Q169),C157*Pwresc,Q169)*VLOOKUP(MONTH(A169),Curveadj,3))</f>
        <v> </v>
      </c>
      <c r="D169" s="437" t="str">
        <f aca="false">IF(A169="N/A"," ",IF(ISERROR(R169),D157*Pwresc,R169)*VLOOKUP(MONTH(A169),Curveadj,3))</f>
        <v> </v>
      </c>
      <c r="E169" s="438" t="str">
        <f aca="false">IF(A169="N/A"," ",IF(Scalers=1,(IF(AND(Dynamic=1,MONTH(A169)&gt;=6,MONTH(A169)&lt;=8,OR($O$37="REGION 2",$O$37="REGION 2A",$O$37="REGION 2B",$O$37="REGION 3",$O$37="REGION 3A",$O$37="REGION 3B",$O$37="REGION 3C",$O$37="REGION 4",$O$37="REGION 4B",$O$37="REGION 4C",$O$37="REGION 5",$O$37="REGION 5A")),((0.059228/(B169/100))-(0.4980013/(SQRT(B169/100)))+2.137988),HLOOKUP(MONTH(A169),ScalarTable,28))),1))</f>
        <v> </v>
      </c>
      <c r="F169" s="439" t="str">
        <f aca="false">IF(A169="N/A"," ",B169*E169)</f>
        <v> </v>
      </c>
      <c r="G169" s="439" t="str">
        <f aca="false">IF(A169="N/A"," ",C169*E169)</f>
        <v> </v>
      </c>
      <c r="H169" s="440" t="str">
        <f aca="false">IF(A169="N/A"," ",D169*E169)</f>
        <v> </v>
      </c>
      <c r="I169" s="402" t="str">
        <f aca="false">IF(A169="N/A"," ",2-E169)</f>
        <v> </v>
      </c>
      <c r="J169" s="439" t="str">
        <f aca="false">IF(A169="N/A"," ",B169*I169)</f>
        <v> </v>
      </c>
      <c r="K169" s="439" t="str">
        <f aca="false">IF(A169="N/A"," ",C169*I169)</f>
        <v> </v>
      </c>
      <c r="L169" s="440" t="str">
        <f aca="false">IF(A169="N/A"," ",D169*I169)</f>
        <v> </v>
      </c>
      <c r="M169" s="441" t="str">
        <f aca="false">IF(A169="N/A"," ",IF(ISERROR(S169),M157*Pwresc,S169))</f>
        <v> </v>
      </c>
      <c r="N169" s="442" t="str">
        <f aca="false">IF(A169="N/A"," ",SUM(T169:X169))</f>
        <v> </v>
      </c>
      <c r="O169" s="370"/>
      <c r="P169" s="436" t="str">
        <f aca="false">IF(A169="N/A"," ",VLOOKUP(A169,PeakPowerCurves,(IF(BMO=2,3,IF(BMO=1,2,4))),FALSE())+Inputs!N152)</f>
        <v> </v>
      </c>
      <c r="Q169" s="436" t="str">
        <f aca="false">IF(A169="N/A"," ",VLOOKUP(A169,SatSunPeakPwr,(IF(BMO=2,3,IF(BMO=1,2,4))),FALSE())+Inputs!$N$23)</f>
        <v> </v>
      </c>
      <c r="R169" s="436" t="str">
        <f aca="false">IF(A169="N/A"," ",VLOOKUP(A169,SatSunPeakPwr,(IF(BMO=2,7,IF(BMO=1,6,8))),FALSE())+Inputs!$N$23)</f>
        <v> </v>
      </c>
      <c r="S169" s="443" t="str">
        <f aca="false">IF(A169="N/A"," ",(VLOOKUP(A169,OPPowerPrices,(IF(BMO=2,7,IF(BMO=1,6,8))),FALSE())+Inputs!$N$23))</f>
        <v> </v>
      </c>
      <c r="T169" s="444" t="str">
        <f aca="false">IF(A169="N/A"," ",(VLOOKUP(A169,GasCurves,9,FALSE()))+IF(BMO=1,Gasbmo,IF(BMO=3,-Gasbmo,0)))</f>
        <v> </v>
      </c>
      <c r="U169" s="444" t="str">
        <f aca="false">IF(A169="N/A"," ",IF(Basischeck=TRUE(),(VLOOKUP(A169,GasCurves,IF(MONTH(A169)&gt;=4,IF(MONTH(A169)&lt;=10,11,12),12),FALSE())),0))</f>
        <v> </v>
      </c>
      <c r="V169" s="444" t="str">
        <f aca="false">IF(A169="N/A"," ",IF(Indexcheck=TRUE(),(IF(MONTH(A169)&gt;=4,IF(MONTH(A169)&lt;=10,VLOOKUP(A169,'Gas Curves'!B147:O507,13),VLOOKUP(A169,'Gas Curves'!B147:O507,14)),VLOOKUP(A169,'Gas Curves'!B147:O507,14))),0))</f>
        <v> </v>
      </c>
      <c r="W169" s="444" t="str">
        <f aca="false">IF(A169="N/A"," ",((SUM(T169:V169))/(1-Inputs!$S$11)-(SUM(T169:V169))))</f>
        <v> </v>
      </c>
      <c r="X169" s="444" t="str">
        <f aca="false">IF(A169="N/A"," ",(IF(MONTH(A169)&gt;=4,IF(MONTH(A169)&lt;=10,Inputs!$S$9,Inputs!$S$10),Inputs!$S$10)))</f>
        <v> </v>
      </c>
      <c r="Y169" s="445" t="str">
        <f aca="false">IF(A169="N/A"," ",(VLOOKUP($A169,InterestRatesTable,2)))</f>
        <v> </v>
      </c>
      <c r="AF169" s="386" t="n">
        <v>41579</v>
      </c>
      <c r="AG169" s="376" t="n">
        <v>20</v>
      </c>
      <c r="AH169" s="376" t="n">
        <v>5</v>
      </c>
      <c r="AI169" s="376" t="n">
        <v>5</v>
      </c>
      <c r="AJ169" s="376" t="n">
        <v>1</v>
      </c>
      <c r="AK169" s="376" t="n">
        <v>30</v>
      </c>
    </row>
    <row r="170" customFormat="false" ht="12.75" hidden="false" customHeight="false" outlineLevel="0" collapsed="false">
      <c r="A170" s="434" t="str">
        <f aca="false">Calculations!A135</f>
        <v>N/A</v>
      </c>
      <c r="B170" s="435" t="str">
        <f aca="false">IF(A170="N/A"," ",IF(ISERROR(P170),B158*Pwresc,P170)*VLOOKUP(MONTH(A170),Curveadj,3))</f>
        <v> </v>
      </c>
      <c r="C170" s="436" t="str">
        <f aca="false">IF(A170="N/A"," ",IF(ISERROR(Q170),C158*Pwresc,Q170)*VLOOKUP(MONTH(A170),Curveadj,3))</f>
        <v> </v>
      </c>
      <c r="D170" s="437" t="str">
        <f aca="false">IF(A170="N/A"," ",IF(ISERROR(R170),D158*Pwresc,R170)*VLOOKUP(MONTH(A170),Curveadj,3))</f>
        <v> </v>
      </c>
      <c r="E170" s="438" t="str">
        <f aca="false">IF(A170="N/A"," ",IF(Scalers=1,(IF(AND(Dynamic=1,MONTH(A170)&gt;=6,MONTH(A170)&lt;=8,OR($O$37="REGION 2",$O$37="REGION 2A",$O$37="REGION 2B",$O$37="REGION 3",$O$37="REGION 3A",$O$37="REGION 3B",$O$37="REGION 3C",$O$37="REGION 4",$O$37="REGION 4B",$O$37="REGION 4C",$O$37="REGION 5",$O$37="REGION 5A")),((0.059228/(B170/100))-(0.4980013/(SQRT(B170/100)))+2.137988),HLOOKUP(MONTH(A170),ScalarTable,28))),1))</f>
        <v> </v>
      </c>
      <c r="F170" s="439" t="str">
        <f aca="false">IF(A170="N/A"," ",B170*E170)</f>
        <v> </v>
      </c>
      <c r="G170" s="439" t="str">
        <f aca="false">IF(A170="N/A"," ",C170*E170)</f>
        <v> </v>
      </c>
      <c r="H170" s="440" t="str">
        <f aca="false">IF(A170="N/A"," ",D170*E170)</f>
        <v> </v>
      </c>
      <c r="I170" s="402" t="str">
        <f aca="false">IF(A170="N/A"," ",2-E170)</f>
        <v> </v>
      </c>
      <c r="J170" s="439" t="str">
        <f aca="false">IF(A170="N/A"," ",B170*I170)</f>
        <v> </v>
      </c>
      <c r="K170" s="439" t="str">
        <f aca="false">IF(A170="N/A"," ",C170*I170)</f>
        <v> </v>
      </c>
      <c r="L170" s="440" t="str">
        <f aca="false">IF(A170="N/A"," ",D170*I170)</f>
        <v> </v>
      </c>
      <c r="M170" s="441" t="str">
        <f aca="false">IF(A170="N/A"," ",IF(ISERROR(S170),M158*Pwresc,S170))</f>
        <v> </v>
      </c>
      <c r="N170" s="442" t="str">
        <f aca="false">IF(A170="N/A"," ",SUM(T170:X170))</f>
        <v> </v>
      </c>
      <c r="O170" s="370"/>
      <c r="P170" s="436" t="str">
        <f aca="false">IF(A170="N/A"," ",VLOOKUP(A170,PeakPowerCurves,(IF(BMO=2,3,IF(BMO=1,2,4))),FALSE())+Inputs!N153)</f>
        <v> </v>
      </c>
      <c r="Q170" s="436" t="str">
        <f aca="false">IF(A170="N/A"," ",VLOOKUP(A170,SatSunPeakPwr,(IF(BMO=2,3,IF(BMO=1,2,4))),FALSE())+Inputs!$N$23)</f>
        <v> </v>
      </c>
      <c r="R170" s="436" t="str">
        <f aca="false">IF(A170="N/A"," ",VLOOKUP(A170,SatSunPeakPwr,(IF(BMO=2,7,IF(BMO=1,6,8))),FALSE())+Inputs!$N$23)</f>
        <v> </v>
      </c>
      <c r="S170" s="443" t="str">
        <f aca="false">IF(A170="N/A"," ",(VLOOKUP(A170,OPPowerPrices,(IF(BMO=2,7,IF(BMO=1,6,8))),FALSE())+Inputs!$N$23))</f>
        <v> </v>
      </c>
      <c r="T170" s="444" t="str">
        <f aca="false">IF(A170="N/A"," ",(VLOOKUP(A170,GasCurves,9,FALSE()))+IF(BMO=1,Gasbmo,IF(BMO=3,-Gasbmo,0)))</f>
        <v> </v>
      </c>
      <c r="U170" s="444" t="str">
        <f aca="false">IF(A170="N/A"," ",IF(Basischeck=TRUE(),(VLOOKUP(A170,GasCurves,IF(MONTH(A170)&gt;=4,IF(MONTH(A170)&lt;=10,11,12),12),FALSE())),0))</f>
        <v> </v>
      </c>
      <c r="V170" s="444" t="str">
        <f aca="false">IF(A170="N/A"," ",IF(Indexcheck=TRUE(),(IF(MONTH(A170)&gt;=4,IF(MONTH(A170)&lt;=10,VLOOKUP(A170,'Gas Curves'!B148:O508,13),VLOOKUP(A170,'Gas Curves'!B148:O508,14)),VLOOKUP(A170,'Gas Curves'!B148:O508,14))),0))</f>
        <v> </v>
      </c>
      <c r="W170" s="444" t="str">
        <f aca="false">IF(A170="N/A"," ",((SUM(T170:V170))/(1-Inputs!$S$11)-(SUM(T170:V170))))</f>
        <v> </v>
      </c>
      <c r="X170" s="444" t="str">
        <f aca="false">IF(A170="N/A"," ",(IF(MONTH(A170)&gt;=4,IF(MONTH(A170)&lt;=10,Inputs!$S$9,Inputs!$S$10),Inputs!$S$10)))</f>
        <v> </v>
      </c>
      <c r="Y170" s="445" t="str">
        <f aca="false">IF(A170="N/A"," ",(VLOOKUP($A170,InterestRatesTable,2)))</f>
        <v> </v>
      </c>
      <c r="AF170" s="386" t="n">
        <v>41609</v>
      </c>
      <c r="AG170" s="376" t="n">
        <v>21</v>
      </c>
      <c r="AH170" s="376" t="n">
        <v>4</v>
      </c>
      <c r="AI170" s="376" t="n">
        <v>6</v>
      </c>
      <c r="AJ170" s="376" t="n">
        <v>1</v>
      </c>
      <c r="AK170" s="376" t="n">
        <v>31</v>
      </c>
    </row>
    <row r="171" customFormat="false" ht="12.75" hidden="false" customHeight="false" outlineLevel="0" collapsed="false">
      <c r="A171" s="434" t="str">
        <f aca="false">Calculations!A136</f>
        <v>N/A</v>
      </c>
      <c r="B171" s="435" t="str">
        <f aca="false">IF(A171="N/A"," ",IF(ISERROR(P171),B159*Pwresc,P171)*VLOOKUP(MONTH(A171),Curveadj,3))</f>
        <v> </v>
      </c>
      <c r="C171" s="436" t="str">
        <f aca="false">IF(A171="N/A"," ",IF(ISERROR(Q171),C159*Pwresc,Q171)*VLOOKUP(MONTH(A171),Curveadj,3))</f>
        <v> </v>
      </c>
      <c r="D171" s="437" t="str">
        <f aca="false">IF(A171="N/A"," ",IF(ISERROR(R171),D159*Pwresc,R171)*VLOOKUP(MONTH(A171),Curveadj,3))</f>
        <v> </v>
      </c>
      <c r="E171" s="438" t="str">
        <f aca="false">IF(A171="N/A"," ",IF(Scalers=1,(IF(AND(Dynamic=1,MONTH(A171)&gt;=6,MONTH(A171)&lt;=8,OR($O$37="REGION 2",$O$37="REGION 2A",$O$37="REGION 2B",$O$37="REGION 3",$O$37="REGION 3A",$O$37="REGION 3B",$O$37="REGION 3C",$O$37="REGION 4",$O$37="REGION 4B",$O$37="REGION 4C",$O$37="REGION 5",$O$37="REGION 5A")),((0.059228/(B171/100))-(0.4980013/(SQRT(B171/100)))+2.137988),HLOOKUP(MONTH(A171),ScalarTable,28))),1))</f>
        <v> </v>
      </c>
      <c r="F171" s="439" t="str">
        <f aca="false">IF(A171="N/A"," ",B171*E171)</f>
        <v> </v>
      </c>
      <c r="G171" s="439" t="str">
        <f aca="false">IF(A171="N/A"," ",C171*E171)</f>
        <v> </v>
      </c>
      <c r="H171" s="440" t="str">
        <f aca="false">IF(A171="N/A"," ",D171*E171)</f>
        <v> </v>
      </c>
      <c r="I171" s="402" t="str">
        <f aca="false">IF(A171="N/A"," ",2-E171)</f>
        <v> </v>
      </c>
      <c r="J171" s="439" t="str">
        <f aca="false">IF(A171="N/A"," ",B171*I171)</f>
        <v> </v>
      </c>
      <c r="K171" s="439" t="str">
        <f aca="false">IF(A171="N/A"," ",C171*I171)</f>
        <v> </v>
      </c>
      <c r="L171" s="440" t="str">
        <f aca="false">IF(A171="N/A"," ",D171*I171)</f>
        <v> </v>
      </c>
      <c r="M171" s="441" t="str">
        <f aca="false">IF(A171="N/A"," ",IF(ISERROR(S171),M159*Pwresc,S171))</f>
        <v> </v>
      </c>
      <c r="N171" s="442" t="str">
        <f aca="false">IF(A171="N/A"," ",SUM(T171:X171))</f>
        <v> </v>
      </c>
      <c r="O171" s="370"/>
      <c r="P171" s="436" t="str">
        <f aca="false">IF(A171="N/A"," ",VLOOKUP(A171,PeakPowerCurves,(IF(BMO=2,3,IF(BMO=1,2,4))),FALSE())+Inputs!N154)</f>
        <v> </v>
      </c>
      <c r="Q171" s="436" t="str">
        <f aca="false">IF(A171="N/A"," ",VLOOKUP(A171,SatSunPeakPwr,(IF(BMO=2,3,IF(BMO=1,2,4))),FALSE())+Inputs!$N$23)</f>
        <v> </v>
      </c>
      <c r="R171" s="436" t="str">
        <f aca="false">IF(A171="N/A"," ",VLOOKUP(A171,SatSunPeakPwr,(IF(BMO=2,7,IF(BMO=1,6,8))),FALSE())+Inputs!$N$23)</f>
        <v> </v>
      </c>
      <c r="S171" s="443" t="str">
        <f aca="false">IF(A171="N/A"," ",(VLOOKUP(A171,OPPowerPrices,(IF(BMO=2,7,IF(BMO=1,6,8))),FALSE())+Inputs!$N$23))</f>
        <v> </v>
      </c>
      <c r="T171" s="444" t="str">
        <f aca="false">IF(A171="N/A"," ",(VLOOKUP(A171,GasCurves,9,FALSE()))+IF(BMO=1,Gasbmo,IF(BMO=3,-Gasbmo,0)))</f>
        <v> </v>
      </c>
      <c r="U171" s="444" t="str">
        <f aca="false">IF(A171="N/A"," ",IF(Basischeck=TRUE(),(VLOOKUP(A171,GasCurves,IF(MONTH(A171)&gt;=4,IF(MONTH(A171)&lt;=10,11,12),12),FALSE())),0))</f>
        <v> </v>
      </c>
      <c r="V171" s="444" t="str">
        <f aca="false">IF(A171="N/A"," ",IF(Indexcheck=TRUE(),(IF(MONTH(A171)&gt;=4,IF(MONTH(A171)&lt;=10,VLOOKUP(A171,'Gas Curves'!B149:O509,13),VLOOKUP(A171,'Gas Curves'!B149:O509,14)),VLOOKUP(A171,'Gas Curves'!B149:O509,14))),0))</f>
        <v> </v>
      </c>
      <c r="W171" s="444" t="str">
        <f aca="false">IF(A171="N/A"," ",((SUM(T171:V171))/(1-Inputs!$S$11)-(SUM(T171:V171))))</f>
        <v> </v>
      </c>
      <c r="X171" s="444" t="str">
        <f aca="false">IF(A171="N/A"," ",(IF(MONTH(A171)&gt;=4,IF(MONTH(A171)&lt;=10,Inputs!$S$9,Inputs!$S$10),Inputs!$S$10)))</f>
        <v> </v>
      </c>
      <c r="Y171" s="445" t="str">
        <f aca="false">IF(A171="N/A"," ",(VLOOKUP($A171,InterestRatesTable,2)))</f>
        <v> </v>
      </c>
      <c r="AF171" s="386" t="n">
        <v>41640</v>
      </c>
      <c r="AG171" s="376" t="n">
        <v>22</v>
      </c>
      <c r="AH171" s="376" t="n">
        <v>4</v>
      </c>
      <c r="AI171" s="376" t="n">
        <v>5</v>
      </c>
      <c r="AJ171" s="376" t="n">
        <v>1</v>
      </c>
      <c r="AK171" s="376" t="n">
        <v>31</v>
      </c>
    </row>
    <row r="172" customFormat="false" ht="12.75" hidden="false" customHeight="false" outlineLevel="0" collapsed="false">
      <c r="A172" s="434" t="str">
        <f aca="false">Calculations!A137</f>
        <v>N/A</v>
      </c>
      <c r="B172" s="435" t="str">
        <f aca="false">IF(A172="N/A"," ",IF(ISERROR(P172),B160*Pwresc,P172)*VLOOKUP(MONTH(A172),Curveadj,3))</f>
        <v> </v>
      </c>
      <c r="C172" s="436" t="str">
        <f aca="false">IF(A172="N/A"," ",IF(ISERROR(Q172),C160*Pwresc,Q172)*VLOOKUP(MONTH(A172),Curveadj,3))</f>
        <v> </v>
      </c>
      <c r="D172" s="437" t="str">
        <f aca="false">IF(A172="N/A"," ",IF(ISERROR(R172),D160*Pwresc,R172)*VLOOKUP(MONTH(A172),Curveadj,3))</f>
        <v> </v>
      </c>
      <c r="E172" s="438" t="str">
        <f aca="false">IF(A172="N/A"," ",IF(Scalers=1,(IF(AND(Dynamic=1,MONTH(A172)&gt;=6,MONTH(A172)&lt;=8,OR($O$37="REGION 2",$O$37="REGION 2A",$O$37="REGION 2B",$O$37="REGION 3",$O$37="REGION 3A",$O$37="REGION 3B",$O$37="REGION 3C",$O$37="REGION 4",$O$37="REGION 4B",$O$37="REGION 4C",$O$37="REGION 5",$O$37="REGION 5A")),((0.059228/(B172/100))-(0.4980013/(SQRT(B172/100)))+2.137988),HLOOKUP(MONTH(A172),ScalarTable,28))),1))</f>
        <v> </v>
      </c>
      <c r="F172" s="439" t="str">
        <f aca="false">IF(A172="N/A"," ",B172*E172)</f>
        <v> </v>
      </c>
      <c r="G172" s="439" t="str">
        <f aca="false">IF(A172="N/A"," ",C172*E172)</f>
        <v> </v>
      </c>
      <c r="H172" s="440" t="str">
        <f aca="false">IF(A172="N/A"," ",D172*E172)</f>
        <v> </v>
      </c>
      <c r="I172" s="402" t="str">
        <f aca="false">IF(A172="N/A"," ",2-E172)</f>
        <v> </v>
      </c>
      <c r="J172" s="439" t="str">
        <f aca="false">IF(A172="N/A"," ",B172*I172)</f>
        <v> </v>
      </c>
      <c r="K172" s="439" t="str">
        <f aca="false">IF(A172="N/A"," ",C172*I172)</f>
        <v> </v>
      </c>
      <c r="L172" s="440" t="str">
        <f aca="false">IF(A172="N/A"," ",D172*I172)</f>
        <v> </v>
      </c>
      <c r="M172" s="441" t="str">
        <f aca="false">IF(A172="N/A"," ",IF(ISERROR(S172),M160*Pwresc,S172))</f>
        <v> </v>
      </c>
      <c r="N172" s="442" t="str">
        <f aca="false">IF(A172="N/A"," ",SUM(T172:X172))</f>
        <v> </v>
      </c>
      <c r="O172" s="370"/>
      <c r="P172" s="436" t="str">
        <f aca="false">IF(A172="N/A"," ",VLOOKUP(A172,PeakPowerCurves,(IF(BMO=2,3,IF(BMO=1,2,4))),FALSE())+Inputs!N155)</f>
        <v> </v>
      </c>
      <c r="Q172" s="436" t="str">
        <f aca="false">IF(A172="N/A"," ",VLOOKUP(A172,SatSunPeakPwr,(IF(BMO=2,3,IF(BMO=1,2,4))),FALSE())+Inputs!$N$23)</f>
        <v> </v>
      </c>
      <c r="R172" s="436" t="str">
        <f aca="false">IF(A172="N/A"," ",VLOOKUP(A172,SatSunPeakPwr,(IF(BMO=2,7,IF(BMO=1,6,8))),FALSE())+Inputs!$N$23)</f>
        <v> </v>
      </c>
      <c r="S172" s="443" t="str">
        <f aca="false">IF(A172="N/A"," ",(VLOOKUP(A172,OPPowerPrices,(IF(BMO=2,7,IF(BMO=1,6,8))),FALSE())+Inputs!$N$23))</f>
        <v> </v>
      </c>
      <c r="T172" s="444" t="str">
        <f aca="false">IF(A172="N/A"," ",(VLOOKUP(A172,GasCurves,9,FALSE()))+IF(BMO=1,Gasbmo,IF(BMO=3,-Gasbmo,0)))</f>
        <v> </v>
      </c>
      <c r="U172" s="444" t="str">
        <f aca="false">IF(A172="N/A"," ",IF(Basischeck=TRUE(),(VLOOKUP(A172,GasCurves,IF(MONTH(A172)&gt;=4,IF(MONTH(A172)&lt;=10,11,12),12),FALSE())),0))</f>
        <v> </v>
      </c>
      <c r="V172" s="444" t="str">
        <f aca="false">IF(A172="N/A"," ",IF(Indexcheck=TRUE(),(IF(MONTH(A172)&gt;=4,IF(MONTH(A172)&lt;=10,VLOOKUP(A172,'Gas Curves'!B150:O510,13),VLOOKUP(A172,'Gas Curves'!B150:O510,14)),VLOOKUP(A172,'Gas Curves'!B150:O510,14))),0))</f>
        <v> </v>
      </c>
      <c r="W172" s="444" t="str">
        <f aca="false">IF(A172="N/A"," ",((SUM(T172:V172))/(1-Inputs!$S$11)-(SUM(T172:V172))))</f>
        <v> </v>
      </c>
      <c r="X172" s="444" t="str">
        <f aca="false">IF(A172="N/A"," ",(IF(MONTH(A172)&gt;=4,IF(MONTH(A172)&lt;=10,Inputs!$S$9,Inputs!$S$10),Inputs!$S$10)))</f>
        <v> </v>
      </c>
      <c r="Y172" s="445" t="str">
        <f aca="false">IF(A172="N/A"," ",(VLOOKUP($A172,InterestRatesTable,2)))</f>
        <v> </v>
      </c>
      <c r="AF172" s="386" t="n">
        <v>41671</v>
      </c>
      <c r="AG172" s="376" t="n">
        <v>20</v>
      </c>
      <c r="AH172" s="376" t="n">
        <v>4</v>
      </c>
      <c r="AI172" s="376" t="n">
        <v>4</v>
      </c>
      <c r="AJ172" s="376" t="n">
        <v>0</v>
      </c>
      <c r="AK172" s="376" t="n">
        <v>28</v>
      </c>
    </row>
    <row r="173" customFormat="false" ht="12.75" hidden="false" customHeight="false" outlineLevel="0" collapsed="false">
      <c r="A173" s="434" t="str">
        <f aca="false">Calculations!A138</f>
        <v>N/A</v>
      </c>
      <c r="B173" s="435" t="str">
        <f aca="false">IF(A173="N/A"," ",IF(ISERROR(P173),B161*Pwresc,P173)*VLOOKUP(MONTH(A173),Curveadj,3))</f>
        <v> </v>
      </c>
      <c r="C173" s="436" t="str">
        <f aca="false">IF(A173="N/A"," ",IF(ISERROR(Q173),C161*Pwresc,Q173)*VLOOKUP(MONTH(A173),Curveadj,3))</f>
        <v> </v>
      </c>
      <c r="D173" s="437" t="str">
        <f aca="false">IF(A173="N/A"," ",IF(ISERROR(R173),D161*Pwresc,R173)*VLOOKUP(MONTH(A173),Curveadj,3))</f>
        <v> </v>
      </c>
      <c r="E173" s="438" t="str">
        <f aca="false">IF(A173="N/A"," ",IF(Scalers=1,(IF(AND(Dynamic=1,MONTH(A173)&gt;=6,MONTH(A173)&lt;=8,OR($O$37="REGION 2",$O$37="REGION 2A",$O$37="REGION 2B",$O$37="REGION 3",$O$37="REGION 3A",$O$37="REGION 3B",$O$37="REGION 3C",$O$37="REGION 4",$O$37="REGION 4B",$O$37="REGION 4C",$O$37="REGION 5",$O$37="REGION 5A")),((0.059228/(B173/100))-(0.4980013/(SQRT(B173/100)))+2.137988),HLOOKUP(MONTH(A173),ScalarTable,28))),1))</f>
        <v> </v>
      </c>
      <c r="F173" s="439" t="str">
        <f aca="false">IF(A173="N/A"," ",B173*E173)</f>
        <v> </v>
      </c>
      <c r="G173" s="439" t="str">
        <f aca="false">IF(A173="N/A"," ",C173*E173)</f>
        <v> </v>
      </c>
      <c r="H173" s="440" t="str">
        <f aca="false">IF(A173="N/A"," ",D173*E173)</f>
        <v> </v>
      </c>
      <c r="I173" s="402" t="str">
        <f aca="false">IF(A173="N/A"," ",2-E173)</f>
        <v> </v>
      </c>
      <c r="J173" s="439" t="str">
        <f aca="false">IF(A173="N/A"," ",B173*I173)</f>
        <v> </v>
      </c>
      <c r="K173" s="439" t="str">
        <f aca="false">IF(A173="N/A"," ",C173*I173)</f>
        <v> </v>
      </c>
      <c r="L173" s="440" t="str">
        <f aca="false">IF(A173="N/A"," ",D173*I173)</f>
        <v> </v>
      </c>
      <c r="M173" s="441" t="str">
        <f aca="false">IF(A173="N/A"," ",IF(ISERROR(S173),M161*Pwresc,S173))</f>
        <v> </v>
      </c>
      <c r="N173" s="442" t="str">
        <f aca="false">IF(A173="N/A"," ",SUM(T173:X173))</f>
        <v> </v>
      </c>
      <c r="O173" s="370"/>
      <c r="P173" s="436" t="str">
        <f aca="false">IF(A173="N/A"," ",VLOOKUP(A173,PeakPowerCurves,(IF(BMO=2,3,IF(BMO=1,2,4))),FALSE())+Inputs!N156)</f>
        <v> </v>
      </c>
      <c r="Q173" s="436" t="str">
        <f aca="false">IF(A173="N/A"," ",VLOOKUP(A173,SatSunPeakPwr,(IF(BMO=2,3,IF(BMO=1,2,4))),FALSE())+Inputs!$N$23)</f>
        <v> </v>
      </c>
      <c r="R173" s="436" t="str">
        <f aca="false">IF(A173="N/A"," ",VLOOKUP(A173,SatSunPeakPwr,(IF(BMO=2,7,IF(BMO=1,6,8))),FALSE())+Inputs!$N$23)</f>
        <v> </v>
      </c>
      <c r="S173" s="443" t="str">
        <f aca="false">IF(A173="N/A"," ",(VLOOKUP(A173,OPPowerPrices,(IF(BMO=2,7,IF(BMO=1,6,8))),FALSE())+Inputs!$N$23))</f>
        <v> </v>
      </c>
      <c r="T173" s="444" t="str">
        <f aca="false">IF(A173="N/A"," ",(VLOOKUP(A173,GasCurves,9,FALSE()))+IF(BMO=1,Gasbmo,IF(BMO=3,-Gasbmo,0)))</f>
        <v> </v>
      </c>
      <c r="U173" s="444" t="str">
        <f aca="false">IF(A173="N/A"," ",IF(Basischeck=TRUE(),(VLOOKUP(A173,GasCurves,IF(MONTH(A173)&gt;=4,IF(MONTH(A173)&lt;=10,11,12),12),FALSE())),0))</f>
        <v> </v>
      </c>
      <c r="V173" s="444" t="str">
        <f aca="false">IF(A173="N/A"," ",IF(Indexcheck=TRUE(),(IF(MONTH(A173)&gt;=4,IF(MONTH(A173)&lt;=10,VLOOKUP(A173,'Gas Curves'!B151:O511,13),VLOOKUP(A173,'Gas Curves'!B151:O511,14)),VLOOKUP(A173,'Gas Curves'!B151:O511,14))),0))</f>
        <v> </v>
      </c>
      <c r="W173" s="444" t="str">
        <f aca="false">IF(A173="N/A"," ",((SUM(T173:V173))/(1-Inputs!$S$11)-(SUM(T173:V173))))</f>
        <v> </v>
      </c>
      <c r="X173" s="444" t="str">
        <f aca="false">IF(A173="N/A"," ",(IF(MONTH(A173)&gt;=4,IF(MONTH(A173)&lt;=10,Inputs!$S$9,Inputs!$S$10),Inputs!$S$10)))</f>
        <v> </v>
      </c>
      <c r="Y173" s="445" t="str">
        <f aca="false">IF(A173="N/A"," ",(VLOOKUP($A173,InterestRatesTable,2)))</f>
        <v> </v>
      </c>
      <c r="AF173" s="386" t="n">
        <v>41699</v>
      </c>
      <c r="AG173" s="376" t="n">
        <v>21</v>
      </c>
      <c r="AH173" s="376" t="n">
        <v>5</v>
      </c>
      <c r="AI173" s="376" t="n">
        <v>5</v>
      </c>
      <c r="AJ173" s="376" t="n">
        <v>0</v>
      </c>
      <c r="AK173" s="376" t="n">
        <v>31</v>
      </c>
    </row>
    <row r="174" customFormat="false" ht="12.75" hidden="false" customHeight="false" outlineLevel="0" collapsed="false">
      <c r="A174" s="434" t="str">
        <f aca="false">Calculations!A139</f>
        <v>N/A</v>
      </c>
      <c r="B174" s="435" t="str">
        <f aca="false">IF(A174="N/A"," ",IF(ISERROR(P174),B162*Pwresc,P174)*VLOOKUP(MONTH(A174),Curveadj,3))</f>
        <v> </v>
      </c>
      <c r="C174" s="436" t="str">
        <f aca="false">IF(A174="N/A"," ",IF(ISERROR(Q174),C162*Pwresc,Q174)*VLOOKUP(MONTH(A174),Curveadj,3))</f>
        <v> </v>
      </c>
      <c r="D174" s="437" t="str">
        <f aca="false">IF(A174="N/A"," ",IF(ISERROR(R174),D162*Pwresc,R174)*VLOOKUP(MONTH(A174),Curveadj,3))</f>
        <v> </v>
      </c>
      <c r="E174" s="438" t="str">
        <f aca="false">IF(A174="N/A"," ",IF(Scalers=1,(IF(AND(Dynamic=1,MONTH(A174)&gt;=6,MONTH(A174)&lt;=8,OR($O$37="REGION 2",$O$37="REGION 2A",$O$37="REGION 2B",$O$37="REGION 3",$O$37="REGION 3A",$O$37="REGION 3B",$O$37="REGION 3C",$O$37="REGION 4",$O$37="REGION 4B",$O$37="REGION 4C",$O$37="REGION 5",$O$37="REGION 5A")),((0.059228/(B174/100))-(0.4980013/(SQRT(B174/100)))+2.137988),HLOOKUP(MONTH(A174),ScalarTable,28))),1))</f>
        <v> </v>
      </c>
      <c r="F174" s="439" t="str">
        <f aca="false">IF(A174="N/A"," ",B174*E174)</f>
        <v> </v>
      </c>
      <c r="G174" s="439" t="str">
        <f aca="false">IF(A174="N/A"," ",C174*E174)</f>
        <v> </v>
      </c>
      <c r="H174" s="440" t="str">
        <f aca="false">IF(A174="N/A"," ",D174*E174)</f>
        <v> </v>
      </c>
      <c r="I174" s="402" t="str">
        <f aca="false">IF(A174="N/A"," ",2-E174)</f>
        <v> </v>
      </c>
      <c r="J174" s="439" t="str">
        <f aca="false">IF(A174="N/A"," ",B174*I174)</f>
        <v> </v>
      </c>
      <c r="K174" s="439" t="str">
        <f aca="false">IF(A174="N/A"," ",C174*I174)</f>
        <v> </v>
      </c>
      <c r="L174" s="440" t="str">
        <f aca="false">IF(A174="N/A"," ",D174*I174)</f>
        <v> </v>
      </c>
      <c r="M174" s="441" t="str">
        <f aca="false">IF(A174="N/A"," ",IF(ISERROR(S174),M162*Pwresc,S174))</f>
        <v> </v>
      </c>
      <c r="N174" s="442" t="str">
        <f aca="false">IF(A174="N/A"," ",SUM(T174:X174))</f>
        <v> </v>
      </c>
      <c r="O174" s="370"/>
      <c r="P174" s="436" t="str">
        <f aca="false">IF(A174="N/A"," ",VLOOKUP(A174,PeakPowerCurves,(IF(BMO=2,3,IF(BMO=1,2,4))),FALSE())+Inputs!N157)</f>
        <v> </v>
      </c>
      <c r="Q174" s="436" t="str">
        <f aca="false">IF(A174="N/A"," ",VLOOKUP(A174,SatSunPeakPwr,(IF(BMO=2,3,IF(BMO=1,2,4))),FALSE())+Inputs!$N$23)</f>
        <v> </v>
      </c>
      <c r="R174" s="436" t="str">
        <f aca="false">IF(A174="N/A"," ",VLOOKUP(A174,SatSunPeakPwr,(IF(BMO=2,7,IF(BMO=1,6,8))),FALSE())+Inputs!$N$23)</f>
        <v> </v>
      </c>
      <c r="S174" s="443" t="str">
        <f aca="false">IF(A174="N/A"," ",(VLOOKUP(A174,OPPowerPrices,(IF(BMO=2,7,IF(BMO=1,6,8))),FALSE())+Inputs!$N$23))</f>
        <v> </v>
      </c>
      <c r="T174" s="444" t="str">
        <f aca="false">IF(A174="N/A"," ",(VLOOKUP(A174,GasCurves,9,FALSE()))+IF(BMO=1,Gasbmo,IF(BMO=3,-Gasbmo,0)))</f>
        <v> </v>
      </c>
      <c r="U174" s="444" t="str">
        <f aca="false">IF(A174="N/A"," ",IF(Basischeck=TRUE(),(VLOOKUP(A174,GasCurves,IF(MONTH(A174)&gt;=4,IF(MONTH(A174)&lt;=10,11,12),12),FALSE())),0))</f>
        <v> </v>
      </c>
      <c r="V174" s="444" t="str">
        <f aca="false">IF(A174="N/A"," ",IF(Indexcheck=TRUE(),(IF(MONTH(A174)&gt;=4,IF(MONTH(A174)&lt;=10,VLOOKUP(A174,'Gas Curves'!B152:O512,13),VLOOKUP(A174,'Gas Curves'!B152:O512,14)),VLOOKUP(A174,'Gas Curves'!B152:O512,14))),0))</f>
        <v> </v>
      </c>
      <c r="W174" s="444" t="str">
        <f aca="false">IF(A174="N/A"," ",((SUM(T174:V174))/(1-Inputs!$S$11)-(SUM(T174:V174))))</f>
        <v> </v>
      </c>
      <c r="X174" s="444" t="str">
        <f aca="false">IF(A174="N/A"," ",(IF(MONTH(A174)&gt;=4,IF(MONTH(A174)&lt;=10,Inputs!$S$9,Inputs!$S$10),Inputs!$S$10)))</f>
        <v> </v>
      </c>
      <c r="Y174" s="445" t="str">
        <f aca="false">IF(A174="N/A"," ",(VLOOKUP($A174,InterestRatesTable,2)))</f>
        <v> </v>
      </c>
      <c r="AF174" s="386" t="n">
        <v>41730</v>
      </c>
      <c r="AG174" s="376" t="n">
        <v>22</v>
      </c>
      <c r="AH174" s="376" t="n">
        <v>4</v>
      </c>
      <c r="AI174" s="376" t="n">
        <v>4</v>
      </c>
      <c r="AJ174" s="376" t="n">
        <v>0</v>
      </c>
      <c r="AK174" s="376" t="n">
        <v>30</v>
      </c>
    </row>
    <row r="175" customFormat="false" ht="12.75" hidden="false" customHeight="false" outlineLevel="0" collapsed="false">
      <c r="A175" s="434" t="str">
        <f aca="false">Calculations!A140</f>
        <v>N/A</v>
      </c>
      <c r="B175" s="435" t="str">
        <f aca="false">IF(A175="N/A"," ",IF(ISERROR(P175),B163*Pwresc,P175)*VLOOKUP(MONTH(A175),Curveadj,3))</f>
        <v> </v>
      </c>
      <c r="C175" s="436" t="str">
        <f aca="false">IF(A175="N/A"," ",IF(ISERROR(Q175),C163*Pwresc,Q175)*VLOOKUP(MONTH(A175),Curveadj,3))</f>
        <v> </v>
      </c>
      <c r="D175" s="437" t="str">
        <f aca="false">IF(A175="N/A"," ",IF(ISERROR(R175),D163*Pwresc,R175)*VLOOKUP(MONTH(A175),Curveadj,3))</f>
        <v> </v>
      </c>
      <c r="E175" s="438" t="str">
        <f aca="false">IF(A175="N/A"," ",IF(Scalers=1,(IF(AND(Dynamic=1,MONTH(A175)&gt;=6,MONTH(A175)&lt;=8,OR($O$37="REGION 2",$O$37="REGION 2A",$O$37="REGION 2B",$O$37="REGION 3",$O$37="REGION 3A",$O$37="REGION 3B",$O$37="REGION 3C",$O$37="REGION 4",$O$37="REGION 4B",$O$37="REGION 4C",$O$37="REGION 5",$O$37="REGION 5A")),((0.059228/(B175/100))-(0.4980013/(SQRT(B175/100)))+2.137988),HLOOKUP(MONTH(A175),ScalarTable,28))),1))</f>
        <v> </v>
      </c>
      <c r="F175" s="439" t="str">
        <f aca="false">IF(A175="N/A"," ",B175*E175)</f>
        <v> </v>
      </c>
      <c r="G175" s="439" t="str">
        <f aca="false">IF(A175="N/A"," ",C175*E175)</f>
        <v> </v>
      </c>
      <c r="H175" s="440" t="str">
        <f aca="false">IF(A175="N/A"," ",D175*E175)</f>
        <v> </v>
      </c>
      <c r="I175" s="402" t="str">
        <f aca="false">IF(A175="N/A"," ",2-E175)</f>
        <v> </v>
      </c>
      <c r="J175" s="439" t="str">
        <f aca="false">IF(A175="N/A"," ",B175*I175)</f>
        <v> </v>
      </c>
      <c r="K175" s="439" t="str">
        <f aca="false">IF(A175="N/A"," ",C175*I175)</f>
        <v> </v>
      </c>
      <c r="L175" s="440" t="str">
        <f aca="false">IF(A175="N/A"," ",D175*I175)</f>
        <v> </v>
      </c>
      <c r="M175" s="441" t="str">
        <f aca="false">IF(A175="N/A"," ",IF(ISERROR(S175),M163*Pwresc,S175))</f>
        <v> </v>
      </c>
      <c r="N175" s="442" t="str">
        <f aca="false">IF(A175="N/A"," ",SUM(T175:X175))</f>
        <v> </v>
      </c>
      <c r="O175" s="370"/>
      <c r="P175" s="436" t="str">
        <f aca="false">IF(A175="N/A"," ",VLOOKUP(A175,PeakPowerCurves,(IF(BMO=2,3,IF(BMO=1,2,4))),FALSE())+Inputs!N158)</f>
        <v> </v>
      </c>
      <c r="Q175" s="436" t="str">
        <f aca="false">IF(A175="N/A"," ",VLOOKUP(A175,SatSunPeakPwr,(IF(BMO=2,3,IF(BMO=1,2,4))),FALSE())+Inputs!$N$23)</f>
        <v> </v>
      </c>
      <c r="R175" s="436" t="str">
        <f aca="false">IF(A175="N/A"," ",VLOOKUP(A175,SatSunPeakPwr,(IF(BMO=2,7,IF(BMO=1,6,8))),FALSE())+Inputs!$N$23)</f>
        <v> </v>
      </c>
      <c r="S175" s="443" t="str">
        <f aca="false">IF(A175="N/A"," ",(VLOOKUP(A175,OPPowerPrices,(IF(BMO=2,7,IF(BMO=1,6,8))),FALSE())+Inputs!$N$23))</f>
        <v> </v>
      </c>
      <c r="T175" s="444" t="str">
        <f aca="false">IF(A175="N/A"," ",(VLOOKUP(A175,GasCurves,9,FALSE()))+IF(BMO=1,Gasbmo,IF(BMO=3,-Gasbmo,0)))</f>
        <v> </v>
      </c>
      <c r="U175" s="444" t="str">
        <f aca="false">IF(A175="N/A"," ",IF(Basischeck=TRUE(),(VLOOKUP(A175,GasCurves,IF(MONTH(A175)&gt;=4,IF(MONTH(A175)&lt;=10,11,12),12),FALSE())),0))</f>
        <v> </v>
      </c>
      <c r="V175" s="444" t="str">
        <f aca="false">IF(A175="N/A"," ",IF(Indexcheck=TRUE(),(IF(MONTH(A175)&gt;=4,IF(MONTH(A175)&lt;=10,VLOOKUP(A175,'Gas Curves'!B153:O513,13),VLOOKUP(A175,'Gas Curves'!B153:O513,14)),VLOOKUP(A175,'Gas Curves'!B153:O513,14))),0))</f>
        <v> </v>
      </c>
      <c r="W175" s="444" t="str">
        <f aca="false">IF(A175="N/A"," ",((SUM(T175:V175))/(1-Inputs!$S$11)-(SUM(T175:V175))))</f>
        <v> </v>
      </c>
      <c r="X175" s="444" t="str">
        <f aca="false">IF(A175="N/A"," ",(IF(MONTH(A175)&gt;=4,IF(MONTH(A175)&lt;=10,Inputs!$S$9,Inputs!$S$10),Inputs!$S$10)))</f>
        <v> </v>
      </c>
      <c r="Y175" s="445" t="str">
        <f aca="false">IF(A175="N/A"," ",(VLOOKUP($A175,InterestRatesTable,2)))</f>
        <v> </v>
      </c>
      <c r="AF175" s="386" t="n">
        <v>41760</v>
      </c>
      <c r="AG175" s="376" t="n">
        <v>21</v>
      </c>
      <c r="AH175" s="376" t="n">
        <v>5</v>
      </c>
      <c r="AI175" s="376" t="n">
        <v>5</v>
      </c>
      <c r="AJ175" s="376" t="n">
        <v>1</v>
      </c>
      <c r="AK175" s="376" t="n">
        <v>31</v>
      </c>
    </row>
    <row r="176" customFormat="false" ht="12.75" hidden="false" customHeight="false" outlineLevel="0" collapsed="false">
      <c r="A176" s="434" t="str">
        <f aca="false">Calculations!A141</f>
        <v>N/A</v>
      </c>
      <c r="B176" s="435" t="str">
        <f aca="false">IF(A176="N/A"," ",IF(ISERROR(P176),B164*Pwresc,P176)*VLOOKUP(MONTH(A176),Curveadj,3))</f>
        <v> </v>
      </c>
      <c r="C176" s="436" t="str">
        <f aca="false">IF(A176="N/A"," ",IF(ISERROR(Q176),C164*Pwresc,Q176)*VLOOKUP(MONTH(A176),Curveadj,3))</f>
        <v> </v>
      </c>
      <c r="D176" s="437" t="str">
        <f aca="false">IF(A176="N/A"," ",IF(ISERROR(R176),D164*Pwresc,R176)*VLOOKUP(MONTH(A176),Curveadj,3))</f>
        <v> </v>
      </c>
      <c r="E176" s="438" t="str">
        <f aca="false">IF(A176="N/A"," ",IF(Scalers=1,(IF(AND(Dynamic=1,MONTH(A176)&gt;=6,MONTH(A176)&lt;=8,OR($O$37="REGION 2",$O$37="REGION 2A",$O$37="REGION 2B",$O$37="REGION 3",$O$37="REGION 3A",$O$37="REGION 3B",$O$37="REGION 3C",$O$37="REGION 4",$O$37="REGION 4B",$O$37="REGION 4C",$O$37="REGION 5",$O$37="REGION 5A")),((0.059228/(B176/100))-(0.4980013/(SQRT(B176/100)))+2.137988),HLOOKUP(MONTH(A176),ScalarTable,28))),1))</f>
        <v> </v>
      </c>
      <c r="F176" s="439" t="str">
        <f aca="false">IF(A176="N/A"," ",B176*E176)</f>
        <v> </v>
      </c>
      <c r="G176" s="439" t="str">
        <f aca="false">IF(A176="N/A"," ",C176*E176)</f>
        <v> </v>
      </c>
      <c r="H176" s="440" t="str">
        <f aca="false">IF(A176="N/A"," ",D176*E176)</f>
        <v> </v>
      </c>
      <c r="I176" s="402" t="str">
        <f aca="false">IF(A176="N/A"," ",2-E176)</f>
        <v> </v>
      </c>
      <c r="J176" s="439" t="str">
        <f aca="false">IF(A176="N/A"," ",B176*I176)</f>
        <v> </v>
      </c>
      <c r="K176" s="439" t="str">
        <f aca="false">IF(A176="N/A"," ",C176*I176)</f>
        <v> </v>
      </c>
      <c r="L176" s="440" t="str">
        <f aca="false">IF(A176="N/A"," ",D176*I176)</f>
        <v> </v>
      </c>
      <c r="M176" s="441" t="str">
        <f aca="false">IF(A176="N/A"," ",IF(ISERROR(S176),M164*Pwresc,S176))</f>
        <v> </v>
      </c>
      <c r="N176" s="442" t="str">
        <f aca="false">IF(A176="N/A"," ",SUM(T176:X176))</f>
        <v> </v>
      </c>
      <c r="O176" s="370"/>
      <c r="P176" s="436" t="str">
        <f aca="false">IF(A176="N/A"," ",VLOOKUP(A176,PeakPowerCurves,(IF(BMO=2,3,IF(BMO=1,2,4))),FALSE())+Inputs!N159)</f>
        <v> </v>
      </c>
      <c r="Q176" s="436" t="str">
        <f aca="false">IF(A176="N/A"," ",VLOOKUP(A176,SatSunPeakPwr,(IF(BMO=2,3,IF(BMO=1,2,4))),FALSE())+Inputs!$N$23)</f>
        <v> </v>
      </c>
      <c r="R176" s="436" t="str">
        <f aca="false">IF(A176="N/A"," ",VLOOKUP(A176,SatSunPeakPwr,(IF(BMO=2,7,IF(BMO=1,6,8))),FALSE())+Inputs!$N$23)</f>
        <v> </v>
      </c>
      <c r="S176" s="443" t="str">
        <f aca="false">IF(A176="N/A"," ",(VLOOKUP(A176,OPPowerPrices,(IF(BMO=2,7,IF(BMO=1,6,8))),FALSE())+Inputs!$N$23))</f>
        <v> </v>
      </c>
      <c r="T176" s="444" t="str">
        <f aca="false">IF(A176="N/A"," ",(VLOOKUP(A176,GasCurves,9,FALSE()))+IF(BMO=1,Gasbmo,IF(BMO=3,-Gasbmo,0)))</f>
        <v> </v>
      </c>
      <c r="U176" s="444" t="str">
        <f aca="false">IF(A176="N/A"," ",IF(Basischeck=TRUE(),(VLOOKUP(A176,GasCurves,IF(MONTH(A176)&gt;=4,IF(MONTH(A176)&lt;=10,11,12),12),FALSE())),0))</f>
        <v> </v>
      </c>
      <c r="V176" s="444" t="str">
        <f aca="false">IF(A176="N/A"," ",IF(Indexcheck=TRUE(),(IF(MONTH(A176)&gt;=4,IF(MONTH(A176)&lt;=10,VLOOKUP(A176,'Gas Curves'!B154:O514,13),VLOOKUP(A176,'Gas Curves'!B154:O514,14)),VLOOKUP(A176,'Gas Curves'!B154:O514,14))),0))</f>
        <v> </v>
      </c>
      <c r="W176" s="444" t="str">
        <f aca="false">IF(A176="N/A"," ",((SUM(T176:V176))/(1-Inputs!$S$11)-(SUM(T176:V176))))</f>
        <v> </v>
      </c>
      <c r="X176" s="444" t="str">
        <f aca="false">IF(A176="N/A"," ",(IF(MONTH(A176)&gt;=4,IF(MONTH(A176)&lt;=10,Inputs!$S$9,Inputs!$S$10),Inputs!$S$10)))</f>
        <v> </v>
      </c>
      <c r="Y176" s="445" t="str">
        <f aca="false">IF(A176="N/A"," ",(VLOOKUP($A176,InterestRatesTable,2)))</f>
        <v> </v>
      </c>
      <c r="AF176" s="386" t="n">
        <v>41791</v>
      </c>
      <c r="AG176" s="376" t="n">
        <v>21</v>
      </c>
      <c r="AH176" s="376" t="n">
        <v>4</v>
      </c>
      <c r="AI176" s="376" t="n">
        <v>5</v>
      </c>
      <c r="AJ176" s="376" t="n">
        <v>0</v>
      </c>
      <c r="AK176" s="376" t="n">
        <v>30</v>
      </c>
    </row>
    <row r="177" customFormat="false" ht="12.75" hidden="false" customHeight="false" outlineLevel="0" collapsed="false">
      <c r="A177" s="434" t="str">
        <f aca="false">Calculations!A142</f>
        <v>N/A</v>
      </c>
      <c r="B177" s="435" t="str">
        <f aca="false">IF(A177="N/A"," ",IF(ISERROR(P177),B165*Pwresc,P177)*VLOOKUP(MONTH(A177),Curveadj,3))</f>
        <v> </v>
      </c>
      <c r="C177" s="436" t="str">
        <f aca="false">IF(A177="N/A"," ",IF(ISERROR(Q177),C165*Pwresc,Q177)*VLOOKUP(MONTH(A177),Curveadj,3))</f>
        <v> </v>
      </c>
      <c r="D177" s="437" t="str">
        <f aca="false">IF(A177="N/A"," ",IF(ISERROR(R177),D165*Pwresc,R177)*VLOOKUP(MONTH(A177),Curveadj,3))</f>
        <v> </v>
      </c>
      <c r="E177" s="438" t="str">
        <f aca="false">IF(A177="N/A"," ",IF(Scalers=1,(IF(AND(Dynamic=1,MONTH(A177)&gt;=6,MONTH(A177)&lt;=8,OR($O$37="REGION 2",$O$37="REGION 2A",$O$37="REGION 2B",$O$37="REGION 3",$O$37="REGION 3A",$O$37="REGION 3B",$O$37="REGION 3C",$O$37="REGION 4",$O$37="REGION 4B",$O$37="REGION 4C",$O$37="REGION 5",$O$37="REGION 5A")),((0.059228/(B177/100))-(0.4980013/(SQRT(B177/100)))+2.137988),HLOOKUP(MONTH(A177),ScalarTable,28))),1))</f>
        <v> </v>
      </c>
      <c r="F177" s="439" t="str">
        <f aca="false">IF(A177="N/A"," ",B177*E177)</f>
        <v> </v>
      </c>
      <c r="G177" s="439" t="str">
        <f aca="false">IF(A177="N/A"," ",C177*E177)</f>
        <v> </v>
      </c>
      <c r="H177" s="440" t="str">
        <f aca="false">IF(A177="N/A"," ",D177*E177)</f>
        <v> </v>
      </c>
      <c r="I177" s="402" t="str">
        <f aca="false">IF(A177="N/A"," ",2-E177)</f>
        <v> </v>
      </c>
      <c r="J177" s="439" t="str">
        <f aca="false">IF(A177="N/A"," ",B177*I177)</f>
        <v> </v>
      </c>
      <c r="K177" s="439" t="str">
        <f aca="false">IF(A177="N/A"," ",C177*I177)</f>
        <v> </v>
      </c>
      <c r="L177" s="440" t="str">
        <f aca="false">IF(A177="N/A"," ",D177*I177)</f>
        <v> </v>
      </c>
      <c r="M177" s="441" t="str">
        <f aca="false">IF(A177="N/A"," ",IF(ISERROR(S177),M165*Pwresc,S177))</f>
        <v> </v>
      </c>
      <c r="N177" s="442" t="str">
        <f aca="false">IF(A177="N/A"," ",SUM(T177:X177))</f>
        <v> </v>
      </c>
      <c r="O177" s="370"/>
      <c r="P177" s="436" t="str">
        <f aca="false">IF(A177="N/A"," ",VLOOKUP(A177,PeakPowerCurves,(IF(BMO=2,3,IF(BMO=1,2,4))),FALSE())+Inputs!N160)</f>
        <v> </v>
      </c>
      <c r="Q177" s="436" t="str">
        <f aca="false">IF(A177="N/A"," ",VLOOKUP(A177,SatSunPeakPwr,(IF(BMO=2,3,IF(BMO=1,2,4))),FALSE())+Inputs!$N$23)</f>
        <v> </v>
      </c>
      <c r="R177" s="436" t="str">
        <f aca="false">IF(A177="N/A"," ",VLOOKUP(A177,SatSunPeakPwr,(IF(BMO=2,7,IF(BMO=1,6,8))),FALSE())+Inputs!$N$23)</f>
        <v> </v>
      </c>
      <c r="S177" s="443" t="str">
        <f aca="false">IF(A177="N/A"," ",(VLOOKUP(A177,OPPowerPrices,(IF(BMO=2,7,IF(BMO=1,6,8))),FALSE())+Inputs!$N$23))</f>
        <v> </v>
      </c>
      <c r="T177" s="444" t="str">
        <f aca="false">IF(A177="N/A"," ",(VLOOKUP(A177,GasCurves,9,FALSE()))+IF(BMO=1,Gasbmo,IF(BMO=3,-Gasbmo,0)))</f>
        <v> </v>
      </c>
      <c r="U177" s="444" t="str">
        <f aca="false">IF(A177="N/A"," ",IF(Basischeck=TRUE(),(VLOOKUP(A177,GasCurves,IF(MONTH(A177)&gt;=4,IF(MONTH(A177)&lt;=10,11,12),12),FALSE())),0))</f>
        <v> </v>
      </c>
      <c r="V177" s="444" t="str">
        <f aca="false">IF(A177="N/A"," ",IF(Indexcheck=TRUE(),(IF(MONTH(A177)&gt;=4,IF(MONTH(A177)&lt;=10,VLOOKUP(A177,'Gas Curves'!B155:O515,13),VLOOKUP(A177,'Gas Curves'!B155:O515,14)),VLOOKUP(A177,'Gas Curves'!B155:O515,14))),0))</f>
        <v> </v>
      </c>
      <c r="W177" s="444" t="str">
        <f aca="false">IF(A177="N/A"," ",((SUM(T177:V177))/(1-Inputs!$S$11)-(SUM(T177:V177))))</f>
        <v> </v>
      </c>
      <c r="X177" s="444" t="str">
        <f aca="false">IF(A177="N/A"," ",(IF(MONTH(A177)&gt;=4,IF(MONTH(A177)&lt;=10,Inputs!$S$9,Inputs!$S$10),Inputs!$S$10)))</f>
        <v> </v>
      </c>
      <c r="Y177" s="445" t="str">
        <f aca="false">IF(A177="N/A"," ",(VLOOKUP($A177,InterestRatesTable,2)))</f>
        <v> </v>
      </c>
      <c r="AF177" s="386" t="n">
        <v>41821</v>
      </c>
      <c r="AG177" s="376" t="n">
        <v>22</v>
      </c>
      <c r="AH177" s="376" t="n">
        <v>4</v>
      </c>
      <c r="AI177" s="376" t="n">
        <v>5</v>
      </c>
      <c r="AJ177" s="376" t="n">
        <v>1</v>
      </c>
      <c r="AK177" s="376" t="n">
        <v>31</v>
      </c>
    </row>
    <row r="178" customFormat="false" ht="12.75" hidden="false" customHeight="false" outlineLevel="0" collapsed="false">
      <c r="A178" s="434" t="str">
        <f aca="false">Calculations!A143</f>
        <v>N/A</v>
      </c>
      <c r="B178" s="435" t="str">
        <f aca="false">IF(A178="N/A"," ",IF(ISERROR(P178),B166*Pwresc,P178)*VLOOKUP(MONTH(A178),Curveadj,3))</f>
        <v> </v>
      </c>
      <c r="C178" s="436" t="str">
        <f aca="false">IF(A178="N/A"," ",IF(ISERROR(Q178),C166*Pwresc,Q178)*VLOOKUP(MONTH(A178),Curveadj,3))</f>
        <v> </v>
      </c>
      <c r="D178" s="437" t="str">
        <f aca="false">IF(A178="N/A"," ",IF(ISERROR(R178),D166*Pwresc,R178)*VLOOKUP(MONTH(A178),Curveadj,3))</f>
        <v> </v>
      </c>
      <c r="E178" s="438" t="str">
        <f aca="false">IF(A178="N/A"," ",IF(Scalers=1,(IF(AND(Dynamic=1,MONTH(A178)&gt;=6,MONTH(A178)&lt;=8,OR($O$37="REGION 2",$O$37="REGION 2A",$O$37="REGION 2B",$O$37="REGION 3",$O$37="REGION 3A",$O$37="REGION 3B",$O$37="REGION 3C",$O$37="REGION 4",$O$37="REGION 4B",$O$37="REGION 4C",$O$37="REGION 5",$O$37="REGION 5A")),((0.059228/(B178/100))-(0.4980013/(SQRT(B178/100)))+2.137988),HLOOKUP(MONTH(A178),ScalarTable,28))),1))</f>
        <v> </v>
      </c>
      <c r="F178" s="439" t="str">
        <f aca="false">IF(A178="N/A"," ",B178*E178)</f>
        <v> </v>
      </c>
      <c r="G178" s="439" t="str">
        <f aca="false">IF(A178="N/A"," ",C178*E178)</f>
        <v> </v>
      </c>
      <c r="H178" s="440" t="str">
        <f aca="false">IF(A178="N/A"," ",D178*E178)</f>
        <v> </v>
      </c>
      <c r="I178" s="402" t="str">
        <f aca="false">IF(A178="N/A"," ",2-E178)</f>
        <v> </v>
      </c>
      <c r="J178" s="439" t="str">
        <f aca="false">IF(A178="N/A"," ",B178*I178)</f>
        <v> </v>
      </c>
      <c r="K178" s="439" t="str">
        <f aca="false">IF(A178="N/A"," ",C178*I178)</f>
        <v> </v>
      </c>
      <c r="L178" s="440" t="str">
        <f aca="false">IF(A178="N/A"," ",D178*I178)</f>
        <v> </v>
      </c>
      <c r="M178" s="441" t="str">
        <f aca="false">IF(A178="N/A"," ",IF(ISERROR(S178),M166*Pwresc,S178))</f>
        <v> </v>
      </c>
      <c r="N178" s="442" t="str">
        <f aca="false">IF(A178="N/A"," ",SUM(T178:X178))</f>
        <v> </v>
      </c>
      <c r="O178" s="370"/>
      <c r="P178" s="436" t="str">
        <f aca="false">IF(A178="N/A"," ",VLOOKUP(A178,PeakPowerCurves,(IF(BMO=2,3,IF(BMO=1,2,4))),FALSE())+Inputs!N161)</f>
        <v> </v>
      </c>
      <c r="Q178" s="436" t="str">
        <f aca="false">IF(A178="N/A"," ",VLOOKUP(A178,SatSunPeakPwr,(IF(BMO=2,3,IF(BMO=1,2,4))),FALSE())+Inputs!$N$23)</f>
        <v> </v>
      </c>
      <c r="R178" s="436" t="str">
        <f aca="false">IF(A178="N/A"," ",VLOOKUP(A178,SatSunPeakPwr,(IF(BMO=2,7,IF(BMO=1,6,8))),FALSE())+Inputs!$N$23)</f>
        <v> </v>
      </c>
      <c r="S178" s="443" t="str">
        <f aca="false">IF(A178="N/A"," ",(VLOOKUP(A178,OPPowerPrices,(IF(BMO=2,7,IF(BMO=1,6,8))),FALSE())+Inputs!$N$23))</f>
        <v> </v>
      </c>
      <c r="T178" s="444" t="str">
        <f aca="false">IF(A178="N/A"," ",(VLOOKUP(A178,GasCurves,9,FALSE()))+IF(BMO=1,Gasbmo,IF(BMO=3,-Gasbmo,0)))</f>
        <v> </v>
      </c>
      <c r="U178" s="444" t="str">
        <f aca="false">IF(A178="N/A"," ",IF(Basischeck=TRUE(),(VLOOKUP(A178,GasCurves,IF(MONTH(A178)&gt;=4,IF(MONTH(A178)&lt;=10,11,12),12),FALSE())),0))</f>
        <v> </v>
      </c>
      <c r="V178" s="444" t="str">
        <f aca="false">IF(A178="N/A"," ",IF(Indexcheck=TRUE(),(IF(MONTH(A178)&gt;=4,IF(MONTH(A178)&lt;=10,VLOOKUP(A178,'Gas Curves'!B156:O516,13),VLOOKUP(A178,'Gas Curves'!B156:O516,14)),VLOOKUP(A178,'Gas Curves'!B156:O516,14))),0))</f>
        <v> </v>
      </c>
      <c r="W178" s="444" t="str">
        <f aca="false">IF(A178="N/A"," ",((SUM(T178:V178))/(1-Inputs!$S$11)-(SUM(T178:V178))))</f>
        <v> </v>
      </c>
      <c r="X178" s="444" t="str">
        <f aca="false">IF(A178="N/A"," ",(IF(MONTH(A178)&gt;=4,IF(MONTH(A178)&lt;=10,Inputs!$S$9,Inputs!$S$10),Inputs!$S$10)))</f>
        <v> </v>
      </c>
      <c r="Y178" s="445" t="str">
        <f aca="false">IF(A178="N/A"," ",(VLOOKUP($A178,InterestRatesTable,2)))</f>
        <v> </v>
      </c>
      <c r="AF178" s="386" t="n">
        <v>41852</v>
      </c>
      <c r="AG178" s="376" t="n">
        <v>21</v>
      </c>
      <c r="AH178" s="376" t="n">
        <v>5</v>
      </c>
      <c r="AI178" s="376" t="n">
        <v>5</v>
      </c>
      <c r="AJ178" s="376" t="n">
        <v>0</v>
      </c>
      <c r="AK178" s="376" t="n">
        <v>31</v>
      </c>
    </row>
    <row r="179" customFormat="false" ht="12.75" hidden="false" customHeight="false" outlineLevel="0" collapsed="false">
      <c r="A179" s="434" t="str">
        <f aca="false">Calculations!A144</f>
        <v>N/A</v>
      </c>
      <c r="B179" s="435" t="str">
        <f aca="false">IF(A179="N/A"," ",IF(ISERROR(P179),B167*Pwresc,P179)*VLOOKUP(MONTH(A179),Curveadj,3))</f>
        <v> </v>
      </c>
      <c r="C179" s="436" t="str">
        <f aca="false">IF(A179="N/A"," ",IF(ISERROR(Q179),C167*Pwresc,Q179)*VLOOKUP(MONTH(A179),Curveadj,3))</f>
        <v> </v>
      </c>
      <c r="D179" s="437" t="str">
        <f aca="false">IF(A179="N/A"," ",IF(ISERROR(R179),D167*Pwresc,R179)*VLOOKUP(MONTH(A179),Curveadj,3))</f>
        <v> </v>
      </c>
      <c r="E179" s="438" t="str">
        <f aca="false">IF(A179="N/A"," ",IF(Scalers=1,(IF(AND(Dynamic=1,MONTH(A179)&gt;=6,MONTH(A179)&lt;=8,OR($O$37="REGION 2",$O$37="REGION 2A",$O$37="REGION 2B",$O$37="REGION 3",$O$37="REGION 3A",$O$37="REGION 3B",$O$37="REGION 3C",$O$37="REGION 4",$O$37="REGION 4B",$O$37="REGION 4C",$O$37="REGION 5",$O$37="REGION 5A")),((0.059228/(B179/100))-(0.4980013/(SQRT(B179/100)))+2.137988),HLOOKUP(MONTH(A179),ScalarTable,28))),1))</f>
        <v> </v>
      </c>
      <c r="F179" s="439" t="str">
        <f aca="false">IF(A179="N/A"," ",B179*E179)</f>
        <v> </v>
      </c>
      <c r="G179" s="439" t="str">
        <f aca="false">IF(A179="N/A"," ",C179*E179)</f>
        <v> </v>
      </c>
      <c r="H179" s="440" t="str">
        <f aca="false">IF(A179="N/A"," ",D179*E179)</f>
        <v> </v>
      </c>
      <c r="I179" s="402" t="str">
        <f aca="false">IF(A179="N/A"," ",2-E179)</f>
        <v> </v>
      </c>
      <c r="J179" s="439" t="str">
        <f aca="false">IF(A179="N/A"," ",B179*I179)</f>
        <v> </v>
      </c>
      <c r="K179" s="439" t="str">
        <f aca="false">IF(A179="N/A"," ",C179*I179)</f>
        <v> </v>
      </c>
      <c r="L179" s="440" t="str">
        <f aca="false">IF(A179="N/A"," ",D179*I179)</f>
        <v> </v>
      </c>
      <c r="M179" s="441" t="str">
        <f aca="false">IF(A179="N/A"," ",IF(ISERROR(S179),M167*Pwresc,S179))</f>
        <v> </v>
      </c>
      <c r="N179" s="442" t="str">
        <f aca="false">IF(A179="N/A"," ",SUM(T179:X179))</f>
        <v> </v>
      </c>
      <c r="O179" s="370"/>
      <c r="P179" s="436" t="str">
        <f aca="false">IF(A179="N/A"," ",VLOOKUP(A179,PeakPowerCurves,(IF(BMO=2,3,IF(BMO=1,2,4))),FALSE())+Inputs!N162)</f>
        <v> </v>
      </c>
      <c r="Q179" s="436" t="str">
        <f aca="false">IF(A179="N/A"," ",VLOOKUP(A179,SatSunPeakPwr,(IF(BMO=2,3,IF(BMO=1,2,4))),FALSE())+Inputs!$N$23)</f>
        <v> </v>
      </c>
      <c r="R179" s="436" t="str">
        <f aca="false">IF(A179="N/A"," ",VLOOKUP(A179,SatSunPeakPwr,(IF(BMO=2,7,IF(BMO=1,6,8))),FALSE())+Inputs!$N$23)</f>
        <v> </v>
      </c>
      <c r="S179" s="443" t="str">
        <f aca="false">IF(A179="N/A"," ",(VLOOKUP(A179,OPPowerPrices,(IF(BMO=2,7,IF(BMO=1,6,8))),FALSE())+Inputs!$N$23))</f>
        <v> </v>
      </c>
      <c r="T179" s="444" t="str">
        <f aca="false">IF(A179="N/A"," ",(VLOOKUP(A179,GasCurves,9,FALSE()))+IF(BMO=1,Gasbmo,IF(BMO=3,-Gasbmo,0)))</f>
        <v> </v>
      </c>
      <c r="U179" s="444" t="str">
        <f aca="false">IF(A179="N/A"," ",IF(Basischeck=TRUE(),(VLOOKUP(A179,GasCurves,IF(MONTH(A179)&gt;=4,IF(MONTH(A179)&lt;=10,11,12),12),FALSE())),0))</f>
        <v> </v>
      </c>
      <c r="V179" s="444" t="str">
        <f aca="false">IF(A179="N/A"," ",IF(Indexcheck=TRUE(),(IF(MONTH(A179)&gt;=4,IF(MONTH(A179)&lt;=10,VLOOKUP(A179,'Gas Curves'!B157:O517,13),VLOOKUP(A179,'Gas Curves'!B157:O517,14)),VLOOKUP(A179,'Gas Curves'!B157:O517,14))),0))</f>
        <v> </v>
      </c>
      <c r="W179" s="444" t="str">
        <f aca="false">IF(A179="N/A"," ",((SUM(T179:V179))/(1-Inputs!$S$11)-(SUM(T179:V179))))</f>
        <v> </v>
      </c>
      <c r="X179" s="444" t="str">
        <f aca="false">IF(A179="N/A"," ",(IF(MONTH(A179)&gt;=4,IF(MONTH(A179)&lt;=10,Inputs!$S$9,Inputs!$S$10),Inputs!$S$10)))</f>
        <v> </v>
      </c>
      <c r="Y179" s="445" t="str">
        <f aca="false">IF(A179="N/A"," ",(VLOOKUP($A179,InterestRatesTable,2)))</f>
        <v> </v>
      </c>
      <c r="AF179" s="386" t="n">
        <v>41883</v>
      </c>
      <c r="AG179" s="376" t="n">
        <v>21</v>
      </c>
      <c r="AH179" s="376" t="n">
        <v>4</v>
      </c>
      <c r="AI179" s="376" t="n">
        <v>5</v>
      </c>
      <c r="AJ179" s="376" t="n">
        <v>1</v>
      </c>
      <c r="AK179" s="376" t="n">
        <v>30</v>
      </c>
    </row>
    <row r="180" customFormat="false" ht="12.75" hidden="false" customHeight="false" outlineLevel="0" collapsed="false">
      <c r="A180" s="434" t="str">
        <f aca="false">Calculations!A145</f>
        <v>N/A</v>
      </c>
      <c r="B180" s="435" t="str">
        <f aca="false">IF(A180="N/A"," ",IF(ISERROR(P180),B168*Pwresc,P180)*VLOOKUP(MONTH(A180),Curveadj,3))</f>
        <v> </v>
      </c>
      <c r="C180" s="436" t="str">
        <f aca="false">IF(A180="N/A"," ",IF(ISERROR(Q180),C168*Pwresc,Q180)*VLOOKUP(MONTH(A180),Curveadj,3))</f>
        <v> </v>
      </c>
      <c r="D180" s="437" t="str">
        <f aca="false">IF(A180="N/A"," ",IF(ISERROR(R180),D168*Pwresc,R180)*VLOOKUP(MONTH(A180),Curveadj,3))</f>
        <v> </v>
      </c>
      <c r="E180" s="438" t="str">
        <f aca="false">IF(A180="N/A"," ",IF(Scalers=1,(IF(AND(Dynamic=1,MONTH(A180)&gt;=6,MONTH(A180)&lt;=8,OR($O$37="REGION 2",$O$37="REGION 2A",$O$37="REGION 2B",$O$37="REGION 3",$O$37="REGION 3A",$O$37="REGION 3B",$O$37="REGION 3C",$O$37="REGION 4",$O$37="REGION 4B",$O$37="REGION 4C",$O$37="REGION 5",$O$37="REGION 5A")),((0.059228/(B180/100))-(0.4980013/(SQRT(B180/100)))+2.137988),HLOOKUP(MONTH(A180),ScalarTable,28))),1))</f>
        <v> </v>
      </c>
      <c r="F180" s="439" t="str">
        <f aca="false">IF(A180="N/A"," ",B180*E180)</f>
        <v> </v>
      </c>
      <c r="G180" s="439" t="str">
        <f aca="false">IF(A180="N/A"," ",C180*E180)</f>
        <v> </v>
      </c>
      <c r="H180" s="440" t="str">
        <f aca="false">IF(A180="N/A"," ",D180*E180)</f>
        <v> </v>
      </c>
      <c r="I180" s="402" t="str">
        <f aca="false">IF(A180="N/A"," ",2-E180)</f>
        <v> </v>
      </c>
      <c r="J180" s="439" t="str">
        <f aca="false">IF(A180="N/A"," ",B180*I180)</f>
        <v> </v>
      </c>
      <c r="K180" s="439" t="str">
        <f aca="false">IF(A180="N/A"," ",C180*I180)</f>
        <v> </v>
      </c>
      <c r="L180" s="440" t="str">
        <f aca="false">IF(A180="N/A"," ",D180*I180)</f>
        <v> </v>
      </c>
      <c r="M180" s="441" t="str">
        <f aca="false">IF(A180="N/A"," ",IF(ISERROR(S180),M168*Pwresc,S180))</f>
        <v> </v>
      </c>
      <c r="N180" s="442" t="str">
        <f aca="false">IF(A180="N/A"," ",SUM(T180:X180))</f>
        <v> </v>
      </c>
      <c r="O180" s="370"/>
      <c r="P180" s="436" t="str">
        <f aca="false">IF(A180="N/A"," ",VLOOKUP(A180,PeakPowerCurves,(IF(BMO=2,3,IF(BMO=1,2,4))),FALSE())+Inputs!N163)</f>
        <v> </v>
      </c>
      <c r="Q180" s="436" t="str">
        <f aca="false">IF(A180="N/A"," ",VLOOKUP(A180,SatSunPeakPwr,(IF(BMO=2,3,IF(BMO=1,2,4))),FALSE())+Inputs!$N$23)</f>
        <v> </v>
      </c>
      <c r="R180" s="436" t="str">
        <f aca="false">IF(A180="N/A"," ",VLOOKUP(A180,SatSunPeakPwr,(IF(BMO=2,7,IF(BMO=1,6,8))),FALSE())+Inputs!$N$23)</f>
        <v> </v>
      </c>
      <c r="S180" s="443" t="str">
        <f aca="false">IF(A180="N/A"," ",(VLOOKUP(A180,OPPowerPrices,(IF(BMO=2,7,IF(BMO=1,6,8))),FALSE())+Inputs!$N$23))</f>
        <v> </v>
      </c>
      <c r="T180" s="444" t="str">
        <f aca="false">IF(A180="N/A"," ",(VLOOKUP(A180,GasCurves,9,FALSE()))+IF(BMO=1,Gasbmo,IF(BMO=3,-Gasbmo,0)))</f>
        <v> </v>
      </c>
      <c r="U180" s="444" t="str">
        <f aca="false">IF(A180="N/A"," ",IF(Basischeck=TRUE(),(VLOOKUP(A180,GasCurves,IF(MONTH(A180)&gt;=4,IF(MONTH(A180)&lt;=10,11,12),12),FALSE())),0))</f>
        <v> </v>
      </c>
      <c r="V180" s="444" t="str">
        <f aca="false">IF(A180="N/A"," ",IF(Indexcheck=TRUE(),(IF(MONTH(A180)&gt;=4,IF(MONTH(A180)&lt;=10,VLOOKUP(A180,'Gas Curves'!B158:O518,13),VLOOKUP(A180,'Gas Curves'!B158:O518,14)),VLOOKUP(A180,'Gas Curves'!B158:O518,14))),0))</f>
        <v> </v>
      </c>
      <c r="W180" s="444" t="str">
        <f aca="false">IF(A180="N/A"," ",((SUM(T180:V180))/(1-Inputs!$S$11)-(SUM(T180:V180))))</f>
        <v> </v>
      </c>
      <c r="X180" s="444" t="str">
        <f aca="false">IF(A180="N/A"," ",(IF(MONTH(A180)&gt;=4,IF(MONTH(A180)&lt;=10,Inputs!$S$9,Inputs!$S$10),Inputs!$S$10)))</f>
        <v> </v>
      </c>
      <c r="Y180" s="445" t="str">
        <f aca="false">IF(A180="N/A"," ",(VLOOKUP($A180,InterestRatesTable,2)))</f>
        <v> </v>
      </c>
      <c r="AF180" s="386" t="n">
        <v>41913</v>
      </c>
      <c r="AG180" s="376" t="n">
        <v>23</v>
      </c>
      <c r="AH180" s="376" t="n">
        <v>4</v>
      </c>
      <c r="AI180" s="376" t="n">
        <v>4</v>
      </c>
      <c r="AJ180" s="376" t="n">
        <v>0</v>
      </c>
      <c r="AK180" s="376" t="n">
        <v>31</v>
      </c>
    </row>
    <row r="181" customFormat="false" ht="12.75" hidden="false" customHeight="false" outlineLevel="0" collapsed="false">
      <c r="A181" s="434" t="str">
        <f aca="false">Calculations!A146</f>
        <v>N/A</v>
      </c>
      <c r="B181" s="435" t="str">
        <f aca="false">IF(A181="N/A"," ",IF(ISERROR(P181),B169*Pwresc,P181)*VLOOKUP(MONTH(A181),Curveadj,3))</f>
        <v> </v>
      </c>
      <c r="C181" s="436" t="str">
        <f aca="false">IF(A181="N/A"," ",IF(ISERROR(Q181),C169*Pwresc,Q181)*VLOOKUP(MONTH(A181),Curveadj,3))</f>
        <v> </v>
      </c>
      <c r="D181" s="437" t="str">
        <f aca="false">IF(A181="N/A"," ",IF(ISERROR(R181),D169*Pwresc,R181)*VLOOKUP(MONTH(A181),Curveadj,3))</f>
        <v> </v>
      </c>
      <c r="E181" s="438" t="str">
        <f aca="false">IF(A181="N/A"," ",IF(Scalers=1,(IF(AND(Dynamic=1,MONTH(A181)&gt;=6,MONTH(A181)&lt;=8,OR($O$37="REGION 2",$O$37="REGION 2A",$O$37="REGION 2B",$O$37="REGION 3",$O$37="REGION 3A",$O$37="REGION 3B",$O$37="REGION 3C",$O$37="REGION 4",$O$37="REGION 4B",$O$37="REGION 4C",$O$37="REGION 5",$O$37="REGION 5A")),((0.059228/(B181/100))-(0.4980013/(SQRT(B181/100)))+2.137988),HLOOKUP(MONTH(A181),ScalarTable,28))),1))</f>
        <v> </v>
      </c>
      <c r="F181" s="439" t="str">
        <f aca="false">IF(A181="N/A"," ",B181*E181)</f>
        <v> </v>
      </c>
      <c r="G181" s="439" t="str">
        <f aca="false">IF(A181="N/A"," ",C181*E181)</f>
        <v> </v>
      </c>
      <c r="H181" s="440" t="str">
        <f aca="false">IF(A181="N/A"," ",D181*E181)</f>
        <v> </v>
      </c>
      <c r="I181" s="402" t="str">
        <f aca="false">IF(A181="N/A"," ",2-E181)</f>
        <v> </v>
      </c>
      <c r="J181" s="439" t="str">
        <f aca="false">IF(A181="N/A"," ",B181*I181)</f>
        <v> </v>
      </c>
      <c r="K181" s="439" t="str">
        <f aca="false">IF(A181="N/A"," ",C181*I181)</f>
        <v> </v>
      </c>
      <c r="L181" s="440" t="str">
        <f aca="false">IF(A181="N/A"," ",D181*I181)</f>
        <v> </v>
      </c>
      <c r="M181" s="441" t="str">
        <f aca="false">IF(A181="N/A"," ",IF(ISERROR(S181),M169*Pwresc,S181))</f>
        <v> </v>
      </c>
      <c r="N181" s="442" t="str">
        <f aca="false">IF(A181="N/A"," ",SUM(T181:X181))</f>
        <v> </v>
      </c>
      <c r="O181" s="370"/>
      <c r="P181" s="436" t="str">
        <f aca="false">IF(A181="N/A"," ",VLOOKUP(A181,PeakPowerCurves,(IF(BMO=2,3,IF(BMO=1,2,4))),FALSE())+Inputs!N164)</f>
        <v> </v>
      </c>
      <c r="Q181" s="436" t="str">
        <f aca="false">IF(A181="N/A"," ",VLOOKUP(A181,SatSunPeakPwr,(IF(BMO=2,3,IF(BMO=1,2,4))),FALSE())+Inputs!$N$23)</f>
        <v> </v>
      </c>
      <c r="R181" s="436" t="str">
        <f aca="false">IF(A181="N/A"," ",VLOOKUP(A181,SatSunPeakPwr,(IF(BMO=2,7,IF(BMO=1,6,8))),FALSE())+Inputs!$N$23)</f>
        <v> </v>
      </c>
      <c r="S181" s="443" t="str">
        <f aca="false">IF(A181="N/A"," ",(VLOOKUP(A181,OPPowerPrices,(IF(BMO=2,7,IF(BMO=1,6,8))),FALSE())+Inputs!$N$23))</f>
        <v> </v>
      </c>
      <c r="T181" s="444" t="str">
        <f aca="false">IF(A181="N/A"," ",(VLOOKUP(A181,GasCurves,9,FALSE()))+IF(BMO=1,Gasbmo,IF(BMO=3,-Gasbmo,0)))</f>
        <v> </v>
      </c>
      <c r="U181" s="444" t="str">
        <f aca="false">IF(A181="N/A"," ",IF(Basischeck=TRUE(),(VLOOKUP(A181,GasCurves,IF(MONTH(A181)&gt;=4,IF(MONTH(A181)&lt;=10,11,12),12),FALSE())),0))</f>
        <v> </v>
      </c>
      <c r="V181" s="444" t="str">
        <f aca="false">IF(A181="N/A"," ",IF(Indexcheck=TRUE(),(IF(MONTH(A181)&gt;=4,IF(MONTH(A181)&lt;=10,VLOOKUP(A181,'Gas Curves'!B159:O519,13),VLOOKUP(A181,'Gas Curves'!B159:O519,14)),VLOOKUP(A181,'Gas Curves'!B159:O519,14))),0))</f>
        <v> </v>
      </c>
      <c r="W181" s="444" t="str">
        <f aca="false">IF(A181="N/A"," ",((SUM(T181:V181))/(1-Inputs!$S$11)-(SUM(T181:V181))))</f>
        <v> </v>
      </c>
      <c r="X181" s="444" t="str">
        <f aca="false">IF(A181="N/A"," ",(IF(MONTH(A181)&gt;=4,IF(MONTH(A181)&lt;=10,Inputs!$S$9,Inputs!$S$10),Inputs!$S$10)))</f>
        <v> </v>
      </c>
      <c r="Y181" s="445" t="str">
        <f aca="false">IF(A181="N/A"," ",(VLOOKUP($A181,InterestRatesTable,2)))</f>
        <v> </v>
      </c>
      <c r="AF181" s="386" t="n">
        <v>41944</v>
      </c>
      <c r="AG181" s="376" t="n">
        <v>19</v>
      </c>
      <c r="AH181" s="376" t="n">
        <v>5</v>
      </c>
      <c r="AI181" s="376" t="n">
        <v>6</v>
      </c>
      <c r="AJ181" s="376" t="n">
        <v>1</v>
      </c>
      <c r="AK181" s="376" t="n">
        <v>30</v>
      </c>
    </row>
    <row r="182" customFormat="false" ht="12.75" hidden="false" customHeight="false" outlineLevel="0" collapsed="false">
      <c r="A182" s="434" t="str">
        <f aca="false">Calculations!A147</f>
        <v>N/A</v>
      </c>
      <c r="B182" s="435" t="str">
        <f aca="false">IF(A182="N/A"," ",IF(ISERROR(P182),B170*Pwresc,P182)*VLOOKUP(MONTH(A182),Curveadj,3))</f>
        <v> </v>
      </c>
      <c r="C182" s="436" t="str">
        <f aca="false">IF(A182="N/A"," ",IF(ISERROR(Q182),C170*Pwresc,Q182)*VLOOKUP(MONTH(A182),Curveadj,3))</f>
        <v> </v>
      </c>
      <c r="D182" s="437" t="str">
        <f aca="false">IF(A182="N/A"," ",IF(ISERROR(R182),D170*Pwresc,R182)*VLOOKUP(MONTH(A182),Curveadj,3))</f>
        <v> </v>
      </c>
      <c r="E182" s="438" t="str">
        <f aca="false">IF(A182="N/A"," ",IF(Scalers=1,(IF(AND(Dynamic=1,MONTH(A182)&gt;=6,MONTH(A182)&lt;=8,OR($O$37="REGION 2",$O$37="REGION 2A",$O$37="REGION 2B",$O$37="REGION 3",$O$37="REGION 3A",$O$37="REGION 3B",$O$37="REGION 3C",$O$37="REGION 4",$O$37="REGION 4B",$O$37="REGION 4C",$O$37="REGION 5",$O$37="REGION 5A")),((0.059228/(B182/100))-(0.4980013/(SQRT(B182/100)))+2.137988),HLOOKUP(MONTH(A182),ScalarTable,28))),1))</f>
        <v> </v>
      </c>
      <c r="F182" s="439" t="str">
        <f aca="false">IF(A182="N/A"," ",B182*E182)</f>
        <v> </v>
      </c>
      <c r="G182" s="439" t="str">
        <f aca="false">IF(A182="N/A"," ",C182*E182)</f>
        <v> </v>
      </c>
      <c r="H182" s="440" t="str">
        <f aca="false">IF(A182="N/A"," ",D182*E182)</f>
        <v> </v>
      </c>
      <c r="I182" s="402" t="str">
        <f aca="false">IF(A182="N/A"," ",2-E182)</f>
        <v> </v>
      </c>
      <c r="J182" s="439" t="str">
        <f aca="false">IF(A182="N/A"," ",B182*I182)</f>
        <v> </v>
      </c>
      <c r="K182" s="439" t="str">
        <f aca="false">IF(A182="N/A"," ",C182*I182)</f>
        <v> </v>
      </c>
      <c r="L182" s="440" t="str">
        <f aca="false">IF(A182="N/A"," ",D182*I182)</f>
        <v> </v>
      </c>
      <c r="M182" s="441" t="str">
        <f aca="false">IF(A182="N/A"," ",IF(ISERROR(S182),M170*Pwresc,S182))</f>
        <v> </v>
      </c>
      <c r="N182" s="442" t="str">
        <f aca="false">IF(A182="N/A"," ",SUM(T182:X182))</f>
        <v> </v>
      </c>
      <c r="O182" s="370"/>
      <c r="P182" s="436" t="str">
        <f aca="false">IF(A182="N/A"," ",VLOOKUP(A182,PeakPowerCurves,(IF(BMO=2,3,IF(BMO=1,2,4))),FALSE())+Inputs!N165)</f>
        <v> </v>
      </c>
      <c r="Q182" s="436" t="str">
        <f aca="false">IF(A182="N/A"," ",VLOOKUP(A182,SatSunPeakPwr,(IF(BMO=2,3,IF(BMO=1,2,4))),FALSE())+Inputs!$N$23)</f>
        <v> </v>
      </c>
      <c r="R182" s="436" t="str">
        <f aca="false">IF(A182="N/A"," ",VLOOKUP(A182,SatSunPeakPwr,(IF(BMO=2,7,IF(BMO=1,6,8))),FALSE())+Inputs!$N$23)</f>
        <v> </v>
      </c>
      <c r="S182" s="443" t="str">
        <f aca="false">IF(A182="N/A"," ",(VLOOKUP(A182,OPPowerPrices,(IF(BMO=2,7,IF(BMO=1,6,8))),FALSE())+Inputs!$N$23))</f>
        <v> </v>
      </c>
      <c r="T182" s="444" t="str">
        <f aca="false">IF(A182="N/A"," ",(VLOOKUP(A182,GasCurves,9,FALSE()))+IF(BMO=1,Gasbmo,IF(BMO=3,-Gasbmo,0)))</f>
        <v> </v>
      </c>
      <c r="U182" s="444" t="str">
        <f aca="false">IF(A182="N/A"," ",IF(Basischeck=TRUE(),(VLOOKUP(A182,GasCurves,IF(MONTH(A182)&gt;=4,IF(MONTH(A182)&lt;=10,11,12),12),FALSE())),0))</f>
        <v> </v>
      </c>
      <c r="V182" s="444" t="str">
        <f aca="false">IF(A182="N/A"," ",IF(Indexcheck=TRUE(),(IF(MONTH(A182)&gt;=4,IF(MONTH(A182)&lt;=10,VLOOKUP(A182,'Gas Curves'!B160:O520,13),VLOOKUP(A182,'Gas Curves'!B160:O520,14)),VLOOKUP(A182,'Gas Curves'!B160:O520,14))),0))</f>
        <v> </v>
      </c>
      <c r="W182" s="444" t="str">
        <f aca="false">IF(A182="N/A"," ",((SUM(T182:V182))/(1-Inputs!$S$11)-(SUM(T182:V182))))</f>
        <v> </v>
      </c>
      <c r="X182" s="444" t="str">
        <f aca="false">IF(A182="N/A"," ",(IF(MONTH(A182)&gt;=4,IF(MONTH(A182)&lt;=10,Inputs!$S$9,Inputs!$S$10),Inputs!$S$10)))</f>
        <v> </v>
      </c>
      <c r="Y182" s="445" t="str">
        <f aca="false">IF(A182="N/A"," ",(VLOOKUP($A182,InterestRatesTable,2)))</f>
        <v> </v>
      </c>
      <c r="AF182" s="386" t="n">
        <v>41974</v>
      </c>
      <c r="AG182" s="376" t="n">
        <v>22</v>
      </c>
      <c r="AH182" s="376" t="n">
        <v>4</v>
      </c>
      <c r="AI182" s="376" t="n">
        <v>5</v>
      </c>
      <c r="AJ182" s="376" t="n">
        <v>1</v>
      </c>
      <c r="AK182" s="376" t="n">
        <v>31</v>
      </c>
    </row>
    <row r="183" customFormat="false" ht="12.75" hidden="false" customHeight="false" outlineLevel="0" collapsed="false">
      <c r="A183" s="434" t="str">
        <f aca="false">Calculations!A148</f>
        <v>N/A</v>
      </c>
      <c r="B183" s="435" t="str">
        <f aca="false">IF(A183="N/A"," ",IF(ISERROR(P183),B171*Pwresc,P183)*VLOOKUP(MONTH(A183),Curveadj,3))</f>
        <v> </v>
      </c>
      <c r="C183" s="436" t="str">
        <f aca="false">IF(A183="N/A"," ",IF(ISERROR(Q183),C171*Pwresc,Q183)*VLOOKUP(MONTH(A183),Curveadj,3))</f>
        <v> </v>
      </c>
      <c r="D183" s="437" t="str">
        <f aca="false">IF(A183="N/A"," ",IF(ISERROR(R183),D171*Pwresc,R183)*VLOOKUP(MONTH(A183),Curveadj,3))</f>
        <v> </v>
      </c>
      <c r="E183" s="438" t="str">
        <f aca="false">IF(A183="N/A"," ",IF(Scalers=1,(IF(AND(Dynamic=1,MONTH(A183)&gt;=6,MONTH(A183)&lt;=8,OR($O$37="REGION 2",$O$37="REGION 2A",$O$37="REGION 2B",$O$37="REGION 3",$O$37="REGION 3A",$O$37="REGION 3B",$O$37="REGION 3C",$O$37="REGION 4",$O$37="REGION 4B",$O$37="REGION 4C",$O$37="REGION 5",$O$37="REGION 5A")),((0.059228/(B183/100))-(0.4980013/(SQRT(B183/100)))+2.137988),HLOOKUP(MONTH(A183),ScalarTable,28))),1))</f>
        <v> </v>
      </c>
      <c r="F183" s="439" t="str">
        <f aca="false">IF(A183="N/A"," ",B183*E183)</f>
        <v> </v>
      </c>
      <c r="G183" s="439" t="str">
        <f aca="false">IF(A183="N/A"," ",C183*E183)</f>
        <v> </v>
      </c>
      <c r="H183" s="440" t="str">
        <f aca="false">IF(A183="N/A"," ",D183*E183)</f>
        <v> </v>
      </c>
      <c r="I183" s="402" t="str">
        <f aca="false">IF(A183="N/A"," ",2-E183)</f>
        <v> </v>
      </c>
      <c r="J183" s="439" t="str">
        <f aca="false">IF(A183="N/A"," ",B183*I183)</f>
        <v> </v>
      </c>
      <c r="K183" s="439" t="str">
        <f aca="false">IF(A183="N/A"," ",C183*I183)</f>
        <v> </v>
      </c>
      <c r="L183" s="440" t="str">
        <f aca="false">IF(A183="N/A"," ",D183*I183)</f>
        <v> </v>
      </c>
      <c r="M183" s="441" t="str">
        <f aca="false">IF(A183="N/A"," ",IF(ISERROR(S183),M171*Pwresc,S183))</f>
        <v> </v>
      </c>
      <c r="N183" s="442" t="str">
        <f aca="false">IF(A183="N/A"," ",SUM(T183:X183))</f>
        <v> </v>
      </c>
      <c r="O183" s="370"/>
      <c r="P183" s="436" t="str">
        <f aca="false">IF(A183="N/A"," ",VLOOKUP(A183,PeakPowerCurves,(IF(BMO=2,3,IF(BMO=1,2,4))),FALSE())+Inputs!N166)</f>
        <v> </v>
      </c>
      <c r="Q183" s="436" t="str">
        <f aca="false">IF(A183="N/A"," ",VLOOKUP(A183,SatSunPeakPwr,(IF(BMO=2,3,IF(BMO=1,2,4))),FALSE())+Inputs!$N$23)</f>
        <v> </v>
      </c>
      <c r="R183" s="436" t="str">
        <f aca="false">IF(A183="N/A"," ",VLOOKUP(A183,SatSunPeakPwr,(IF(BMO=2,7,IF(BMO=1,6,8))),FALSE())+Inputs!$N$23)</f>
        <v> </v>
      </c>
      <c r="S183" s="443" t="str">
        <f aca="false">IF(A183="N/A"," ",(VLOOKUP(A183,OPPowerPrices,(IF(BMO=2,7,IF(BMO=1,6,8))),FALSE())+Inputs!$N$23))</f>
        <v> </v>
      </c>
      <c r="T183" s="444" t="str">
        <f aca="false">IF(A183="N/A"," ",(VLOOKUP(A183,GasCurves,9,FALSE()))+IF(BMO=1,Gasbmo,IF(BMO=3,-Gasbmo,0)))</f>
        <v> </v>
      </c>
      <c r="U183" s="444" t="str">
        <f aca="false">IF(A183="N/A"," ",IF(Basischeck=TRUE(),(VLOOKUP(A183,GasCurves,IF(MONTH(A183)&gt;=4,IF(MONTH(A183)&lt;=10,11,12),12),FALSE())),0))</f>
        <v> </v>
      </c>
      <c r="V183" s="444" t="str">
        <f aca="false">IF(A183="N/A"," ",IF(Indexcheck=TRUE(),(IF(MONTH(A183)&gt;=4,IF(MONTH(A183)&lt;=10,VLOOKUP(A183,'Gas Curves'!B161:O521,13),VLOOKUP(A183,'Gas Curves'!B161:O521,14)),VLOOKUP(A183,'Gas Curves'!B161:O521,14))),0))</f>
        <v> </v>
      </c>
      <c r="W183" s="444" t="str">
        <f aca="false">IF(A183="N/A"," ",((SUM(T183:V183))/(1-Inputs!$S$11)-(SUM(T183:V183))))</f>
        <v> </v>
      </c>
      <c r="X183" s="444" t="str">
        <f aca="false">IF(A183="N/A"," ",(IF(MONTH(A183)&gt;=4,IF(MONTH(A183)&lt;=10,Inputs!$S$9,Inputs!$S$10),Inputs!$S$10)))</f>
        <v> </v>
      </c>
      <c r="Y183" s="445" t="str">
        <f aca="false">IF(A183="N/A"," ",(VLOOKUP($A183,InterestRatesTable,2)))</f>
        <v> </v>
      </c>
      <c r="AF183" s="386" t="n">
        <v>42005</v>
      </c>
      <c r="AG183" s="376" t="n">
        <v>21</v>
      </c>
      <c r="AH183" s="376" t="n">
        <v>5</v>
      </c>
      <c r="AI183" s="376" t="n">
        <v>5</v>
      </c>
      <c r="AJ183" s="376" t="n">
        <v>1</v>
      </c>
      <c r="AK183" s="376" t="n">
        <v>31</v>
      </c>
    </row>
    <row r="184" customFormat="false" ht="12.75" hidden="false" customHeight="false" outlineLevel="0" collapsed="false">
      <c r="A184" s="434" t="str">
        <f aca="false">Calculations!A149</f>
        <v>N/A</v>
      </c>
      <c r="B184" s="435" t="str">
        <f aca="false">IF(A184="N/A"," ",IF(ISERROR(P184),B172*Pwresc,P184)*VLOOKUP(MONTH(A184),Curveadj,3))</f>
        <v> </v>
      </c>
      <c r="C184" s="436" t="str">
        <f aca="false">IF(A184="N/A"," ",IF(ISERROR(Q184),C172*Pwresc,Q184)*VLOOKUP(MONTH(A184),Curveadj,3))</f>
        <v> </v>
      </c>
      <c r="D184" s="437" t="str">
        <f aca="false">IF(A184="N/A"," ",IF(ISERROR(R184),D172*Pwresc,R184)*VLOOKUP(MONTH(A184),Curveadj,3))</f>
        <v> </v>
      </c>
      <c r="E184" s="438" t="str">
        <f aca="false">IF(A184="N/A"," ",IF(Scalers=1,(IF(AND(Dynamic=1,MONTH(A184)&gt;=6,MONTH(A184)&lt;=8,OR($O$37="REGION 2",$O$37="REGION 2A",$O$37="REGION 2B",$O$37="REGION 3",$O$37="REGION 3A",$O$37="REGION 3B",$O$37="REGION 3C",$O$37="REGION 4",$O$37="REGION 4B",$O$37="REGION 4C",$O$37="REGION 5",$O$37="REGION 5A")),((0.059228/(B184/100))-(0.4980013/(SQRT(B184/100)))+2.137988),HLOOKUP(MONTH(A184),ScalarTable,28))),1))</f>
        <v> </v>
      </c>
      <c r="F184" s="439" t="str">
        <f aca="false">IF(A184="N/A"," ",B184*E184)</f>
        <v> </v>
      </c>
      <c r="G184" s="439" t="str">
        <f aca="false">IF(A184="N/A"," ",C184*E184)</f>
        <v> </v>
      </c>
      <c r="H184" s="440" t="str">
        <f aca="false">IF(A184="N/A"," ",D184*E184)</f>
        <v> </v>
      </c>
      <c r="I184" s="402" t="str">
        <f aca="false">IF(A184="N/A"," ",2-E184)</f>
        <v> </v>
      </c>
      <c r="J184" s="439" t="str">
        <f aca="false">IF(A184="N/A"," ",B184*I184)</f>
        <v> </v>
      </c>
      <c r="K184" s="439" t="str">
        <f aca="false">IF(A184="N/A"," ",C184*I184)</f>
        <v> </v>
      </c>
      <c r="L184" s="440" t="str">
        <f aca="false">IF(A184="N/A"," ",D184*I184)</f>
        <v> </v>
      </c>
      <c r="M184" s="441" t="str">
        <f aca="false">IF(A184="N/A"," ",IF(ISERROR(S184),M172*Pwresc,S184))</f>
        <v> </v>
      </c>
      <c r="N184" s="442" t="str">
        <f aca="false">IF(A184="N/A"," ",SUM(T184:X184))</f>
        <v> </v>
      </c>
      <c r="O184" s="370"/>
      <c r="P184" s="436" t="str">
        <f aca="false">IF(A184="N/A"," ",VLOOKUP(A184,PeakPowerCurves,(IF(BMO=2,3,IF(BMO=1,2,4))),FALSE())+Inputs!N167)</f>
        <v> </v>
      </c>
      <c r="Q184" s="436" t="str">
        <f aca="false">IF(A184="N/A"," ",VLOOKUP(A184,SatSunPeakPwr,(IF(BMO=2,3,IF(BMO=1,2,4))),FALSE())+Inputs!$N$23)</f>
        <v> </v>
      </c>
      <c r="R184" s="436" t="str">
        <f aca="false">IF(A184="N/A"," ",VLOOKUP(A184,SatSunPeakPwr,(IF(BMO=2,7,IF(BMO=1,6,8))),FALSE())+Inputs!$N$23)</f>
        <v> </v>
      </c>
      <c r="S184" s="443" t="str">
        <f aca="false">IF(A184="N/A"," ",(VLOOKUP(A184,OPPowerPrices,(IF(BMO=2,7,IF(BMO=1,6,8))),FALSE())+Inputs!$N$23))</f>
        <v> </v>
      </c>
      <c r="T184" s="444" t="str">
        <f aca="false">IF(A184="N/A"," ",(VLOOKUP(A184,GasCurves,9,FALSE()))+IF(BMO=1,Gasbmo,IF(BMO=3,-Gasbmo,0)))</f>
        <v> </v>
      </c>
      <c r="U184" s="444" t="str">
        <f aca="false">IF(A184="N/A"," ",IF(Basischeck=TRUE(),(VLOOKUP(A184,GasCurves,IF(MONTH(A184)&gt;=4,IF(MONTH(A184)&lt;=10,11,12),12),FALSE())),0))</f>
        <v> </v>
      </c>
      <c r="V184" s="444" t="str">
        <f aca="false">IF(A184="N/A"," ",IF(Indexcheck=TRUE(),(IF(MONTH(A184)&gt;=4,IF(MONTH(A184)&lt;=10,VLOOKUP(A184,'Gas Curves'!B162:O522,13),VLOOKUP(A184,'Gas Curves'!B162:O522,14)),VLOOKUP(A184,'Gas Curves'!B162:O522,14))),0))</f>
        <v> </v>
      </c>
      <c r="W184" s="444" t="str">
        <f aca="false">IF(A184="N/A"," ",((SUM(T184:V184))/(1-Inputs!$S$11)-(SUM(T184:V184))))</f>
        <v> </v>
      </c>
      <c r="X184" s="444" t="str">
        <f aca="false">IF(A184="N/A"," ",(IF(MONTH(A184)&gt;=4,IF(MONTH(A184)&lt;=10,Inputs!$S$9,Inputs!$S$10),Inputs!$S$10)))</f>
        <v> </v>
      </c>
      <c r="Y184" s="445" t="str">
        <f aca="false">IF(A184="N/A"," ",(VLOOKUP($A184,InterestRatesTable,2)))</f>
        <v> </v>
      </c>
      <c r="AF184" s="386" t="n">
        <v>42036</v>
      </c>
      <c r="AG184" s="376" t="n">
        <v>20</v>
      </c>
      <c r="AH184" s="376" t="n">
        <v>4</v>
      </c>
      <c r="AI184" s="376" t="n">
        <v>4</v>
      </c>
      <c r="AJ184" s="376" t="n">
        <v>0</v>
      </c>
      <c r="AK184" s="376" t="n">
        <v>28</v>
      </c>
    </row>
    <row r="185" customFormat="false" ht="12.75" hidden="false" customHeight="false" outlineLevel="0" collapsed="false">
      <c r="A185" s="434" t="str">
        <f aca="false">Calculations!A150</f>
        <v>N/A</v>
      </c>
      <c r="B185" s="435" t="str">
        <f aca="false">IF(A185="N/A"," ",IF(ISERROR(P185),B173*Pwresc,P185)*VLOOKUP(MONTH(A185),Curveadj,3))</f>
        <v> </v>
      </c>
      <c r="C185" s="436" t="str">
        <f aca="false">IF(A185="N/A"," ",IF(ISERROR(Q185),C173*Pwresc,Q185)*VLOOKUP(MONTH(A185),Curveadj,3))</f>
        <v> </v>
      </c>
      <c r="D185" s="437" t="str">
        <f aca="false">IF(A185="N/A"," ",IF(ISERROR(R185),D173*Pwresc,R185)*VLOOKUP(MONTH(A185),Curveadj,3))</f>
        <v> </v>
      </c>
      <c r="E185" s="438" t="str">
        <f aca="false">IF(A185="N/A"," ",IF(Scalers=1,(IF(AND(Dynamic=1,MONTH(A185)&gt;=6,MONTH(A185)&lt;=8,OR($O$37="REGION 2",$O$37="REGION 2A",$O$37="REGION 2B",$O$37="REGION 3",$O$37="REGION 3A",$O$37="REGION 3B",$O$37="REGION 3C",$O$37="REGION 4",$O$37="REGION 4B",$O$37="REGION 4C",$O$37="REGION 5",$O$37="REGION 5A")),((0.059228/(B185/100))-(0.4980013/(SQRT(B185/100)))+2.137988),HLOOKUP(MONTH(A185),ScalarTable,28))),1))</f>
        <v> </v>
      </c>
      <c r="F185" s="439" t="str">
        <f aca="false">IF(A185="N/A"," ",B185*E185)</f>
        <v> </v>
      </c>
      <c r="G185" s="439" t="str">
        <f aca="false">IF(A185="N/A"," ",C185*E185)</f>
        <v> </v>
      </c>
      <c r="H185" s="440" t="str">
        <f aca="false">IF(A185="N/A"," ",D185*E185)</f>
        <v> </v>
      </c>
      <c r="I185" s="402" t="str">
        <f aca="false">IF(A185="N/A"," ",2-E185)</f>
        <v> </v>
      </c>
      <c r="J185" s="439" t="str">
        <f aca="false">IF(A185="N/A"," ",B185*I185)</f>
        <v> </v>
      </c>
      <c r="K185" s="439" t="str">
        <f aca="false">IF(A185="N/A"," ",C185*I185)</f>
        <v> </v>
      </c>
      <c r="L185" s="440" t="str">
        <f aca="false">IF(A185="N/A"," ",D185*I185)</f>
        <v> </v>
      </c>
      <c r="M185" s="441" t="str">
        <f aca="false">IF(A185="N/A"," ",IF(ISERROR(S185),M173*Pwresc,S185))</f>
        <v> </v>
      </c>
      <c r="N185" s="442" t="str">
        <f aca="false">IF(A185="N/A"," ",SUM(T185:X185))</f>
        <v> </v>
      </c>
      <c r="O185" s="370"/>
      <c r="P185" s="436" t="str">
        <f aca="false">IF(A185="N/A"," ",VLOOKUP(A185,PeakPowerCurves,(IF(BMO=2,3,IF(BMO=1,2,4))),FALSE())+Inputs!N168)</f>
        <v> </v>
      </c>
      <c r="Q185" s="436" t="str">
        <f aca="false">IF(A185="N/A"," ",VLOOKUP(A185,SatSunPeakPwr,(IF(BMO=2,3,IF(BMO=1,2,4))),FALSE())+Inputs!$N$23)</f>
        <v> </v>
      </c>
      <c r="R185" s="436" t="str">
        <f aca="false">IF(A185="N/A"," ",VLOOKUP(A185,SatSunPeakPwr,(IF(BMO=2,7,IF(BMO=1,6,8))),FALSE())+Inputs!$N$23)</f>
        <v> </v>
      </c>
      <c r="S185" s="443" t="str">
        <f aca="false">IF(A185="N/A"," ",(VLOOKUP(A185,OPPowerPrices,(IF(BMO=2,7,IF(BMO=1,6,8))),FALSE())+Inputs!$N$23))</f>
        <v> </v>
      </c>
      <c r="T185" s="444" t="str">
        <f aca="false">IF(A185="N/A"," ",(VLOOKUP(A185,GasCurves,9,FALSE()))+IF(BMO=1,Gasbmo,IF(BMO=3,-Gasbmo,0)))</f>
        <v> </v>
      </c>
      <c r="U185" s="444" t="str">
        <f aca="false">IF(A185="N/A"," ",IF(Basischeck=TRUE(),(VLOOKUP(A185,GasCurves,IF(MONTH(A185)&gt;=4,IF(MONTH(A185)&lt;=10,11,12),12),FALSE())),0))</f>
        <v> </v>
      </c>
      <c r="V185" s="444" t="str">
        <f aca="false">IF(A185="N/A"," ",IF(Indexcheck=TRUE(),(IF(MONTH(A185)&gt;=4,IF(MONTH(A185)&lt;=10,VLOOKUP(A185,'Gas Curves'!B163:O523,13),VLOOKUP(A185,'Gas Curves'!B163:O523,14)),VLOOKUP(A185,'Gas Curves'!B163:O523,14))),0))</f>
        <v> </v>
      </c>
      <c r="W185" s="444" t="str">
        <f aca="false">IF(A185="N/A"," ",((SUM(T185:V185))/(1-Inputs!$S$11)-(SUM(T185:V185))))</f>
        <v> </v>
      </c>
      <c r="X185" s="444" t="str">
        <f aca="false">IF(A185="N/A"," ",(IF(MONTH(A185)&gt;=4,IF(MONTH(A185)&lt;=10,Inputs!$S$9,Inputs!$S$10),Inputs!$S$10)))</f>
        <v> </v>
      </c>
      <c r="Y185" s="445" t="str">
        <f aca="false">IF(A185="N/A"," ",(VLOOKUP($A185,InterestRatesTable,2)))</f>
        <v> </v>
      </c>
      <c r="AF185" s="386" t="n">
        <v>42064</v>
      </c>
      <c r="AG185" s="376" t="n">
        <v>22</v>
      </c>
      <c r="AH185" s="376" t="n">
        <v>4</v>
      </c>
      <c r="AI185" s="376" t="n">
        <v>5</v>
      </c>
      <c r="AJ185" s="376" t="n">
        <v>0</v>
      </c>
      <c r="AK185" s="376" t="n">
        <v>31</v>
      </c>
    </row>
    <row r="186" customFormat="false" ht="12.75" hidden="false" customHeight="false" outlineLevel="0" collapsed="false">
      <c r="A186" s="434" t="str">
        <f aca="false">Calculations!A151</f>
        <v>N/A</v>
      </c>
      <c r="B186" s="435" t="str">
        <f aca="false">IF(A186="N/A"," ",IF(ISERROR(P186),B174*Pwresc,P186)*VLOOKUP(MONTH(A186),Curveadj,3))</f>
        <v> </v>
      </c>
      <c r="C186" s="436" t="str">
        <f aca="false">IF(A186="N/A"," ",IF(ISERROR(Q186),C174*Pwresc,Q186)*VLOOKUP(MONTH(A186),Curveadj,3))</f>
        <v> </v>
      </c>
      <c r="D186" s="437" t="str">
        <f aca="false">IF(A186="N/A"," ",IF(ISERROR(R186),D174*Pwresc,R186)*VLOOKUP(MONTH(A186),Curveadj,3))</f>
        <v> </v>
      </c>
      <c r="E186" s="438" t="str">
        <f aca="false">IF(A186="N/A"," ",IF(Scalers=1,(IF(AND(Dynamic=1,MONTH(A186)&gt;=6,MONTH(A186)&lt;=8,OR($O$37="REGION 2",$O$37="REGION 2A",$O$37="REGION 2B",$O$37="REGION 3",$O$37="REGION 3A",$O$37="REGION 3B",$O$37="REGION 3C",$O$37="REGION 4",$O$37="REGION 4B",$O$37="REGION 4C",$O$37="REGION 5",$O$37="REGION 5A")),((0.059228/(B186/100))-(0.4980013/(SQRT(B186/100)))+2.137988),HLOOKUP(MONTH(A186),ScalarTable,28))),1))</f>
        <v> </v>
      </c>
      <c r="F186" s="439" t="str">
        <f aca="false">IF(A186="N/A"," ",B186*E186)</f>
        <v> </v>
      </c>
      <c r="G186" s="439" t="str">
        <f aca="false">IF(A186="N/A"," ",C186*E186)</f>
        <v> </v>
      </c>
      <c r="H186" s="440" t="str">
        <f aca="false">IF(A186="N/A"," ",D186*E186)</f>
        <v> </v>
      </c>
      <c r="I186" s="402" t="str">
        <f aca="false">IF(A186="N/A"," ",2-E186)</f>
        <v> </v>
      </c>
      <c r="J186" s="439" t="str">
        <f aca="false">IF(A186="N/A"," ",B186*I186)</f>
        <v> </v>
      </c>
      <c r="K186" s="439" t="str">
        <f aca="false">IF(A186="N/A"," ",C186*I186)</f>
        <v> </v>
      </c>
      <c r="L186" s="440" t="str">
        <f aca="false">IF(A186="N/A"," ",D186*I186)</f>
        <v> </v>
      </c>
      <c r="M186" s="441" t="str">
        <f aca="false">IF(A186="N/A"," ",IF(ISERROR(S186),M174*Pwresc,S186))</f>
        <v> </v>
      </c>
      <c r="N186" s="442" t="str">
        <f aca="false">IF(A186="N/A"," ",SUM(T186:X186))</f>
        <v> </v>
      </c>
      <c r="O186" s="370"/>
      <c r="P186" s="436" t="str">
        <f aca="false">IF(A186="N/A"," ",VLOOKUP(A186,PeakPowerCurves,(IF(BMO=2,3,IF(BMO=1,2,4))),FALSE())+Inputs!N169)</f>
        <v> </v>
      </c>
      <c r="Q186" s="436" t="str">
        <f aca="false">IF(A186="N/A"," ",VLOOKUP(A186,SatSunPeakPwr,(IF(BMO=2,3,IF(BMO=1,2,4))),FALSE())+Inputs!$N$23)</f>
        <v> </v>
      </c>
      <c r="R186" s="436" t="str">
        <f aca="false">IF(A186="N/A"," ",VLOOKUP(A186,SatSunPeakPwr,(IF(BMO=2,7,IF(BMO=1,6,8))),FALSE())+Inputs!$N$23)</f>
        <v> </v>
      </c>
      <c r="S186" s="443" t="str">
        <f aca="false">IF(A186="N/A"," ",(VLOOKUP(A186,OPPowerPrices,(IF(BMO=2,7,IF(BMO=1,6,8))),FALSE())+Inputs!$N$23))</f>
        <v> </v>
      </c>
      <c r="T186" s="444" t="str">
        <f aca="false">IF(A186="N/A"," ",(VLOOKUP(A186,GasCurves,9,FALSE()))+IF(BMO=1,Gasbmo,IF(BMO=3,-Gasbmo,0)))</f>
        <v> </v>
      </c>
      <c r="U186" s="444" t="str">
        <f aca="false">IF(A186="N/A"," ",IF(Basischeck=TRUE(),(VLOOKUP(A186,GasCurves,IF(MONTH(A186)&gt;=4,IF(MONTH(A186)&lt;=10,11,12),12),FALSE())),0))</f>
        <v> </v>
      </c>
      <c r="V186" s="444" t="str">
        <f aca="false">IF(A186="N/A"," ",IF(Indexcheck=TRUE(),(IF(MONTH(A186)&gt;=4,IF(MONTH(A186)&lt;=10,VLOOKUP(A186,'Gas Curves'!B164:O524,13),VLOOKUP(A186,'Gas Curves'!B164:O524,14)),VLOOKUP(A186,'Gas Curves'!B164:O524,14))),0))</f>
        <v> </v>
      </c>
      <c r="W186" s="444" t="str">
        <f aca="false">IF(A186="N/A"," ",((SUM(T186:V186))/(1-Inputs!$S$11)-(SUM(T186:V186))))</f>
        <v> </v>
      </c>
      <c r="X186" s="444" t="str">
        <f aca="false">IF(A186="N/A"," ",(IF(MONTH(A186)&gt;=4,IF(MONTH(A186)&lt;=10,Inputs!$S$9,Inputs!$S$10),Inputs!$S$10)))</f>
        <v> </v>
      </c>
      <c r="Y186" s="445" t="str">
        <f aca="false">IF(A186="N/A"," ",(VLOOKUP($A186,InterestRatesTable,2)))</f>
        <v> </v>
      </c>
      <c r="AF186" s="386" t="n">
        <v>42095</v>
      </c>
      <c r="AG186" s="376" t="n">
        <v>22</v>
      </c>
      <c r="AH186" s="376" t="n">
        <v>4</v>
      </c>
      <c r="AI186" s="376" t="n">
        <v>4</v>
      </c>
      <c r="AJ186" s="376" t="n">
        <v>0</v>
      </c>
      <c r="AK186" s="376" t="n">
        <v>30</v>
      </c>
    </row>
    <row r="187" customFormat="false" ht="12.75" hidden="false" customHeight="false" outlineLevel="0" collapsed="false">
      <c r="A187" s="434" t="str">
        <f aca="false">Calculations!A152</f>
        <v>N/A</v>
      </c>
      <c r="B187" s="435" t="str">
        <f aca="false">IF(A187="N/A"," ",IF(ISERROR(P187),B175*Pwresc,P187)*VLOOKUP(MONTH(A187),Curveadj,3))</f>
        <v> </v>
      </c>
      <c r="C187" s="436" t="str">
        <f aca="false">IF(A187="N/A"," ",IF(ISERROR(Q187),C175*Pwresc,Q187)*VLOOKUP(MONTH(A187),Curveadj,3))</f>
        <v> </v>
      </c>
      <c r="D187" s="437" t="str">
        <f aca="false">IF(A187="N/A"," ",IF(ISERROR(R187),D175*Pwresc,R187)*VLOOKUP(MONTH(A187),Curveadj,3))</f>
        <v> </v>
      </c>
      <c r="E187" s="438" t="str">
        <f aca="false">IF(A187="N/A"," ",IF(Scalers=1,(IF(AND(Dynamic=1,MONTH(A187)&gt;=6,MONTH(A187)&lt;=8,OR($O$37="REGION 2",$O$37="REGION 2A",$O$37="REGION 2B",$O$37="REGION 3",$O$37="REGION 3A",$O$37="REGION 3B",$O$37="REGION 3C",$O$37="REGION 4",$O$37="REGION 4B",$O$37="REGION 4C",$O$37="REGION 5",$O$37="REGION 5A")),((0.059228/(B187/100))-(0.4980013/(SQRT(B187/100)))+2.137988),HLOOKUP(MONTH(A187),ScalarTable,28))),1))</f>
        <v> </v>
      </c>
      <c r="F187" s="439" t="str">
        <f aca="false">IF(A187="N/A"," ",B187*E187)</f>
        <v> </v>
      </c>
      <c r="G187" s="439" t="str">
        <f aca="false">IF(A187="N/A"," ",C187*E187)</f>
        <v> </v>
      </c>
      <c r="H187" s="440" t="str">
        <f aca="false">IF(A187="N/A"," ",D187*E187)</f>
        <v> </v>
      </c>
      <c r="I187" s="402" t="str">
        <f aca="false">IF(A187="N/A"," ",2-E187)</f>
        <v> </v>
      </c>
      <c r="J187" s="439" t="str">
        <f aca="false">IF(A187="N/A"," ",B187*I187)</f>
        <v> </v>
      </c>
      <c r="K187" s="439" t="str">
        <f aca="false">IF(A187="N/A"," ",C187*I187)</f>
        <v> </v>
      </c>
      <c r="L187" s="440" t="str">
        <f aca="false">IF(A187="N/A"," ",D187*I187)</f>
        <v> </v>
      </c>
      <c r="M187" s="441" t="str">
        <f aca="false">IF(A187="N/A"," ",IF(ISERROR(S187),M175*Pwresc,S187))</f>
        <v> </v>
      </c>
      <c r="N187" s="442" t="str">
        <f aca="false">IF(A187="N/A"," ",SUM(T187:X187))</f>
        <v> </v>
      </c>
      <c r="O187" s="370"/>
      <c r="P187" s="436" t="str">
        <f aca="false">IF(A187="N/A"," ",VLOOKUP(A187,PeakPowerCurves,(IF(BMO=2,3,IF(BMO=1,2,4))),FALSE())+Inputs!N170)</f>
        <v> </v>
      </c>
      <c r="Q187" s="436" t="str">
        <f aca="false">IF(A187="N/A"," ",VLOOKUP(A187,SatSunPeakPwr,(IF(BMO=2,3,IF(BMO=1,2,4))),FALSE())+Inputs!$N$23)</f>
        <v> </v>
      </c>
      <c r="R187" s="436" t="str">
        <f aca="false">IF(A187="N/A"," ",VLOOKUP(A187,SatSunPeakPwr,(IF(BMO=2,7,IF(BMO=1,6,8))),FALSE())+Inputs!$N$23)</f>
        <v> </v>
      </c>
      <c r="S187" s="443" t="str">
        <f aca="false">IF(A187="N/A"," ",(VLOOKUP(A187,OPPowerPrices,(IF(BMO=2,7,IF(BMO=1,6,8))),FALSE())+Inputs!$N$23))</f>
        <v> </v>
      </c>
      <c r="T187" s="444" t="str">
        <f aca="false">IF(A187="N/A"," ",(VLOOKUP(A187,GasCurves,9,FALSE()))+IF(BMO=1,Gasbmo,IF(BMO=3,-Gasbmo,0)))</f>
        <v> </v>
      </c>
      <c r="U187" s="444" t="str">
        <f aca="false">IF(A187="N/A"," ",IF(Basischeck=TRUE(),(VLOOKUP(A187,GasCurves,IF(MONTH(A187)&gt;=4,IF(MONTH(A187)&lt;=10,11,12),12),FALSE())),0))</f>
        <v> </v>
      </c>
      <c r="V187" s="444" t="str">
        <f aca="false">IF(A187="N/A"," ",IF(Indexcheck=TRUE(),(IF(MONTH(A187)&gt;=4,IF(MONTH(A187)&lt;=10,VLOOKUP(A187,'Gas Curves'!B165:O525,13),VLOOKUP(A187,'Gas Curves'!B165:O525,14)),VLOOKUP(A187,'Gas Curves'!B165:O525,14))),0))</f>
        <v> </v>
      </c>
      <c r="W187" s="444" t="str">
        <f aca="false">IF(A187="N/A"," ",((SUM(T187:V187))/(1-Inputs!$S$11)-(SUM(T187:V187))))</f>
        <v> </v>
      </c>
      <c r="X187" s="444" t="str">
        <f aca="false">IF(A187="N/A"," ",(IF(MONTH(A187)&gt;=4,IF(MONTH(A187)&lt;=10,Inputs!$S$9,Inputs!$S$10),Inputs!$S$10)))</f>
        <v> </v>
      </c>
      <c r="Y187" s="445" t="str">
        <f aca="false">IF(A187="N/A"," ",(VLOOKUP($A187,InterestRatesTable,2)))</f>
        <v> </v>
      </c>
      <c r="AF187" s="386" t="n">
        <v>42125</v>
      </c>
      <c r="AG187" s="376" t="n">
        <v>20</v>
      </c>
      <c r="AH187" s="376" t="n">
        <v>5</v>
      </c>
      <c r="AI187" s="376" t="n">
        <v>6</v>
      </c>
      <c r="AJ187" s="376" t="n">
        <v>1</v>
      </c>
      <c r="AK187" s="376" t="n">
        <v>31</v>
      </c>
    </row>
    <row r="188" customFormat="false" ht="12.75" hidden="false" customHeight="false" outlineLevel="0" collapsed="false">
      <c r="A188" s="434" t="str">
        <f aca="false">Calculations!A153</f>
        <v>N/A</v>
      </c>
      <c r="B188" s="435" t="str">
        <f aca="false">IF(A188="N/A"," ",IF(ISERROR(P188),B176*Pwresc,P188)*VLOOKUP(MONTH(A188),Curveadj,3))</f>
        <v> </v>
      </c>
      <c r="C188" s="436" t="str">
        <f aca="false">IF(A188="N/A"," ",IF(ISERROR(Q188),C176*Pwresc,Q188)*VLOOKUP(MONTH(A188),Curveadj,3))</f>
        <v> </v>
      </c>
      <c r="D188" s="437" t="str">
        <f aca="false">IF(A188="N/A"," ",IF(ISERROR(R188),D176*Pwresc,R188)*VLOOKUP(MONTH(A188),Curveadj,3))</f>
        <v> </v>
      </c>
      <c r="E188" s="438" t="str">
        <f aca="false">IF(A188="N/A"," ",IF(Scalers=1,(IF(AND(Dynamic=1,MONTH(A188)&gt;=6,MONTH(A188)&lt;=8,OR($O$37="REGION 2",$O$37="REGION 2A",$O$37="REGION 2B",$O$37="REGION 3",$O$37="REGION 3A",$O$37="REGION 3B",$O$37="REGION 3C",$O$37="REGION 4",$O$37="REGION 4B",$O$37="REGION 4C",$O$37="REGION 5",$O$37="REGION 5A")),((0.059228/(B188/100))-(0.4980013/(SQRT(B188/100)))+2.137988),HLOOKUP(MONTH(A188),ScalarTable,28))),1))</f>
        <v> </v>
      </c>
      <c r="F188" s="439" t="str">
        <f aca="false">IF(A188="N/A"," ",B188*E188)</f>
        <v> </v>
      </c>
      <c r="G188" s="439" t="str">
        <f aca="false">IF(A188="N/A"," ",C188*E188)</f>
        <v> </v>
      </c>
      <c r="H188" s="440" t="str">
        <f aca="false">IF(A188="N/A"," ",D188*E188)</f>
        <v> </v>
      </c>
      <c r="I188" s="402" t="str">
        <f aca="false">IF(A188="N/A"," ",2-E188)</f>
        <v> </v>
      </c>
      <c r="J188" s="439" t="str">
        <f aca="false">IF(A188="N/A"," ",B188*I188)</f>
        <v> </v>
      </c>
      <c r="K188" s="439" t="str">
        <f aca="false">IF(A188="N/A"," ",C188*I188)</f>
        <v> </v>
      </c>
      <c r="L188" s="440" t="str">
        <f aca="false">IF(A188="N/A"," ",D188*I188)</f>
        <v> </v>
      </c>
      <c r="M188" s="441" t="str">
        <f aca="false">IF(A188="N/A"," ",IF(ISERROR(S188),M176*Pwresc,S188))</f>
        <v> </v>
      </c>
      <c r="N188" s="442" t="str">
        <f aca="false">IF(A188="N/A"," ",SUM(T188:X188))</f>
        <v> </v>
      </c>
      <c r="O188" s="370"/>
      <c r="P188" s="436" t="str">
        <f aca="false">IF(A188="N/A"," ",VLOOKUP(A188,PeakPowerCurves,(IF(BMO=2,3,IF(BMO=1,2,4))),FALSE())+Inputs!N171)</f>
        <v> </v>
      </c>
      <c r="Q188" s="436" t="str">
        <f aca="false">IF(A188="N/A"," ",VLOOKUP(A188,SatSunPeakPwr,(IF(BMO=2,3,IF(BMO=1,2,4))),FALSE())+Inputs!$N$23)</f>
        <v> </v>
      </c>
      <c r="R188" s="436" t="str">
        <f aca="false">IF(A188="N/A"," ",VLOOKUP(A188,SatSunPeakPwr,(IF(BMO=2,7,IF(BMO=1,6,8))),FALSE())+Inputs!$N$23)</f>
        <v> </v>
      </c>
      <c r="S188" s="443" t="str">
        <f aca="false">IF(A188="N/A"," ",(VLOOKUP(A188,OPPowerPrices,(IF(BMO=2,7,IF(BMO=1,6,8))),FALSE())+Inputs!$N$23))</f>
        <v> </v>
      </c>
      <c r="T188" s="444" t="str">
        <f aca="false">IF(A188="N/A"," ",(VLOOKUP(A188,GasCurves,9,FALSE()))+IF(BMO=1,Gasbmo,IF(BMO=3,-Gasbmo,0)))</f>
        <v> </v>
      </c>
      <c r="U188" s="444" t="str">
        <f aca="false">IF(A188="N/A"," ",IF(Basischeck=TRUE(),(VLOOKUP(A188,GasCurves,IF(MONTH(A188)&gt;=4,IF(MONTH(A188)&lt;=10,11,12),12),FALSE())),0))</f>
        <v> </v>
      </c>
      <c r="V188" s="444" t="str">
        <f aca="false">IF(A188="N/A"," ",IF(Indexcheck=TRUE(),(IF(MONTH(A188)&gt;=4,IF(MONTH(A188)&lt;=10,VLOOKUP(A188,'Gas Curves'!B166:O526,13),VLOOKUP(A188,'Gas Curves'!B166:O526,14)),VLOOKUP(A188,'Gas Curves'!B166:O526,14))),0))</f>
        <v> </v>
      </c>
      <c r="W188" s="444" t="str">
        <f aca="false">IF(A188="N/A"," ",((SUM(T188:V188))/(1-Inputs!$S$11)-(SUM(T188:V188))))</f>
        <v> </v>
      </c>
      <c r="X188" s="444" t="str">
        <f aca="false">IF(A188="N/A"," ",(IF(MONTH(A188)&gt;=4,IF(MONTH(A188)&lt;=10,Inputs!$S$9,Inputs!$S$10),Inputs!$S$10)))</f>
        <v> </v>
      </c>
      <c r="Y188" s="445" t="str">
        <f aca="false">IF(A188="N/A"," ",(VLOOKUP($A188,InterestRatesTable,2)))</f>
        <v> </v>
      </c>
      <c r="AF188" s="386" t="n">
        <v>42156</v>
      </c>
      <c r="AG188" s="376" t="n">
        <v>22</v>
      </c>
      <c r="AH188" s="376" t="n">
        <v>4</v>
      </c>
      <c r="AI188" s="376" t="n">
        <v>4</v>
      </c>
      <c r="AJ188" s="376" t="n">
        <v>0</v>
      </c>
      <c r="AK188" s="376" t="n">
        <v>30</v>
      </c>
    </row>
    <row r="189" customFormat="false" ht="12.75" hidden="false" customHeight="false" outlineLevel="0" collapsed="false">
      <c r="A189" s="434" t="str">
        <f aca="false">Calculations!A154</f>
        <v>N/A</v>
      </c>
      <c r="B189" s="435" t="str">
        <f aca="false">IF(A189="N/A"," ",IF(ISERROR(P189),B177*Pwresc,P189)*VLOOKUP(MONTH(A189),Curveadj,3))</f>
        <v> </v>
      </c>
      <c r="C189" s="436" t="str">
        <f aca="false">IF(A189="N/A"," ",IF(ISERROR(Q189),C177*Pwresc,Q189)*VLOOKUP(MONTH(A189),Curveadj,3))</f>
        <v> </v>
      </c>
      <c r="D189" s="437" t="str">
        <f aca="false">IF(A189="N/A"," ",IF(ISERROR(R189),D177*Pwresc,R189)*VLOOKUP(MONTH(A189),Curveadj,3))</f>
        <v> </v>
      </c>
      <c r="E189" s="438" t="str">
        <f aca="false">IF(A189="N/A"," ",IF(Scalers=1,(IF(AND(Dynamic=1,MONTH(A189)&gt;=6,MONTH(A189)&lt;=8,OR($O$37="REGION 2",$O$37="REGION 2A",$O$37="REGION 2B",$O$37="REGION 3",$O$37="REGION 3A",$O$37="REGION 3B",$O$37="REGION 3C",$O$37="REGION 4",$O$37="REGION 4B",$O$37="REGION 4C",$O$37="REGION 5",$O$37="REGION 5A")),((0.059228/(B189/100))-(0.4980013/(SQRT(B189/100)))+2.137988),HLOOKUP(MONTH(A189),ScalarTable,28))),1))</f>
        <v> </v>
      </c>
      <c r="F189" s="439" t="str">
        <f aca="false">IF(A189="N/A"," ",B189*E189)</f>
        <v> </v>
      </c>
      <c r="G189" s="439" t="str">
        <f aca="false">IF(A189="N/A"," ",C189*E189)</f>
        <v> </v>
      </c>
      <c r="H189" s="440" t="str">
        <f aca="false">IF(A189="N/A"," ",D189*E189)</f>
        <v> </v>
      </c>
      <c r="I189" s="402" t="str">
        <f aca="false">IF(A189="N/A"," ",2-E189)</f>
        <v> </v>
      </c>
      <c r="J189" s="439" t="str">
        <f aca="false">IF(A189="N/A"," ",B189*I189)</f>
        <v> </v>
      </c>
      <c r="K189" s="439" t="str">
        <f aca="false">IF(A189="N/A"," ",C189*I189)</f>
        <v> </v>
      </c>
      <c r="L189" s="440" t="str">
        <f aca="false">IF(A189="N/A"," ",D189*I189)</f>
        <v> </v>
      </c>
      <c r="M189" s="441" t="str">
        <f aca="false">IF(A189="N/A"," ",IF(ISERROR(S189),M177*Pwresc,S189))</f>
        <v> </v>
      </c>
      <c r="N189" s="442" t="str">
        <f aca="false">IF(A189="N/A"," ",SUM(T189:X189))</f>
        <v> </v>
      </c>
      <c r="O189" s="370"/>
      <c r="P189" s="436" t="str">
        <f aca="false">IF(A189="N/A"," ",VLOOKUP(A189,PeakPowerCurves,(IF(BMO=2,3,IF(BMO=1,2,4))),FALSE())+Inputs!N172)</f>
        <v> </v>
      </c>
      <c r="Q189" s="436" t="str">
        <f aca="false">IF(A189="N/A"," ",VLOOKUP(A189,SatSunPeakPwr,(IF(BMO=2,3,IF(BMO=1,2,4))),FALSE())+Inputs!$N$23)</f>
        <v> </v>
      </c>
      <c r="R189" s="436" t="str">
        <f aca="false">IF(A189="N/A"," ",VLOOKUP(A189,SatSunPeakPwr,(IF(BMO=2,7,IF(BMO=1,6,8))),FALSE())+Inputs!$N$23)</f>
        <v> </v>
      </c>
      <c r="S189" s="443" t="str">
        <f aca="false">IF(A189="N/A"," ",(VLOOKUP(A189,OPPowerPrices,(IF(BMO=2,7,IF(BMO=1,6,8))),FALSE())+Inputs!$N$23))</f>
        <v> </v>
      </c>
      <c r="T189" s="444" t="str">
        <f aca="false">IF(A189="N/A"," ",(VLOOKUP(A189,GasCurves,9,FALSE()))+IF(BMO=1,Gasbmo,IF(BMO=3,-Gasbmo,0)))</f>
        <v> </v>
      </c>
      <c r="U189" s="444" t="str">
        <f aca="false">IF(A189="N/A"," ",IF(Basischeck=TRUE(),(VLOOKUP(A189,GasCurves,IF(MONTH(A189)&gt;=4,IF(MONTH(A189)&lt;=10,11,12),12),FALSE())),0))</f>
        <v> </v>
      </c>
      <c r="V189" s="444" t="str">
        <f aca="false">IF(A189="N/A"," ",IF(Indexcheck=TRUE(),(IF(MONTH(A189)&gt;=4,IF(MONTH(A189)&lt;=10,VLOOKUP(A189,'Gas Curves'!B167:O527,13),VLOOKUP(A189,'Gas Curves'!B167:O527,14)),VLOOKUP(A189,'Gas Curves'!B167:O527,14))),0))</f>
        <v> </v>
      </c>
      <c r="W189" s="444" t="str">
        <f aca="false">IF(A189="N/A"," ",((SUM(T189:V189))/(1-Inputs!$S$11)-(SUM(T189:V189))))</f>
        <v> </v>
      </c>
      <c r="X189" s="444" t="str">
        <f aca="false">IF(A189="N/A"," ",(IF(MONTH(A189)&gt;=4,IF(MONTH(A189)&lt;=10,Inputs!$S$9,Inputs!$S$10),Inputs!$S$10)))</f>
        <v> </v>
      </c>
      <c r="Y189" s="445" t="str">
        <f aca="false">IF(A189="N/A"," ",(VLOOKUP($A189,InterestRatesTable,2)))</f>
        <v> </v>
      </c>
      <c r="AF189" s="386" t="n">
        <v>42186</v>
      </c>
      <c r="AG189" s="376" t="n">
        <v>23</v>
      </c>
      <c r="AH189" s="376" t="n">
        <v>3</v>
      </c>
      <c r="AI189" s="376" t="n">
        <v>5</v>
      </c>
      <c r="AJ189" s="376" t="n">
        <v>1</v>
      </c>
      <c r="AK189" s="376" t="n">
        <v>31</v>
      </c>
    </row>
    <row r="190" customFormat="false" ht="12.75" hidden="false" customHeight="false" outlineLevel="0" collapsed="false">
      <c r="A190" s="434" t="str">
        <f aca="false">Calculations!A155</f>
        <v>N/A</v>
      </c>
      <c r="B190" s="435" t="str">
        <f aca="false">IF(A190="N/A"," ",IF(ISERROR(P190),B178*Pwresc,P190)*VLOOKUP(MONTH(A190),Curveadj,3))</f>
        <v> </v>
      </c>
      <c r="C190" s="436" t="str">
        <f aca="false">IF(A190="N/A"," ",IF(ISERROR(Q190),C178*Pwresc,Q190)*VLOOKUP(MONTH(A190),Curveadj,3))</f>
        <v> </v>
      </c>
      <c r="D190" s="437" t="str">
        <f aca="false">IF(A190="N/A"," ",IF(ISERROR(R190),D178*Pwresc,R190)*VLOOKUP(MONTH(A190),Curveadj,3))</f>
        <v> </v>
      </c>
      <c r="E190" s="438" t="str">
        <f aca="false">IF(A190="N/A"," ",IF(Scalers=1,(IF(AND(Dynamic=1,MONTH(A190)&gt;=6,MONTH(A190)&lt;=8,OR($O$37="REGION 2",$O$37="REGION 2A",$O$37="REGION 2B",$O$37="REGION 3",$O$37="REGION 3A",$O$37="REGION 3B",$O$37="REGION 3C",$O$37="REGION 4",$O$37="REGION 4B",$O$37="REGION 4C",$O$37="REGION 5",$O$37="REGION 5A")),((0.059228/(B190/100))-(0.4980013/(SQRT(B190/100)))+2.137988),HLOOKUP(MONTH(A190),ScalarTable,28))),1))</f>
        <v> </v>
      </c>
      <c r="F190" s="439" t="str">
        <f aca="false">IF(A190="N/A"," ",B190*E190)</f>
        <v> </v>
      </c>
      <c r="G190" s="439" t="str">
        <f aca="false">IF(A190="N/A"," ",C190*E190)</f>
        <v> </v>
      </c>
      <c r="H190" s="440" t="str">
        <f aca="false">IF(A190="N/A"," ",D190*E190)</f>
        <v> </v>
      </c>
      <c r="I190" s="402" t="str">
        <f aca="false">IF(A190="N/A"," ",2-E190)</f>
        <v> </v>
      </c>
      <c r="J190" s="439" t="str">
        <f aca="false">IF(A190="N/A"," ",B190*I190)</f>
        <v> </v>
      </c>
      <c r="K190" s="439" t="str">
        <f aca="false">IF(A190="N/A"," ",C190*I190)</f>
        <v> </v>
      </c>
      <c r="L190" s="440" t="str">
        <f aca="false">IF(A190="N/A"," ",D190*I190)</f>
        <v> </v>
      </c>
      <c r="M190" s="441" t="str">
        <f aca="false">IF(A190="N/A"," ",IF(ISERROR(S190),M178*Pwresc,S190))</f>
        <v> </v>
      </c>
      <c r="N190" s="442" t="str">
        <f aca="false">IF(A190="N/A"," ",SUM(T190:X190))</f>
        <v> </v>
      </c>
      <c r="O190" s="370"/>
      <c r="P190" s="436" t="str">
        <f aca="false">IF(A190="N/A"," ",VLOOKUP(A190,PeakPowerCurves,(IF(BMO=2,3,IF(BMO=1,2,4))),FALSE())+Inputs!N173)</f>
        <v> </v>
      </c>
      <c r="Q190" s="436" t="str">
        <f aca="false">IF(A190="N/A"," ",VLOOKUP(A190,SatSunPeakPwr,(IF(BMO=2,3,IF(BMO=1,2,4))),FALSE())+Inputs!$N$23)</f>
        <v> </v>
      </c>
      <c r="R190" s="436" t="str">
        <f aca="false">IF(A190="N/A"," ",VLOOKUP(A190,SatSunPeakPwr,(IF(BMO=2,7,IF(BMO=1,6,8))),FALSE())+Inputs!$N$23)</f>
        <v> </v>
      </c>
      <c r="S190" s="443" t="str">
        <f aca="false">IF(A190="N/A"," ",(VLOOKUP(A190,OPPowerPrices,(IF(BMO=2,7,IF(BMO=1,6,8))),FALSE())+Inputs!$N$23))</f>
        <v> </v>
      </c>
      <c r="T190" s="444" t="str">
        <f aca="false">IF(A190="N/A"," ",(VLOOKUP(A190,GasCurves,9,FALSE()))+IF(BMO=1,Gasbmo,IF(BMO=3,-Gasbmo,0)))</f>
        <v> </v>
      </c>
      <c r="U190" s="444" t="str">
        <f aca="false">IF(A190="N/A"," ",IF(Basischeck=TRUE(),(VLOOKUP(A190,GasCurves,IF(MONTH(A190)&gt;=4,IF(MONTH(A190)&lt;=10,11,12),12),FALSE())),0))</f>
        <v> </v>
      </c>
      <c r="V190" s="444" t="str">
        <f aca="false">IF(A190="N/A"," ",IF(Indexcheck=TRUE(),(IF(MONTH(A190)&gt;=4,IF(MONTH(A190)&lt;=10,VLOOKUP(A190,'Gas Curves'!B168:O528,13),VLOOKUP(A190,'Gas Curves'!B168:O528,14)),VLOOKUP(A190,'Gas Curves'!B168:O528,14))),0))</f>
        <v> </v>
      </c>
      <c r="W190" s="444" t="str">
        <f aca="false">IF(A190="N/A"," ",((SUM(T190:V190))/(1-Inputs!$S$11)-(SUM(T190:V190))))</f>
        <v> </v>
      </c>
      <c r="X190" s="444" t="str">
        <f aca="false">IF(A190="N/A"," ",(IF(MONTH(A190)&gt;=4,IF(MONTH(A190)&lt;=10,Inputs!$S$9,Inputs!$S$10),Inputs!$S$10)))</f>
        <v> </v>
      </c>
      <c r="Y190" s="445" t="str">
        <f aca="false">IF(A190="N/A"," ",(VLOOKUP($A190,InterestRatesTable,2)))</f>
        <v> </v>
      </c>
      <c r="AF190" s="386" t="n">
        <v>42217</v>
      </c>
      <c r="AG190" s="376" t="n">
        <v>21</v>
      </c>
      <c r="AH190" s="376" t="n">
        <v>5</v>
      </c>
      <c r="AI190" s="376" t="n">
        <v>5</v>
      </c>
      <c r="AJ190" s="376" t="n">
        <v>0</v>
      </c>
      <c r="AK190" s="376" t="n">
        <v>31</v>
      </c>
    </row>
    <row r="191" customFormat="false" ht="12.75" hidden="false" customHeight="false" outlineLevel="0" collapsed="false">
      <c r="A191" s="434" t="str">
        <f aca="false">Calculations!A156</f>
        <v>N/A</v>
      </c>
      <c r="B191" s="435" t="str">
        <f aca="false">IF(A191="N/A"," ",IF(ISERROR(P191),B179*Pwresc,P191)*VLOOKUP(MONTH(A191),Curveadj,3))</f>
        <v> </v>
      </c>
      <c r="C191" s="436" t="str">
        <f aca="false">IF(A191="N/A"," ",IF(ISERROR(Q191),C179*Pwresc,Q191)*VLOOKUP(MONTH(A191),Curveadj,3))</f>
        <v> </v>
      </c>
      <c r="D191" s="437" t="str">
        <f aca="false">IF(A191="N/A"," ",IF(ISERROR(R191),D179*Pwresc,R191)*VLOOKUP(MONTH(A191),Curveadj,3))</f>
        <v> </v>
      </c>
      <c r="E191" s="438" t="str">
        <f aca="false">IF(A191="N/A"," ",IF(Scalers=1,(IF(AND(Dynamic=1,MONTH(A191)&gt;=6,MONTH(A191)&lt;=8,OR($O$37="REGION 2",$O$37="REGION 2A",$O$37="REGION 2B",$O$37="REGION 3",$O$37="REGION 3A",$O$37="REGION 3B",$O$37="REGION 3C",$O$37="REGION 4",$O$37="REGION 4B",$O$37="REGION 4C",$O$37="REGION 5",$O$37="REGION 5A")),((0.059228/(B191/100))-(0.4980013/(SQRT(B191/100)))+2.137988),HLOOKUP(MONTH(A191),ScalarTable,28))),1))</f>
        <v> </v>
      </c>
      <c r="F191" s="439" t="str">
        <f aca="false">IF(A191="N/A"," ",B191*E191)</f>
        <v> </v>
      </c>
      <c r="G191" s="439" t="str">
        <f aca="false">IF(A191="N/A"," ",C191*E191)</f>
        <v> </v>
      </c>
      <c r="H191" s="440" t="str">
        <f aca="false">IF(A191="N/A"," ",D191*E191)</f>
        <v> </v>
      </c>
      <c r="I191" s="402" t="str">
        <f aca="false">IF(A191="N/A"," ",2-E191)</f>
        <v> </v>
      </c>
      <c r="J191" s="439" t="str">
        <f aca="false">IF(A191="N/A"," ",B191*I191)</f>
        <v> </v>
      </c>
      <c r="K191" s="439" t="str">
        <f aca="false">IF(A191="N/A"," ",C191*I191)</f>
        <v> </v>
      </c>
      <c r="L191" s="440" t="str">
        <f aca="false">IF(A191="N/A"," ",D191*I191)</f>
        <v> </v>
      </c>
      <c r="M191" s="441" t="str">
        <f aca="false">IF(A191="N/A"," ",IF(ISERROR(S191),M179*Pwresc,S191))</f>
        <v> </v>
      </c>
      <c r="N191" s="442" t="str">
        <f aca="false">IF(A191="N/A"," ",SUM(T191:X191))</f>
        <v> </v>
      </c>
      <c r="O191" s="370"/>
      <c r="P191" s="436" t="str">
        <f aca="false">IF(A191="N/A"," ",VLOOKUP(A191,PeakPowerCurves,(IF(BMO=2,3,IF(BMO=1,2,4))),FALSE())+Inputs!N174)</f>
        <v> </v>
      </c>
      <c r="Q191" s="436" t="str">
        <f aca="false">IF(A191="N/A"," ",VLOOKUP(A191,SatSunPeakPwr,(IF(BMO=2,3,IF(BMO=1,2,4))),FALSE())+Inputs!$N$23)</f>
        <v> </v>
      </c>
      <c r="R191" s="436" t="str">
        <f aca="false">IF(A191="N/A"," ",VLOOKUP(A191,SatSunPeakPwr,(IF(BMO=2,7,IF(BMO=1,6,8))),FALSE())+Inputs!$N$23)</f>
        <v> </v>
      </c>
      <c r="S191" s="443" t="str">
        <f aca="false">IF(A191="N/A"," ",(VLOOKUP(A191,OPPowerPrices,(IF(BMO=2,7,IF(BMO=1,6,8))),FALSE())+Inputs!$N$23))</f>
        <v> </v>
      </c>
      <c r="T191" s="444" t="str">
        <f aca="false">IF(A191="N/A"," ",(VLOOKUP(A191,GasCurves,9,FALSE()))+IF(BMO=1,Gasbmo,IF(BMO=3,-Gasbmo,0)))</f>
        <v> </v>
      </c>
      <c r="U191" s="444" t="str">
        <f aca="false">IF(A191="N/A"," ",IF(Basischeck=TRUE(),(VLOOKUP(A191,GasCurves,IF(MONTH(A191)&gt;=4,IF(MONTH(A191)&lt;=10,11,12),12),FALSE())),0))</f>
        <v> </v>
      </c>
      <c r="V191" s="444" t="str">
        <f aca="false">IF(A191="N/A"," ",IF(Indexcheck=TRUE(),(IF(MONTH(A191)&gt;=4,IF(MONTH(A191)&lt;=10,VLOOKUP(A191,'Gas Curves'!B169:O529,13),VLOOKUP(A191,'Gas Curves'!B169:O529,14)),VLOOKUP(A191,'Gas Curves'!B169:O529,14))),0))</f>
        <v> </v>
      </c>
      <c r="W191" s="444" t="str">
        <f aca="false">IF(A191="N/A"," ",((SUM(T191:V191))/(1-Inputs!$S$11)-(SUM(T191:V191))))</f>
        <v> </v>
      </c>
      <c r="X191" s="444" t="str">
        <f aca="false">IF(A191="N/A"," ",(IF(MONTH(A191)&gt;=4,IF(MONTH(A191)&lt;=10,Inputs!$S$9,Inputs!$S$10),Inputs!$S$10)))</f>
        <v> </v>
      </c>
      <c r="Y191" s="445" t="str">
        <f aca="false">IF(A191="N/A"," ",(VLOOKUP($A191,InterestRatesTable,2)))</f>
        <v> </v>
      </c>
      <c r="AF191" s="386" t="n">
        <v>42248</v>
      </c>
      <c r="AG191" s="376" t="n">
        <v>21</v>
      </c>
      <c r="AH191" s="376" t="n">
        <v>4</v>
      </c>
      <c r="AI191" s="376" t="n">
        <v>5</v>
      </c>
      <c r="AJ191" s="376" t="n">
        <v>1</v>
      </c>
      <c r="AK191" s="376" t="n">
        <v>30</v>
      </c>
    </row>
    <row r="192" customFormat="false" ht="12.75" hidden="false" customHeight="false" outlineLevel="0" collapsed="false">
      <c r="A192" s="434" t="str">
        <f aca="false">Calculations!A157</f>
        <v>N/A</v>
      </c>
      <c r="B192" s="435" t="str">
        <f aca="false">IF(A192="N/A"," ",IF(ISERROR(P192),B180*Pwresc,P192)*VLOOKUP(MONTH(A192),Curveadj,3))</f>
        <v> </v>
      </c>
      <c r="C192" s="436" t="str">
        <f aca="false">IF(A192="N/A"," ",IF(ISERROR(Q192),C180*Pwresc,Q192)*VLOOKUP(MONTH(A192),Curveadj,3))</f>
        <v> </v>
      </c>
      <c r="D192" s="437" t="str">
        <f aca="false">IF(A192="N/A"," ",IF(ISERROR(R192),D180*Pwresc,R192)*VLOOKUP(MONTH(A192),Curveadj,3))</f>
        <v> </v>
      </c>
      <c r="E192" s="438" t="str">
        <f aca="false">IF(A192="N/A"," ",IF(Scalers=1,(IF(AND(Dynamic=1,MONTH(A192)&gt;=6,MONTH(A192)&lt;=8,OR($O$37="REGION 2",$O$37="REGION 2A",$O$37="REGION 2B",$O$37="REGION 3",$O$37="REGION 3A",$O$37="REGION 3B",$O$37="REGION 3C",$O$37="REGION 4",$O$37="REGION 4B",$O$37="REGION 4C",$O$37="REGION 5",$O$37="REGION 5A")),((0.059228/(B192/100))-(0.4980013/(SQRT(B192/100)))+2.137988),HLOOKUP(MONTH(A192),ScalarTable,28))),1))</f>
        <v> </v>
      </c>
      <c r="F192" s="439" t="str">
        <f aca="false">IF(A192="N/A"," ",B192*E192)</f>
        <v> </v>
      </c>
      <c r="G192" s="439" t="str">
        <f aca="false">IF(A192="N/A"," ",C192*E192)</f>
        <v> </v>
      </c>
      <c r="H192" s="440" t="str">
        <f aca="false">IF(A192="N/A"," ",D192*E192)</f>
        <v> </v>
      </c>
      <c r="I192" s="402" t="str">
        <f aca="false">IF(A192="N/A"," ",2-E192)</f>
        <v> </v>
      </c>
      <c r="J192" s="439" t="str">
        <f aca="false">IF(A192="N/A"," ",B192*I192)</f>
        <v> </v>
      </c>
      <c r="K192" s="439" t="str">
        <f aca="false">IF(A192="N/A"," ",C192*I192)</f>
        <v> </v>
      </c>
      <c r="L192" s="440" t="str">
        <f aca="false">IF(A192="N/A"," ",D192*I192)</f>
        <v> </v>
      </c>
      <c r="M192" s="441" t="str">
        <f aca="false">IF(A192="N/A"," ",IF(ISERROR(S192),M180*Pwresc,S192))</f>
        <v> </v>
      </c>
      <c r="N192" s="442" t="str">
        <f aca="false">IF(A192="N/A"," ",SUM(T192:X192))</f>
        <v> </v>
      </c>
      <c r="O192" s="370"/>
      <c r="P192" s="436" t="str">
        <f aca="false">IF(A192="N/A"," ",VLOOKUP(A192,PeakPowerCurves,(IF(BMO=2,3,IF(BMO=1,2,4))),FALSE())+Inputs!N175)</f>
        <v> </v>
      </c>
      <c r="Q192" s="436" t="str">
        <f aca="false">IF(A192="N/A"," ",VLOOKUP(A192,SatSunPeakPwr,(IF(BMO=2,3,IF(BMO=1,2,4))),FALSE())+Inputs!$N$23)</f>
        <v> </v>
      </c>
      <c r="R192" s="436" t="str">
        <f aca="false">IF(A192="N/A"," ",VLOOKUP(A192,SatSunPeakPwr,(IF(BMO=2,7,IF(BMO=1,6,8))),FALSE())+Inputs!$N$23)</f>
        <v> </v>
      </c>
      <c r="S192" s="443" t="str">
        <f aca="false">IF(A192="N/A"," ",(VLOOKUP(A192,OPPowerPrices,(IF(BMO=2,7,IF(BMO=1,6,8))),FALSE())+Inputs!$N$23))</f>
        <v> </v>
      </c>
      <c r="T192" s="444" t="str">
        <f aca="false">IF(A192="N/A"," ",(VLOOKUP(A192,GasCurves,9,FALSE()))+IF(BMO=1,Gasbmo,IF(BMO=3,-Gasbmo,0)))</f>
        <v> </v>
      </c>
      <c r="U192" s="444" t="str">
        <f aca="false">IF(A192="N/A"," ",IF(Basischeck=TRUE(),(VLOOKUP(A192,GasCurves,IF(MONTH(A192)&gt;=4,IF(MONTH(A192)&lt;=10,11,12),12),FALSE())),0))</f>
        <v> </v>
      </c>
      <c r="V192" s="444" t="str">
        <f aca="false">IF(A192="N/A"," ",IF(Indexcheck=TRUE(),(IF(MONTH(A192)&gt;=4,IF(MONTH(A192)&lt;=10,VLOOKUP(A192,'Gas Curves'!B170:O530,13),VLOOKUP(A192,'Gas Curves'!B170:O530,14)),VLOOKUP(A192,'Gas Curves'!B170:O530,14))),0))</f>
        <v> </v>
      </c>
      <c r="W192" s="444" t="str">
        <f aca="false">IF(A192="N/A"," ",((SUM(T192:V192))/(1-Inputs!$S$11)-(SUM(T192:V192))))</f>
        <v> </v>
      </c>
      <c r="X192" s="444" t="str">
        <f aca="false">IF(A192="N/A"," ",(IF(MONTH(A192)&gt;=4,IF(MONTH(A192)&lt;=10,Inputs!$S$9,Inputs!$S$10),Inputs!$S$10)))</f>
        <v> </v>
      </c>
      <c r="Y192" s="445" t="str">
        <f aca="false">IF(A192="N/A"," ",(VLOOKUP($A192,InterestRatesTable,2)))</f>
        <v> </v>
      </c>
      <c r="AF192" s="386" t="n">
        <v>42278</v>
      </c>
      <c r="AG192" s="376" t="n">
        <v>22</v>
      </c>
      <c r="AH192" s="376" t="n">
        <v>5</v>
      </c>
      <c r="AI192" s="376" t="n">
        <v>4</v>
      </c>
      <c r="AJ192" s="376" t="n">
        <v>0</v>
      </c>
      <c r="AK192" s="376" t="n">
        <v>31</v>
      </c>
    </row>
    <row r="193" customFormat="false" ht="12.75" hidden="false" customHeight="false" outlineLevel="0" collapsed="false">
      <c r="A193" s="434" t="str">
        <f aca="false">Calculations!A158</f>
        <v>N/A</v>
      </c>
      <c r="B193" s="435" t="str">
        <f aca="false">IF(A193="N/A"," ",IF(ISERROR(P193),B181*Pwresc,P193)*VLOOKUP(MONTH(A193),Curveadj,3))</f>
        <v> </v>
      </c>
      <c r="C193" s="436" t="str">
        <f aca="false">IF(A193="N/A"," ",IF(ISERROR(Q193),C181*Pwresc,Q193)*VLOOKUP(MONTH(A193),Curveadj,3))</f>
        <v> </v>
      </c>
      <c r="D193" s="437" t="str">
        <f aca="false">IF(A193="N/A"," ",IF(ISERROR(R193),D181*Pwresc,R193)*VLOOKUP(MONTH(A193),Curveadj,3))</f>
        <v> </v>
      </c>
      <c r="E193" s="438" t="str">
        <f aca="false">IF(A193="N/A"," ",IF(Scalers=1,(IF(AND(Dynamic=1,MONTH(A193)&gt;=6,MONTH(A193)&lt;=8,OR($O$37="REGION 2",$O$37="REGION 2A",$O$37="REGION 2B",$O$37="REGION 3",$O$37="REGION 3A",$O$37="REGION 3B",$O$37="REGION 3C",$O$37="REGION 4",$O$37="REGION 4B",$O$37="REGION 4C",$O$37="REGION 5",$O$37="REGION 5A")),((0.059228/(B193/100))-(0.4980013/(SQRT(B193/100)))+2.137988),HLOOKUP(MONTH(A193),ScalarTable,28))),1))</f>
        <v> </v>
      </c>
      <c r="F193" s="439" t="str">
        <f aca="false">IF(A193="N/A"," ",B193*E193)</f>
        <v> </v>
      </c>
      <c r="G193" s="439" t="str">
        <f aca="false">IF(A193="N/A"," ",C193*E193)</f>
        <v> </v>
      </c>
      <c r="H193" s="440" t="str">
        <f aca="false">IF(A193="N/A"," ",D193*E193)</f>
        <v> </v>
      </c>
      <c r="I193" s="402" t="str">
        <f aca="false">IF(A193="N/A"," ",2-E193)</f>
        <v> </v>
      </c>
      <c r="J193" s="439" t="str">
        <f aca="false">IF(A193="N/A"," ",B193*I193)</f>
        <v> </v>
      </c>
      <c r="K193" s="439" t="str">
        <f aca="false">IF(A193="N/A"," ",C193*I193)</f>
        <v> </v>
      </c>
      <c r="L193" s="440" t="str">
        <f aca="false">IF(A193="N/A"," ",D193*I193)</f>
        <v> </v>
      </c>
      <c r="M193" s="441" t="str">
        <f aca="false">IF(A193="N/A"," ",IF(ISERROR(S193),M181*Pwresc,S193))</f>
        <v> </v>
      </c>
      <c r="N193" s="442" t="str">
        <f aca="false">IF(A193="N/A"," ",SUM(T193:X193))</f>
        <v> </v>
      </c>
      <c r="O193" s="370"/>
      <c r="P193" s="436" t="str">
        <f aca="false">IF(A193="N/A"," ",VLOOKUP(A193,PeakPowerCurves,(IF(BMO=2,3,IF(BMO=1,2,4))),FALSE())+Inputs!N176)</f>
        <v> </v>
      </c>
      <c r="Q193" s="436" t="str">
        <f aca="false">IF(A193="N/A"," ",VLOOKUP(A193,SatSunPeakPwr,(IF(BMO=2,3,IF(BMO=1,2,4))),FALSE())+Inputs!$N$23)</f>
        <v> </v>
      </c>
      <c r="R193" s="436" t="str">
        <f aca="false">IF(A193="N/A"," ",VLOOKUP(A193,SatSunPeakPwr,(IF(BMO=2,7,IF(BMO=1,6,8))),FALSE())+Inputs!$N$23)</f>
        <v> </v>
      </c>
      <c r="S193" s="443" t="str">
        <f aca="false">IF(A193="N/A"," ",(VLOOKUP(A193,OPPowerPrices,(IF(BMO=2,7,IF(BMO=1,6,8))),FALSE())+Inputs!$N$23))</f>
        <v> </v>
      </c>
      <c r="T193" s="444" t="str">
        <f aca="false">IF(A193="N/A"," ",(VLOOKUP(A193,GasCurves,9,FALSE()))+IF(BMO=1,Gasbmo,IF(BMO=3,-Gasbmo,0)))</f>
        <v> </v>
      </c>
      <c r="U193" s="444" t="str">
        <f aca="false">IF(A193="N/A"," ",IF(Basischeck=TRUE(),(VLOOKUP(A193,GasCurves,IF(MONTH(A193)&gt;=4,IF(MONTH(A193)&lt;=10,11,12),12),FALSE())),0))</f>
        <v> </v>
      </c>
      <c r="V193" s="444" t="str">
        <f aca="false">IF(A193="N/A"," ",IF(Indexcheck=TRUE(),(IF(MONTH(A193)&gt;=4,IF(MONTH(A193)&lt;=10,VLOOKUP(A193,'Gas Curves'!B171:O531,13),VLOOKUP(A193,'Gas Curves'!B171:O531,14)),VLOOKUP(A193,'Gas Curves'!B171:O531,14))),0))</f>
        <v> </v>
      </c>
      <c r="W193" s="444" t="str">
        <f aca="false">IF(A193="N/A"," ",((SUM(T193:V193))/(1-Inputs!$S$11)-(SUM(T193:V193))))</f>
        <v> </v>
      </c>
      <c r="X193" s="444" t="str">
        <f aca="false">IF(A193="N/A"," ",(IF(MONTH(A193)&gt;=4,IF(MONTH(A193)&lt;=10,Inputs!$S$9,Inputs!$S$10),Inputs!$S$10)))</f>
        <v> </v>
      </c>
      <c r="Y193" s="445" t="str">
        <f aca="false">IF(A193="N/A"," ",(VLOOKUP($A193,InterestRatesTable,2)))</f>
        <v> </v>
      </c>
      <c r="AF193" s="386" t="n">
        <v>42309</v>
      </c>
      <c r="AG193" s="376" t="n">
        <v>20</v>
      </c>
      <c r="AH193" s="376" t="n">
        <v>4</v>
      </c>
      <c r="AI193" s="376" t="n">
        <v>6</v>
      </c>
      <c r="AJ193" s="376" t="n">
        <v>1</v>
      </c>
      <c r="AK193" s="376" t="n">
        <v>30</v>
      </c>
    </row>
    <row r="194" customFormat="false" ht="12.75" hidden="false" customHeight="false" outlineLevel="0" collapsed="false">
      <c r="A194" s="434" t="str">
        <f aca="false">Calculations!A159</f>
        <v>N/A</v>
      </c>
      <c r="B194" s="435" t="str">
        <f aca="false">IF(A194="N/A"," ",IF(ISERROR(P194),B182*Pwresc,P194)*VLOOKUP(MONTH(A194),Curveadj,3))</f>
        <v> </v>
      </c>
      <c r="C194" s="436" t="str">
        <f aca="false">IF(A194="N/A"," ",IF(ISERROR(Q194),C182*Pwresc,Q194)*VLOOKUP(MONTH(A194),Curveadj,3))</f>
        <v> </v>
      </c>
      <c r="D194" s="437" t="str">
        <f aca="false">IF(A194="N/A"," ",IF(ISERROR(R194),D182*Pwresc,R194)*VLOOKUP(MONTH(A194),Curveadj,3))</f>
        <v> </v>
      </c>
      <c r="E194" s="438" t="str">
        <f aca="false">IF(A194="N/A"," ",IF(Scalers=1,(IF(AND(Dynamic=1,MONTH(A194)&gt;=6,MONTH(A194)&lt;=8,OR($O$37="REGION 2",$O$37="REGION 2A",$O$37="REGION 2B",$O$37="REGION 3",$O$37="REGION 3A",$O$37="REGION 3B",$O$37="REGION 3C",$O$37="REGION 4",$O$37="REGION 4B",$O$37="REGION 4C",$O$37="REGION 5",$O$37="REGION 5A")),((0.059228/(B194/100))-(0.4980013/(SQRT(B194/100)))+2.137988),HLOOKUP(MONTH(A194),ScalarTable,28))),1))</f>
        <v> </v>
      </c>
      <c r="F194" s="439" t="str">
        <f aca="false">IF(A194="N/A"," ",B194*E194)</f>
        <v> </v>
      </c>
      <c r="G194" s="439" t="str">
        <f aca="false">IF(A194="N/A"," ",C194*E194)</f>
        <v> </v>
      </c>
      <c r="H194" s="440" t="str">
        <f aca="false">IF(A194="N/A"," ",D194*E194)</f>
        <v> </v>
      </c>
      <c r="I194" s="402" t="str">
        <f aca="false">IF(A194="N/A"," ",2-E194)</f>
        <v> </v>
      </c>
      <c r="J194" s="439" t="str">
        <f aca="false">IF(A194="N/A"," ",B194*I194)</f>
        <v> </v>
      </c>
      <c r="K194" s="439" t="str">
        <f aca="false">IF(A194="N/A"," ",C194*I194)</f>
        <v> </v>
      </c>
      <c r="L194" s="440" t="str">
        <f aca="false">IF(A194="N/A"," ",D194*I194)</f>
        <v> </v>
      </c>
      <c r="M194" s="441" t="str">
        <f aca="false">IF(A194="N/A"," ",IF(ISERROR(S194),M182*Pwresc,S194))</f>
        <v> </v>
      </c>
      <c r="N194" s="442" t="str">
        <f aca="false">IF(A194="N/A"," ",SUM(T194:X194))</f>
        <v> </v>
      </c>
      <c r="O194" s="370"/>
      <c r="P194" s="436" t="str">
        <f aca="false">IF(A194="N/A"," ",VLOOKUP(A194,PeakPowerCurves,(IF(BMO=2,3,IF(BMO=1,2,4))),FALSE())+Inputs!N177)</f>
        <v> </v>
      </c>
      <c r="Q194" s="436" t="str">
        <f aca="false">IF(A194="N/A"," ",VLOOKUP(A194,SatSunPeakPwr,(IF(BMO=2,3,IF(BMO=1,2,4))),FALSE())+Inputs!$N$23)</f>
        <v> </v>
      </c>
      <c r="R194" s="436" t="str">
        <f aca="false">IF(A194="N/A"," ",VLOOKUP(A194,SatSunPeakPwr,(IF(BMO=2,7,IF(BMO=1,6,8))),FALSE())+Inputs!$N$23)</f>
        <v> </v>
      </c>
      <c r="S194" s="443" t="str">
        <f aca="false">IF(A194="N/A"," ",(VLOOKUP(A194,OPPowerPrices,(IF(BMO=2,7,IF(BMO=1,6,8))),FALSE())+Inputs!$N$23))</f>
        <v> </v>
      </c>
      <c r="T194" s="444" t="str">
        <f aca="false">IF(A194="N/A"," ",(VLOOKUP(A194,GasCurves,9,FALSE()))+IF(BMO=1,Gasbmo,IF(BMO=3,-Gasbmo,0)))</f>
        <v> </v>
      </c>
      <c r="U194" s="444" t="str">
        <f aca="false">IF(A194="N/A"," ",IF(Basischeck=TRUE(),(VLOOKUP(A194,GasCurves,IF(MONTH(A194)&gt;=4,IF(MONTH(A194)&lt;=10,11,12),12),FALSE())),0))</f>
        <v> </v>
      </c>
      <c r="V194" s="444" t="str">
        <f aca="false">IF(A194="N/A"," ",IF(Indexcheck=TRUE(),(IF(MONTH(A194)&gt;=4,IF(MONTH(A194)&lt;=10,VLOOKUP(A194,'Gas Curves'!B172:O532,13),VLOOKUP(A194,'Gas Curves'!B172:O532,14)),VLOOKUP(A194,'Gas Curves'!B172:O532,14))),0))</f>
        <v> </v>
      </c>
      <c r="W194" s="444" t="str">
        <f aca="false">IF(A194="N/A"," ",((SUM(T194:V194))/(1-Inputs!$S$11)-(SUM(T194:V194))))</f>
        <v> </v>
      </c>
      <c r="X194" s="444" t="str">
        <f aca="false">IF(A194="N/A"," ",(IF(MONTH(A194)&gt;=4,IF(MONTH(A194)&lt;=10,Inputs!$S$9,Inputs!$S$10),Inputs!$S$10)))</f>
        <v> </v>
      </c>
      <c r="Y194" s="445" t="str">
        <f aca="false">IF(A194="N/A"," ",(VLOOKUP($A194,InterestRatesTable,2)))</f>
        <v> </v>
      </c>
      <c r="AF194" s="386" t="n">
        <v>42339</v>
      </c>
      <c r="AG194" s="376" t="n">
        <v>22</v>
      </c>
      <c r="AH194" s="376" t="n">
        <v>4</v>
      </c>
      <c r="AI194" s="376" t="n">
        <v>5</v>
      </c>
      <c r="AJ194" s="376" t="n">
        <v>1</v>
      </c>
      <c r="AK194" s="376" t="n">
        <v>31</v>
      </c>
    </row>
    <row r="195" customFormat="false" ht="12.75" hidden="false" customHeight="false" outlineLevel="0" collapsed="false">
      <c r="A195" s="434" t="str">
        <f aca="false">Calculations!A160</f>
        <v>N/A</v>
      </c>
      <c r="B195" s="435" t="str">
        <f aca="false">IF(A195="N/A"," ",IF(ISERROR(P195),B183*Pwresc,P195)*VLOOKUP(MONTH(A195),Curveadj,3))</f>
        <v> </v>
      </c>
      <c r="C195" s="436" t="str">
        <f aca="false">IF(A195="N/A"," ",IF(ISERROR(Q195),C183*Pwresc,Q195)*VLOOKUP(MONTH(A195),Curveadj,3))</f>
        <v> </v>
      </c>
      <c r="D195" s="437" t="str">
        <f aca="false">IF(A195="N/A"," ",IF(ISERROR(R195),D183*Pwresc,R195)*VLOOKUP(MONTH(A195),Curveadj,3))</f>
        <v> </v>
      </c>
      <c r="E195" s="438" t="str">
        <f aca="false">IF(A195="N/A"," ",IF(Scalers=1,(IF(AND(Dynamic=1,MONTH(A195)&gt;=6,MONTH(A195)&lt;=8,OR($O$37="REGION 2",$O$37="REGION 2A",$O$37="REGION 2B",$O$37="REGION 3",$O$37="REGION 3A",$O$37="REGION 3B",$O$37="REGION 3C",$O$37="REGION 4",$O$37="REGION 4B",$O$37="REGION 4C",$O$37="REGION 5",$O$37="REGION 5A")),((0.059228/(B195/100))-(0.4980013/(SQRT(B195/100)))+2.137988),HLOOKUP(MONTH(A195),ScalarTable,28))),1))</f>
        <v> </v>
      </c>
      <c r="F195" s="439" t="str">
        <f aca="false">IF(A195="N/A"," ",B195*E195)</f>
        <v> </v>
      </c>
      <c r="G195" s="439" t="str">
        <f aca="false">IF(A195="N/A"," ",C195*E195)</f>
        <v> </v>
      </c>
      <c r="H195" s="440" t="str">
        <f aca="false">IF(A195="N/A"," ",D195*E195)</f>
        <v> </v>
      </c>
      <c r="I195" s="402" t="str">
        <f aca="false">IF(A195="N/A"," ",2-E195)</f>
        <v> </v>
      </c>
      <c r="J195" s="439" t="str">
        <f aca="false">IF(A195="N/A"," ",B195*I195)</f>
        <v> </v>
      </c>
      <c r="K195" s="439" t="str">
        <f aca="false">IF(A195="N/A"," ",C195*I195)</f>
        <v> </v>
      </c>
      <c r="L195" s="440" t="str">
        <f aca="false">IF(A195="N/A"," ",D195*I195)</f>
        <v> </v>
      </c>
      <c r="M195" s="441" t="str">
        <f aca="false">IF(A195="N/A"," ",IF(ISERROR(S195),M183*Pwresc,S195))</f>
        <v> </v>
      </c>
      <c r="N195" s="442" t="str">
        <f aca="false">IF(A195="N/A"," ",SUM(T195:X195))</f>
        <v> </v>
      </c>
      <c r="O195" s="370"/>
      <c r="P195" s="436" t="str">
        <f aca="false">IF(A195="N/A"," ",VLOOKUP(A195,PeakPowerCurves,(IF(BMO=2,3,IF(BMO=1,2,4))),FALSE())+Inputs!N178)</f>
        <v> </v>
      </c>
      <c r="Q195" s="436" t="str">
        <f aca="false">IF(A195="N/A"," ",VLOOKUP(A195,SatSunPeakPwr,(IF(BMO=2,3,IF(BMO=1,2,4))),FALSE())+Inputs!$N$23)</f>
        <v> </v>
      </c>
      <c r="R195" s="436" t="str">
        <f aca="false">IF(A195="N/A"," ",VLOOKUP(A195,SatSunPeakPwr,(IF(BMO=2,7,IF(BMO=1,6,8))),FALSE())+Inputs!$N$23)</f>
        <v> </v>
      </c>
      <c r="S195" s="443" t="str">
        <f aca="false">IF(A195="N/A"," ",(VLOOKUP(A195,OPPowerPrices,(IF(BMO=2,7,IF(BMO=1,6,8))),FALSE())+Inputs!$N$23))</f>
        <v> </v>
      </c>
      <c r="T195" s="444" t="str">
        <f aca="false">IF(A195="N/A"," ",(VLOOKUP(A195,GasCurves,9,FALSE()))+IF(BMO=1,Gasbmo,IF(BMO=3,-Gasbmo,0)))</f>
        <v> </v>
      </c>
      <c r="U195" s="444" t="str">
        <f aca="false">IF(A195="N/A"," ",IF(Basischeck=TRUE(),(VLOOKUP(A195,GasCurves,IF(MONTH(A195)&gt;=4,IF(MONTH(A195)&lt;=10,11,12),12),FALSE())),0))</f>
        <v> </v>
      </c>
      <c r="V195" s="444" t="str">
        <f aca="false">IF(A195="N/A"," ",IF(Indexcheck=TRUE(),(IF(MONTH(A195)&gt;=4,IF(MONTH(A195)&lt;=10,VLOOKUP(A195,'Gas Curves'!B173:O533,13),VLOOKUP(A195,'Gas Curves'!B173:O533,14)),VLOOKUP(A195,'Gas Curves'!B173:O533,14))),0))</f>
        <v> </v>
      </c>
      <c r="W195" s="444" t="str">
        <f aca="false">IF(A195="N/A"," ",((SUM(T195:V195))/(1-Inputs!$S$11)-(SUM(T195:V195))))</f>
        <v> </v>
      </c>
      <c r="X195" s="444" t="str">
        <f aca="false">IF(A195="N/A"," ",(IF(MONTH(A195)&gt;=4,IF(MONTH(A195)&lt;=10,Inputs!$S$9,Inputs!$S$10),Inputs!$S$10)))</f>
        <v> </v>
      </c>
      <c r="Y195" s="445" t="str">
        <f aca="false">IF(A195="N/A"," ",(VLOOKUP($A195,InterestRatesTable,2)))</f>
        <v> </v>
      </c>
      <c r="AF195" s="386" t="n">
        <v>42370</v>
      </c>
      <c r="AG195" s="376" t="n">
        <v>20</v>
      </c>
      <c r="AH195" s="376" t="n">
        <v>5</v>
      </c>
      <c r="AI195" s="376" t="n">
        <v>6</v>
      </c>
      <c r="AJ195" s="376" t="n">
        <v>1</v>
      </c>
      <c r="AK195" s="376" t="n">
        <v>31</v>
      </c>
    </row>
    <row r="196" customFormat="false" ht="12.75" hidden="false" customHeight="false" outlineLevel="0" collapsed="false">
      <c r="A196" s="434" t="str">
        <f aca="false">Calculations!A161</f>
        <v>N/A</v>
      </c>
      <c r="B196" s="435" t="str">
        <f aca="false">IF(A196="N/A"," ",IF(ISERROR(P196),B184*Pwresc,P196)*VLOOKUP(MONTH(A196),Curveadj,3))</f>
        <v> </v>
      </c>
      <c r="C196" s="436" t="str">
        <f aca="false">IF(A196="N/A"," ",IF(ISERROR(Q196),C184*Pwresc,Q196)*VLOOKUP(MONTH(A196),Curveadj,3))</f>
        <v> </v>
      </c>
      <c r="D196" s="437" t="str">
        <f aca="false">IF(A196="N/A"," ",IF(ISERROR(R196),D184*Pwresc,R196)*VLOOKUP(MONTH(A196),Curveadj,3))</f>
        <v> </v>
      </c>
      <c r="E196" s="438" t="str">
        <f aca="false">IF(A196="N/A"," ",IF(Scalers=1,(IF(AND(Dynamic=1,MONTH(A196)&gt;=6,MONTH(A196)&lt;=8,OR($O$37="REGION 2",$O$37="REGION 2A",$O$37="REGION 2B",$O$37="REGION 3",$O$37="REGION 3A",$O$37="REGION 3B",$O$37="REGION 3C",$O$37="REGION 4",$O$37="REGION 4B",$O$37="REGION 4C",$O$37="REGION 5",$O$37="REGION 5A")),((0.059228/(B196/100))-(0.4980013/(SQRT(B196/100)))+2.137988),HLOOKUP(MONTH(A196),ScalarTable,28))),1))</f>
        <v> </v>
      </c>
      <c r="F196" s="439" t="str">
        <f aca="false">IF(A196="N/A"," ",B196*E196)</f>
        <v> </v>
      </c>
      <c r="G196" s="439" t="str">
        <f aca="false">IF(A196="N/A"," ",C196*E196)</f>
        <v> </v>
      </c>
      <c r="H196" s="440" t="str">
        <f aca="false">IF(A196="N/A"," ",D196*E196)</f>
        <v> </v>
      </c>
      <c r="I196" s="402" t="str">
        <f aca="false">IF(A196="N/A"," ",2-E196)</f>
        <v> </v>
      </c>
      <c r="J196" s="439" t="str">
        <f aca="false">IF(A196="N/A"," ",B196*I196)</f>
        <v> </v>
      </c>
      <c r="K196" s="439" t="str">
        <f aca="false">IF(A196="N/A"," ",C196*I196)</f>
        <v> </v>
      </c>
      <c r="L196" s="440" t="str">
        <f aca="false">IF(A196="N/A"," ",D196*I196)</f>
        <v> </v>
      </c>
      <c r="M196" s="441" t="str">
        <f aca="false">IF(A196="N/A"," ",IF(ISERROR(S196),M184*Pwresc,S196))</f>
        <v> </v>
      </c>
      <c r="N196" s="442" t="str">
        <f aca="false">IF(A196="N/A"," ",SUM(T196:X196))</f>
        <v> </v>
      </c>
      <c r="O196" s="370"/>
      <c r="P196" s="436" t="str">
        <f aca="false">IF(A196="N/A"," ",VLOOKUP(A196,PeakPowerCurves,(IF(BMO=2,3,IF(BMO=1,2,4))),FALSE())+Inputs!N179)</f>
        <v> </v>
      </c>
      <c r="Q196" s="436" t="str">
        <f aca="false">IF(A196="N/A"," ",VLOOKUP(A196,SatSunPeakPwr,(IF(BMO=2,3,IF(BMO=1,2,4))),FALSE())+Inputs!$N$23)</f>
        <v> </v>
      </c>
      <c r="R196" s="436" t="str">
        <f aca="false">IF(A196="N/A"," ",VLOOKUP(A196,SatSunPeakPwr,(IF(BMO=2,7,IF(BMO=1,6,8))),FALSE())+Inputs!$N$23)</f>
        <v> </v>
      </c>
      <c r="S196" s="443" t="str">
        <f aca="false">IF(A196="N/A"," ",(VLOOKUP(A196,OPPowerPrices,(IF(BMO=2,7,IF(BMO=1,6,8))),FALSE())+Inputs!$N$23))</f>
        <v> </v>
      </c>
      <c r="T196" s="444" t="str">
        <f aca="false">IF(A196="N/A"," ",(VLOOKUP(A196,GasCurves,9,FALSE()))+IF(BMO=1,Gasbmo,IF(BMO=3,-Gasbmo,0)))</f>
        <v> </v>
      </c>
      <c r="U196" s="444" t="str">
        <f aca="false">IF(A196="N/A"," ",IF(Basischeck=TRUE(),(VLOOKUP(A196,GasCurves,IF(MONTH(A196)&gt;=4,IF(MONTH(A196)&lt;=10,11,12),12),FALSE())),0))</f>
        <v> </v>
      </c>
      <c r="V196" s="444" t="str">
        <f aca="false">IF(A196="N/A"," ",IF(Indexcheck=TRUE(),(IF(MONTH(A196)&gt;=4,IF(MONTH(A196)&lt;=10,VLOOKUP(A196,'Gas Curves'!B174:O534,13),VLOOKUP(A196,'Gas Curves'!B174:O534,14)),VLOOKUP(A196,'Gas Curves'!B174:O534,14))),0))</f>
        <v> </v>
      </c>
      <c r="W196" s="444" t="str">
        <f aca="false">IF(A196="N/A"," ",((SUM(T196:V196))/(1-Inputs!$S$11)-(SUM(T196:V196))))</f>
        <v> </v>
      </c>
      <c r="X196" s="444" t="str">
        <f aca="false">IF(A196="N/A"," ",(IF(MONTH(A196)&gt;=4,IF(MONTH(A196)&lt;=10,Inputs!$S$9,Inputs!$S$10),Inputs!$S$10)))</f>
        <v> </v>
      </c>
      <c r="Y196" s="445" t="str">
        <f aca="false">IF(A196="N/A"," ",(VLOOKUP($A196,InterestRatesTable,2)))</f>
        <v> </v>
      </c>
      <c r="AF196" s="386" t="n">
        <v>42401</v>
      </c>
      <c r="AG196" s="376" t="n">
        <v>21</v>
      </c>
      <c r="AH196" s="376" t="n">
        <v>4</v>
      </c>
      <c r="AI196" s="376" t="n">
        <v>4</v>
      </c>
      <c r="AJ196" s="376" t="n">
        <v>0</v>
      </c>
      <c r="AK196" s="376" t="n">
        <v>29</v>
      </c>
    </row>
    <row r="197" customFormat="false" ht="12.75" hidden="false" customHeight="false" outlineLevel="0" collapsed="false">
      <c r="A197" s="434" t="str">
        <f aca="false">Calculations!A162</f>
        <v>N/A</v>
      </c>
      <c r="B197" s="435" t="str">
        <f aca="false">IF(A197="N/A"," ",IF(ISERROR(P197),B185*Pwresc,P197)*VLOOKUP(MONTH(A197),Curveadj,3))</f>
        <v> </v>
      </c>
      <c r="C197" s="436" t="str">
        <f aca="false">IF(A197="N/A"," ",IF(ISERROR(Q197),C185*Pwresc,Q197)*VLOOKUP(MONTH(A197),Curveadj,3))</f>
        <v> </v>
      </c>
      <c r="D197" s="437" t="str">
        <f aca="false">IF(A197="N/A"," ",IF(ISERROR(R197),D185*Pwresc,R197)*VLOOKUP(MONTH(A197),Curveadj,3))</f>
        <v> </v>
      </c>
      <c r="E197" s="438" t="str">
        <f aca="false">IF(A197="N/A"," ",IF(Scalers=1,(IF(AND(Dynamic=1,MONTH(A197)&gt;=6,MONTH(A197)&lt;=8,OR($O$37="REGION 2",$O$37="REGION 2A",$O$37="REGION 2B",$O$37="REGION 3",$O$37="REGION 3A",$O$37="REGION 3B",$O$37="REGION 3C",$O$37="REGION 4",$O$37="REGION 4B",$O$37="REGION 4C",$O$37="REGION 5",$O$37="REGION 5A")),((0.059228/(B197/100))-(0.4980013/(SQRT(B197/100)))+2.137988),HLOOKUP(MONTH(A197),ScalarTable,28))),1))</f>
        <v> </v>
      </c>
      <c r="F197" s="439" t="str">
        <f aca="false">IF(A197="N/A"," ",B197*E197)</f>
        <v> </v>
      </c>
      <c r="G197" s="439" t="str">
        <f aca="false">IF(A197="N/A"," ",C197*E197)</f>
        <v> </v>
      </c>
      <c r="H197" s="440" t="str">
        <f aca="false">IF(A197="N/A"," ",D197*E197)</f>
        <v> </v>
      </c>
      <c r="I197" s="402" t="str">
        <f aca="false">IF(A197="N/A"," ",2-E197)</f>
        <v> </v>
      </c>
      <c r="J197" s="439" t="str">
        <f aca="false">IF(A197="N/A"," ",B197*I197)</f>
        <v> </v>
      </c>
      <c r="K197" s="439" t="str">
        <f aca="false">IF(A197="N/A"," ",C197*I197)</f>
        <v> </v>
      </c>
      <c r="L197" s="440" t="str">
        <f aca="false">IF(A197="N/A"," ",D197*I197)</f>
        <v> </v>
      </c>
      <c r="M197" s="441" t="str">
        <f aca="false">IF(A197="N/A"," ",IF(ISERROR(S197),M185*Pwresc,S197))</f>
        <v> </v>
      </c>
      <c r="N197" s="442" t="str">
        <f aca="false">IF(A197="N/A"," ",SUM(T197:X197))</f>
        <v> </v>
      </c>
      <c r="O197" s="370"/>
      <c r="P197" s="436" t="str">
        <f aca="false">IF(A197="N/A"," ",VLOOKUP(A197,PeakPowerCurves,(IF(BMO=2,3,IF(BMO=1,2,4))),FALSE())+Inputs!N180)</f>
        <v> </v>
      </c>
      <c r="Q197" s="436" t="str">
        <f aca="false">IF(A197="N/A"," ",VLOOKUP(A197,SatSunPeakPwr,(IF(BMO=2,3,IF(BMO=1,2,4))),FALSE())+Inputs!$N$23)</f>
        <v> </v>
      </c>
      <c r="R197" s="436" t="str">
        <f aca="false">IF(A197="N/A"," ",VLOOKUP(A197,SatSunPeakPwr,(IF(BMO=2,7,IF(BMO=1,6,8))),FALSE())+Inputs!$N$23)</f>
        <v> </v>
      </c>
      <c r="S197" s="443" t="str">
        <f aca="false">IF(A197="N/A"," ",(VLOOKUP(A197,OPPowerPrices,(IF(BMO=2,7,IF(BMO=1,6,8))),FALSE())+Inputs!$N$23))</f>
        <v> </v>
      </c>
      <c r="T197" s="444" t="str">
        <f aca="false">IF(A197="N/A"," ",(VLOOKUP(A197,GasCurves,9,FALSE()))+IF(BMO=1,Gasbmo,IF(BMO=3,-Gasbmo,0)))</f>
        <v> </v>
      </c>
      <c r="U197" s="444" t="str">
        <f aca="false">IF(A197="N/A"," ",IF(Basischeck=TRUE(),(VLOOKUP(A197,GasCurves,IF(MONTH(A197)&gt;=4,IF(MONTH(A197)&lt;=10,11,12),12),FALSE())),0))</f>
        <v> </v>
      </c>
      <c r="V197" s="444" t="str">
        <f aca="false">IF(A197="N/A"," ",IF(Indexcheck=TRUE(),(IF(MONTH(A197)&gt;=4,IF(MONTH(A197)&lt;=10,VLOOKUP(A197,'Gas Curves'!B175:O535,13),VLOOKUP(A197,'Gas Curves'!B175:O535,14)),VLOOKUP(A197,'Gas Curves'!B175:O535,14))),0))</f>
        <v> </v>
      </c>
      <c r="W197" s="444" t="str">
        <f aca="false">IF(A197="N/A"," ",((SUM(T197:V197))/(1-Inputs!$S$11)-(SUM(T197:V197))))</f>
        <v> </v>
      </c>
      <c r="X197" s="444" t="str">
        <f aca="false">IF(A197="N/A"," ",(IF(MONTH(A197)&gt;=4,IF(MONTH(A197)&lt;=10,Inputs!$S$9,Inputs!$S$10),Inputs!$S$10)))</f>
        <v> </v>
      </c>
      <c r="Y197" s="445" t="str">
        <f aca="false">IF(A197="N/A"," ",(VLOOKUP($A197,InterestRatesTable,2)))</f>
        <v> </v>
      </c>
      <c r="AF197" s="386" t="n">
        <v>42430</v>
      </c>
      <c r="AG197" s="376" t="n">
        <v>23</v>
      </c>
      <c r="AH197" s="376" t="n">
        <v>4</v>
      </c>
      <c r="AI197" s="376" t="n">
        <v>4</v>
      </c>
      <c r="AJ197" s="376" t="n">
        <v>0</v>
      </c>
      <c r="AK197" s="376" t="n">
        <v>31</v>
      </c>
    </row>
    <row r="198" customFormat="false" ht="12.75" hidden="false" customHeight="false" outlineLevel="0" collapsed="false">
      <c r="A198" s="434" t="str">
        <f aca="false">Calculations!A163</f>
        <v>N/A</v>
      </c>
      <c r="B198" s="435" t="str">
        <f aca="false">IF(A198="N/A"," ",IF(ISERROR(P198),B186*Pwresc,P198)*VLOOKUP(MONTH(A198),Curveadj,3))</f>
        <v> </v>
      </c>
      <c r="C198" s="436" t="str">
        <f aca="false">IF(A198="N/A"," ",IF(ISERROR(Q198),C186*Pwresc,Q198)*VLOOKUP(MONTH(A198),Curveadj,3))</f>
        <v> </v>
      </c>
      <c r="D198" s="437" t="str">
        <f aca="false">IF(A198="N/A"," ",IF(ISERROR(R198),D186*Pwresc,R198)*VLOOKUP(MONTH(A198),Curveadj,3))</f>
        <v> </v>
      </c>
      <c r="E198" s="438" t="str">
        <f aca="false">IF(A198="N/A"," ",IF(Scalers=1,(IF(AND(Dynamic=1,MONTH(A198)&gt;=6,MONTH(A198)&lt;=8,OR($O$37="REGION 2",$O$37="REGION 2A",$O$37="REGION 2B",$O$37="REGION 3",$O$37="REGION 3A",$O$37="REGION 3B",$O$37="REGION 3C",$O$37="REGION 4",$O$37="REGION 4B",$O$37="REGION 4C",$O$37="REGION 5",$O$37="REGION 5A")),((0.059228/(B198/100))-(0.4980013/(SQRT(B198/100)))+2.137988),HLOOKUP(MONTH(A198),ScalarTable,28))),1))</f>
        <v> </v>
      </c>
      <c r="F198" s="439" t="str">
        <f aca="false">IF(A198="N/A"," ",B198*E198)</f>
        <v> </v>
      </c>
      <c r="G198" s="439" t="str">
        <f aca="false">IF(A198="N/A"," ",C198*E198)</f>
        <v> </v>
      </c>
      <c r="H198" s="440" t="str">
        <f aca="false">IF(A198="N/A"," ",D198*E198)</f>
        <v> </v>
      </c>
      <c r="I198" s="402" t="str">
        <f aca="false">IF(A198="N/A"," ",2-E198)</f>
        <v> </v>
      </c>
      <c r="J198" s="439" t="str">
        <f aca="false">IF(A198="N/A"," ",B198*I198)</f>
        <v> </v>
      </c>
      <c r="K198" s="439" t="str">
        <f aca="false">IF(A198="N/A"," ",C198*I198)</f>
        <v> </v>
      </c>
      <c r="L198" s="440" t="str">
        <f aca="false">IF(A198="N/A"," ",D198*I198)</f>
        <v> </v>
      </c>
      <c r="M198" s="441" t="str">
        <f aca="false">IF(A198="N/A"," ",IF(ISERROR(S198),M186*Pwresc,S198))</f>
        <v> </v>
      </c>
      <c r="N198" s="442" t="str">
        <f aca="false">IF(A198="N/A"," ",SUM(T198:X198))</f>
        <v> </v>
      </c>
      <c r="O198" s="370"/>
      <c r="P198" s="436" t="str">
        <f aca="false">IF(A198="N/A"," ",VLOOKUP(A198,PeakPowerCurves,(IF(BMO=2,3,IF(BMO=1,2,4))),FALSE())+Inputs!N181)</f>
        <v> </v>
      </c>
      <c r="Q198" s="436" t="str">
        <f aca="false">IF(A198="N/A"," ",VLOOKUP(A198,SatSunPeakPwr,(IF(BMO=2,3,IF(BMO=1,2,4))),FALSE())+Inputs!$N$23)</f>
        <v> </v>
      </c>
      <c r="R198" s="436" t="str">
        <f aca="false">IF(A198="N/A"," ",VLOOKUP(A198,SatSunPeakPwr,(IF(BMO=2,7,IF(BMO=1,6,8))),FALSE())+Inputs!$N$23)</f>
        <v> </v>
      </c>
      <c r="S198" s="443" t="str">
        <f aca="false">IF(A198="N/A"," ",(VLOOKUP(A198,OPPowerPrices,(IF(BMO=2,7,IF(BMO=1,6,8))),FALSE())+Inputs!$N$23))</f>
        <v> </v>
      </c>
      <c r="T198" s="444" t="str">
        <f aca="false">IF(A198="N/A"," ",(VLOOKUP(A198,GasCurves,9,FALSE()))+IF(BMO=1,Gasbmo,IF(BMO=3,-Gasbmo,0)))</f>
        <v> </v>
      </c>
      <c r="U198" s="444" t="str">
        <f aca="false">IF(A198="N/A"," ",IF(Basischeck=TRUE(),(VLOOKUP(A198,GasCurves,IF(MONTH(A198)&gt;=4,IF(MONTH(A198)&lt;=10,11,12),12),FALSE())),0))</f>
        <v> </v>
      </c>
      <c r="V198" s="444" t="str">
        <f aca="false">IF(A198="N/A"," ",IF(Indexcheck=TRUE(),(IF(MONTH(A198)&gt;=4,IF(MONTH(A198)&lt;=10,VLOOKUP(A198,'Gas Curves'!B176:O536,13),VLOOKUP(A198,'Gas Curves'!B176:O536,14)),VLOOKUP(A198,'Gas Curves'!B176:O536,14))),0))</f>
        <v> </v>
      </c>
      <c r="W198" s="444" t="str">
        <f aca="false">IF(A198="N/A"," ",((SUM(T198:V198))/(1-Inputs!$S$11)-(SUM(T198:V198))))</f>
        <v> </v>
      </c>
      <c r="X198" s="444" t="str">
        <f aca="false">IF(A198="N/A"," ",(IF(MONTH(A198)&gt;=4,IF(MONTH(A198)&lt;=10,Inputs!$S$9,Inputs!$S$10),Inputs!$S$10)))</f>
        <v> </v>
      </c>
      <c r="Y198" s="445" t="str">
        <f aca="false">IF(A198="N/A"," ",(VLOOKUP($A198,InterestRatesTable,2)))</f>
        <v> </v>
      </c>
      <c r="AF198" s="386" t="n">
        <v>42461</v>
      </c>
      <c r="AG198" s="376" t="n">
        <v>21</v>
      </c>
      <c r="AH198" s="376" t="n">
        <v>5</v>
      </c>
      <c r="AI198" s="376" t="n">
        <v>4</v>
      </c>
      <c r="AJ198" s="376" t="n">
        <v>0</v>
      </c>
      <c r="AK198" s="376" t="n">
        <v>30</v>
      </c>
    </row>
    <row r="199" customFormat="false" ht="12.75" hidden="false" customHeight="false" outlineLevel="0" collapsed="false">
      <c r="A199" s="434" t="str">
        <f aca="false">Calculations!A164</f>
        <v>N/A</v>
      </c>
      <c r="B199" s="435" t="str">
        <f aca="false">IF(A199="N/A"," ",IF(ISERROR(P199),B187*Pwresc,P199)*VLOOKUP(MONTH(A199),Curveadj,3))</f>
        <v> </v>
      </c>
      <c r="C199" s="436" t="str">
        <f aca="false">IF(A199="N/A"," ",IF(ISERROR(Q199),C187*Pwresc,Q199)*VLOOKUP(MONTH(A199),Curveadj,3))</f>
        <v> </v>
      </c>
      <c r="D199" s="437" t="str">
        <f aca="false">IF(A199="N/A"," ",IF(ISERROR(R199),D187*Pwresc,R199)*VLOOKUP(MONTH(A199),Curveadj,3))</f>
        <v> </v>
      </c>
      <c r="E199" s="438" t="str">
        <f aca="false">IF(A199="N/A"," ",IF(Scalers=1,(IF(AND(Dynamic=1,MONTH(A199)&gt;=6,MONTH(A199)&lt;=8,OR($O$37="REGION 2",$O$37="REGION 2A",$O$37="REGION 2B",$O$37="REGION 3",$O$37="REGION 3A",$O$37="REGION 3B",$O$37="REGION 3C",$O$37="REGION 4",$O$37="REGION 4B",$O$37="REGION 4C",$O$37="REGION 5",$O$37="REGION 5A")),((0.059228/(B199/100))-(0.4980013/(SQRT(B199/100)))+2.137988),HLOOKUP(MONTH(A199),ScalarTable,28))),1))</f>
        <v> </v>
      </c>
      <c r="F199" s="439" t="str">
        <f aca="false">IF(A199="N/A"," ",B199*E199)</f>
        <v> </v>
      </c>
      <c r="G199" s="439" t="str">
        <f aca="false">IF(A199="N/A"," ",C199*E199)</f>
        <v> </v>
      </c>
      <c r="H199" s="440" t="str">
        <f aca="false">IF(A199="N/A"," ",D199*E199)</f>
        <v> </v>
      </c>
      <c r="I199" s="402" t="str">
        <f aca="false">IF(A199="N/A"," ",2-E199)</f>
        <v> </v>
      </c>
      <c r="J199" s="439" t="str">
        <f aca="false">IF(A199="N/A"," ",B199*I199)</f>
        <v> </v>
      </c>
      <c r="K199" s="439" t="str">
        <f aca="false">IF(A199="N/A"," ",C199*I199)</f>
        <v> </v>
      </c>
      <c r="L199" s="440" t="str">
        <f aca="false">IF(A199="N/A"," ",D199*I199)</f>
        <v> </v>
      </c>
      <c r="M199" s="441" t="str">
        <f aca="false">IF(A199="N/A"," ",IF(ISERROR(S199),M187*Pwresc,S199))</f>
        <v> </v>
      </c>
      <c r="N199" s="442" t="str">
        <f aca="false">IF(A199="N/A"," ",SUM(T199:X199))</f>
        <v> </v>
      </c>
      <c r="O199" s="370"/>
      <c r="P199" s="436" t="str">
        <f aca="false">IF(A199="N/A"," ",VLOOKUP(A199,PeakPowerCurves,(IF(BMO=2,3,IF(BMO=1,2,4))),FALSE())+Inputs!N182)</f>
        <v> </v>
      </c>
      <c r="Q199" s="436" t="str">
        <f aca="false">IF(A199="N/A"," ",VLOOKUP(A199,SatSunPeakPwr,(IF(BMO=2,3,IF(BMO=1,2,4))),FALSE())+Inputs!$N$23)</f>
        <v> </v>
      </c>
      <c r="R199" s="436" t="str">
        <f aca="false">IF(A199="N/A"," ",VLOOKUP(A199,SatSunPeakPwr,(IF(BMO=2,7,IF(BMO=1,6,8))),FALSE())+Inputs!$N$23)</f>
        <v> </v>
      </c>
      <c r="S199" s="443" t="str">
        <f aca="false">IF(A199="N/A"," ",(VLOOKUP(A199,OPPowerPrices,(IF(BMO=2,7,IF(BMO=1,6,8))),FALSE())+Inputs!$N$23))</f>
        <v> </v>
      </c>
      <c r="T199" s="444" t="str">
        <f aca="false">IF(A199="N/A"," ",(VLOOKUP(A199,GasCurves,9,FALSE()))+IF(BMO=1,Gasbmo,IF(BMO=3,-Gasbmo,0)))</f>
        <v> </v>
      </c>
      <c r="U199" s="444" t="str">
        <f aca="false">IF(A199="N/A"," ",IF(Basischeck=TRUE(),(VLOOKUP(A199,GasCurves,IF(MONTH(A199)&gt;=4,IF(MONTH(A199)&lt;=10,11,12),12),FALSE())),0))</f>
        <v> </v>
      </c>
      <c r="V199" s="444" t="str">
        <f aca="false">IF(A199="N/A"," ",IF(Indexcheck=TRUE(),(IF(MONTH(A199)&gt;=4,IF(MONTH(A199)&lt;=10,VLOOKUP(A199,'Gas Curves'!B177:O537,13),VLOOKUP(A199,'Gas Curves'!B177:O537,14)),VLOOKUP(A199,'Gas Curves'!B177:O537,14))),0))</f>
        <v> </v>
      </c>
      <c r="W199" s="444" t="str">
        <f aca="false">IF(A199="N/A"," ",((SUM(T199:V199))/(1-Inputs!$S$11)-(SUM(T199:V199))))</f>
        <v> </v>
      </c>
      <c r="X199" s="444" t="str">
        <f aca="false">IF(A199="N/A"," ",(IF(MONTH(A199)&gt;=4,IF(MONTH(A199)&lt;=10,Inputs!$S$9,Inputs!$S$10),Inputs!$S$10)))</f>
        <v> </v>
      </c>
      <c r="Y199" s="445" t="str">
        <f aca="false">IF(A199="N/A"," ",(VLOOKUP($A199,InterestRatesTable,2)))</f>
        <v> </v>
      </c>
      <c r="AF199" s="386" t="n">
        <v>42491</v>
      </c>
      <c r="AG199" s="376" t="n">
        <v>21</v>
      </c>
      <c r="AH199" s="376" t="n">
        <v>4</v>
      </c>
      <c r="AI199" s="376" t="n">
        <v>6</v>
      </c>
      <c r="AJ199" s="376" t="n">
        <v>1</v>
      </c>
      <c r="AK199" s="376" t="n">
        <v>31</v>
      </c>
    </row>
    <row r="200" customFormat="false" ht="12.75" hidden="false" customHeight="false" outlineLevel="0" collapsed="false">
      <c r="A200" s="434" t="str">
        <f aca="false">Calculations!A165</f>
        <v>N/A</v>
      </c>
      <c r="B200" s="435" t="str">
        <f aca="false">IF(A200="N/A"," ",IF(ISERROR(P200),B188*Pwresc,P200)*VLOOKUP(MONTH(A200),Curveadj,3))</f>
        <v> </v>
      </c>
      <c r="C200" s="436" t="str">
        <f aca="false">IF(A200="N/A"," ",IF(ISERROR(Q200),C188*Pwresc,Q200)*VLOOKUP(MONTH(A200),Curveadj,3))</f>
        <v> </v>
      </c>
      <c r="D200" s="437" t="str">
        <f aca="false">IF(A200="N/A"," ",IF(ISERROR(R200),D188*Pwresc,R200)*VLOOKUP(MONTH(A200),Curveadj,3))</f>
        <v> </v>
      </c>
      <c r="E200" s="438" t="str">
        <f aca="false">IF(A200="N/A"," ",IF(Scalers=1,(IF(AND(Dynamic=1,MONTH(A200)&gt;=6,MONTH(A200)&lt;=8,OR($O$37="REGION 2",$O$37="REGION 2A",$O$37="REGION 2B",$O$37="REGION 3",$O$37="REGION 3A",$O$37="REGION 3B",$O$37="REGION 3C",$O$37="REGION 4",$O$37="REGION 4B",$O$37="REGION 4C",$O$37="REGION 5",$O$37="REGION 5A")),((0.059228/(B200/100))-(0.4980013/(SQRT(B200/100)))+2.137988),HLOOKUP(MONTH(A200),ScalarTable,28))),1))</f>
        <v> </v>
      </c>
      <c r="F200" s="439" t="str">
        <f aca="false">IF(A200="N/A"," ",B200*E200)</f>
        <v> </v>
      </c>
      <c r="G200" s="439" t="str">
        <f aca="false">IF(A200="N/A"," ",C200*E200)</f>
        <v> </v>
      </c>
      <c r="H200" s="440" t="str">
        <f aca="false">IF(A200="N/A"," ",D200*E200)</f>
        <v> </v>
      </c>
      <c r="I200" s="402" t="str">
        <f aca="false">IF(A200="N/A"," ",2-E200)</f>
        <v> </v>
      </c>
      <c r="J200" s="439" t="str">
        <f aca="false">IF(A200="N/A"," ",B200*I200)</f>
        <v> </v>
      </c>
      <c r="K200" s="439" t="str">
        <f aca="false">IF(A200="N/A"," ",C200*I200)</f>
        <v> </v>
      </c>
      <c r="L200" s="440" t="str">
        <f aca="false">IF(A200="N/A"," ",D200*I200)</f>
        <v> </v>
      </c>
      <c r="M200" s="441" t="str">
        <f aca="false">IF(A200="N/A"," ",IF(ISERROR(S200),M188*Pwresc,S200))</f>
        <v> </v>
      </c>
      <c r="N200" s="442" t="str">
        <f aca="false">IF(A200="N/A"," ",SUM(T200:X200))</f>
        <v> </v>
      </c>
      <c r="O200" s="370"/>
      <c r="P200" s="436" t="str">
        <f aca="false">IF(A200="N/A"," ",VLOOKUP(A200,PeakPowerCurves,(IF(BMO=2,3,IF(BMO=1,2,4))),FALSE())+Inputs!N183)</f>
        <v> </v>
      </c>
      <c r="Q200" s="436" t="str">
        <f aca="false">IF(A200="N/A"," ",VLOOKUP(A200,SatSunPeakPwr,(IF(BMO=2,3,IF(BMO=1,2,4))),FALSE())+Inputs!$N$23)</f>
        <v> </v>
      </c>
      <c r="R200" s="436" t="str">
        <f aca="false">IF(A200="N/A"," ",VLOOKUP(A200,SatSunPeakPwr,(IF(BMO=2,7,IF(BMO=1,6,8))),FALSE())+Inputs!$N$23)</f>
        <v> </v>
      </c>
      <c r="S200" s="443" t="str">
        <f aca="false">IF(A200="N/A"," ",(VLOOKUP(A200,OPPowerPrices,(IF(BMO=2,7,IF(BMO=1,6,8))),FALSE())+Inputs!$N$23))</f>
        <v> </v>
      </c>
      <c r="T200" s="444" t="str">
        <f aca="false">IF(A200="N/A"," ",(VLOOKUP(A200,GasCurves,9,FALSE()))+IF(BMO=1,Gasbmo,IF(BMO=3,-Gasbmo,0)))</f>
        <v> </v>
      </c>
      <c r="U200" s="444" t="str">
        <f aca="false">IF(A200="N/A"," ",IF(Basischeck=TRUE(),(VLOOKUP(A200,GasCurves,IF(MONTH(A200)&gt;=4,IF(MONTH(A200)&lt;=10,11,12),12),FALSE())),0))</f>
        <v> </v>
      </c>
      <c r="V200" s="444" t="str">
        <f aca="false">IF(A200="N/A"," ",IF(Indexcheck=TRUE(),(IF(MONTH(A200)&gt;=4,IF(MONTH(A200)&lt;=10,VLOOKUP(A200,'Gas Curves'!B178:O538,13),VLOOKUP(A200,'Gas Curves'!B178:O538,14)),VLOOKUP(A200,'Gas Curves'!B178:O538,14))),0))</f>
        <v> </v>
      </c>
      <c r="W200" s="444" t="str">
        <f aca="false">IF(A200="N/A"," ",((SUM(T200:V200))/(1-Inputs!$S$11)-(SUM(T200:V200))))</f>
        <v> </v>
      </c>
      <c r="X200" s="444" t="str">
        <f aca="false">IF(A200="N/A"," ",(IF(MONTH(A200)&gt;=4,IF(MONTH(A200)&lt;=10,Inputs!$S$9,Inputs!$S$10),Inputs!$S$10)))</f>
        <v> </v>
      </c>
      <c r="Y200" s="445" t="str">
        <f aca="false">IF(A200="N/A"," ",(VLOOKUP($A200,InterestRatesTable,2)))</f>
        <v> </v>
      </c>
      <c r="AF200" s="386" t="n">
        <v>42522</v>
      </c>
      <c r="AG200" s="376" t="n">
        <v>22</v>
      </c>
      <c r="AH200" s="376" t="n">
        <v>4</v>
      </c>
      <c r="AI200" s="376" t="n">
        <v>4</v>
      </c>
      <c r="AJ200" s="376" t="n">
        <v>0</v>
      </c>
      <c r="AK200" s="376" t="n">
        <v>30</v>
      </c>
    </row>
    <row r="201" customFormat="false" ht="12.75" hidden="false" customHeight="false" outlineLevel="0" collapsed="false">
      <c r="A201" s="434" t="str">
        <f aca="false">Calculations!A166</f>
        <v>N/A</v>
      </c>
      <c r="B201" s="435" t="str">
        <f aca="false">IF(A201="N/A"," ",IF(ISERROR(P201),B189*Pwresc,P201)*VLOOKUP(MONTH(A201),Curveadj,3))</f>
        <v> </v>
      </c>
      <c r="C201" s="436" t="str">
        <f aca="false">IF(A201="N/A"," ",IF(ISERROR(Q201),C189*Pwresc,Q201)*VLOOKUP(MONTH(A201),Curveadj,3))</f>
        <v> </v>
      </c>
      <c r="D201" s="437" t="str">
        <f aca="false">IF(A201="N/A"," ",IF(ISERROR(R201),D189*Pwresc,R201)*VLOOKUP(MONTH(A201),Curveadj,3))</f>
        <v> </v>
      </c>
      <c r="E201" s="438" t="str">
        <f aca="false">IF(A201="N/A"," ",IF(Scalers=1,(IF(AND(Dynamic=1,MONTH(A201)&gt;=6,MONTH(A201)&lt;=8,OR($O$37="REGION 2",$O$37="REGION 2A",$O$37="REGION 2B",$O$37="REGION 3",$O$37="REGION 3A",$O$37="REGION 3B",$O$37="REGION 3C",$O$37="REGION 4",$O$37="REGION 4B",$O$37="REGION 4C",$O$37="REGION 5",$O$37="REGION 5A")),((0.059228/(B201/100))-(0.4980013/(SQRT(B201/100)))+2.137988),HLOOKUP(MONTH(A201),ScalarTable,28))),1))</f>
        <v> </v>
      </c>
      <c r="F201" s="439" t="str">
        <f aca="false">IF(A201="N/A"," ",B201*E201)</f>
        <v> </v>
      </c>
      <c r="G201" s="439" t="str">
        <f aca="false">IF(A201="N/A"," ",C201*E201)</f>
        <v> </v>
      </c>
      <c r="H201" s="440" t="str">
        <f aca="false">IF(A201="N/A"," ",D201*E201)</f>
        <v> </v>
      </c>
      <c r="I201" s="402" t="str">
        <f aca="false">IF(A201="N/A"," ",2-E201)</f>
        <v> </v>
      </c>
      <c r="J201" s="439" t="str">
        <f aca="false">IF(A201="N/A"," ",B201*I201)</f>
        <v> </v>
      </c>
      <c r="K201" s="439" t="str">
        <f aca="false">IF(A201="N/A"," ",C201*I201)</f>
        <v> </v>
      </c>
      <c r="L201" s="440" t="str">
        <f aca="false">IF(A201="N/A"," ",D201*I201)</f>
        <v> </v>
      </c>
      <c r="M201" s="441" t="str">
        <f aca="false">IF(A201="N/A"," ",IF(ISERROR(S201),M189*Pwresc,S201))</f>
        <v> </v>
      </c>
      <c r="N201" s="442" t="str">
        <f aca="false">IF(A201="N/A"," ",SUM(T201:X201))</f>
        <v> </v>
      </c>
      <c r="O201" s="370"/>
      <c r="P201" s="436" t="str">
        <f aca="false">IF(A201="N/A"," ",VLOOKUP(A201,PeakPowerCurves,(IF(BMO=2,3,IF(BMO=1,2,4))),FALSE())+Inputs!N184)</f>
        <v> </v>
      </c>
      <c r="Q201" s="436" t="str">
        <f aca="false">IF(A201="N/A"," ",VLOOKUP(A201,SatSunPeakPwr,(IF(BMO=2,3,IF(BMO=1,2,4))),FALSE())+Inputs!$N$23)</f>
        <v> </v>
      </c>
      <c r="R201" s="436" t="str">
        <f aca="false">IF(A201="N/A"," ",VLOOKUP(A201,SatSunPeakPwr,(IF(BMO=2,7,IF(BMO=1,6,8))),FALSE())+Inputs!$N$23)</f>
        <v> </v>
      </c>
      <c r="S201" s="443" t="str">
        <f aca="false">IF(A201="N/A"," ",(VLOOKUP(A201,OPPowerPrices,(IF(BMO=2,7,IF(BMO=1,6,8))),FALSE())+Inputs!$N$23))</f>
        <v> </v>
      </c>
      <c r="T201" s="444" t="str">
        <f aca="false">IF(A201="N/A"," ",(VLOOKUP(A201,GasCurves,9,FALSE()))+IF(BMO=1,Gasbmo,IF(BMO=3,-Gasbmo,0)))</f>
        <v> </v>
      </c>
      <c r="U201" s="444" t="str">
        <f aca="false">IF(A201="N/A"," ",IF(Basischeck=TRUE(),(VLOOKUP(A201,GasCurves,IF(MONTH(A201)&gt;=4,IF(MONTH(A201)&lt;=10,11,12),12),FALSE())),0))</f>
        <v> </v>
      </c>
      <c r="V201" s="444" t="str">
        <f aca="false">IF(A201="N/A"," ",IF(Indexcheck=TRUE(),(IF(MONTH(A201)&gt;=4,IF(MONTH(A201)&lt;=10,VLOOKUP(A201,'Gas Curves'!B179:O539,13),VLOOKUP(A201,'Gas Curves'!B179:O539,14)),VLOOKUP(A201,'Gas Curves'!B179:O539,14))),0))</f>
        <v> </v>
      </c>
      <c r="W201" s="444" t="str">
        <f aca="false">IF(A201="N/A"," ",((SUM(T201:V201))/(1-Inputs!$S$11)-(SUM(T201:V201))))</f>
        <v> </v>
      </c>
      <c r="X201" s="444" t="str">
        <f aca="false">IF(A201="N/A"," ",(IF(MONTH(A201)&gt;=4,IF(MONTH(A201)&lt;=10,Inputs!$S$9,Inputs!$S$10),Inputs!$S$10)))</f>
        <v> </v>
      </c>
      <c r="Y201" s="445" t="str">
        <f aca="false">IF(A201="N/A"," ",(VLOOKUP($A201,InterestRatesTable,2)))</f>
        <v> </v>
      </c>
      <c r="AF201" s="386" t="n">
        <v>42552</v>
      </c>
      <c r="AG201" s="376" t="n">
        <v>20</v>
      </c>
      <c r="AH201" s="376" t="n">
        <v>5</v>
      </c>
      <c r="AI201" s="376" t="n">
        <v>6</v>
      </c>
      <c r="AJ201" s="376" t="n">
        <v>1</v>
      </c>
      <c r="AK201" s="376" t="n">
        <v>31</v>
      </c>
    </row>
    <row r="202" customFormat="false" ht="12.75" hidden="false" customHeight="false" outlineLevel="0" collapsed="false">
      <c r="A202" s="434" t="str">
        <f aca="false">Calculations!A167</f>
        <v>N/A</v>
      </c>
      <c r="B202" s="435" t="str">
        <f aca="false">IF(A202="N/A"," ",IF(ISERROR(P202),B190*Pwresc,P202)*VLOOKUP(MONTH(A202),Curveadj,3))</f>
        <v> </v>
      </c>
      <c r="C202" s="436" t="str">
        <f aca="false">IF(A202="N/A"," ",IF(ISERROR(Q202),C190*Pwresc,Q202)*VLOOKUP(MONTH(A202),Curveadj,3))</f>
        <v> </v>
      </c>
      <c r="D202" s="437" t="str">
        <f aca="false">IF(A202="N/A"," ",IF(ISERROR(R202),D190*Pwresc,R202)*VLOOKUP(MONTH(A202),Curveadj,3))</f>
        <v> </v>
      </c>
      <c r="E202" s="438" t="str">
        <f aca="false">IF(A202="N/A"," ",IF(Scalers=1,(IF(AND(Dynamic=1,MONTH(A202)&gt;=6,MONTH(A202)&lt;=8,OR($O$37="REGION 2",$O$37="REGION 2A",$O$37="REGION 2B",$O$37="REGION 3",$O$37="REGION 3A",$O$37="REGION 3B",$O$37="REGION 3C",$O$37="REGION 4",$O$37="REGION 4B",$O$37="REGION 4C",$O$37="REGION 5",$O$37="REGION 5A")),((0.059228/(B202/100))-(0.4980013/(SQRT(B202/100)))+2.137988),HLOOKUP(MONTH(A202),ScalarTable,28))),1))</f>
        <v> </v>
      </c>
      <c r="F202" s="439" t="str">
        <f aca="false">IF(A202="N/A"," ",B202*E202)</f>
        <v> </v>
      </c>
      <c r="G202" s="439" t="str">
        <f aca="false">IF(A202="N/A"," ",C202*E202)</f>
        <v> </v>
      </c>
      <c r="H202" s="440" t="str">
        <f aca="false">IF(A202="N/A"," ",D202*E202)</f>
        <v> </v>
      </c>
      <c r="I202" s="402" t="str">
        <f aca="false">IF(A202="N/A"," ",2-E202)</f>
        <v> </v>
      </c>
      <c r="J202" s="439" t="str">
        <f aca="false">IF(A202="N/A"," ",B202*I202)</f>
        <v> </v>
      </c>
      <c r="K202" s="439" t="str">
        <f aca="false">IF(A202="N/A"," ",C202*I202)</f>
        <v> </v>
      </c>
      <c r="L202" s="440" t="str">
        <f aca="false">IF(A202="N/A"," ",D202*I202)</f>
        <v> </v>
      </c>
      <c r="M202" s="441" t="str">
        <f aca="false">IF(A202="N/A"," ",IF(ISERROR(S202),M190*Pwresc,S202))</f>
        <v> </v>
      </c>
      <c r="N202" s="442" t="str">
        <f aca="false">IF(A202="N/A"," ",SUM(T202:X202))</f>
        <v> </v>
      </c>
      <c r="O202" s="370"/>
      <c r="P202" s="436" t="str">
        <f aca="false">IF(A202="N/A"," ",VLOOKUP(A202,PeakPowerCurves,(IF(BMO=2,3,IF(BMO=1,2,4))),FALSE())+Inputs!N185)</f>
        <v> </v>
      </c>
      <c r="Q202" s="436" t="str">
        <f aca="false">IF(A202="N/A"," ",VLOOKUP(A202,SatSunPeakPwr,(IF(BMO=2,3,IF(BMO=1,2,4))),FALSE())+Inputs!$N$23)</f>
        <v> </v>
      </c>
      <c r="R202" s="436" t="str">
        <f aca="false">IF(A202="N/A"," ",VLOOKUP(A202,SatSunPeakPwr,(IF(BMO=2,7,IF(BMO=1,6,8))),FALSE())+Inputs!$N$23)</f>
        <v> </v>
      </c>
      <c r="S202" s="443" t="str">
        <f aca="false">IF(A202="N/A"," ",(VLOOKUP(A202,OPPowerPrices,(IF(BMO=2,7,IF(BMO=1,6,8))),FALSE())+Inputs!$N$23))</f>
        <v> </v>
      </c>
      <c r="T202" s="444" t="str">
        <f aca="false">IF(A202="N/A"," ",(VLOOKUP(A202,GasCurves,9,FALSE()))+IF(BMO=1,Gasbmo,IF(BMO=3,-Gasbmo,0)))</f>
        <v> </v>
      </c>
      <c r="U202" s="444" t="str">
        <f aca="false">IF(A202="N/A"," ",IF(Basischeck=TRUE(),(VLOOKUP(A202,GasCurves,IF(MONTH(A202)&gt;=4,IF(MONTH(A202)&lt;=10,11,12),12),FALSE())),0))</f>
        <v> </v>
      </c>
      <c r="V202" s="444" t="str">
        <f aca="false">IF(A202="N/A"," ",IF(Indexcheck=TRUE(),(IF(MONTH(A202)&gt;=4,IF(MONTH(A202)&lt;=10,VLOOKUP(A202,'Gas Curves'!B180:O540,13),VLOOKUP(A202,'Gas Curves'!B180:O540,14)),VLOOKUP(A202,'Gas Curves'!B180:O540,14))),0))</f>
        <v> </v>
      </c>
      <c r="W202" s="444" t="str">
        <f aca="false">IF(A202="N/A"," ",((SUM(T202:V202))/(1-Inputs!$S$11)-(SUM(T202:V202))))</f>
        <v> </v>
      </c>
      <c r="X202" s="444" t="str">
        <f aca="false">IF(A202="N/A"," ",(IF(MONTH(A202)&gt;=4,IF(MONTH(A202)&lt;=10,Inputs!$S$9,Inputs!$S$10),Inputs!$S$10)))</f>
        <v> </v>
      </c>
      <c r="Y202" s="445" t="str">
        <f aca="false">IF(A202="N/A"," ",(VLOOKUP($A202,InterestRatesTable,2)))</f>
        <v> </v>
      </c>
      <c r="AF202" s="386" t="n">
        <v>42583</v>
      </c>
      <c r="AG202" s="376" t="n">
        <v>23</v>
      </c>
      <c r="AH202" s="376" t="n">
        <v>4</v>
      </c>
      <c r="AI202" s="376" t="n">
        <v>4</v>
      </c>
      <c r="AJ202" s="376" t="n">
        <v>0</v>
      </c>
      <c r="AK202" s="376" t="n">
        <v>31</v>
      </c>
    </row>
    <row r="203" customFormat="false" ht="12.75" hidden="false" customHeight="false" outlineLevel="0" collapsed="false">
      <c r="A203" s="434" t="str">
        <f aca="false">Calculations!A168</f>
        <v>N/A</v>
      </c>
      <c r="B203" s="435" t="str">
        <f aca="false">IF(A203="N/A"," ",IF(ISERROR(P203),B191*Pwresc,P203)*VLOOKUP(MONTH(A203),Curveadj,3))</f>
        <v> </v>
      </c>
      <c r="C203" s="436" t="str">
        <f aca="false">IF(A203="N/A"," ",IF(ISERROR(Q203),C191*Pwresc,Q203)*VLOOKUP(MONTH(A203),Curveadj,3))</f>
        <v> </v>
      </c>
      <c r="D203" s="437" t="str">
        <f aca="false">IF(A203="N/A"," ",IF(ISERROR(R203),D191*Pwresc,R203)*VLOOKUP(MONTH(A203),Curveadj,3))</f>
        <v> </v>
      </c>
      <c r="E203" s="438" t="str">
        <f aca="false">IF(A203="N/A"," ",IF(Scalers=1,(IF(AND(Dynamic=1,MONTH(A203)&gt;=6,MONTH(A203)&lt;=8,OR($O$37="REGION 2",$O$37="REGION 2A",$O$37="REGION 2B",$O$37="REGION 3",$O$37="REGION 3A",$O$37="REGION 3B",$O$37="REGION 3C",$O$37="REGION 4",$O$37="REGION 4B",$O$37="REGION 4C",$O$37="REGION 5",$O$37="REGION 5A")),((0.059228/(B203/100))-(0.4980013/(SQRT(B203/100)))+2.137988),HLOOKUP(MONTH(A203),ScalarTable,28))),1))</f>
        <v> </v>
      </c>
      <c r="F203" s="439" t="str">
        <f aca="false">IF(A203="N/A"," ",B203*E203)</f>
        <v> </v>
      </c>
      <c r="G203" s="439" t="str">
        <f aca="false">IF(A203="N/A"," ",C203*E203)</f>
        <v> </v>
      </c>
      <c r="H203" s="440" t="str">
        <f aca="false">IF(A203="N/A"," ",D203*E203)</f>
        <v> </v>
      </c>
      <c r="I203" s="402" t="str">
        <f aca="false">IF(A203="N/A"," ",2-E203)</f>
        <v> </v>
      </c>
      <c r="J203" s="439" t="str">
        <f aca="false">IF(A203="N/A"," ",B203*I203)</f>
        <v> </v>
      </c>
      <c r="K203" s="439" t="str">
        <f aca="false">IF(A203="N/A"," ",C203*I203)</f>
        <v> </v>
      </c>
      <c r="L203" s="440" t="str">
        <f aca="false">IF(A203="N/A"," ",D203*I203)</f>
        <v> </v>
      </c>
      <c r="M203" s="441" t="str">
        <f aca="false">IF(A203="N/A"," ",IF(ISERROR(S203),M191*Pwresc,S203))</f>
        <v> </v>
      </c>
      <c r="N203" s="442" t="str">
        <f aca="false">IF(A203="N/A"," ",SUM(T203:X203))</f>
        <v> </v>
      </c>
      <c r="O203" s="370"/>
      <c r="P203" s="436" t="str">
        <f aca="false">IF(A203="N/A"," ",VLOOKUP(A203,PeakPowerCurves,(IF(BMO=2,3,IF(BMO=1,2,4))),FALSE())+Inputs!N186)</f>
        <v> </v>
      </c>
      <c r="Q203" s="436" t="str">
        <f aca="false">IF(A203="N/A"," ",VLOOKUP(A203,SatSunPeakPwr,(IF(BMO=2,3,IF(BMO=1,2,4))),FALSE())+Inputs!$N$23)</f>
        <v> </v>
      </c>
      <c r="R203" s="436" t="str">
        <f aca="false">IF(A203="N/A"," ",VLOOKUP(A203,SatSunPeakPwr,(IF(BMO=2,7,IF(BMO=1,6,8))),FALSE())+Inputs!$N$23)</f>
        <v> </v>
      </c>
      <c r="S203" s="443" t="str">
        <f aca="false">IF(A203="N/A"," ",(VLOOKUP(A203,OPPowerPrices,(IF(BMO=2,7,IF(BMO=1,6,8))),FALSE())+Inputs!$N$23))</f>
        <v> </v>
      </c>
      <c r="T203" s="444" t="str">
        <f aca="false">IF(A203="N/A"," ",(VLOOKUP(A203,GasCurves,9,FALSE()))+IF(BMO=1,Gasbmo,IF(BMO=3,-Gasbmo,0)))</f>
        <v> </v>
      </c>
      <c r="U203" s="444" t="str">
        <f aca="false">IF(A203="N/A"," ",IF(Basischeck=TRUE(),(VLOOKUP(A203,GasCurves,IF(MONTH(A203)&gt;=4,IF(MONTH(A203)&lt;=10,11,12),12),FALSE())),0))</f>
        <v> </v>
      </c>
      <c r="V203" s="444" t="str">
        <f aca="false">IF(A203="N/A"," ",IF(Indexcheck=TRUE(),(IF(MONTH(A203)&gt;=4,IF(MONTH(A203)&lt;=10,VLOOKUP(A203,'Gas Curves'!B181:O541,13),VLOOKUP(A203,'Gas Curves'!B181:O541,14)),VLOOKUP(A203,'Gas Curves'!B181:O541,14))),0))</f>
        <v> </v>
      </c>
      <c r="W203" s="444" t="str">
        <f aca="false">IF(A203="N/A"," ",((SUM(T203:V203))/(1-Inputs!$S$11)-(SUM(T203:V203))))</f>
        <v> </v>
      </c>
      <c r="X203" s="444" t="str">
        <f aca="false">IF(A203="N/A"," ",(IF(MONTH(A203)&gt;=4,IF(MONTH(A203)&lt;=10,Inputs!$S$9,Inputs!$S$10),Inputs!$S$10)))</f>
        <v> </v>
      </c>
      <c r="Y203" s="445" t="str">
        <f aca="false">IF(A203="N/A"," ",(VLOOKUP($A203,InterestRatesTable,2)))</f>
        <v> </v>
      </c>
      <c r="AF203" s="386" t="n">
        <v>42614</v>
      </c>
      <c r="AG203" s="376" t="n">
        <v>21</v>
      </c>
      <c r="AH203" s="376" t="n">
        <v>4</v>
      </c>
      <c r="AI203" s="376" t="n">
        <v>5</v>
      </c>
      <c r="AJ203" s="376" t="n">
        <v>1</v>
      </c>
      <c r="AK203" s="376" t="n">
        <v>30</v>
      </c>
    </row>
    <row r="204" customFormat="false" ht="12.75" hidden="false" customHeight="false" outlineLevel="0" collapsed="false">
      <c r="A204" s="434" t="str">
        <f aca="false">Calculations!A169</f>
        <v>N/A</v>
      </c>
      <c r="B204" s="435" t="str">
        <f aca="false">IF(A204="N/A"," ",IF(ISERROR(P204),B192*Pwresc,P204)*VLOOKUP(MONTH(A204),Curveadj,3))</f>
        <v> </v>
      </c>
      <c r="C204" s="436" t="str">
        <f aca="false">IF(A204="N/A"," ",IF(ISERROR(Q204),C192*Pwresc,Q204)*VLOOKUP(MONTH(A204),Curveadj,3))</f>
        <v> </v>
      </c>
      <c r="D204" s="437" t="str">
        <f aca="false">IF(A204="N/A"," ",IF(ISERROR(R204),D192*Pwresc,R204)*VLOOKUP(MONTH(A204),Curveadj,3))</f>
        <v> </v>
      </c>
      <c r="E204" s="438" t="str">
        <f aca="false">IF(A204="N/A"," ",IF(Scalers=1,(IF(AND(Dynamic=1,MONTH(A204)&gt;=6,MONTH(A204)&lt;=8,OR($O$37="REGION 2",$O$37="REGION 2A",$O$37="REGION 2B",$O$37="REGION 3",$O$37="REGION 3A",$O$37="REGION 3B",$O$37="REGION 3C",$O$37="REGION 4",$O$37="REGION 4B",$O$37="REGION 4C",$O$37="REGION 5",$O$37="REGION 5A")),((0.059228/(B204/100))-(0.4980013/(SQRT(B204/100)))+2.137988),HLOOKUP(MONTH(A204),ScalarTable,28))),1))</f>
        <v> </v>
      </c>
      <c r="F204" s="439" t="str">
        <f aca="false">IF(A204="N/A"," ",B204*E204)</f>
        <v> </v>
      </c>
      <c r="G204" s="439" t="str">
        <f aca="false">IF(A204="N/A"," ",C204*E204)</f>
        <v> </v>
      </c>
      <c r="H204" s="440" t="str">
        <f aca="false">IF(A204="N/A"," ",D204*E204)</f>
        <v> </v>
      </c>
      <c r="I204" s="402" t="str">
        <f aca="false">IF(A204="N/A"," ",2-E204)</f>
        <v> </v>
      </c>
      <c r="J204" s="439" t="str">
        <f aca="false">IF(A204="N/A"," ",B204*I204)</f>
        <v> </v>
      </c>
      <c r="K204" s="439" t="str">
        <f aca="false">IF(A204="N/A"," ",C204*I204)</f>
        <v> </v>
      </c>
      <c r="L204" s="440" t="str">
        <f aca="false">IF(A204="N/A"," ",D204*I204)</f>
        <v> </v>
      </c>
      <c r="M204" s="441" t="str">
        <f aca="false">IF(A204="N/A"," ",IF(ISERROR(S204),M192*Pwresc,S204))</f>
        <v> </v>
      </c>
      <c r="N204" s="442" t="str">
        <f aca="false">IF(A204="N/A"," ",SUM(T204:X204))</f>
        <v> </v>
      </c>
      <c r="O204" s="370"/>
      <c r="P204" s="436" t="str">
        <f aca="false">IF(A204="N/A"," ",VLOOKUP(A204,PeakPowerCurves,(IF(BMO=2,3,IF(BMO=1,2,4))),FALSE())+Inputs!N187)</f>
        <v> </v>
      </c>
      <c r="Q204" s="436" t="str">
        <f aca="false">IF(A204="N/A"," ",VLOOKUP(A204,SatSunPeakPwr,(IF(BMO=2,3,IF(BMO=1,2,4))),FALSE())+Inputs!$N$23)</f>
        <v> </v>
      </c>
      <c r="R204" s="436" t="str">
        <f aca="false">IF(A204="N/A"," ",VLOOKUP(A204,SatSunPeakPwr,(IF(BMO=2,7,IF(BMO=1,6,8))),FALSE())+Inputs!$N$23)</f>
        <v> </v>
      </c>
      <c r="S204" s="443" t="str">
        <f aca="false">IF(A204="N/A"," ",(VLOOKUP(A204,OPPowerPrices,(IF(BMO=2,7,IF(BMO=1,6,8))),FALSE())+Inputs!$N$23))</f>
        <v> </v>
      </c>
      <c r="T204" s="444" t="str">
        <f aca="false">IF(A204="N/A"," ",(VLOOKUP(A204,GasCurves,9,FALSE()))+IF(BMO=1,Gasbmo,IF(BMO=3,-Gasbmo,0)))</f>
        <v> </v>
      </c>
      <c r="U204" s="444" t="str">
        <f aca="false">IF(A204="N/A"," ",IF(Basischeck=TRUE(),(VLOOKUP(A204,GasCurves,IF(MONTH(A204)&gt;=4,IF(MONTH(A204)&lt;=10,11,12),12),FALSE())),0))</f>
        <v> </v>
      </c>
      <c r="V204" s="444" t="str">
        <f aca="false">IF(A204="N/A"," ",IF(Indexcheck=TRUE(),(IF(MONTH(A204)&gt;=4,IF(MONTH(A204)&lt;=10,VLOOKUP(A204,'Gas Curves'!B182:O542,13),VLOOKUP(A204,'Gas Curves'!B182:O542,14)),VLOOKUP(A204,'Gas Curves'!B182:O542,14))),0))</f>
        <v> </v>
      </c>
      <c r="W204" s="444" t="str">
        <f aca="false">IF(A204="N/A"," ",((SUM(T204:V204))/(1-Inputs!$S$11)-(SUM(T204:V204))))</f>
        <v> </v>
      </c>
      <c r="X204" s="444" t="str">
        <f aca="false">IF(A204="N/A"," ",(IF(MONTH(A204)&gt;=4,IF(MONTH(A204)&lt;=10,Inputs!$S$9,Inputs!$S$10),Inputs!$S$10)))</f>
        <v> </v>
      </c>
      <c r="Y204" s="445" t="str">
        <f aca="false">IF(A204="N/A"," ",(VLOOKUP($A204,InterestRatesTable,2)))</f>
        <v> </v>
      </c>
      <c r="AF204" s="386" t="n">
        <v>42644</v>
      </c>
      <c r="AG204" s="376" t="n">
        <v>21</v>
      </c>
      <c r="AH204" s="376" t="n">
        <v>5</v>
      </c>
      <c r="AI204" s="376" t="n">
        <v>5</v>
      </c>
      <c r="AJ204" s="376" t="n">
        <v>0</v>
      </c>
      <c r="AK204" s="376" t="n">
        <v>31</v>
      </c>
    </row>
    <row r="205" customFormat="false" ht="12.75" hidden="false" customHeight="false" outlineLevel="0" collapsed="false">
      <c r="A205" s="434" t="str">
        <f aca="false">Calculations!A170</f>
        <v>N/A</v>
      </c>
      <c r="B205" s="435" t="str">
        <f aca="false">IF(A205="N/A"," ",IF(ISERROR(P205),B193*Pwresc,P205)*VLOOKUP(MONTH(A205),Curveadj,3))</f>
        <v> </v>
      </c>
      <c r="C205" s="436" t="str">
        <f aca="false">IF(A205="N/A"," ",IF(ISERROR(Q205),C193*Pwresc,Q205)*VLOOKUP(MONTH(A205),Curveadj,3))</f>
        <v> </v>
      </c>
      <c r="D205" s="437" t="str">
        <f aca="false">IF(A205="N/A"," ",IF(ISERROR(R205),D193*Pwresc,R205)*VLOOKUP(MONTH(A205),Curveadj,3))</f>
        <v> </v>
      </c>
      <c r="E205" s="438" t="str">
        <f aca="false">IF(A205="N/A"," ",IF(Scalers=1,(IF(AND(Dynamic=1,MONTH(A205)&gt;=6,MONTH(A205)&lt;=8,OR($O$37="REGION 2",$O$37="REGION 2A",$O$37="REGION 2B",$O$37="REGION 3",$O$37="REGION 3A",$O$37="REGION 3B",$O$37="REGION 3C",$O$37="REGION 4",$O$37="REGION 4B",$O$37="REGION 4C",$O$37="REGION 5",$O$37="REGION 5A")),((0.059228/(B205/100))-(0.4980013/(SQRT(B205/100)))+2.137988),HLOOKUP(MONTH(A205),ScalarTable,28))),1))</f>
        <v> </v>
      </c>
      <c r="F205" s="439" t="str">
        <f aca="false">IF(A205="N/A"," ",B205*E205)</f>
        <v> </v>
      </c>
      <c r="G205" s="439" t="str">
        <f aca="false">IF(A205="N/A"," ",C205*E205)</f>
        <v> </v>
      </c>
      <c r="H205" s="440" t="str">
        <f aca="false">IF(A205="N/A"," ",D205*E205)</f>
        <v> </v>
      </c>
      <c r="I205" s="402" t="str">
        <f aca="false">IF(A205="N/A"," ",2-E205)</f>
        <v> </v>
      </c>
      <c r="J205" s="439" t="str">
        <f aca="false">IF(A205="N/A"," ",B205*I205)</f>
        <v> </v>
      </c>
      <c r="K205" s="439" t="str">
        <f aca="false">IF(A205="N/A"," ",C205*I205)</f>
        <v> </v>
      </c>
      <c r="L205" s="440" t="str">
        <f aca="false">IF(A205="N/A"," ",D205*I205)</f>
        <v> </v>
      </c>
      <c r="M205" s="441" t="str">
        <f aca="false">IF(A205="N/A"," ",IF(ISERROR(S205),M193*Pwresc,S205))</f>
        <v> </v>
      </c>
      <c r="N205" s="442" t="str">
        <f aca="false">IF(A205="N/A"," ",SUM(T205:X205))</f>
        <v> </v>
      </c>
      <c r="O205" s="370"/>
      <c r="P205" s="436" t="str">
        <f aca="false">IF(A205="N/A"," ",VLOOKUP(A205,PeakPowerCurves,(IF(BMO=2,3,IF(BMO=1,2,4))),FALSE())+Inputs!N188)</f>
        <v> </v>
      </c>
      <c r="Q205" s="436" t="str">
        <f aca="false">IF(A205="N/A"," ",VLOOKUP(A205,SatSunPeakPwr,(IF(BMO=2,3,IF(BMO=1,2,4))),FALSE())+Inputs!$N$23)</f>
        <v> </v>
      </c>
      <c r="R205" s="436" t="str">
        <f aca="false">IF(A205="N/A"," ",VLOOKUP(A205,SatSunPeakPwr,(IF(BMO=2,7,IF(BMO=1,6,8))),FALSE())+Inputs!$N$23)</f>
        <v> </v>
      </c>
      <c r="S205" s="443" t="str">
        <f aca="false">IF(A205="N/A"," ",(VLOOKUP(A205,OPPowerPrices,(IF(BMO=2,7,IF(BMO=1,6,8))),FALSE())+Inputs!$N$23))</f>
        <v> </v>
      </c>
      <c r="T205" s="444" t="str">
        <f aca="false">IF(A205="N/A"," ",(VLOOKUP(A205,GasCurves,9,FALSE()))+IF(BMO=1,Gasbmo,IF(BMO=3,-Gasbmo,0)))</f>
        <v> </v>
      </c>
      <c r="U205" s="444" t="str">
        <f aca="false">IF(A205="N/A"," ",IF(Basischeck=TRUE(),(VLOOKUP(A205,GasCurves,IF(MONTH(A205)&gt;=4,IF(MONTH(A205)&lt;=10,11,12),12),FALSE())),0))</f>
        <v> </v>
      </c>
      <c r="V205" s="444" t="str">
        <f aca="false">IF(A205="N/A"," ",IF(Indexcheck=TRUE(),(IF(MONTH(A205)&gt;=4,IF(MONTH(A205)&lt;=10,VLOOKUP(A205,'Gas Curves'!B183:O543,13),VLOOKUP(A205,'Gas Curves'!B183:O543,14)),VLOOKUP(A205,'Gas Curves'!B183:O543,14))),0))</f>
        <v> </v>
      </c>
      <c r="W205" s="444" t="str">
        <f aca="false">IF(A205="N/A"," ",((SUM(T205:V205))/(1-Inputs!$S$11)-(SUM(T205:V205))))</f>
        <v> </v>
      </c>
      <c r="X205" s="444" t="str">
        <f aca="false">IF(A205="N/A"," ",(IF(MONTH(A205)&gt;=4,IF(MONTH(A205)&lt;=10,Inputs!$S$9,Inputs!$S$10),Inputs!$S$10)))</f>
        <v> </v>
      </c>
      <c r="Y205" s="445" t="str">
        <f aca="false">IF(A205="N/A"," ",(VLOOKUP($A205,InterestRatesTable,2)))</f>
        <v> </v>
      </c>
      <c r="AF205" s="386" t="n">
        <v>42675</v>
      </c>
      <c r="AG205" s="376" t="n">
        <v>21</v>
      </c>
      <c r="AH205" s="376" t="n">
        <v>4</v>
      </c>
      <c r="AI205" s="376" t="n">
        <v>5</v>
      </c>
      <c r="AJ205" s="376" t="n">
        <v>1</v>
      </c>
      <c r="AK205" s="376" t="n">
        <v>30</v>
      </c>
    </row>
    <row r="206" customFormat="false" ht="12.75" hidden="false" customHeight="false" outlineLevel="0" collapsed="false">
      <c r="A206" s="434" t="str">
        <f aca="false">Calculations!A171</f>
        <v>N/A</v>
      </c>
      <c r="B206" s="435" t="str">
        <f aca="false">IF(A206="N/A"," ",IF(ISERROR(P206),B194*Pwresc,P206)*VLOOKUP(MONTH(A206),Curveadj,3))</f>
        <v> </v>
      </c>
      <c r="C206" s="436" t="str">
        <f aca="false">IF(A206="N/A"," ",IF(ISERROR(Q206),C194*Pwresc,Q206)*VLOOKUP(MONTH(A206),Curveadj,3))</f>
        <v> </v>
      </c>
      <c r="D206" s="437" t="str">
        <f aca="false">IF(A206="N/A"," ",IF(ISERROR(R206),D194*Pwresc,R206)*VLOOKUP(MONTH(A206),Curveadj,3))</f>
        <v> </v>
      </c>
      <c r="E206" s="438" t="str">
        <f aca="false">IF(A206="N/A"," ",IF(Scalers=1,(IF(AND(Dynamic=1,MONTH(A206)&gt;=6,MONTH(A206)&lt;=8,OR($O$37="REGION 2",$O$37="REGION 2A",$O$37="REGION 2B",$O$37="REGION 3",$O$37="REGION 3A",$O$37="REGION 3B",$O$37="REGION 3C",$O$37="REGION 4",$O$37="REGION 4B",$O$37="REGION 4C",$O$37="REGION 5",$O$37="REGION 5A")),((0.059228/(B206/100))-(0.4980013/(SQRT(B206/100)))+2.137988),HLOOKUP(MONTH(A206),ScalarTable,28))),1))</f>
        <v> </v>
      </c>
      <c r="F206" s="439" t="str">
        <f aca="false">IF(A206="N/A"," ",B206*E206)</f>
        <v> </v>
      </c>
      <c r="G206" s="439" t="str">
        <f aca="false">IF(A206="N/A"," ",C206*E206)</f>
        <v> </v>
      </c>
      <c r="H206" s="440" t="str">
        <f aca="false">IF(A206="N/A"," ",D206*E206)</f>
        <v> </v>
      </c>
      <c r="I206" s="402" t="str">
        <f aca="false">IF(A206="N/A"," ",2-E206)</f>
        <v> </v>
      </c>
      <c r="J206" s="439" t="str">
        <f aca="false">IF(A206="N/A"," ",B206*I206)</f>
        <v> </v>
      </c>
      <c r="K206" s="439" t="str">
        <f aca="false">IF(A206="N/A"," ",C206*I206)</f>
        <v> </v>
      </c>
      <c r="L206" s="440" t="str">
        <f aca="false">IF(A206="N/A"," ",D206*I206)</f>
        <v> </v>
      </c>
      <c r="M206" s="441" t="str">
        <f aca="false">IF(A206="N/A"," ",IF(ISERROR(S206),M194*Pwresc,S206))</f>
        <v> </v>
      </c>
      <c r="N206" s="442" t="str">
        <f aca="false">IF(A206="N/A"," ",SUM(T206:X206))</f>
        <v> </v>
      </c>
      <c r="O206" s="370"/>
      <c r="P206" s="436" t="str">
        <f aca="false">IF(A206="N/A"," ",VLOOKUP(A206,PeakPowerCurves,(IF(BMO=2,3,IF(BMO=1,2,4))),FALSE())+Inputs!N189)</f>
        <v> </v>
      </c>
      <c r="Q206" s="436" t="str">
        <f aca="false">IF(A206="N/A"," ",VLOOKUP(A206,SatSunPeakPwr,(IF(BMO=2,3,IF(BMO=1,2,4))),FALSE())+Inputs!$N$23)</f>
        <v> </v>
      </c>
      <c r="R206" s="436" t="str">
        <f aca="false">IF(A206="N/A"," ",VLOOKUP(A206,SatSunPeakPwr,(IF(BMO=2,7,IF(BMO=1,6,8))),FALSE())+Inputs!$N$23)</f>
        <v> </v>
      </c>
      <c r="S206" s="443" t="str">
        <f aca="false">IF(A206="N/A"," ",(VLOOKUP(A206,OPPowerPrices,(IF(BMO=2,7,IF(BMO=1,6,8))),FALSE())+Inputs!$N$23))</f>
        <v> </v>
      </c>
      <c r="T206" s="444" t="str">
        <f aca="false">IF(A206="N/A"," ",(VLOOKUP(A206,GasCurves,9,FALSE()))+IF(BMO=1,Gasbmo,IF(BMO=3,-Gasbmo,0)))</f>
        <v> </v>
      </c>
      <c r="U206" s="444" t="str">
        <f aca="false">IF(A206="N/A"," ",IF(Basischeck=TRUE(),(VLOOKUP(A206,GasCurves,IF(MONTH(A206)&gt;=4,IF(MONTH(A206)&lt;=10,11,12),12),FALSE())),0))</f>
        <v> </v>
      </c>
      <c r="V206" s="444" t="str">
        <f aca="false">IF(A206="N/A"," ",IF(Indexcheck=TRUE(),(IF(MONTH(A206)&gt;=4,IF(MONTH(A206)&lt;=10,VLOOKUP(A206,'Gas Curves'!B184:O544,13),VLOOKUP(A206,'Gas Curves'!B184:O544,14)),VLOOKUP(A206,'Gas Curves'!B184:O544,14))),0))</f>
        <v> </v>
      </c>
      <c r="W206" s="444" t="str">
        <f aca="false">IF(A206="N/A"," ",((SUM(T206:V206))/(1-Inputs!$S$11)-(SUM(T206:V206))))</f>
        <v> </v>
      </c>
      <c r="X206" s="444" t="str">
        <f aca="false">IF(A206="N/A"," ",(IF(MONTH(A206)&gt;=4,IF(MONTH(A206)&lt;=10,Inputs!$S$9,Inputs!$S$10),Inputs!$S$10)))</f>
        <v> </v>
      </c>
      <c r="Y206" s="445" t="str">
        <f aca="false">IF(A206="N/A"," ",(VLOOKUP($A206,InterestRatesTable,2)))</f>
        <v> </v>
      </c>
      <c r="AF206" s="386" t="n">
        <v>42705</v>
      </c>
      <c r="AG206" s="376" t="n">
        <v>21</v>
      </c>
      <c r="AH206" s="376" t="n">
        <v>5</v>
      </c>
      <c r="AI206" s="376" t="n">
        <v>5</v>
      </c>
      <c r="AJ206" s="376" t="n">
        <v>1</v>
      </c>
      <c r="AK206" s="376" t="n">
        <v>31</v>
      </c>
    </row>
    <row r="207" customFormat="false" ht="12.75" hidden="false" customHeight="false" outlineLevel="0" collapsed="false">
      <c r="A207" s="434" t="str">
        <f aca="false">Calculations!A172</f>
        <v>N/A</v>
      </c>
      <c r="B207" s="435" t="str">
        <f aca="false">IF(A207="N/A"," ",IF(ISERROR(P207),B195*Pwresc,P207)*VLOOKUP(MONTH(A207),Curveadj,3))</f>
        <v> </v>
      </c>
      <c r="C207" s="436" t="str">
        <f aca="false">IF(A207="N/A"," ",IF(ISERROR(Q207),C195*Pwresc,Q207)*VLOOKUP(MONTH(A207),Curveadj,3))</f>
        <v> </v>
      </c>
      <c r="D207" s="437" t="str">
        <f aca="false">IF(A207="N/A"," ",IF(ISERROR(R207),D195*Pwresc,R207)*VLOOKUP(MONTH(A207),Curveadj,3))</f>
        <v> </v>
      </c>
      <c r="E207" s="438" t="str">
        <f aca="false">IF(A207="N/A"," ",IF(Scalers=1,(IF(AND(Dynamic=1,MONTH(A207)&gt;=6,MONTH(A207)&lt;=8,OR($O$37="REGION 2",$O$37="REGION 2A",$O$37="REGION 2B",$O$37="REGION 3",$O$37="REGION 3A",$O$37="REGION 3B",$O$37="REGION 3C",$O$37="REGION 4",$O$37="REGION 4B",$O$37="REGION 4C",$O$37="REGION 5",$O$37="REGION 5A")),((0.059228/(B207/100))-(0.4980013/(SQRT(B207/100)))+2.137988),HLOOKUP(MONTH(A207),ScalarTable,28))),1))</f>
        <v> </v>
      </c>
      <c r="F207" s="439" t="str">
        <f aca="false">IF(A207="N/A"," ",B207*E207)</f>
        <v> </v>
      </c>
      <c r="G207" s="439" t="str">
        <f aca="false">IF(A207="N/A"," ",C207*E207)</f>
        <v> </v>
      </c>
      <c r="H207" s="440" t="str">
        <f aca="false">IF(A207="N/A"," ",D207*E207)</f>
        <v> </v>
      </c>
      <c r="I207" s="402" t="str">
        <f aca="false">IF(A207="N/A"," ",2-E207)</f>
        <v> </v>
      </c>
      <c r="J207" s="439" t="str">
        <f aca="false">IF(A207="N/A"," ",B207*I207)</f>
        <v> </v>
      </c>
      <c r="K207" s="439" t="str">
        <f aca="false">IF(A207="N/A"," ",C207*I207)</f>
        <v> </v>
      </c>
      <c r="L207" s="440" t="str">
        <f aca="false">IF(A207="N/A"," ",D207*I207)</f>
        <v> </v>
      </c>
      <c r="M207" s="441" t="str">
        <f aca="false">IF(A207="N/A"," ",IF(ISERROR(S207),M195*Pwresc,S207))</f>
        <v> </v>
      </c>
      <c r="N207" s="442" t="str">
        <f aca="false">IF(A207="N/A"," ",SUM(T207:X207))</f>
        <v> </v>
      </c>
      <c r="O207" s="370"/>
      <c r="P207" s="436" t="str">
        <f aca="false">IF(A207="N/A"," ",VLOOKUP(A207,PeakPowerCurves,(IF(BMO=2,3,IF(BMO=1,2,4))),FALSE())+Inputs!N190)</f>
        <v> </v>
      </c>
      <c r="Q207" s="436" t="str">
        <f aca="false">IF(A207="N/A"," ",VLOOKUP(A207,SatSunPeakPwr,(IF(BMO=2,3,IF(BMO=1,2,4))),FALSE())+Inputs!$N$23)</f>
        <v> </v>
      </c>
      <c r="R207" s="436" t="str">
        <f aca="false">IF(A207="N/A"," ",VLOOKUP(A207,SatSunPeakPwr,(IF(BMO=2,7,IF(BMO=1,6,8))),FALSE())+Inputs!$N$23)</f>
        <v> </v>
      </c>
      <c r="S207" s="443" t="str">
        <f aca="false">IF(A207="N/A"," ",(VLOOKUP(A207,OPPowerPrices,(IF(BMO=2,7,IF(BMO=1,6,8))),FALSE())+Inputs!$N$23))</f>
        <v> </v>
      </c>
      <c r="T207" s="444" t="str">
        <f aca="false">IF(A207="N/A"," ",(VLOOKUP(A207,GasCurves,9,FALSE()))+IF(BMO=1,Gasbmo,IF(BMO=3,-Gasbmo,0)))</f>
        <v> </v>
      </c>
      <c r="U207" s="444" t="str">
        <f aca="false">IF(A207="N/A"," ",IF(Basischeck=TRUE(),(VLOOKUP(A207,GasCurves,IF(MONTH(A207)&gt;=4,IF(MONTH(A207)&lt;=10,11,12),12),FALSE())),0))</f>
        <v> </v>
      </c>
      <c r="V207" s="444" t="str">
        <f aca="false">IF(A207="N/A"," ",IF(Indexcheck=TRUE(),(IF(MONTH(A207)&gt;=4,IF(MONTH(A207)&lt;=10,VLOOKUP(A207,'Gas Curves'!B185:O545,13),VLOOKUP(A207,'Gas Curves'!B185:O545,14)),VLOOKUP(A207,'Gas Curves'!B185:O545,14))),0))</f>
        <v> </v>
      </c>
      <c r="W207" s="444" t="str">
        <f aca="false">IF(A207="N/A"," ",((SUM(T207:V207))/(1-Inputs!$S$11)-(SUM(T207:V207))))</f>
        <v> </v>
      </c>
      <c r="X207" s="444" t="str">
        <f aca="false">IF(A207="N/A"," ",(IF(MONTH(A207)&gt;=4,IF(MONTH(A207)&lt;=10,Inputs!$S$9,Inputs!$S$10),Inputs!$S$10)))</f>
        <v> </v>
      </c>
      <c r="Y207" s="445" t="str">
        <f aca="false">IF(A207="N/A"," ",(VLOOKUP($A207,InterestRatesTable,2)))</f>
        <v> </v>
      </c>
      <c r="AF207" s="386" t="n">
        <v>42736</v>
      </c>
      <c r="AG207" s="376" t="n">
        <v>21</v>
      </c>
      <c r="AH207" s="376" t="n">
        <v>4</v>
      </c>
      <c r="AI207" s="376" t="n">
        <v>6</v>
      </c>
      <c r="AJ207" s="376" t="n">
        <v>1</v>
      </c>
      <c r="AK207" s="376" t="n">
        <v>31</v>
      </c>
    </row>
    <row r="208" customFormat="false" ht="12.75" hidden="false" customHeight="false" outlineLevel="0" collapsed="false">
      <c r="A208" s="434" t="str">
        <f aca="false">Calculations!A173</f>
        <v>N/A</v>
      </c>
      <c r="B208" s="435" t="str">
        <f aca="false">IF(A208="N/A"," ",IF(ISERROR(P208),B196*Pwresc,P208)*VLOOKUP(MONTH(A208),Curveadj,3))</f>
        <v> </v>
      </c>
      <c r="C208" s="436" t="str">
        <f aca="false">IF(A208="N/A"," ",IF(ISERROR(Q208),C196*Pwresc,Q208)*VLOOKUP(MONTH(A208),Curveadj,3))</f>
        <v> </v>
      </c>
      <c r="D208" s="437" t="str">
        <f aca="false">IF(A208="N/A"," ",IF(ISERROR(R208),D196*Pwresc,R208)*VLOOKUP(MONTH(A208),Curveadj,3))</f>
        <v> </v>
      </c>
      <c r="E208" s="438" t="str">
        <f aca="false">IF(A208="N/A"," ",IF(Scalers=1,(IF(AND(Dynamic=1,MONTH(A208)&gt;=6,MONTH(A208)&lt;=8,OR($O$37="REGION 2",$O$37="REGION 2A",$O$37="REGION 2B",$O$37="REGION 3",$O$37="REGION 3A",$O$37="REGION 3B",$O$37="REGION 3C",$O$37="REGION 4",$O$37="REGION 4B",$O$37="REGION 4C",$O$37="REGION 5",$O$37="REGION 5A")),((0.059228/(B208/100))-(0.4980013/(SQRT(B208/100)))+2.137988),HLOOKUP(MONTH(A208),ScalarTable,28))),1))</f>
        <v> </v>
      </c>
      <c r="F208" s="439" t="str">
        <f aca="false">IF(A208="N/A"," ",B208*E208)</f>
        <v> </v>
      </c>
      <c r="G208" s="439" t="str">
        <f aca="false">IF(A208="N/A"," ",C208*E208)</f>
        <v> </v>
      </c>
      <c r="H208" s="440" t="str">
        <f aca="false">IF(A208="N/A"," ",D208*E208)</f>
        <v> </v>
      </c>
      <c r="I208" s="402" t="str">
        <f aca="false">IF(A208="N/A"," ",2-E208)</f>
        <v> </v>
      </c>
      <c r="J208" s="439" t="str">
        <f aca="false">IF(A208="N/A"," ",B208*I208)</f>
        <v> </v>
      </c>
      <c r="K208" s="439" t="str">
        <f aca="false">IF(A208="N/A"," ",C208*I208)</f>
        <v> </v>
      </c>
      <c r="L208" s="440" t="str">
        <f aca="false">IF(A208="N/A"," ",D208*I208)</f>
        <v> </v>
      </c>
      <c r="M208" s="441" t="str">
        <f aca="false">IF(A208="N/A"," ",IF(ISERROR(S208),M196*Pwresc,S208))</f>
        <v> </v>
      </c>
      <c r="N208" s="442" t="str">
        <f aca="false">IF(A208="N/A"," ",SUM(T208:X208))</f>
        <v> </v>
      </c>
      <c r="O208" s="370"/>
      <c r="P208" s="436" t="str">
        <f aca="false">IF(A208="N/A"," ",VLOOKUP(A208,PeakPowerCurves,(IF(BMO=2,3,IF(BMO=1,2,4))),FALSE())+Inputs!N191)</f>
        <v> </v>
      </c>
      <c r="Q208" s="436" t="str">
        <f aca="false">IF(A208="N/A"," ",VLOOKUP(A208,SatSunPeakPwr,(IF(BMO=2,3,IF(BMO=1,2,4))),FALSE())+Inputs!$N$23)</f>
        <v> </v>
      </c>
      <c r="R208" s="436" t="str">
        <f aca="false">IF(A208="N/A"," ",VLOOKUP(A208,SatSunPeakPwr,(IF(BMO=2,7,IF(BMO=1,6,8))),FALSE())+Inputs!$N$23)</f>
        <v> </v>
      </c>
      <c r="S208" s="443" t="str">
        <f aca="false">IF(A208="N/A"," ",(VLOOKUP(A208,OPPowerPrices,(IF(BMO=2,7,IF(BMO=1,6,8))),FALSE())+Inputs!$N$23))</f>
        <v> </v>
      </c>
      <c r="T208" s="444" t="str">
        <f aca="false">IF(A208="N/A"," ",(VLOOKUP(A208,GasCurves,9,FALSE()))+IF(BMO=1,Gasbmo,IF(BMO=3,-Gasbmo,0)))</f>
        <v> </v>
      </c>
      <c r="U208" s="444" t="str">
        <f aca="false">IF(A208="N/A"," ",IF(Basischeck=TRUE(),(VLOOKUP(A208,GasCurves,IF(MONTH(A208)&gt;=4,IF(MONTH(A208)&lt;=10,11,12),12),FALSE())),0))</f>
        <v> </v>
      </c>
      <c r="V208" s="444" t="str">
        <f aca="false">IF(A208="N/A"," ",IF(Indexcheck=TRUE(),(IF(MONTH(A208)&gt;=4,IF(MONTH(A208)&lt;=10,VLOOKUP(A208,'Gas Curves'!B186:O546,13),VLOOKUP(A208,'Gas Curves'!B186:O546,14)),VLOOKUP(A208,'Gas Curves'!B186:O546,14))),0))</f>
        <v> </v>
      </c>
      <c r="W208" s="444" t="str">
        <f aca="false">IF(A208="N/A"," ",((SUM(T208:V208))/(1-Inputs!$S$11)-(SUM(T208:V208))))</f>
        <v> </v>
      </c>
      <c r="X208" s="444" t="str">
        <f aca="false">IF(A208="N/A"," ",(IF(MONTH(A208)&gt;=4,IF(MONTH(A208)&lt;=10,Inputs!$S$9,Inputs!$S$10),Inputs!$S$10)))</f>
        <v> </v>
      </c>
      <c r="Y208" s="445" t="str">
        <f aca="false">IF(A208="N/A"," ",(VLOOKUP($A208,InterestRatesTable,2)))</f>
        <v> </v>
      </c>
      <c r="AF208" s="386" t="n">
        <v>42767</v>
      </c>
      <c r="AG208" s="376" t="n">
        <v>20</v>
      </c>
      <c r="AH208" s="376" t="n">
        <v>4</v>
      </c>
      <c r="AI208" s="376" t="n">
        <v>4</v>
      </c>
      <c r="AJ208" s="376" t="n">
        <v>0</v>
      </c>
      <c r="AK208" s="376" t="n">
        <v>28</v>
      </c>
    </row>
    <row r="209" customFormat="false" ht="12.75" hidden="false" customHeight="false" outlineLevel="0" collapsed="false">
      <c r="A209" s="434" t="str">
        <f aca="false">Calculations!A174</f>
        <v>N/A</v>
      </c>
      <c r="B209" s="435" t="str">
        <f aca="false">IF(A209="N/A"," ",IF(ISERROR(P209),B197*Pwresc,P209)*VLOOKUP(MONTH(A209),Curveadj,3))</f>
        <v> </v>
      </c>
      <c r="C209" s="436" t="str">
        <f aca="false">IF(A209="N/A"," ",IF(ISERROR(Q209),C197*Pwresc,Q209)*VLOOKUP(MONTH(A209),Curveadj,3))</f>
        <v> </v>
      </c>
      <c r="D209" s="437" t="str">
        <f aca="false">IF(A209="N/A"," ",IF(ISERROR(R209),D197*Pwresc,R209)*VLOOKUP(MONTH(A209),Curveadj,3))</f>
        <v> </v>
      </c>
      <c r="E209" s="438" t="str">
        <f aca="false">IF(A209="N/A"," ",IF(Scalers=1,(IF(AND(Dynamic=1,MONTH(A209)&gt;=6,MONTH(A209)&lt;=8,OR($O$37="REGION 2",$O$37="REGION 2A",$O$37="REGION 2B",$O$37="REGION 3",$O$37="REGION 3A",$O$37="REGION 3B",$O$37="REGION 3C",$O$37="REGION 4",$O$37="REGION 4B",$O$37="REGION 4C",$O$37="REGION 5",$O$37="REGION 5A")),((0.059228/(B209/100))-(0.4980013/(SQRT(B209/100)))+2.137988),HLOOKUP(MONTH(A209),ScalarTable,28))),1))</f>
        <v> </v>
      </c>
      <c r="F209" s="439" t="str">
        <f aca="false">IF(A209="N/A"," ",B209*E209)</f>
        <v> </v>
      </c>
      <c r="G209" s="439" t="str">
        <f aca="false">IF(A209="N/A"," ",C209*E209)</f>
        <v> </v>
      </c>
      <c r="H209" s="440" t="str">
        <f aca="false">IF(A209="N/A"," ",D209*E209)</f>
        <v> </v>
      </c>
      <c r="I209" s="402" t="str">
        <f aca="false">IF(A209="N/A"," ",2-E209)</f>
        <v> </v>
      </c>
      <c r="J209" s="439" t="str">
        <f aca="false">IF(A209="N/A"," ",B209*I209)</f>
        <v> </v>
      </c>
      <c r="K209" s="439" t="str">
        <f aca="false">IF(A209="N/A"," ",C209*I209)</f>
        <v> </v>
      </c>
      <c r="L209" s="440" t="str">
        <f aca="false">IF(A209="N/A"," ",D209*I209)</f>
        <v> </v>
      </c>
      <c r="M209" s="441" t="str">
        <f aca="false">IF(A209="N/A"," ",IF(ISERROR(S209),M197*Pwresc,S209))</f>
        <v> </v>
      </c>
      <c r="N209" s="442" t="str">
        <f aca="false">IF(A209="N/A"," ",SUM(T209:X209))</f>
        <v> </v>
      </c>
      <c r="O209" s="370"/>
      <c r="P209" s="436" t="str">
        <f aca="false">IF(A209="N/A"," ",VLOOKUP(A209,PeakPowerCurves,(IF(BMO=2,3,IF(BMO=1,2,4))),FALSE())+Inputs!N192)</f>
        <v> </v>
      </c>
      <c r="Q209" s="436" t="str">
        <f aca="false">IF(A209="N/A"," ",VLOOKUP(A209,SatSunPeakPwr,(IF(BMO=2,3,IF(BMO=1,2,4))),FALSE())+Inputs!$N$23)</f>
        <v> </v>
      </c>
      <c r="R209" s="436" t="str">
        <f aca="false">IF(A209="N/A"," ",VLOOKUP(A209,SatSunPeakPwr,(IF(BMO=2,7,IF(BMO=1,6,8))),FALSE())+Inputs!$N$23)</f>
        <v> </v>
      </c>
      <c r="S209" s="443" t="str">
        <f aca="false">IF(A209="N/A"," ",(VLOOKUP(A209,OPPowerPrices,(IF(BMO=2,7,IF(BMO=1,6,8))),FALSE())+Inputs!$N$23))</f>
        <v> </v>
      </c>
      <c r="T209" s="444" t="str">
        <f aca="false">IF(A209="N/A"," ",(VLOOKUP(A209,GasCurves,9,FALSE()))+IF(BMO=1,Gasbmo,IF(BMO=3,-Gasbmo,0)))</f>
        <v> </v>
      </c>
      <c r="U209" s="444" t="str">
        <f aca="false">IF(A209="N/A"," ",IF(Basischeck=TRUE(),(VLOOKUP(A209,GasCurves,IF(MONTH(A209)&gt;=4,IF(MONTH(A209)&lt;=10,11,12),12),FALSE())),0))</f>
        <v> </v>
      </c>
      <c r="V209" s="444" t="str">
        <f aca="false">IF(A209="N/A"," ",IF(Indexcheck=TRUE(),(IF(MONTH(A209)&gt;=4,IF(MONTH(A209)&lt;=10,VLOOKUP(A209,'Gas Curves'!B187:O547,13),VLOOKUP(A209,'Gas Curves'!B187:O547,14)),VLOOKUP(A209,'Gas Curves'!B187:O547,14))),0))</f>
        <v> </v>
      </c>
      <c r="W209" s="444" t="str">
        <f aca="false">IF(A209="N/A"," ",((SUM(T209:V209))/(1-Inputs!$S$11)-(SUM(T209:V209))))</f>
        <v> </v>
      </c>
      <c r="X209" s="444" t="str">
        <f aca="false">IF(A209="N/A"," ",(IF(MONTH(A209)&gt;=4,IF(MONTH(A209)&lt;=10,Inputs!$S$9,Inputs!$S$10),Inputs!$S$10)))</f>
        <v> </v>
      </c>
      <c r="Y209" s="445" t="str">
        <f aca="false">IF(A209="N/A"," ",(VLOOKUP($A209,InterestRatesTable,2)))</f>
        <v> </v>
      </c>
      <c r="AF209" s="386" t="n">
        <v>42795</v>
      </c>
      <c r="AG209" s="376" t="n">
        <v>23</v>
      </c>
      <c r="AH209" s="376" t="n">
        <v>4</v>
      </c>
      <c r="AI209" s="376" t="n">
        <v>4</v>
      </c>
      <c r="AJ209" s="376" t="n">
        <v>0</v>
      </c>
      <c r="AK209" s="376" t="n">
        <v>31</v>
      </c>
    </row>
    <row r="210" customFormat="false" ht="12.75" hidden="false" customHeight="false" outlineLevel="0" collapsed="false">
      <c r="A210" s="434" t="str">
        <f aca="false">Calculations!A175</f>
        <v>N/A</v>
      </c>
      <c r="B210" s="435" t="str">
        <f aca="false">IF(A210="N/A"," ",IF(ISERROR(P210),B198*Pwresc,P210)*VLOOKUP(MONTH(A210),Curveadj,3))</f>
        <v> </v>
      </c>
      <c r="C210" s="436" t="str">
        <f aca="false">IF(A210="N/A"," ",IF(ISERROR(Q210),C198*Pwresc,Q210)*VLOOKUP(MONTH(A210),Curveadj,3))</f>
        <v> </v>
      </c>
      <c r="D210" s="437" t="str">
        <f aca="false">IF(A210="N/A"," ",IF(ISERROR(R210),D198*Pwresc,R210)*VLOOKUP(MONTH(A210),Curveadj,3))</f>
        <v> </v>
      </c>
      <c r="E210" s="438" t="str">
        <f aca="false">IF(A210="N/A"," ",IF(Scalers=1,(IF(AND(Dynamic=1,MONTH(A210)&gt;=6,MONTH(A210)&lt;=8,OR($O$37="REGION 2",$O$37="REGION 2A",$O$37="REGION 2B",$O$37="REGION 3",$O$37="REGION 3A",$O$37="REGION 3B",$O$37="REGION 3C",$O$37="REGION 4",$O$37="REGION 4B",$O$37="REGION 4C",$O$37="REGION 5",$O$37="REGION 5A")),((0.059228/(B210/100))-(0.4980013/(SQRT(B210/100)))+2.137988),HLOOKUP(MONTH(A210),ScalarTable,28))),1))</f>
        <v> </v>
      </c>
      <c r="F210" s="439" t="str">
        <f aca="false">IF(A210="N/A"," ",B210*E210)</f>
        <v> </v>
      </c>
      <c r="G210" s="439" t="str">
        <f aca="false">IF(A210="N/A"," ",C210*E210)</f>
        <v> </v>
      </c>
      <c r="H210" s="440" t="str">
        <f aca="false">IF(A210="N/A"," ",D210*E210)</f>
        <v> </v>
      </c>
      <c r="I210" s="402" t="str">
        <f aca="false">IF(A210="N/A"," ",2-E210)</f>
        <v> </v>
      </c>
      <c r="J210" s="439" t="str">
        <f aca="false">IF(A210="N/A"," ",B210*I210)</f>
        <v> </v>
      </c>
      <c r="K210" s="439" t="str">
        <f aca="false">IF(A210="N/A"," ",C210*I210)</f>
        <v> </v>
      </c>
      <c r="L210" s="440" t="str">
        <f aca="false">IF(A210="N/A"," ",D210*I210)</f>
        <v> </v>
      </c>
      <c r="M210" s="441" t="str">
        <f aca="false">IF(A210="N/A"," ",IF(ISERROR(S210),M198*Pwresc,S210))</f>
        <v> </v>
      </c>
      <c r="N210" s="442" t="str">
        <f aca="false">IF(A210="N/A"," ",SUM(T210:X210))</f>
        <v> </v>
      </c>
      <c r="O210" s="370"/>
      <c r="P210" s="436" t="str">
        <f aca="false">IF(A210="N/A"," ",VLOOKUP(A210,PeakPowerCurves,(IF(BMO=2,3,IF(BMO=1,2,4))),FALSE())+Inputs!N193)</f>
        <v> </v>
      </c>
      <c r="Q210" s="436" t="str">
        <f aca="false">IF(A210="N/A"," ",VLOOKUP(A210,SatSunPeakPwr,(IF(BMO=2,3,IF(BMO=1,2,4))),FALSE())+Inputs!$N$23)</f>
        <v> </v>
      </c>
      <c r="R210" s="436" t="str">
        <f aca="false">IF(A210="N/A"," ",VLOOKUP(A210,SatSunPeakPwr,(IF(BMO=2,7,IF(BMO=1,6,8))),FALSE())+Inputs!$N$23)</f>
        <v> </v>
      </c>
      <c r="S210" s="443" t="str">
        <f aca="false">IF(A210="N/A"," ",(VLOOKUP(A210,OPPowerPrices,(IF(BMO=2,7,IF(BMO=1,6,8))),FALSE())+Inputs!$N$23))</f>
        <v> </v>
      </c>
      <c r="T210" s="444" t="str">
        <f aca="false">IF(A210="N/A"," ",(VLOOKUP(A210,GasCurves,9,FALSE()))+IF(BMO=1,Gasbmo,IF(BMO=3,-Gasbmo,0)))</f>
        <v> </v>
      </c>
      <c r="U210" s="444" t="str">
        <f aca="false">IF(A210="N/A"," ",IF(Basischeck=TRUE(),(VLOOKUP(A210,GasCurves,IF(MONTH(A210)&gt;=4,IF(MONTH(A210)&lt;=10,11,12),12),FALSE())),0))</f>
        <v> </v>
      </c>
      <c r="V210" s="444" t="str">
        <f aca="false">IF(A210="N/A"," ",IF(Indexcheck=TRUE(),(IF(MONTH(A210)&gt;=4,IF(MONTH(A210)&lt;=10,VLOOKUP(A210,'Gas Curves'!B188:O548,13),VLOOKUP(A210,'Gas Curves'!B188:O548,14)),VLOOKUP(A210,'Gas Curves'!B188:O548,14))),0))</f>
        <v> </v>
      </c>
      <c r="W210" s="444" t="str">
        <f aca="false">IF(A210="N/A"," ",((SUM(T210:V210))/(1-Inputs!$S$11)-(SUM(T210:V210))))</f>
        <v> </v>
      </c>
      <c r="X210" s="444" t="str">
        <f aca="false">IF(A210="N/A"," ",(IF(MONTH(A210)&gt;=4,IF(MONTH(A210)&lt;=10,Inputs!$S$9,Inputs!$S$10),Inputs!$S$10)))</f>
        <v> </v>
      </c>
      <c r="Y210" s="445" t="str">
        <f aca="false">IF(A210="N/A"," ",(VLOOKUP($A210,InterestRatesTable,2)))</f>
        <v> </v>
      </c>
      <c r="AF210" s="386" t="n">
        <v>42826</v>
      </c>
      <c r="AG210" s="376" t="n">
        <v>20</v>
      </c>
      <c r="AH210" s="376" t="n">
        <v>5</v>
      </c>
      <c r="AI210" s="376" t="n">
        <v>5</v>
      </c>
      <c r="AJ210" s="376" t="n">
        <v>0</v>
      </c>
      <c r="AK210" s="376" t="n">
        <v>30</v>
      </c>
    </row>
    <row r="211" customFormat="false" ht="12.75" hidden="false" customHeight="false" outlineLevel="0" collapsed="false">
      <c r="A211" s="434" t="str">
        <f aca="false">Calculations!A176</f>
        <v>N/A</v>
      </c>
      <c r="B211" s="435" t="str">
        <f aca="false">IF(A211="N/A"," ",IF(ISERROR(P211),B199*Pwresc,P211)*VLOOKUP(MONTH(A211),Curveadj,3))</f>
        <v> </v>
      </c>
      <c r="C211" s="436" t="str">
        <f aca="false">IF(A211="N/A"," ",IF(ISERROR(Q211),C199*Pwresc,Q211)*VLOOKUP(MONTH(A211),Curveadj,3))</f>
        <v> </v>
      </c>
      <c r="D211" s="437" t="str">
        <f aca="false">IF(A211="N/A"," ",IF(ISERROR(R211),D199*Pwresc,R211)*VLOOKUP(MONTH(A211),Curveadj,3))</f>
        <v> </v>
      </c>
      <c r="E211" s="438" t="str">
        <f aca="false">IF(A211="N/A"," ",IF(Scalers=1,(IF(AND(Dynamic=1,MONTH(A211)&gt;=6,MONTH(A211)&lt;=8,OR($O$37="REGION 2",$O$37="REGION 2A",$O$37="REGION 2B",$O$37="REGION 3",$O$37="REGION 3A",$O$37="REGION 3B",$O$37="REGION 3C",$O$37="REGION 4",$O$37="REGION 4B",$O$37="REGION 4C",$O$37="REGION 5",$O$37="REGION 5A")),((0.059228/(B211/100))-(0.4980013/(SQRT(B211/100)))+2.137988),HLOOKUP(MONTH(A211),ScalarTable,28))),1))</f>
        <v> </v>
      </c>
      <c r="F211" s="439" t="str">
        <f aca="false">IF(A211="N/A"," ",B211*E211)</f>
        <v> </v>
      </c>
      <c r="G211" s="439" t="str">
        <f aca="false">IF(A211="N/A"," ",C211*E211)</f>
        <v> </v>
      </c>
      <c r="H211" s="440" t="str">
        <f aca="false">IF(A211="N/A"," ",D211*E211)</f>
        <v> </v>
      </c>
      <c r="I211" s="402" t="str">
        <f aca="false">IF(A211="N/A"," ",2-E211)</f>
        <v> </v>
      </c>
      <c r="J211" s="439" t="str">
        <f aca="false">IF(A211="N/A"," ",B211*I211)</f>
        <v> </v>
      </c>
      <c r="K211" s="439" t="str">
        <f aca="false">IF(A211="N/A"," ",C211*I211)</f>
        <v> </v>
      </c>
      <c r="L211" s="440" t="str">
        <f aca="false">IF(A211="N/A"," ",D211*I211)</f>
        <v> </v>
      </c>
      <c r="M211" s="441" t="str">
        <f aca="false">IF(A211="N/A"," ",IF(ISERROR(S211),M199*Pwresc,S211))</f>
        <v> </v>
      </c>
      <c r="N211" s="442" t="str">
        <f aca="false">IF(A211="N/A"," ",SUM(T211:X211))</f>
        <v> </v>
      </c>
      <c r="O211" s="370"/>
      <c r="P211" s="436" t="str">
        <f aca="false">IF(A211="N/A"," ",VLOOKUP(A211,PeakPowerCurves,(IF(BMO=2,3,IF(BMO=1,2,4))),FALSE())+Inputs!N194)</f>
        <v> </v>
      </c>
      <c r="Q211" s="436" t="str">
        <f aca="false">IF(A211="N/A"," ",VLOOKUP(A211,SatSunPeakPwr,(IF(BMO=2,3,IF(BMO=1,2,4))),FALSE())+Inputs!$N$23)</f>
        <v> </v>
      </c>
      <c r="R211" s="436" t="str">
        <f aca="false">IF(A211="N/A"," ",VLOOKUP(A211,SatSunPeakPwr,(IF(BMO=2,7,IF(BMO=1,6,8))),FALSE())+Inputs!$N$23)</f>
        <v> </v>
      </c>
      <c r="S211" s="443" t="str">
        <f aca="false">IF(A211="N/A"," ",(VLOOKUP(A211,OPPowerPrices,(IF(BMO=2,7,IF(BMO=1,6,8))),FALSE())+Inputs!$N$23))</f>
        <v> </v>
      </c>
      <c r="T211" s="444" t="str">
        <f aca="false">IF(A211="N/A"," ",(VLOOKUP(A211,GasCurves,9,FALSE()))+IF(BMO=1,Gasbmo,IF(BMO=3,-Gasbmo,0)))</f>
        <v> </v>
      </c>
      <c r="U211" s="444" t="str">
        <f aca="false">IF(A211="N/A"," ",IF(Basischeck=TRUE(),(VLOOKUP(A211,GasCurves,IF(MONTH(A211)&gt;=4,IF(MONTH(A211)&lt;=10,11,12),12),FALSE())),0))</f>
        <v> </v>
      </c>
      <c r="V211" s="444" t="str">
        <f aca="false">IF(A211="N/A"," ",IF(Indexcheck=TRUE(),(IF(MONTH(A211)&gt;=4,IF(MONTH(A211)&lt;=10,VLOOKUP(A211,'Gas Curves'!B189:O549,13),VLOOKUP(A211,'Gas Curves'!B189:O549,14)),VLOOKUP(A211,'Gas Curves'!B189:O549,14))),0))</f>
        <v> </v>
      </c>
      <c r="W211" s="444" t="str">
        <f aca="false">IF(A211="N/A"," ",((SUM(T211:V211))/(1-Inputs!$S$11)-(SUM(T211:V211))))</f>
        <v> </v>
      </c>
      <c r="X211" s="444" t="str">
        <f aca="false">IF(A211="N/A"," ",(IF(MONTH(A211)&gt;=4,IF(MONTH(A211)&lt;=10,Inputs!$S$9,Inputs!$S$10),Inputs!$S$10)))</f>
        <v> </v>
      </c>
      <c r="Y211" s="445" t="str">
        <f aca="false">IF(A211="N/A"," ",(VLOOKUP($A211,InterestRatesTable,2)))</f>
        <v> </v>
      </c>
      <c r="AF211" s="386" t="n">
        <v>42856</v>
      </c>
      <c r="AG211" s="376" t="n">
        <v>22</v>
      </c>
      <c r="AH211" s="376" t="n">
        <v>4</v>
      </c>
      <c r="AI211" s="376" t="n">
        <v>5</v>
      </c>
      <c r="AJ211" s="376" t="n">
        <v>1</v>
      </c>
      <c r="AK211" s="376" t="n">
        <v>31</v>
      </c>
    </row>
    <row r="212" customFormat="false" ht="12.75" hidden="false" customHeight="false" outlineLevel="0" collapsed="false">
      <c r="A212" s="434" t="str">
        <f aca="false">Calculations!A177</f>
        <v>N/A</v>
      </c>
      <c r="B212" s="435" t="str">
        <f aca="false">IF(A212="N/A"," ",IF(ISERROR(P212),B200*Pwresc,P212)*VLOOKUP(MONTH(A212),Curveadj,3))</f>
        <v> </v>
      </c>
      <c r="C212" s="436" t="str">
        <f aca="false">IF(A212="N/A"," ",IF(ISERROR(Q212),C200*Pwresc,Q212)*VLOOKUP(MONTH(A212),Curveadj,3))</f>
        <v> </v>
      </c>
      <c r="D212" s="437" t="str">
        <f aca="false">IF(A212="N/A"," ",IF(ISERROR(R212),D200*Pwresc,R212)*VLOOKUP(MONTH(A212),Curveadj,3))</f>
        <v> </v>
      </c>
      <c r="E212" s="438" t="str">
        <f aca="false">IF(A212="N/A"," ",IF(Scalers=1,(IF(AND(Dynamic=1,MONTH(A212)&gt;=6,MONTH(A212)&lt;=8,OR($O$37="REGION 2",$O$37="REGION 2A",$O$37="REGION 2B",$O$37="REGION 3",$O$37="REGION 3A",$O$37="REGION 3B",$O$37="REGION 3C",$O$37="REGION 4",$O$37="REGION 4B",$O$37="REGION 4C",$O$37="REGION 5",$O$37="REGION 5A")),((0.059228/(B212/100))-(0.4980013/(SQRT(B212/100)))+2.137988),HLOOKUP(MONTH(A212),ScalarTable,28))),1))</f>
        <v> </v>
      </c>
      <c r="F212" s="439" t="str">
        <f aca="false">IF(A212="N/A"," ",B212*E212)</f>
        <v> </v>
      </c>
      <c r="G212" s="439" t="str">
        <f aca="false">IF(A212="N/A"," ",C212*E212)</f>
        <v> </v>
      </c>
      <c r="H212" s="440" t="str">
        <f aca="false">IF(A212="N/A"," ",D212*E212)</f>
        <v> </v>
      </c>
      <c r="I212" s="402" t="str">
        <f aca="false">IF(A212="N/A"," ",2-E212)</f>
        <v> </v>
      </c>
      <c r="J212" s="439" t="str">
        <f aca="false">IF(A212="N/A"," ",B212*I212)</f>
        <v> </v>
      </c>
      <c r="K212" s="439" t="str">
        <f aca="false">IF(A212="N/A"," ",C212*I212)</f>
        <v> </v>
      </c>
      <c r="L212" s="440" t="str">
        <f aca="false">IF(A212="N/A"," ",D212*I212)</f>
        <v> </v>
      </c>
      <c r="M212" s="441" t="str">
        <f aca="false">IF(A212="N/A"," ",IF(ISERROR(S212),M200*Pwresc,S212))</f>
        <v> </v>
      </c>
      <c r="N212" s="442" t="str">
        <f aca="false">IF(A212="N/A"," ",SUM(T212:X212))</f>
        <v> </v>
      </c>
      <c r="O212" s="370"/>
      <c r="P212" s="436" t="str">
        <f aca="false">IF(A212="N/A"," ",VLOOKUP(A212,PeakPowerCurves,(IF(BMO=2,3,IF(BMO=1,2,4))),FALSE())+Inputs!N195)</f>
        <v> </v>
      </c>
      <c r="Q212" s="436" t="str">
        <f aca="false">IF(A212="N/A"," ",VLOOKUP(A212,SatSunPeakPwr,(IF(BMO=2,3,IF(BMO=1,2,4))),FALSE())+Inputs!$N$23)</f>
        <v> </v>
      </c>
      <c r="R212" s="436" t="str">
        <f aca="false">IF(A212="N/A"," ",VLOOKUP(A212,SatSunPeakPwr,(IF(BMO=2,7,IF(BMO=1,6,8))),FALSE())+Inputs!$N$23)</f>
        <v> </v>
      </c>
      <c r="S212" s="443" t="str">
        <f aca="false">IF(A212="N/A"," ",(VLOOKUP(A212,OPPowerPrices,(IF(BMO=2,7,IF(BMO=1,6,8))),FALSE())+Inputs!$N$23))</f>
        <v> </v>
      </c>
      <c r="T212" s="444" t="str">
        <f aca="false">IF(A212="N/A"," ",(VLOOKUP(A212,GasCurves,9,FALSE()))+IF(BMO=1,Gasbmo,IF(BMO=3,-Gasbmo,0)))</f>
        <v> </v>
      </c>
      <c r="U212" s="444" t="str">
        <f aca="false">IF(A212="N/A"," ",IF(Basischeck=TRUE(),(VLOOKUP(A212,GasCurves,IF(MONTH(A212)&gt;=4,IF(MONTH(A212)&lt;=10,11,12),12),FALSE())),0))</f>
        <v> </v>
      </c>
      <c r="V212" s="444" t="str">
        <f aca="false">IF(A212="N/A"," ",IF(Indexcheck=TRUE(),(IF(MONTH(A212)&gt;=4,IF(MONTH(A212)&lt;=10,VLOOKUP(A212,'Gas Curves'!B190:O550,13),VLOOKUP(A212,'Gas Curves'!B190:O550,14)),VLOOKUP(A212,'Gas Curves'!B190:O550,14))),0))</f>
        <v> </v>
      </c>
      <c r="W212" s="444" t="str">
        <f aca="false">IF(A212="N/A"," ",((SUM(T212:V212))/(1-Inputs!$S$11)-(SUM(T212:V212))))</f>
        <v> </v>
      </c>
      <c r="X212" s="444" t="str">
        <f aca="false">IF(A212="N/A"," ",(IF(MONTH(A212)&gt;=4,IF(MONTH(A212)&lt;=10,Inputs!$S$9,Inputs!$S$10),Inputs!$S$10)))</f>
        <v> </v>
      </c>
      <c r="Y212" s="445" t="str">
        <f aca="false">IF(A212="N/A"," ",(VLOOKUP($A212,InterestRatesTable,2)))</f>
        <v> </v>
      </c>
      <c r="AF212" s="386" t="n">
        <v>42887</v>
      </c>
      <c r="AG212" s="376" t="n">
        <v>22</v>
      </c>
      <c r="AH212" s="376" t="n">
        <v>4</v>
      </c>
      <c r="AI212" s="376" t="n">
        <v>4</v>
      </c>
      <c r="AJ212" s="376" t="n">
        <v>0</v>
      </c>
      <c r="AK212" s="376" t="n">
        <v>30</v>
      </c>
    </row>
    <row r="213" customFormat="false" ht="12.75" hidden="false" customHeight="false" outlineLevel="0" collapsed="false">
      <c r="A213" s="434" t="str">
        <f aca="false">Calculations!A178</f>
        <v>N/A</v>
      </c>
      <c r="B213" s="435" t="str">
        <f aca="false">IF(A213="N/A"," ",IF(ISERROR(P213),B201*Pwresc,P213)*VLOOKUP(MONTH(A213),Curveadj,3))</f>
        <v> </v>
      </c>
      <c r="C213" s="436" t="str">
        <f aca="false">IF(A213="N/A"," ",IF(ISERROR(Q213),C201*Pwresc,Q213)*VLOOKUP(MONTH(A213),Curveadj,3))</f>
        <v> </v>
      </c>
      <c r="D213" s="437" t="str">
        <f aca="false">IF(A213="N/A"," ",IF(ISERROR(R213),D201*Pwresc,R213)*VLOOKUP(MONTH(A213),Curveadj,3))</f>
        <v> </v>
      </c>
      <c r="E213" s="438" t="str">
        <f aca="false">IF(A213="N/A"," ",IF(Scalers=1,(IF(AND(Dynamic=1,MONTH(A213)&gt;=6,MONTH(A213)&lt;=8,OR($O$37="REGION 2",$O$37="REGION 2A",$O$37="REGION 2B",$O$37="REGION 3",$O$37="REGION 3A",$O$37="REGION 3B",$O$37="REGION 3C",$O$37="REGION 4",$O$37="REGION 4B",$O$37="REGION 4C",$O$37="REGION 5",$O$37="REGION 5A")),((0.059228/(B213/100))-(0.4980013/(SQRT(B213/100)))+2.137988),HLOOKUP(MONTH(A213),ScalarTable,28))),1))</f>
        <v> </v>
      </c>
      <c r="F213" s="439" t="str">
        <f aca="false">IF(A213="N/A"," ",B213*E213)</f>
        <v> </v>
      </c>
      <c r="G213" s="439" t="str">
        <f aca="false">IF(A213="N/A"," ",C213*E213)</f>
        <v> </v>
      </c>
      <c r="H213" s="440" t="str">
        <f aca="false">IF(A213="N/A"," ",D213*E213)</f>
        <v> </v>
      </c>
      <c r="I213" s="402" t="str">
        <f aca="false">IF(A213="N/A"," ",2-E213)</f>
        <v> </v>
      </c>
      <c r="J213" s="439" t="str">
        <f aca="false">IF(A213="N/A"," ",B213*I213)</f>
        <v> </v>
      </c>
      <c r="K213" s="439" t="str">
        <f aca="false">IF(A213="N/A"," ",C213*I213)</f>
        <v> </v>
      </c>
      <c r="L213" s="440" t="str">
        <f aca="false">IF(A213="N/A"," ",D213*I213)</f>
        <v> </v>
      </c>
      <c r="M213" s="441" t="str">
        <f aca="false">IF(A213="N/A"," ",IF(ISERROR(S213),M201*Pwresc,S213))</f>
        <v> </v>
      </c>
      <c r="N213" s="442" t="str">
        <f aca="false">IF(A213="N/A"," ",SUM(T213:X213))</f>
        <v> </v>
      </c>
      <c r="O213" s="370"/>
      <c r="P213" s="436" t="str">
        <f aca="false">IF(A213="N/A"," ",VLOOKUP(A213,PeakPowerCurves,(IF(BMO=2,3,IF(BMO=1,2,4))),FALSE())+Inputs!N196)</f>
        <v> </v>
      </c>
      <c r="Q213" s="436" t="str">
        <f aca="false">IF(A213="N/A"," ",VLOOKUP(A213,SatSunPeakPwr,(IF(BMO=2,3,IF(BMO=1,2,4))),FALSE())+Inputs!$N$23)</f>
        <v> </v>
      </c>
      <c r="R213" s="436" t="str">
        <f aca="false">IF(A213="N/A"," ",VLOOKUP(A213,SatSunPeakPwr,(IF(BMO=2,7,IF(BMO=1,6,8))),FALSE())+Inputs!$N$23)</f>
        <v> </v>
      </c>
      <c r="S213" s="443" t="str">
        <f aca="false">IF(A213="N/A"," ",(VLOOKUP(A213,OPPowerPrices,(IF(BMO=2,7,IF(BMO=1,6,8))),FALSE())+Inputs!$N$23))</f>
        <v> </v>
      </c>
      <c r="T213" s="444" t="str">
        <f aca="false">IF(A213="N/A"," ",(VLOOKUP(A213,GasCurves,9,FALSE()))+IF(BMO=1,Gasbmo,IF(BMO=3,-Gasbmo,0)))</f>
        <v> </v>
      </c>
      <c r="U213" s="444" t="str">
        <f aca="false">IF(A213="N/A"," ",IF(Basischeck=TRUE(),(VLOOKUP(A213,GasCurves,IF(MONTH(A213)&gt;=4,IF(MONTH(A213)&lt;=10,11,12),12),FALSE())),0))</f>
        <v> </v>
      </c>
      <c r="V213" s="444" t="str">
        <f aca="false">IF(A213="N/A"," ",IF(Indexcheck=TRUE(),(IF(MONTH(A213)&gt;=4,IF(MONTH(A213)&lt;=10,VLOOKUP(A213,'Gas Curves'!B191:O551,13),VLOOKUP(A213,'Gas Curves'!B191:O551,14)),VLOOKUP(A213,'Gas Curves'!B191:O551,14))),0))</f>
        <v> </v>
      </c>
      <c r="W213" s="444" t="str">
        <f aca="false">IF(A213="N/A"," ",((SUM(T213:V213))/(1-Inputs!$S$11)-(SUM(T213:V213))))</f>
        <v> </v>
      </c>
      <c r="X213" s="444" t="str">
        <f aca="false">IF(A213="N/A"," ",(IF(MONTH(A213)&gt;=4,IF(MONTH(A213)&lt;=10,Inputs!$S$9,Inputs!$S$10),Inputs!$S$10)))</f>
        <v> </v>
      </c>
      <c r="Y213" s="445" t="str">
        <f aca="false">IF(A213="N/A"," ",(VLOOKUP($A213,InterestRatesTable,2)))</f>
        <v> </v>
      </c>
      <c r="AF213" s="386" t="n">
        <v>42917</v>
      </c>
      <c r="AG213" s="376" t="n">
        <v>20</v>
      </c>
      <c r="AH213" s="376" t="n">
        <v>5</v>
      </c>
      <c r="AI213" s="376" t="n">
        <v>6</v>
      </c>
      <c r="AJ213" s="376" t="n">
        <v>1</v>
      </c>
      <c r="AK213" s="376" t="n">
        <v>31</v>
      </c>
    </row>
    <row r="214" customFormat="false" ht="12.75" hidden="false" customHeight="false" outlineLevel="0" collapsed="false">
      <c r="A214" s="434" t="str">
        <f aca="false">Calculations!A179</f>
        <v>N/A</v>
      </c>
      <c r="B214" s="435" t="str">
        <f aca="false">IF(A214="N/A"," ",IF(ISERROR(P214),B202*Pwresc,P214)*VLOOKUP(MONTH(A214),Curveadj,3))</f>
        <v> </v>
      </c>
      <c r="C214" s="436" t="str">
        <f aca="false">IF(A214="N/A"," ",IF(ISERROR(Q214),C202*Pwresc,Q214)*VLOOKUP(MONTH(A214),Curveadj,3))</f>
        <v> </v>
      </c>
      <c r="D214" s="437" t="str">
        <f aca="false">IF(A214="N/A"," ",IF(ISERROR(R214),D202*Pwresc,R214)*VLOOKUP(MONTH(A214),Curveadj,3))</f>
        <v> </v>
      </c>
      <c r="E214" s="438" t="str">
        <f aca="false">IF(A214="N/A"," ",IF(Scalers=1,(IF(AND(Dynamic=1,MONTH(A214)&gt;=6,MONTH(A214)&lt;=8,OR($O$37="REGION 2",$O$37="REGION 2A",$O$37="REGION 2B",$O$37="REGION 3",$O$37="REGION 3A",$O$37="REGION 3B",$O$37="REGION 3C",$O$37="REGION 4",$O$37="REGION 4B",$O$37="REGION 4C",$O$37="REGION 5",$O$37="REGION 5A")),((0.059228/(B214/100))-(0.4980013/(SQRT(B214/100)))+2.137988),HLOOKUP(MONTH(A214),ScalarTable,28))),1))</f>
        <v> </v>
      </c>
      <c r="F214" s="439" t="str">
        <f aca="false">IF(A214="N/A"," ",B214*E214)</f>
        <v> </v>
      </c>
      <c r="G214" s="439" t="str">
        <f aca="false">IF(A214="N/A"," ",C214*E214)</f>
        <v> </v>
      </c>
      <c r="H214" s="440" t="str">
        <f aca="false">IF(A214="N/A"," ",D214*E214)</f>
        <v> </v>
      </c>
      <c r="I214" s="402" t="str">
        <f aca="false">IF(A214="N/A"," ",2-E214)</f>
        <v> </v>
      </c>
      <c r="J214" s="439" t="str">
        <f aca="false">IF(A214="N/A"," ",B214*I214)</f>
        <v> </v>
      </c>
      <c r="K214" s="439" t="str">
        <f aca="false">IF(A214="N/A"," ",C214*I214)</f>
        <v> </v>
      </c>
      <c r="L214" s="440" t="str">
        <f aca="false">IF(A214="N/A"," ",D214*I214)</f>
        <v> </v>
      </c>
      <c r="M214" s="441" t="str">
        <f aca="false">IF(A214="N/A"," ",IF(ISERROR(S214),M202*Pwresc,S214))</f>
        <v> </v>
      </c>
      <c r="N214" s="442" t="str">
        <f aca="false">IF(A214="N/A"," ",SUM(T214:X214))</f>
        <v> </v>
      </c>
      <c r="O214" s="370"/>
      <c r="P214" s="436" t="str">
        <f aca="false">IF(A214="N/A"," ",VLOOKUP(A214,PeakPowerCurves,(IF(BMO=2,3,IF(BMO=1,2,4))),FALSE())+Inputs!N197)</f>
        <v> </v>
      </c>
      <c r="Q214" s="436" t="str">
        <f aca="false">IF(A214="N/A"," ",VLOOKUP(A214,SatSunPeakPwr,(IF(BMO=2,3,IF(BMO=1,2,4))),FALSE())+Inputs!$N$23)</f>
        <v> </v>
      </c>
      <c r="R214" s="436" t="str">
        <f aca="false">IF(A214="N/A"," ",VLOOKUP(A214,SatSunPeakPwr,(IF(BMO=2,7,IF(BMO=1,6,8))),FALSE())+Inputs!$N$23)</f>
        <v> </v>
      </c>
      <c r="S214" s="443" t="str">
        <f aca="false">IF(A214="N/A"," ",(VLOOKUP(A214,OPPowerPrices,(IF(BMO=2,7,IF(BMO=1,6,8))),FALSE())+Inputs!$N$23))</f>
        <v> </v>
      </c>
      <c r="T214" s="444" t="str">
        <f aca="false">IF(A214="N/A"," ",(VLOOKUP(A214,GasCurves,9,FALSE()))+IF(BMO=1,Gasbmo,IF(BMO=3,-Gasbmo,0)))</f>
        <v> </v>
      </c>
      <c r="U214" s="444" t="str">
        <f aca="false">IF(A214="N/A"," ",IF(Basischeck=TRUE(),(VLOOKUP(A214,GasCurves,IF(MONTH(A214)&gt;=4,IF(MONTH(A214)&lt;=10,11,12),12),FALSE())),0))</f>
        <v> </v>
      </c>
      <c r="V214" s="444" t="str">
        <f aca="false">IF(A214="N/A"," ",IF(Indexcheck=TRUE(),(IF(MONTH(A214)&gt;=4,IF(MONTH(A214)&lt;=10,VLOOKUP(A214,'Gas Curves'!B192:O552,13),VLOOKUP(A214,'Gas Curves'!B192:O552,14)),VLOOKUP(A214,'Gas Curves'!B192:O552,14))),0))</f>
        <v> </v>
      </c>
      <c r="W214" s="444" t="str">
        <f aca="false">IF(A214="N/A"," ",((SUM(T214:V214))/(1-Inputs!$S$11)-(SUM(T214:V214))))</f>
        <v> </v>
      </c>
      <c r="X214" s="444" t="str">
        <f aca="false">IF(A214="N/A"," ",(IF(MONTH(A214)&gt;=4,IF(MONTH(A214)&lt;=10,Inputs!$S$9,Inputs!$S$10),Inputs!$S$10)))</f>
        <v> </v>
      </c>
      <c r="Y214" s="445" t="str">
        <f aca="false">IF(A214="N/A"," ",(VLOOKUP($A214,InterestRatesTable,2)))</f>
        <v> </v>
      </c>
      <c r="AF214" s="386" t="n">
        <v>42948</v>
      </c>
      <c r="AG214" s="376" t="n">
        <v>23</v>
      </c>
      <c r="AH214" s="376" t="n">
        <v>4</v>
      </c>
      <c r="AI214" s="376" t="n">
        <v>4</v>
      </c>
      <c r="AJ214" s="376" t="n">
        <v>0</v>
      </c>
      <c r="AK214" s="376" t="n">
        <v>31</v>
      </c>
    </row>
    <row r="215" customFormat="false" ht="12.75" hidden="false" customHeight="false" outlineLevel="0" collapsed="false">
      <c r="A215" s="434" t="str">
        <f aca="false">Calculations!A180</f>
        <v>N/A</v>
      </c>
      <c r="B215" s="435" t="str">
        <f aca="false">IF(A215="N/A"," ",IF(ISERROR(P215),B203*Pwresc,P215)*VLOOKUP(MONTH(A215),Curveadj,3))</f>
        <v> </v>
      </c>
      <c r="C215" s="436" t="str">
        <f aca="false">IF(A215="N/A"," ",IF(ISERROR(Q215),C203*Pwresc,Q215)*VLOOKUP(MONTH(A215),Curveadj,3))</f>
        <v> </v>
      </c>
      <c r="D215" s="437" t="str">
        <f aca="false">IF(A215="N/A"," ",IF(ISERROR(R215),D203*Pwresc,R215)*VLOOKUP(MONTH(A215),Curveadj,3))</f>
        <v> </v>
      </c>
      <c r="E215" s="438" t="str">
        <f aca="false">IF(A215="N/A"," ",IF(Scalers=1,(IF(AND(Dynamic=1,MONTH(A215)&gt;=6,MONTH(A215)&lt;=8,OR($O$37="REGION 2",$O$37="REGION 2A",$O$37="REGION 2B",$O$37="REGION 3",$O$37="REGION 3A",$O$37="REGION 3B",$O$37="REGION 3C",$O$37="REGION 4",$O$37="REGION 4B",$O$37="REGION 4C",$O$37="REGION 5",$O$37="REGION 5A")),((0.059228/(B215/100))-(0.4980013/(SQRT(B215/100)))+2.137988),HLOOKUP(MONTH(A215),ScalarTable,28))),1))</f>
        <v> </v>
      </c>
      <c r="F215" s="439" t="str">
        <f aca="false">IF(A215="N/A"," ",B215*E215)</f>
        <v> </v>
      </c>
      <c r="G215" s="439" t="str">
        <f aca="false">IF(A215="N/A"," ",C215*E215)</f>
        <v> </v>
      </c>
      <c r="H215" s="440" t="str">
        <f aca="false">IF(A215="N/A"," ",D215*E215)</f>
        <v> </v>
      </c>
      <c r="I215" s="402" t="str">
        <f aca="false">IF(A215="N/A"," ",2-E215)</f>
        <v> </v>
      </c>
      <c r="J215" s="439" t="str">
        <f aca="false">IF(A215="N/A"," ",B215*I215)</f>
        <v> </v>
      </c>
      <c r="K215" s="439" t="str">
        <f aca="false">IF(A215="N/A"," ",C215*I215)</f>
        <v> </v>
      </c>
      <c r="L215" s="440" t="str">
        <f aca="false">IF(A215="N/A"," ",D215*I215)</f>
        <v> </v>
      </c>
      <c r="M215" s="441" t="str">
        <f aca="false">IF(A215="N/A"," ",IF(ISERROR(S215),M203*Pwresc,S215))</f>
        <v> </v>
      </c>
      <c r="N215" s="442" t="str">
        <f aca="false">IF(A215="N/A"," ",SUM(T215:X215))</f>
        <v> </v>
      </c>
      <c r="O215" s="370"/>
      <c r="P215" s="436" t="str">
        <f aca="false">IF(A215="N/A"," ",VLOOKUP(A215,PeakPowerCurves,(IF(BMO=2,3,IF(BMO=1,2,4))),FALSE())+Inputs!N198)</f>
        <v> </v>
      </c>
      <c r="Q215" s="436" t="str">
        <f aca="false">IF(A215="N/A"," ",VLOOKUP(A215,SatSunPeakPwr,(IF(BMO=2,3,IF(BMO=1,2,4))),FALSE())+Inputs!$N$23)</f>
        <v> </v>
      </c>
      <c r="R215" s="436" t="str">
        <f aca="false">IF(A215="N/A"," ",VLOOKUP(A215,SatSunPeakPwr,(IF(BMO=2,7,IF(BMO=1,6,8))),FALSE())+Inputs!$N$23)</f>
        <v> </v>
      </c>
      <c r="S215" s="443" t="str">
        <f aca="false">IF(A215="N/A"," ",(VLOOKUP(A215,OPPowerPrices,(IF(BMO=2,7,IF(BMO=1,6,8))),FALSE())+Inputs!$N$23))</f>
        <v> </v>
      </c>
      <c r="T215" s="444" t="str">
        <f aca="false">IF(A215="N/A"," ",(VLOOKUP(A215,GasCurves,9,FALSE()))+IF(BMO=1,Gasbmo,IF(BMO=3,-Gasbmo,0)))</f>
        <v> </v>
      </c>
      <c r="U215" s="444" t="str">
        <f aca="false">IF(A215="N/A"," ",IF(Basischeck=TRUE(),(VLOOKUP(A215,GasCurves,IF(MONTH(A215)&gt;=4,IF(MONTH(A215)&lt;=10,11,12),12),FALSE())),0))</f>
        <v> </v>
      </c>
      <c r="V215" s="444" t="str">
        <f aca="false">IF(A215="N/A"," ",IF(Indexcheck=TRUE(),(IF(MONTH(A215)&gt;=4,IF(MONTH(A215)&lt;=10,VLOOKUP(A215,'Gas Curves'!B193:O553,13),VLOOKUP(A215,'Gas Curves'!B193:O553,14)),VLOOKUP(A215,'Gas Curves'!B193:O553,14))),0))</f>
        <v> </v>
      </c>
      <c r="W215" s="444" t="str">
        <f aca="false">IF(A215="N/A"," ",((SUM(T215:V215))/(1-Inputs!$S$11)-(SUM(T215:V215))))</f>
        <v> </v>
      </c>
      <c r="X215" s="444" t="str">
        <f aca="false">IF(A215="N/A"," ",(IF(MONTH(A215)&gt;=4,IF(MONTH(A215)&lt;=10,Inputs!$S$9,Inputs!$S$10),Inputs!$S$10)))</f>
        <v> </v>
      </c>
      <c r="Y215" s="445" t="str">
        <f aca="false">IF(A215="N/A"," ",(VLOOKUP($A215,InterestRatesTable,2)))</f>
        <v> </v>
      </c>
      <c r="AF215" s="386" t="n">
        <v>42979</v>
      </c>
      <c r="AG215" s="376" t="n">
        <v>20</v>
      </c>
      <c r="AH215" s="376" t="n">
        <v>5</v>
      </c>
      <c r="AI215" s="376" t="n">
        <v>5</v>
      </c>
      <c r="AJ215" s="376" t="n">
        <v>1</v>
      </c>
      <c r="AK215" s="376" t="n">
        <v>30</v>
      </c>
    </row>
    <row r="216" customFormat="false" ht="12.75" hidden="false" customHeight="false" outlineLevel="0" collapsed="false">
      <c r="A216" s="434" t="str">
        <f aca="false">Calculations!A181</f>
        <v>N/A</v>
      </c>
      <c r="B216" s="435" t="str">
        <f aca="false">IF(A216="N/A"," ",IF(ISERROR(P216),B204*Pwresc,P216)*VLOOKUP(MONTH(A216),Curveadj,3))</f>
        <v> </v>
      </c>
      <c r="C216" s="436" t="str">
        <f aca="false">IF(A216="N/A"," ",IF(ISERROR(Q216),C204*Pwresc,Q216)*VLOOKUP(MONTH(A216),Curveadj,3))</f>
        <v> </v>
      </c>
      <c r="D216" s="437" t="str">
        <f aca="false">IF(A216="N/A"," ",IF(ISERROR(R216),D204*Pwresc,R216)*VLOOKUP(MONTH(A216),Curveadj,3))</f>
        <v> </v>
      </c>
      <c r="E216" s="438" t="str">
        <f aca="false">IF(A216="N/A"," ",IF(Scalers=1,(IF(AND(Dynamic=1,MONTH(A216)&gt;=6,MONTH(A216)&lt;=8,OR($O$37="REGION 2",$O$37="REGION 2A",$O$37="REGION 2B",$O$37="REGION 3",$O$37="REGION 3A",$O$37="REGION 3B",$O$37="REGION 3C",$O$37="REGION 4",$O$37="REGION 4B",$O$37="REGION 4C",$O$37="REGION 5",$O$37="REGION 5A")),((0.059228/(B216/100))-(0.4980013/(SQRT(B216/100)))+2.137988),HLOOKUP(MONTH(A216),ScalarTable,28))),1))</f>
        <v> </v>
      </c>
      <c r="F216" s="439" t="str">
        <f aca="false">IF(A216="N/A"," ",B216*E216)</f>
        <v> </v>
      </c>
      <c r="G216" s="439" t="str">
        <f aca="false">IF(A216="N/A"," ",C216*E216)</f>
        <v> </v>
      </c>
      <c r="H216" s="440" t="str">
        <f aca="false">IF(A216="N/A"," ",D216*E216)</f>
        <v> </v>
      </c>
      <c r="I216" s="402" t="str">
        <f aca="false">IF(A216="N/A"," ",2-E216)</f>
        <v> </v>
      </c>
      <c r="J216" s="439" t="str">
        <f aca="false">IF(A216="N/A"," ",B216*I216)</f>
        <v> </v>
      </c>
      <c r="K216" s="439" t="str">
        <f aca="false">IF(A216="N/A"," ",C216*I216)</f>
        <v> </v>
      </c>
      <c r="L216" s="440" t="str">
        <f aca="false">IF(A216="N/A"," ",D216*I216)</f>
        <v> </v>
      </c>
      <c r="M216" s="441" t="str">
        <f aca="false">IF(A216="N/A"," ",IF(ISERROR(S216),M204*Pwresc,S216))</f>
        <v> </v>
      </c>
      <c r="N216" s="442" t="str">
        <f aca="false">IF(A216="N/A"," ",SUM(T216:X216))</f>
        <v> </v>
      </c>
      <c r="O216" s="370"/>
      <c r="P216" s="436" t="str">
        <f aca="false">IF(A216="N/A"," ",VLOOKUP(A216,PeakPowerCurves,(IF(BMO=2,3,IF(BMO=1,2,4))),FALSE())+Inputs!N199)</f>
        <v> </v>
      </c>
      <c r="Q216" s="436" t="str">
        <f aca="false">IF(A216="N/A"," ",VLOOKUP(A216,SatSunPeakPwr,(IF(BMO=2,3,IF(BMO=1,2,4))),FALSE())+Inputs!$N$23)</f>
        <v> </v>
      </c>
      <c r="R216" s="436" t="str">
        <f aca="false">IF(A216="N/A"," ",VLOOKUP(A216,SatSunPeakPwr,(IF(BMO=2,7,IF(BMO=1,6,8))),FALSE())+Inputs!$N$23)</f>
        <v> </v>
      </c>
      <c r="S216" s="443" t="str">
        <f aca="false">IF(A216="N/A"," ",(VLOOKUP(A216,OPPowerPrices,(IF(BMO=2,7,IF(BMO=1,6,8))),FALSE())+Inputs!$N$23))</f>
        <v> </v>
      </c>
      <c r="T216" s="444" t="str">
        <f aca="false">IF(A216="N/A"," ",(VLOOKUP(A216,GasCurves,9,FALSE()))+IF(BMO=1,Gasbmo,IF(BMO=3,-Gasbmo,0)))</f>
        <v> </v>
      </c>
      <c r="U216" s="444" t="str">
        <f aca="false">IF(A216="N/A"," ",IF(Basischeck=TRUE(),(VLOOKUP(A216,GasCurves,IF(MONTH(A216)&gt;=4,IF(MONTH(A216)&lt;=10,11,12),12),FALSE())),0))</f>
        <v> </v>
      </c>
      <c r="V216" s="444" t="str">
        <f aca="false">IF(A216="N/A"," ",IF(Indexcheck=TRUE(),(IF(MONTH(A216)&gt;=4,IF(MONTH(A216)&lt;=10,VLOOKUP(A216,'Gas Curves'!B194:O554,13),VLOOKUP(A216,'Gas Curves'!B194:O554,14)),VLOOKUP(A216,'Gas Curves'!B194:O554,14))),0))</f>
        <v> </v>
      </c>
      <c r="W216" s="444" t="str">
        <f aca="false">IF(A216="N/A"," ",((SUM(T216:V216))/(1-Inputs!$S$11)-(SUM(T216:V216))))</f>
        <v> </v>
      </c>
      <c r="X216" s="444" t="str">
        <f aca="false">IF(A216="N/A"," ",(IF(MONTH(A216)&gt;=4,IF(MONTH(A216)&lt;=10,Inputs!$S$9,Inputs!$S$10),Inputs!$S$10)))</f>
        <v> </v>
      </c>
      <c r="Y216" s="445" t="str">
        <f aca="false">IF(A216="N/A"," ",(VLOOKUP($A216,InterestRatesTable,2)))</f>
        <v> </v>
      </c>
      <c r="AF216" s="386" t="n">
        <v>43009</v>
      </c>
      <c r="AG216" s="376" t="n">
        <v>22</v>
      </c>
      <c r="AH216" s="376" t="n">
        <v>4</v>
      </c>
      <c r="AI216" s="376" t="n">
        <v>5</v>
      </c>
      <c r="AJ216" s="376" t="n">
        <v>0</v>
      </c>
      <c r="AK216" s="376" t="n">
        <v>31</v>
      </c>
    </row>
    <row r="217" customFormat="false" ht="12.75" hidden="false" customHeight="false" outlineLevel="0" collapsed="false">
      <c r="A217" s="434" t="str">
        <f aca="false">Calculations!A182</f>
        <v>N/A</v>
      </c>
      <c r="B217" s="435" t="str">
        <f aca="false">IF(A217="N/A"," ",IF(ISERROR(P217),B205*Pwresc,P217)*VLOOKUP(MONTH(A217),Curveadj,3))</f>
        <v> </v>
      </c>
      <c r="C217" s="436" t="str">
        <f aca="false">IF(A217="N/A"," ",IF(ISERROR(Q217),C205*Pwresc,Q217)*VLOOKUP(MONTH(A217),Curveadj,3))</f>
        <v> </v>
      </c>
      <c r="D217" s="437" t="str">
        <f aca="false">IF(A217="N/A"," ",IF(ISERROR(R217),D205*Pwresc,R217)*VLOOKUP(MONTH(A217),Curveadj,3))</f>
        <v> </v>
      </c>
      <c r="E217" s="438" t="str">
        <f aca="false">IF(A217="N/A"," ",IF(Scalers=1,(IF(AND(Dynamic=1,MONTH(A217)&gt;=6,MONTH(A217)&lt;=8,OR($O$37="REGION 2",$O$37="REGION 2A",$O$37="REGION 2B",$O$37="REGION 3",$O$37="REGION 3A",$O$37="REGION 3B",$O$37="REGION 3C",$O$37="REGION 4",$O$37="REGION 4B",$O$37="REGION 4C",$O$37="REGION 5",$O$37="REGION 5A")),((0.059228/(B217/100))-(0.4980013/(SQRT(B217/100)))+2.137988),HLOOKUP(MONTH(A217),ScalarTable,28))),1))</f>
        <v> </v>
      </c>
      <c r="F217" s="439" t="str">
        <f aca="false">IF(A217="N/A"," ",B217*E217)</f>
        <v> </v>
      </c>
      <c r="G217" s="439" t="str">
        <f aca="false">IF(A217="N/A"," ",C217*E217)</f>
        <v> </v>
      </c>
      <c r="H217" s="440" t="str">
        <f aca="false">IF(A217="N/A"," ",D217*E217)</f>
        <v> </v>
      </c>
      <c r="I217" s="402" t="str">
        <f aca="false">IF(A217="N/A"," ",2-E217)</f>
        <v> </v>
      </c>
      <c r="J217" s="439" t="str">
        <f aca="false">IF(A217="N/A"," ",B217*I217)</f>
        <v> </v>
      </c>
      <c r="K217" s="439" t="str">
        <f aca="false">IF(A217="N/A"," ",C217*I217)</f>
        <v> </v>
      </c>
      <c r="L217" s="440" t="str">
        <f aca="false">IF(A217="N/A"," ",D217*I217)</f>
        <v> </v>
      </c>
      <c r="M217" s="441" t="str">
        <f aca="false">IF(A217="N/A"," ",IF(ISERROR(S217),M205*Pwresc,S217))</f>
        <v> </v>
      </c>
      <c r="N217" s="442" t="str">
        <f aca="false">IF(A217="N/A"," ",SUM(T217:X217))</f>
        <v> </v>
      </c>
      <c r="O217" s="370"/>
      <c r="P217" s="436" t="str">
        <f aca="false">IF(A217="N/A"," ",VLOOKUP(A217,PeakPowerCurves,(IF(BMO=2,3,IF(BMO=1,2,4))),FALSE())+Inputs!N200)</f>
        <v> </v>
      </c>
      <c r="Q217" s="436" t="str">
        <f aca="false">IF(A217="N/A"," ",VLOOKUP(A217,SatSunPeakPwr,(IF(BMO=2,3,IF(BMO=1,2,4))),FALSE())+Inputs!$N$23)</f>
        <v> </v>
      </c>
      <c r="R217" s="436" t="str">
        <f aca="false">IF(A217="N/A"," ",VLOOKUP(A217,SatSunPeakPwr,(IF(BMO=2,7,IF(BMO=1,6,8))),FALSE())+Inputs!$N$23)</f>
        <v> </v>
      </c>
      <c r="S217" s="443" t="str">
        <f aca="false">IF(A217="N/A"," ",(VLOOKUP(A217,OPPowerPrices,(IF(BMO=2,7,IF(BMO=1,6,8))),FALSE())+Inputs!$N$23))</f>
        <v> </v>
      </c>
      <c r="T217" s="444" t="str">
        <f aca="false">IF(A217="N/A"," ",(VLOOKUP(A217,GasCurves,9,FALSE()))+IF(BMO=1,Gasbmo,IF(BMO=3,-Gasbmo,0)))</f>
        <v> </v>
      </c>
      <c r="U217" s="444" t="str">
        <f aca="false">IF(A217="N/A"," ",IF(Basischeck=TRUE(),(VLOOKUP(A217,GasCurves,IF(MONTH(A217)&gt;=4,IF(MONTH(A217)&lt;=10,11,12),12),FALSE())),0))</f>
        <v> </v>
      </c>
      <c r="V217" s="444" t="str">
        <f aca="false">IF(A217="N/A"," ",IF(Indexcheck=TRUE(),(IF(MONTH(A217)&gt;=4,IF(MONTH(A217)&lt;=10,VLOOKUP(A217,'Gas Curves'!B195:O555,13),VLOOKUP(A217,'Gas Curves'!B195:O555,14)),VLOOKUP(A217,'Gas Curves'!B195:O555,14))),0))</f>
        <v> </v>
      </c>
      <c r="W217" s="444" t="str">
        <f aca="false">IF(A217="N/A"," ",((SUM(T217:V217))/(1-Inputs!$S$11)-(SUM(T217:V217))))</f>
        <v> </v>
      </c>
      <c r="X217" s="444" t="str">
        <f aca="false">IF(A217="N/A"," ",(IF(MONTH(A217)&gt;=4,IF(MONTH(A217)&lt;=10,Inputs!$S$9,Inputs!$S$10),Inputs!$S$10)))</f>
        <v> </v>
      </c>
      <c r="Y217" s="445" t="str">
        <f aca="false">IF(A217="N/A"," ",(VLOOKUP($A217,InterestRatesTable,2)))</f>
        <v> </v>
      </c>
      <c r="AF217" s="386" t="n">
        <v>43040</v>
      </c>
      <c r="AG217" s="376" t="n">
        <v>21</v>
      </c>
      <c r="AH217" s="376" t="n">
        <v>4</v>
      </c>
      <c r="AI217" s="376" t="n">
        <v>5</v>
      </c>
      <c r="AJ217" s="376" t="n">
        <v>1</v>
      </c>
      <c r="AK217" s="376" t="n">
        <v>30</v>
      </c>
    </row>
    <row r="218" customFormat="false" ht="12.75" hidden="false" customHeight="false" outlineLevel="0" collapsed="false">
      <c r="A218" s="434" t="str">
        <f aca="false">Calculations!A183</f>
        <v>N/A</v>
      </c>
      <c r="B218" s="435" t="str">
        <f aca="false">IF(A218="N/A"," ",IF(ISERROR(P218),B206*Pwresc,P218)*VLOOKUP(MONTH(A218),Curveadj,3))</f>
        <v> </v>
      </c>
      <c r="C218" s="436" t="str">
        <f aca="false">IF(A218="N/A"," ",IF(ISERROR(Q218),C206*Pwresc,Q218)*VLOOKUP(MONTH(A218),Curveadj,3))</f>
        <v> </v>
      </c>
      <c r="D218" s="437" t="str">
        <f aca="false">IF(A218="N/A"," ",IF(ISERROR(R218),D206*Pwresc,R218)*VLOOKUP(MONTH(A218),Curveadj,3))</f>
        <v> </v>
      </c>
      <c r="E218" s="438" t="str">
        <f aca="false">IF(A218="N/A"," ",IF(Scalers=1,(IF(AND(Dynamic=1,MONTH(A218)&gt;=6,MONTH(A218)&lt;=8,OR($O$37="REGION 2",$O$37="REGION 2A",$O$37="REGION 2B",$O$37="REGION 3",$O$37="REGION 3A",$O$37="REGION 3B",$O$37="REGION 3C",$O$37="REGION 4",$O$37="REGION 4B",$O$37="REGION 4C",$O$37="REGION 5",$O$37="REGION 5A")),((0.059228/(B218/100))-(0.4980013/(SQRT(B218/100)))+2.137988),HLOOKUP(MONTH(A218),ScalarTable,28))),1))</f>
        <v> </v>
      </c>
      <c r="F218" s="439" t="str">
        <f aca="false">IF(A218="N/A"," ",B218*E218)</f>
        <v> </v>
      </c>
      <c r="G218" s="439" t="str">
        <f aca="false">IF(A218="N/A"," ",C218*E218)</f>
        <v> </v>
      </c>
      <c r="H218" s="440" t="str">
        <f aca="false">IF(A218="N/A"," ",D218*E218)</f>
        <v> </v>
      </c>
      <c r="I218" s="402" t="str">
        <f aca="false">IF(A218="N/A"," ",2-E218)</f>
        <v> </v>
      </c>
      <c r="J218" s="439" t="str">
        <f aca="false">IF(A218="N/A"," ",B218*I218)</f>
        <v> </v>
      </c>
      <c r="K218" s="439" t="str">
        <f aca="false">IF(A218="N/A"," ",C218*I218)</f>
        <v> </v>
      </c>
      <c r="L218" s="440" t="str">
        <f aca="false">IF(A218="N/A"," ",D218*I218)</f>
        <v> </v>
      </c>
      <c r="M218" s="441" t="str">
        <f aca="false">IF(A218="N/A"," ",IF(ISERROR(S218),M206*Pwresc,S218))</f>
        <v> </v>
      </c>
      <c r="N218" s="442" t="str">
        <f aca="false">IF(A218="N/A"," ",SUM(T218:X218))</f>
        <v> </v>
      </c>
      <c r="O218" s="370"/>
      <c r="P218" s="436" t="str">
        <f aca="false">IF(A218="N/A"," ",VLOOKUP(A218,PeakPowerCurves,(IF(BMO=2,3,IF(BMO=1,2,4))),FALSE())+Inputs!N201)</f>
        <v> </v>
      </c>
      <c r="Q218" s="436" t="str">
        <f aca="false">IF(A218="N/A"," ",VLOOKUP(A218,SatSunPeakPwr,(IF(BMO=2,3,IF(BMO=1,2,4))),FALSE())+Inputs!$N$23)</f>
        <v> </v>
      </c>
      <c r="R218" s="436" t="str">
        <f aca="false">IF(A218="N/A"," ",VLOOKUP(A218,SatSunPeakPwr,(IF(BMO=2,7,IF(BMO=1,6,8))),FALSE())+Inputs!$N$23)</f>
        <v> </v>
      </c>
      <c r="S218" s="443" t="str">
        <f aca="false">IF(A218="N/A"," ",(VLOOKUP(A218,OPPowerPrices,(IF(BMO=2,7,IF(BMO=1,6,8))),FALSE())+Inputs!$N$23))</f>
        <v> </v>
      </c>
      <c r="T218" s="444" t="str">
        <f aca="false">IF(A218="N/A"," ",(VLOOKUP(A218,GasCurves,9,FALSE()))+IF(BMO=1,Gasbmo,IF(BMO=3,-Gasbmo,0)))</f>
        <v> </v>
      </c>
      <c r="U218" s="444" t="str">
        <f aca="false">IF(A218="N/A"," ",IF(Basischeck=TRUE(),(VLOOKUP(A218,GasCurves,IF(MONTH(A218)&gt;=4,IF(MONTH(A218)&lt;=10,11,12),12),FALSE())),0))</f>
        <v> </v>
      </c>
      <c r="V218" s="444" t="str">
        <f aca="false">IF(A218="N/A"," ",IF(Indexcheck=TRUE(),(IF(MONTH(A218)&gt;=4,IF(MONTH(A218)&lt;=10,VLOOKUP(A218,'Gas Curves'!B196:O556,13),VLOOKUP(A218,'Gas Curves'!B196:O556,14)),VLOOKUP(A218,'Gas Curves'!B196:O556,14))),0))</f>
        <v> </v>
      </c>
      <c r="W218" s="444" t="str">
        <f aca="false">IF(A218="N/A"," ",((SUM(T218:V218))/(1-Inputs!$S$11)-(SUM(T218:V218))))</f>
        <v> </v>
      </c>
      <c r="X218" s="444" t="str">
        <f aca="false">IF(A218="N/A"," ",(IF(MONTH(A218)&gt;=4,IF(MONTH(A218)&lt;=10,Inputs!$S$9,Inputs!$S$10),Inputs!$S$10)))</f>
        <v> </v>
      </c>
      <c r="Y218" s="445" t="str">
        <f aca="false">IF(A218="N/A"," ",(VLOOKUP($A218,InterestRatesTable,2)))</f>
        <v> </v>
      </c>
      <c r="AF218" s="386" t="n">
        <v>43070</v>
      </c>
      <c r="AG218" s="376" t="n">
        <v>20</v>
      </c>
      <c r="AH218" s="376" t="n">
        <v>5</v>
      </c>
      <c r="AI218" s="376" t="n">
        <v>6</v>
      </c>
      <c r="AJ218" s="376" t="n">
        <v>1</v>
      </c>
      <c r="AK218" s="376" t="n">
        <v>31</v>
      </c>
    </row>
    <row r="219" customFormat="false" ht="12.75" hidden="false" customHeight="false" outlineLevel="0" collapsed="false">
      <c r="A219" s="434" t="str">
        <f aca="false">Calculations!A184</f>
        <v>N/A</v>
      </c>
      <c r="B219" s="435" t="str">
        <f aca="false">IF(A219="N/A"," ",IF(ISERROR(P219),B207*Pwresc,P219)*VLOOKUP(MONTH(A219),Curveadj,3))</f>
        <v> </v>
      </c>
      <c r="C219" s="436" t="str">
        <f aca="false">IF(A219="N/A"," ",IF(ISERROR(Q219),C207*Pwresc,Q219)*VLOOKUP(MONTH(A219),Curveadj,3))</f>
        <v> </v>
      </c>
      <c r="D219" s="437" t="str">
        <f aca="false">IF(A219="N/A"," ",IF(ISERROR(R219),D207*Pwresc,R219)*VLOOKUP(MONTH(A219),Curveadj,3))</f>
        <v> </v>
      </c>
      <c r="E219" s="438" t="str">
        <f aca="false">IF(A219="N/A"," ",IF(Scalers=1,(IF(AND(Dynamic=1,MONTH(A219)&gt;=6,MONTH(A219)&lt;=8,OR($O$37="REGION 2",$O$37="REGION 2A",$O$37="REGION 2B",$O$37="REGION 3",$O$37="REGION 3A",$O$37="REGION 3B",$O$37="REGION 3C",$O$37="REGION 4",$O$37="REGION 4B",$O$37="REGION 4C",$O$37="REGION 5",$O$37="REGION 5A")),((0.059228/(B219/100))-(0.4980013/(SQRT(B219/100)))+2.137988),HLOOKUP(MONTH(A219),ScalarTable,28))),1))</f>
        <v> </v>
      </c>
      <c r="F219" s="439" t="str">
        <f aca="false">IF(A219="N/A"," ",B219*E219)</f>
        <v> </v>
      </c>
      <c r="G219" s="439" t="str">
        <f aca="false">IF(A219="N/A"," ",C219*E219)</f>
        <v> </v>
      </c>
      <c r="H219" s="440" t="str">
        <f aca="false">IF(A219="N/A"," ",D219*E219)</f>
        <v> </v>
      </c>
      <c r="I219" s="402" t="str">
        <f aca="false">IF(A219="N/A"," ",2-E219)</f>
        <v> </v>
      </c>
      <c r="J219" s="439" t="str">
        <f aca="false">IF(A219="N/A"," ",B219*I219)</f>
        <v> </v>
      </c>
      <c r="K219" s="439" t="str">
        <f aca="false">IF(A219="N/A"," ",C219*I219)</f>
        <v> </v>
      </c>
      <c r="L219" s="440" t="str">
        <f aca="false">IF(A219="N/A"," ",D219*I219)</f>
        <v> </v>
      </c>
      <c r="M219" s="441" t="str">
        <f aca="false">IF(A219="N/A"," ",IF(ISERROR(S219),M207*Pwresc,S219))</f>
        <v> </v>
      </c>
      <c r="N219" s="442" t="str">
        <f aca="false">IF(A219="N/A"," ",SUM(T219:X219))</f>
        <v> </v>
      </c>
      <c r="O219" s="370"/>
      <c r="P219" s="436" t="str">
        <f aca="false">IF(A219="N/A"," ",VLOOKUP(A219,PeakPowerCurves,(IF(BMO=2,3,IF(BMO=1,2,4))),FALSE())+Inputs!N202)</f>
        <v> </v>
      </c>
      <c r="Q219" s="436" t="str">
        <f aca="false">IF(A219="N/A"," ",VLOOKUP(A219,SatSunPeakPwr,(IF(BMO=2,3,IF(BMO=1,2,4))),FALSE())+Inputs!$N$23)</f>
        <v> </v>
      </c>
      <c r="R219" s="436" t="str">
        <f aca="false">IF(A219="N/A"," ",VLOOKUP(A219,SatSunPeakPwr,(IF(BMO=2,7,IF(BMO=1,6,8))),FALSE())+Inputs!$N$23)</f>
        <v> </v>
      </c>
      <c r="S219" s="443" t="str">
        <f aca="false">IF(A219="N/A"," ",(VLOOKUP(A219,OPPowerPrices,(IF(BMO=2,7,IF(BMO=1,6,8))),FALSE())+Inputs!$N$23))</f>
        <v> </v>
      </c>
      <c r="T219" s="444" t="str">
        <f aca="false">IF(A219="N/A"," ",(VLOOKUP(A219,GasCurves,9,FALSE()))+IF(BMO=1,Gasbmo,IF(BMO=3,-Gasbmo,0)))</f>
        <v> </v>
      </c>
      <c r="U219" s="444" t="str">
        <f aca="false">IF(A219="N/A"," ",IF(Basischeck=TRUE(),(VLOOKUP(A219,GasCurves,IF(MONTH(A219)&gt;=4,IF(MONTH(A219)&lt;=10,11,12),12),FALSE())),0))</f>
        <v> </v>
      </c>
      <c r="V219" s="444" t="str">
        <f aca="false">IF(A219="N/A"," ",IF(Indexcheck=TRUE(),(IF(MONTH(A219)&gt;=4,IF(MONTH(A219)&lt;=10,VLOOKUP(A219,'Gas Curves'!B197:O557,13),VLOOKUP(A219,'Gas Curves'!B197:O557,14)),VLOOKUP(A219,'Gas Curves'!B197:O557,14))),0))</f>
        <v> </v>
      </c>
      <c r="W219" s="444" t="str">
        <f aca="false">IF(A219="N/A"," ",((SUM(T219:V219))/(1-Inputs!$S$11)-(SUM(T219:V219))))</f>
        <v> </v>
      </c>
      <c r="X219" s="444" t="str">
        <f aca="false">IF(A219="N/A"," ",(IF(MONTH(A219)&gt;=4,IF(MONTH(A219)&lt;=10,Inputs!$S$9,Inputs!$S$10),Inputs!$S$10)))</f>
        <v> </v>
      </c>
      <c r="Y219" s="445" t="str">
        <f aca="false">IF(A219="N/A"," ",(VLOOKUP($A219,InterestRatesTable,2)))</f>
        <v> </v>
      </c>
      <c r="AF219" s="386" t="n">
        <v>43101</v>
      </c>
      <c r="AG219" s="376" t="n">
        <v>22</v>
      </c>
      <c r="AH219" s="376" t="n">
        <v>4</v>
      </c>
      <c r="AI219" s="376" t="n">
        <v>5</v>
      </c>
      <c r="AJ219" s="376" t="n">
        <v>1</v>
      </c>
      <c r="AK219" s="376" t="n">
        <v>31</v>
      </c>
    </row>
    <row r="220" customFormat="false" ht="12.75" hidden="false" customHeight="false" outlineLevel="0" collapsed="false">
      <c r="A220" s="434" t="str">
        <f aca="false">Calculations!A185</f>
        <v>N/A</v>
      </c>
      <c r="B220" s="435" t="str">
        <f aca="false">IF(A220="N/A"," ",IF(ISERROR(P220),B208*Pwresc,P220)*VLOOKUP(MONTH(A220),Curveadj,3))</f>
        <v> </v>
      </c>
      <c r="C220" s="436" t="str">
        <f aca="false">IF(A220="N/A"," ",IF(ISERROR(Q220),C208*Pwresc,Q220)*VLOOKUP(MONTH(A220),Curveadj,3))</f>
        <v> </v>
      </c>
      <c r="D220" s="437" t="str">
        <f aca="false">IF(A220="N/A"," ",IF(ISERROR(R220),D208*Pwresc,R220)*VLOOKUP(MONTH(A220),Curveadj,3))</f>
        <v> </v>
      </c>
      <c r="E220" s="438" t="str">
        <f aca="false">IF(A220="N/A"," ",IF(Scalers=1,(IF(AND(Dynamic=1,MONTH(A220)&gt;=6,MONTH(A220)&lt;=8,OR($O$37="REGION 2",$O$37="REGION 2A",$O$37="REGION 2B",$O$37="REGION 3",$O$37="REGION 3A",$O$37="REGION 3B",$O$37="REGION 3C",$O$37="REGION 4",$O$37="REGION 4B",$O$37="REGION 4C",$O$37="REGION 5",$O$37="REGION 5A")),((0.059228/(B220/100))-(0.4980013/(SQRT(B220/100)))+2.137988),HLOOKUP(MONTH(A220),ScalarTable,28))),1))</f>
        <v> </v>
      </c>
      <c r="F220" s="439" t="str">
        <f aca="false">IF(A220="N/A"," ",B220*E220)</f>
        <v> </v>
      </c>
      <c r="G220" s="439" t="str">
        <f aca="false">IF(A220="N/A"," ",C220*E220)</f>
        <v> </v>
      </c>
      <c r="H220" s="440" t="str">
        <f aca="false">IF(A220="N/A"," ",D220*E220)</f>
        <v> </v>
      </c>
      <c r="I220" s="402" t="str">
        <f aca="false">IF(A220="N/A"," ",2-E220)</f>
        <v> </v>
      </c>
      <c r="J220" s="439" t="str">
        <f aca="false">IF(A220="N/A"," ",B220*I220)</f>
        <v> </v>
      </c>
      <c r="K220" s="439" t="str">
        <f aca="false">IF(A220="N/A"," ",C220*I220)</f>
        <v> </v>
      </c>
      <c r="L220" s="440" t="str">
        <f aca="false">IF(A220="N/A"," ",D220*I220)</f>
        <v> </v>
      </c>
      <c r="M220" s="441" t="str">
        <f aca="false">IF(A220="N/A"," ",IF(ISERROR(S220),M208*Pwresc,S220))</f>
        <v> </v>
      </c>
      <c r="N220" s="442" t="str">
        <f aca="false">IF(A220="N/A"," ",SUM(T220:X220))</f>
        <v> </v>
      </c>
      <c r="O220" s="370"/>
      <c r="P220" s="436" t="str">
        <f aca="false">IF(A220="N/A"," ",VLOOKUP(A220,PeakPowerCurves,(IF(BMO=2,3,IF(BMO=1,2,4))),FALSE())+Inputs!N203)</f>
        <v> </v>
      </c>
      <c r="Q220" s="436" t="str">
        <f aca="false">IF(A220="N/A"," ",VLOOKUP(A220,SatSunPeakPwr,(IF(BMO=2,3,IF(BMO=1,2,4))),FALSE())+Inputs!$N$23)</f>
        <v> </v>
      </c>
      <c r="R220" s="436" t="str">
        <f aca="false">IF(A220="N/A"," ",VLOOKUP(A220,SatSunPeakPwr,(IF(BMO=2,7,IF(BMO=1,6,8))),FALSE())+Inputs!$N$23)</f>
        <v> </v>
      </c>
      <c r="S220" s="443" t="str">
        <f aca="false">IF(A220="N/A"," ",(VLOOKUP(A220,OPPowerPrices,(IF(BMO=2,7,IF(BMO=1,6,8))),FALSE())+Inputs!$N$23))</f>
        <v> </v>
      </c>
      <c r="T220" s="444" t="str">
        <f aca="false">IF(A220="N/A"," ",(VLOOKUP(A220,GasCurves,9,FALSE()))+IF(BMO=1,Gasbmo,IF(BMO=3,-Gasbmo,0)))</f>
        <v> </v>
      </c>
      <c r="U220" s="444" t="str">
        <f aca="false">IF(A220="N/A"," ",IF(Basischeck=TRUE(),(VLOOKUP(A220,GasCurves,IF(MONTH(A220)&gt;=4,IF(MONTH(A220)&lt;=10,11,12),12),FALSE())),0))</f>
        <v> </v>
      </c>
      <c r="V220" s="444" t="str">
        <f aca="false">IF(A220="N/A"," ",IF(Indexcheck=TRUE(),(IF(MONTH(A220)&gt;=4,IF(MONTH(A220)&lt;=10,VLOOKUP(A220,'Gas Curves'!B198:O558,13),VLOOKUP(A220,'Gas Curves'!B198:O558,14)),VLOOKUP(A220,'Gas Curves'!B198:O558,14))),0))</f>
        <v> </v>
      </c>
      <c r="W220" s="444" t="str">
        <f aca="false">IF(A220="N/A"," ",((SUM(T220:V220))/(1-Inputs!$S$11)-(SUM(T220:V220))))</f>
        <v> </v>
      </c>
      <c r="X220" s="444" t="str">
        <f aca="false">IF(A220="N/A"," ",(IF(MONTH(A220)&gt;=4,IF(MONTH(A220)&lt;=10,Inputs!$S$9,Inputs!$S$10),Inputs!$S$10)))</f>
        <v> </v>
      </c>
      <c r="Y220" s="445" t="str">
        <f aca="false">IF(A220="N/A"," ",(VLOOKUP($A220,InterestRatesTable,2)))</f>
        <v> </v>
      </c>
      <c r="AF220" s="386" t="n">
        <v>43132</v>
      </c>
      <c r="AG220" s="376" t="n">
        <v>20</v>
      </c>
      <c r="AH220" s="376" t="n">
        <v>4</v>
      </c>
      <c r="AI220" s="376" t="n">
        <v>4</v>
      </c>
      <c r="AJ220" s="376" t="n">
        <v>0</v>
      </c>
      <c r="AK220" s="376" t="n">
        <v>28</v>
      </c>
    </row>
    <row r="221" customFormat="false" ht="12.75" hidden="false" customHeight="false" outlineLevel="0" collapsed="false">
      <c r="A221" s="434" t="str">
        <f aca="false">Calculations!A186</f>
        <v>N/A</v>
      </c>
      <c r="B221" s="435" t="str">
        <f aca="false">IF(A221="N/A"," ",IF(ISERROR(P221),B209*Pwresc,P221)*VLOOKUP(MONTH(A221),Curveadj,3))</f>
        <v> </v>
      </c>
      <c r="C221" s="436" t="str">
        <f aca="false">IF(A221="N/A"," ",IF(ISERROR(Q221),C209*Pwresc,Q221)*VLOOKUP(MONTH(A221),Curveadj,3))</f>
        <v> </v>
      </c>
      <c r="D221" s="437" t="str">
        <f aca="false">IF(A221="N/A"," ",IF(ISERROR(R221),D209*Pwresc,R221)*VLOOKUP(MONTH(A221),Curveadj,3))</f>
        <v> </v>
      </c>
      <c r="E221" s="438" t="str">
        <f aca="false">IF(A221="N/A"," ",IF(Scalers=1,(IF(AND(Dynamic=1,MONTH(A221)&gt;=6,MONTH(A221)&lt;=8,OR($O$37="REGION 2",$O$37="REGION 2A",$O$37="REGION 2B",$O$37="REGION 3",$O$37="REGION 3A",$O$37="REGION 3B",$O$37="REGION 3C",$O$37="REGION 4",$O$37="REGION 4B",$O$37="REGION 4C",$O$37="REGION 5",$O$37="REGION 5A")),((0.059228/(B221/100))-(0.4980013/(SQRT(B221/100)))+2.137988),HLOOKUP(MONTH(A221),ScalarTable,28))),1))</f>
        <v> </v>
      </c>
      <c r="F221" s="439" t="str">
        <f aca="false">IF(A221="N/A"," ",B221*E221)</f>
        <v> </v>
      </c>
      <c r="G221" s="439" t="str">
        <f aca="false">IF(A221="N/A"," ",C221*E221)</f>
        <v> </v>
      </c>
      <c r="H221" s="440" t="str">
        <f aca="false">IF(A221="N/A"," ",D221*E221)</f>
        <v> </v>
      </c>
      <c r="I221" s="402" t="str">
        <f aca="false">IF(A221="N/A"," ",2-E221)</f>
        <v> </v>
      </c>
      <c r="J221" s="439" t="str">
        <f aca="false">IF(A221="N/A"," ",B221*I221)</f>
        <v> </v>
      </c>
      <c r="K221" s="439" t="str">
        <f aca="false">IF(A221="N/A"," ",C221*I221)</f>
        <v> </v>
      </c>
      <c r="L221" s="440" t="str">
        <f aca="false">IF(A221="N/A"," ",D221*I221)</f>
        <v> </v>
      </c>
      <c r="M221" s="441" t="str">
        <f aca="false">IF(A221="N/A"," ",IF(ISERROR(S221),M209*Pwresc,S221))</f>
        <v> </v>
      </c>
      <c r="N221" s="442" t="str">
        <f aca="false">IF(A221="N/A"," ",SUM(T221:X221))</f>
        <v> </v>
      </c>
      <c r="O221" s="370"/>
      <c r="P221" s="436" t="str">
        <f aca="false">IF(A221="N/A"," ",VLOOKUP(A221,PeakPowerCurves,(IF(BMO=2,3,IF(BMO=1,2,4))),FALSE())+Inputs!N204)</f>
        <v> </v>
      </c>
      <c r="Q221" s="436" t="str">
        <f aca="false">IF(A221="N/A"," ",VLOOKUP(A221,SatSunPeakPwr,(IF(BMO=2,3,IF(BMO=1,2,4))),FALSE())+Inputs!$N$23)</f>
        <v> </v>
      </c>
      <c r="R221" s="436" t="str">
        <f aca="false">IF(A221="N/A"," ",VLOOKUP(A221,SatSunPeakPwr,(IF(BMO=2,7,IF(BMO=1,6,8))),FALSE())+Inputs!$N$23)</f>
        <v> </v>
      </c>
      <c r="S221" s="443" t="str">
        <f aca="false">IF(A221="N/A"," ",(VLOOKUP(A221,OPPowerPrices,(IF(BMO=2,7,IF(BMO=1,6,8))),FALSE())+Inputs!$N$23))</f>
        <v> </v>
      </c>
      <c r="T221" s="444" t="str">
        <f aca="false">IF(A221="N/A"," ",(VLOOKUP(A221,GasCurves,9,FALSE()))+IF(BMO=1,Gasbmo,IF(BMO=3,-Gasbmo,0)))</f>
        <v> </v>
      </c>
      <c r="U221" s="444" t="str">
        <f aca="false">IF(A221="N/A"," ",IF(Basischeck=TRUE(),(VLOOKUP(A221,GasCurves,IF(MONTH(A221)&gt;=4,IF(MONTH(A221)&lt;=10,11,12),12),FALSE())),0))</f>
        <v> </v>
      </c>
      <c r="V221" s="444" t="str">
        <f aca="false">IF(A221="N/A"," ",IF(Indexcheck=TRUE(),(IF(MONTH(A221)&gt;=4,IF(MONTH(A221)&lt;=10,VLOOKUP(A221,'Gas Curves'!B199:O559,13),VLOOKUP(A221,'Gas Curves'!B199:O559,14)),VLOOKUP(A221,'Gas Curves'!B199:O559,14))),0))</f>
        <v> </v>
      </c>
      <c r="W221" s="444" t="str">
        <f aca="false">IF(A221="N/A"," ",((SUM(T221:V221))/(1-Inputs!$S$11)-(SUM(T221:V221))))</f>
        <v> </v>
      </c>
      <c r="X221" s="444" t="str">
        <f aca="false">IF(A221="N/A"," ",(IF(MONTH(A221)&gt;=4,IF(MONTH(A221)&lt;=10,Inputs!$S$9,Inputs!$S$10),Inputs!$S$10)))</f>
        <v> </v>
      </c>
      <c r="Y221" s="445" t="str">
        <f aca="false">IF(A221="N/A"," ",(VLOOKUP($A221,InterestRatesTable,2)))</f>
        <v> </v>
      </c>
      <c r="AF221" s="386" t="n">
        <v>43160</v>
      </c>
      <c r="AG221" s="376" t="n">
        <v>22</v>
      </c>
      <c r="AH221" s="376" t="n">
        <v>5</v>
      </c>
      <c r="AI221" s="376" t="n">
        <v>4</v>
      </c>
      <c r="AJ221" s="376" t="n">
        <v>0</v>
      </c>
      <c r="AK221" s="376" t="n">
        <v>31</v>
      </c>
    </row>
    <row r="222" customFormat="false" ht="12.75" hidden="false" customHeight="false" outlineLevel="0" collapsed="false">
      <c r="A222" s="434" t="str">
        <f aca="false">Calculations!A187</f>
        <v>N/A</v>
      </c>
      <c r="B222" s="435" t="str">
        <f aca="false">IF(A222="N/A"," ",IF(ISERROR(P222),B210*Pwresc,P222)*VLOOKUP(MONTH(A222),Curveadj,3))</f>
        <v> </v>
      </c>
      <c r="C222" s="436" t="str">
        <f aca="false">IF(A222="N/A"," ",IF(ISERROR(Q222),C210*Pwresc,Q222)*VLOOKUP(MONTH(A222),Curveadj,3))</f>
        <v> </v>
      </c>
      <c r="D222" s="437" t="str">
        <f aca="false">IF(A222="N/A"," ",IF(ISERROR(R222),D210*Pwresc,R222)*VLOOKUP(MONTH(A222),Curveadj,3))</f>
        <v> </v>
      </c>
      <c r="E222" s="438" t="str">
        <f aca="false">IF(A222="N/A"," ",IF(Scalers=1,(IF(AND(Dynamic=1,MONTH(A222)&gt;=6,MONTH(A222)&lt;=8,OR($O$37="REGION 2",$O$37="REGION 2A",$O$37="REGION 2B",$O$37="REGION 3",$O$37="REGION 3A",$O$37="REGION 3B",$O$37="REGION 3C",$O$37="REGION 4",$O$37="REGION 4B",$O$37="REGION 4C",$O$37="REGION 5",$O$37="REGION 5A")),((0.059228/(B222/100))-(0.4980013/(SQRT(B222/100)))+2.137988),HLOOKUP(MONTH(A222),ScalarTable,28))),1))</f>
        <v> </v>
      </c>
      <c r="F222" s="439" t="str">
        <f aca="false">IF(A222="N/A"," ",B222*E222)</f>
        <v> </v>
      </c>
      <c r="G222" s="439" t="str">
        <f aca="false">IF(A222="N/A"," ",C222*E222)</f>
        <v> </v>
      </c>
      <c r="H222" s="440" t="str">
        <f aca="false">IF(A222="N/A"," ",D222*E222)</f>
        <v> </v>
      </c>
      <c r="I222" s="402" t="str">
        <f aca="false">IF(A222="N/A"," ",2-E222)</f>
        <v> </v>
      </c>
      <c r="J222" s="439" t="str">
        <f aca="false">IF(A222="N/A"," ",B222*I222)</f>
        <v> </v>
      </c>
      <c r="K222" s="439" t="str">
        <f aca="false">IF(A222="N/A"," ",C222*I222)</f>
        <v> </v>
      </c>
      <c r="L222" s="440" t="str">
        <f aca="false">IF(A222="N/A"," ",D222*I222)</f>
        <v> </v>
      </c>
      <c r="M222" s="441" t="str">
        <f aca="false">IF(A222="N/A"," ",IF(ISERROR(S222),M210*Pwresc,S222))</f>
        <v> </v>
      </c>
      <c r="N222" s="442" t="str">
        <f aca="false">IF(A222="N/A"," ",SUM(T222:X222))</f>
        <v> </v>
      </c>
      <c r="O222" s="370"/>
      <c r="P222" s="436" t="str">
        <f aca="false">IF(A222="N/A"," ",VLOOKUP(A222,PeakPowerCurves,(IF(BMO=2,3,IF(BMO=1,2,4))),FALSE())+Inputs!N205)</f>
        <v> </v>
      </c>
      <c r="Q222" s="436" t="str">
        <f aca="false">IF(A222="N/A"," ",VLOOKUP(A222,SatSunPeakPwr,(IF(BMO=2,3,IF(BMO=1,2,4))),FALSE())+Inputs!$N$23)</f>
        <v> </v>
      </c>
      <c r="R222" s="436" t="str">
        <f aca="false">IF(A222="N/A"," ",VLOOKUP(A222,SatSunPeakPwr,(IF(BMO=2,7,IF(BMO=1,6,8))),FALSE())+Inputs!$N$23)</f>
        <v> </v>
      </c>
      <c r="S222" s="443" t="str">
        <f aca="false">IF(A222="N/A"," ",(VLOOKUP(A222,OPPowerPrices,(IF(BMO=2,7,IF(BMO=1,6,8))),FALSE())+Inputs!$N$23))</f>
        <v> </v>
      </c>
      <c r="T222" s="444" t="str">
        <f aca="false">IF(A222="N/A"," ",(VLOOKUP(A222,GasCurves,9,FALSE()))+IF(BMO=1,Gasbmo,IF(BMO=3,-Gasbmo,0)))</f>
        <v> </v>
      </c>
      <c r="U222" s="444" t="str">
        <f aca="false">IF(A222="N/A"," ",IF(Basischeck=TRUE(),(VLOOKUP(A222,GasCurves,IF(MONTH(A222)&gt;=4,IF(MONTH(A222)&lt;=10,11,12),12),FALSE())),0))</f>
        <v> </v>
      </c>
      <c r="V222" s="444" t="str">
        <f aca="false">IF(A222="N/A"," ",IF(Indexcheck=TRUE(),(IF(MONTH(A222)&gt;=4,IF(MONTH(A222)&lt;=10,VLOOKUP(A222,'Gas Curves'!B200:O560,13),VLOOKUP(A222,'Gas Curves'!B200:O560,14)),VLOOKUP(A222,'Gas Curves'!B200:O560,14))),0))</f>
        <v> </v>
      </c>
      <c r="W222" s="444" t="str">
        <f aca="false">IF(A222="N/A"," ",((SUM(T222:V222))/(1-Inputs!$S$11)-(SUM(T222:V222))))</f>
        <v> </v>
      </c>
      <c r="X222" s="444" t="str">
        <f aca="false">IF(A222="N/A"," ",(IF(MONTH(A222)&gt;=4,IF(MONTH(A222)&lt;=10,Inputs!$S$9,Inputs!$S$10),Inputs!$S$10)))</f>
        <v> </v>
      </c>
      <c r="Y222" s="445" t="str">
        <f aca="false">IF(A222="N/A"," ",(VLOOKUP($A222,InterestRatesTable,2)))</f>
        <v> </v>
      </c>
      <c r="AF222" s="386" t="n">
        <v>43191</v>
      </c>
      <c r="AG222" s="376" t="n">
        <v>21</v>
      </c>
      <c r="AH222" s="376" t="n">
        <v>4</v>
      </c>
      <c r="AI222" s="376" t="n">
        <v>5</v>
      </c>
      <c r="AJ222" s="376" t="n">
        <v>0</v>
      </c>
      <c r="AK222" s="376" t="n">
        <v>30</v>
      </c>
    </row>
    <row r="223" customFormat="false" ht="12.75" hidden="false" customHeight="false" outlineLevel="0" collapsed="false">
      <c r="A223" s="434" t="str">
        <f aca="false">Calculations!A188</f>
        <v>N/A</v>
      </c>
      <c r="B223" s="435" t="str">
        <f aca="false">IF(A223="N/A"," ",IF(ISERROR(P223),B211*Pwresc,P223)*VLOOKUP(MONTH(A223),Curveadj,3))</f>
        <v> </v>
      </c>
      <c r="C223" s="436" t="str">
        <f aca="false">IF(A223="N/A"," ",IF(ISERROR(Q223),C211*Pwresc,Q223)*VLOOKUP(MONTH(A223),Curveadj,3))</f>
        <v> </v>
      </c>
      <c r="D223" s="437" t="str">
        <f aca="false">IF(A223="N/A"," ",IF(ISERROR(R223),D211*Pwresc,R223)*VLOOKUP(MONTH(A223),Curveadj,3))</f>
        <v> </v>
      </c>
      <c r="E223" s="438" t="str">
        <f aca="false">IF(A223="N/A"," ",IF(Scalers=1,(IF(AND(Dynamic=1,MONTH(A223)&gt;=6,MONTH(A223)&lt;=8,OR($O$37="REGION 2",$O$37="REGION 2A",$O$37="REGION 2B",$O$37="REGION 3",$O$37="REGION 3A",$O$37="REGION 3B",$O$37="REGION 3C",$O$37="REGION 4",$O$37="REGION 4B",$O$37="REGION 4C",$O$37="REGION 5",$O$37="REGION 5A")),((0.059228/(B223/100))-(0.4980013/(SQRT(B223/100)))+2.137988),HLOOKUP(MONTH(A223),ScalarTable,28))),1))</f>
        <v> </v>
      </c>
      <c r="F223" s="439" t="str">
        <f aca="false">IF(A223="N/A"," ",B223*E223)</f>
        <v> </v>
      </c>
      <c r="G223" s="439" t="str">
        <f aca="false">IF(A223="N/A"," ",C223*E223)</f>
        <v> </v>
      </c>
      <c r="H223" s="440" t="str">
        <f aca="false">IF(A223="N/A"," ",D223*E223)</f>
        <v> </v>
      </c>
      <c r="I223" s="402" t="str">
        <f aca="false">IF(A223="N/A"," ",2-E223)</f>
        <v> </v>
      </c>
      <c r="J223" s="439" t="str">
        <f aca="false">IF(A223="N/A"," ",B223*I223)</f>
        <v> </v>
      </c>
      <c r="K223" s="439" t="str">
        <f aca="false">IF(A223="N/A"," ",C223*I223)</f>
        <v> </v>
      </c>
      <c r="L223" s="440" t="str">
        <f aca="false">IF(A223="N/A"," ",D223*I223)</f>
        <v> </v>
      </c>
      <c r="M223" s="441" t="str">
        <f aca="false">IF(A223="N/A"," ",IF(ISERROR(S223),M211*Pwresc,S223))</f>
        <v> </v>
      </c>
      <c r="N223" s="442" t="str">
        <f aca="false">IF(A223="N/A"," ",SUM(T223:X223))</f>
        <v> </v>
      </c>
      <c r="O223" s="370"/>
      <c r="P223" s="436" t="str">
        <f aca="false">IF(A223="N/A"," ",VLOOKUP(A223,PeakPowerCurves,(IF(BMO=2,3,IF(BMO=1,2,4))),FALSE())+Inputs!N206)</f>
        <v> </v>
      </c>
      <c r="Q223" s="436" t="str">
        <f aca="false">IF(A223="N/A"," ",VLOOKUP(A223,SatSunPeakPwr,(IF(BMO=2,3,IF(BMO=1,2,4))),FALSE())+Inputs!$N$23)</f>
        <v> </v>
      </c>
      <c r="R223" s="436" t="str">
        <f aca="false">IF(A223="N/A"," ",VLOOKUP(A223,SatSunPeakPwr,(IF(BMO=2,7,IF(BMO=1,6,8))),FALSE())+Inputs!$N$23)</f>
        <v> </v>
      </c>
      <c r="S223" s="443" t="str">
        <f aca="false">IF(A223="N/A"," ",(VLOOKUP(A223,OPPowerPrices,(IF(BMO=2,7,IF(BMO=1,6,8))),FALSE())+Inputs!$N$23))</f>
        <v> </v>
      </c>
      <c r="T223" s="444" t="str">
        <f aca="false">IF(A223="N/A"," ",(VLOOKUP(A223,GasCurves,9,FALSE()))+IF(BMO=1,Gasbmo,IF(BMO=3,-Gasbmo,0)))</f>
        <v> </v>
      </c>
      <c r="U223" s="444" t="str">
        <f aca="false">IF(A223="N/A"," ",IF(Basischeck=TRUE(),(VLOOKUP(A223,GasCurves,IF(MONTH(A223)&gt;=4,IF(MONTH(A223)&lt;=10,11,12),12),FALSE())),0))</f>
        <v> </v>
      </c>
      <c r="V223" s="444" t="str">
        <f aca="false">IF(A223="N/A"," ",IF(Indexcheck=TRUE(),(IF(MONTH(A223)&gt;=4,IF(MONTH(A223)&lt;=10,VLOOKUP(A223,'Gas Curves'!B201:O561,13),VLOOKUP(A223,'Gas Curves'!B201:O561,14)),VLOOKUP(A223,'Gas Curves'!B201:O561,14))),0))</f>
        <v> </v>
      </c>
      <c r="W223" s="444" t="str">
        <f aca="false">IF(A223="N/A"," ",((SUM(T223:V223))/(1-Inputs!$S$11)-(SUM(T223:V223))))</f>
        <v> </v>
      </c>
      <c r="X223" s="444" t="str">
        <f aca="false">IF(A223="N/A"," ",(IF(MONTH(A223)&gt;=4,IF(MONTH(A223)&lt;=10,Inputs!$S$9,Inputs!$S$10),Inputs!$S$10)))</f>
        <v> </v>
      </c>
      <c r="Y223" s="445" t="str">
        <f aca="false">IF(A223="N/A"," ",(VLOOKUP($A223,InterestRatesTable,2)))</f>
        <v> </v>
      </c>
      <c r="AF223" s="386" t="n">
        <v>43221</v>
      </c>
      <c r="AG223" s="376" t="n">
        <v>22</v>
      </c>
      <c r="AH223" s="376" t="n">
        <v>4</v>
      </c>
      <c r="AI223" s="376" t="n">
        <v>5</v>
      </c>
      <c r="AJ223" s="376" t="n">
        <v>1</v>
      </c>
      <c r="AK223" s="376" t="n">
        <v>31</v>
      </c>
    </row>
    <row r="224" customFormat="false" ht="12.75" hidden="false" customHeight="false" outlineLevel="0" collapsed="false">
      <c r="A224" s="434" t="str">
        <f aca="false">Calculations!A189</f>
        <v>N/A</v>
      </c>
      <c r="B224" s="435" t="str">
        <f aca="false">IF(A224="N/A"," ",IF(ISERROR(P224),B212*Pwresc,P224)*VLOOKUP(MONTH(A224),Curveadj,3))</f>
        <v> </v>
      </c>
      <c r="C224" s="436" t="str">
        <f aca="false">IF(A224="N/A"," ",IF(ISERROR(Q224),C212*Pwresc,Q224)*VLOOKUP(MONTH(A224),Curveadj,3))</f>
        <v> </v>
      </c>
      <c r="D224" s="437" t="str">
        <f aca="false">IF(A224="N/A"," ",IF(ISERROR(R224),D212*Pwresc,R224)*VLOOKUP(MONTH(A224),Curveadj,3))</f>
        <v> </v>
      </c>
      <c r="E224" s="438" t="str">
        <f aca="false">IF(A224="N/A"," ",IF(Scalers=1,(IF(AND(Dynamic=1,MONTH(A224)&gt;=6,MONTH(A224)&lt;=8,OR($O$37="REGION 2",$O$37="REGION 2A",$O$37="REGION 2B",$O$37="REGION 3",$O$37="REGION 3A",$O$37="REGION 3B",$O$37="REGION 3C",$O$37="REGION 4",$O$37="REGION 4B",$O$37="REGION 4C",$O$37="REGION 5",$O$37="REGION 5A")),((0.059228/(B224/100))-(0.4980013/(SQRT(B224/100)))+2.137988),HLOOKUP(MONTH(A224),ScalarTable,28))),1))</f>
        <v> </v>
      </c>
      <c r="F224" s="439" t="str">
        <f aca="false">IF(A224="N/A"," ",B224*E224)</f>
        <v> </v>
      </c>
      <c r="G224" s="439" t="str">
        <f aca="false">IF(A224="N/A"," ",C224*E224)</f>
        <v> </v>
      </c>
      <c r="H224" s="440" t="str">
        <f aca="false">IF(A224="N/A"," ",D224*E224)</f>
        <v> </v>
      </c>
      <c r="I224" s="402" t="str">
        <f aca="false">IF(A224="N/A"," ",2-E224)</f>
        <v> </v>
      </c>
      <c r="J224" s="439" t="str">
        <f aca="false">IF(A224="N/A"," ",B224*I224)</f>
        <v> </v>
      </c>
      <c r="K224" s="439" t="str">
        <f aca="false">IF(A224="N/A"," ",C224*I224)</f>
        <v> </v>
      </c>
      <c r="L224" s="440" t="str">
        <f aca="false">IF(A224="N/A"," ",D224*I224)</f>
        <v> </v>
      </c>
      <c r="M224" s="441" t="str">
        <f aca="false">IF(A224="N/A"," ",IF(ISERROR(S224),M212*Pwresc,S224))</f>
        <v> </v>
      </c>
      <c r="N224" s="442" t="str">
        <f aca="false">IF(A224="N/A"," ",SUM(T224:X224))</f>
        <v> </v>
      </c>
      <c r="O224" s="370"/>
      <c r="P224" s="436" t="str">
        <f aca="false">IF(A224="N/A"," ",VLOOKUP(A224,PeakPowerCurves,(IF(BMO=2,3,IF(BMO=1,2,4))),FALSE())+Inputs!N207)</f>
        <v> </v>
      </c>
      <c r="Q224" s="436" t="str">
        <f aca="false">IF(A224="N/A"," ",VLOOKUP(A224,SatSunPeakPwr,(IF(BMO=2,3,IF(BMO=1,2,4))),FALSE())+Inputs!$N$23)</f>
        <v> </v>
      </c>
      <c r="R224" s="436" t="str">
        <f aca="false">IF(A224="N/A"," ",VLOOKUP(A224,SatSunPeakPwr,(IF(BMO=2,7,IF(BMO=1,6,8))),FALSE())+Inputs!$N$23)</f>
        <v> </v>
      </c>
      <c r="S224" s="443" t="str">
        <f aca="false">IF(A224="N/A"," ",(VLOOKUP(A224,OPPowerPrices,(IF(BMO=2,7,IF(BMO=1,6,8))),FALSE())+Inputs!$N$23))</f>
        <v> </v>
      </c>
      <c r="T224" s="444" t="str">
        <f aca="false">IF(A224="N/A"," ",(VLOOKUP(A224,GasCurves,9,FALSE()))+IF(BMO=1,Gasbmo,IF(BMO=3,-Gasbmo,0)))</f>
        <v> </v>
      </c>
      <c r="U224" s="444" t="str">
        <f aca="false">IF(A224="N/A"," ",IF(Basischeck=TRUE(),(VLOOKUP(A224,GasCurves,IF(MONTH(A224)&gt;=4,IF(MONTH(A224)&lt;=10,11,12),12),FALSE())),0))</f>
        <v> </v>
      </c>
      <c r="V224" s="444" t="str">
        <f aca="false">IF(A224="N/A"," ",IF(Indexcheck=TRUE(),(IF(MONTH(A224)&gt;=4,IF(MONTH(A224)&lt;=10,VLOOKUP(A224,'Gas Curves'!B202:O562,13),VLOOKUP(A224,'Gas Curves'!B202:O562,14)),VLOOKUP(A224,'Gas Curves'!B202:O562,14))),0))</f>
        <v> </v>
      </c>
      <c r="W224" s="444" t="str">
        <f aca="false">IF(A224="N/A"," ",((SUM(T224:V224))/(1-Inputs!$S$11)-(SUM(T224:V224))))</f>
        <v> </v>
      </c>
      <c r="X224" s="444" t="str">
        <f aca="false">IF(A224="N/A"," ",(IF(MONTH(A224)&gt;=4,IF(MONTH(A224)&lt;=10,Inputs!$S$9,Inputs!$S$10),Inputs!$S$10)))</f>
        <v> </v>
      </c>
      <c r="Y224" s="445" t="str">
        <f aca="false">IF(A224="N/A"," ",(VLOOKUP($A224,InterestRatesTable,2)))</f>
        <v> </v>
      </c>
      <c r="AF224" s="386" t="n">
        <v>43252</v>
      </c>
      <c r="AG224" s="376" t="n">
        <v>21</v>
      </c>
      <c r="AH224" s="376" t="n">
        <v>5</v>
      </c>
      <c r="AI224" s="376" t="n">
        <v>4</v>
      </c>
      <c r="AJ224" s="376" t="n">
        <v>0</v>
      </c>
      <c r="AK224" s="376" t="n">
        <v>30</v>
      </c>
    </row>
    <row r="225" customFormat="false" ht="12.75" hidden="false" customHeight="false" outlineLevel="0" collapsed="false">
      <c r="A225" s="434" t="str">
        <f aca="false">Calculations!A190</f>
        <v>N/A</v>
      </c>
      <c r="B225" s="435" t="str">
        <f aca="false">IF(A225="N/A"," ",IF(ISERROR(P225),B213*Pwresc,P225)*VLOOKUP(MONTH(A225),Curveadj,3))</f>
        <v> </v>
      </c>
      <c r="C225" s="436" t="str">
        <f aca="false">IF(A225="N/A"," ",IF(ISERROR(Q225),C213*Pwresc,Q225)*VLOOKUP(MONTH(A225),Curveadj,3))</f>
        <v> </v>
      </c>
      <c r="D225" s="437" t="str">
        <f aca="false">IF(A225="N/A"," ",IF(ISERROR(R225),D213*Pwresc,R225)*VLOOKUP(MONTH(A225),Curveadj,3))</f>
        <v> </v>
      </c>
      <c r="E225" s="438" t="str">
        <f aca="false">IF(A225="N/A"," ",IF(Scalers=1,(IF(AND(Dynamic=1,MONTH(A225)&gt;=6,MONTH(A225)&lt;=8,OR($O$37="REGION 2",$O$37="REGION 2A",$O$37="REGION 2B",$O$37="REGION 3",$O$37="REGION 3A",$O$37="REGION 3B",$O$37="REGION 3C",$O$37="REGION 4",$O$37="REGION 4B",$O$37="REGION 4C",$O$37="REGION 5",$O$37="REGION 5A")),((0.059228/(B225/100))-(0.4980013/(SQRT(B225/100)))+2.137988),HLOOKUP(MONTH(A225),ScalarTable,28))),1))</f>
        <v> </v>
      </c>
      <c r="F225" s="439" t="str">
        <f aca="false">IF(A225="N/A"," ",B225*E225)</f>
        <v> </v>
      </c>
      <c r="G225" s="439" t="str">
        <f aca="false">IF(A225="N/A"," ",C225*E225)</f>
        <v> </v>
      </c>
      <c r="H225" s="440" t="str">
        <f aca="false">IF(A225="N/A"," ",D225*E225)</f>
        <v> </v>
      </c>
      <c r="I225" s="402" t="str">
        <f aca="false">IF(A225="N/A"," ",2-E225)</f>
        <v> </v>
      </c>
      <c r="J225" s="439" t="str">
        <f aca="false">IF(A225="N/A"," ",B225*I225)</f>
        <v> </v>
      </c>
      <c r="K225" s="439" t="str">
        <f aca="false">IF(A225="N/A"," ",C225*I225)</f>
        <v> </v>
      </c>
      <c r="L225" s="440" t="str">
        <f aca="false">IF(A225="N/A"," ",D225*I225)</f>
        <v> </v>
      </c>
      <c r="M225" s="441" t="str">
        <f aca="false">IF(A225="N/A"," ",IF(ISERROR(S225),M213*Pwresc,S225))</f>
        <v> </v>
      </c>
      <c r="N225" s="442" t="str">
        <f aca="false">IF(A225="N/A"," ",SUM(T225:X225))</f>
        <v> </v>
      </c>
      <c r="O225" s="370"/>
      <c r="P225" s="436" t="str">
        <f aca="false">IF(A225="N/A"," ",VLOOKUP(A225,PeakPowerCurves,(IF(BMO=2,3,IF(BMO=1,2,4))),FALSE())+Inputs!N208)</f>
        <v> </v>
      </c>
      <c r="Q225" s="436" t="str">
        <f aca="false">IF(A225="N/A"," ",VLOOKUP(A225,SatSunPeakPwr,(IF(BMO=2,3,IF(BMO=1,2,4))),FALSE())+Inputs!$N$23)</f>
        <v> </v>
      </c>
      <c r="R225" s="436" t="str">
        <f aca="false">IF(A225="N/A"," ",VLOOKUP(A225,SatSunPeakPwr,(IF(BMO=2,7,IF(BMO=1,6,8))),FALSE())+Inputs!$N$23)</f>
        <v> </v>
      </c>
      <c r="S225" s="443" t="str">
        <f aca="false">IF(A225="N/A"," ",(VLOOKUP(A225,OPPowerPrices,(IF(BMO=2,7,IF(BMO=1,6,8))),FALSE())+Inputs!$N$23))</f>
        <v> </v>
      </c>
      <c r="T225" s="444" t="str">
        <f aca="false">IF(A225="N/A"," ",(VLOOKUP(A225,GasCurves,9,FALSE()))+IF(BMO=1,Gasbmo,IF(BMO=3,-Gasbmo,0)))</f>
        <v> </v>
      </c>
      <c r="U225" s="444" t="str">
        <f aca="false">IF(A225="N/A"," ",IF(Basischeck=TRUE(),(VLOOKUP(A225,GasCurves,IF(MONTH(A225)&gt;=4,IF(MONTH(A225)&lt;=10,11,12),12),FALSE())),0))</f>
        <v> </v>
      </c>
      <c r="V225" s="444" t="str">
        <f aca="false">IF(A225="N/A"," ",IF(Indexcheck=TRUE(),(IF(MONTH(A225)&gt;=4,IF(MONTH(A225)&lt;=10,VLOOKUP(A225,'Gas Curves'!B203:O563,13),VLOOKUP(A225,'Gas Curves'!B203:O563,14)),VLOOKUP(A225,'Gas Curves'!B203:O563,14))),0))</f>
        <v> </v>
      </c>
      <c r="W225" s="444" t="str">
        <f aca="false">IF(A225="N/A"," ",((SUM(T225:V225))/(1-Inputs!$S$11)-(SUM(T225:V225))))</f>
        <v> </v>
      </c>
      <c r="X225" s="444" t="str">
        <f aca="false">IF(A225="N/A"," ",(IF(MONTH(A225)&gt;=4,IF(MONTH(A225)&lt;=10,Inputs!$S$9,Inputs!$S$10),Inputs!$S$10)))</f>
        <v> </v>
      </c>
      <c r="Y225" s="445" t="str">
        <f aca="false">IF(A225="N/A"," ",(VLOOKUP($A225,InterestRatesTable,2)))</f>
        <v> </v>
      </c>
      <c r="AF225" s="386" t="n">
        <v>43282</v>
      </c>
      <c r="AG225" s="376" t="n">
        <v>21</v>
      </c>
      <c r="AH225" s="376" t="n">
        <v>4</v>
      </c>
      <c r="AI225" s="376" t="n">
        <v>6</v>
      </c>
      <c r="AJ225" s="376" t="n">
        <v>1</v>
      </c>
      <c r="AK225" s="376" t="n">
        <v>31</v>
      </c>
    </row>
    <row r="226" customFormat="false" ht="12.75" hidden="false" customHeight="false" outlineLevel="0" collapsed="false">
      <c r="A226" s="434" t="str">
        <f aca="false">Calculations!A191</f>
        <v>N/A</v>
      </c>
      <c r="B226" s="435" t="str">
        <f aca="false">IF(A226="N/A"," ",IF(ISERROR(P226),B214*Pwresc,P226)*VLOOKUP(MONTH(A226),Curveadj,3))</f>
        <v> </v>
      </c>
      <c r="C226" s="436" t="str">
        <f aca="false">IF(A226="N/A"," ",IF(ISERROR(Q226),C214*Pwresc,Q226)*VLOOKUP(MONTH(A226),Curveadj,3))</f>
        <v> </v>
      </c>
      <c r="D226" s="437" t="str">
        <f aca="false">IF(A226="N/A"," ",IF(ISERROR(R226),D214*Pwresc,R226)*VLOOKUP(MONTH(A226),Curveadj,3))</f>
        <v> </v>
      </c>
      <c r="E226" s="438" t="str">
        <f aca="false">IF(A226="N/A"," ",IF(Scalers=1,(IF(AND(Dynamic=1,MONTH(A226)&gt;=6,MONTH(A226)&lt;=8,OR($O$37="REGION 2",$O$37="REGION 2A",$O$37="REGION 2B",$O$37="REGION 3",$O$37="REGION 3A",$O$37="REGION 3B",$O$37="REGION 3C",$O$37="REGION 4",$O$37="REGION 4B",$O$37="REGION 4C",$O$37="REGION 5",$O$37="REGION 5A")),((0.059228/(B226/100))-(0.4980013/(SQRT(B226/100)))+2.137988),HLOOKUP(MONTH(A226),ScalarTable,28))),1))</f>
        <v> </v>
      </c>
      <c r="F226" s="439" t="str">
        <f aca="false">IF(A226="N/A"," ",B226*E226)</f>
        <v> </v>
      </c>
      <c r="G226" s="439" t="str">
        <f aca="false">IF(A226="N/A"," ",C226*E226)</f>
        <v> </v>
      </c>
      <c r="H226" s="440" t="str">
        <f aca="false">IF(A226="N/A"," ",D226*E226)</f>
        <v> </v>
      </c>
      <c r="I226" s="402" t="str">
        <f aca="false">IF(A226="N/A"," ",2-E226)</f>
        <v> </v>
      </c>
      <c r="J226" s="439" t="str">
        <f aca="false">IF(A226="N/A"," ",B226*I226)</f>
        <v> </v>
      </c>
      <c r="K226" s="439" t="str">
        <f aca="false">IF(A226="N/A"," ",C226*I226)</f>
        <v> </v>
      </c>
      <c r="L226" s="440" t="str">
        <f aca="false">IF(A226="N/A"," ",D226*I226)</f>
        <v> </v>
      </c>
      <c r="M226" s="441" t="str">
        <f aca="false">IF(A226="N/A"," ",IF(ISERROR(S226),M214*Pwresc,S226))</f>
        <v> </v>
      </c>
      <c r="N226" s="442" t="str">
        <f aca="false">IF(A226="N/A"," ",SUM(T226:X226))</f>
        <v> </v>
      </c>
      <c r="O226" s="370"/>
      <c r="P226" s="436" t="str">
        <f aca="false">IF(A226="N/A"," ",VLOOKUP(A226,PeakPowerCurves,(IF(BMO=2,3,IF(BMO=1,2,4))),FALSE())+Inputs!N209)</f>
        <v> </v>
      </c>
      <c r="Q226" s="436" t="str">
        <f aca="false">IF(A226="N/A"," ",VLOOKUP(A226,SatSunPeakPwr,(IF(BMO=2,3,IF(BMO=1,2,4))),FALSE())+Inputs!$N$23)</f>
        <v> </v>
      </c>
      <c r="R226" s="436" t="str">
        <f aca="false">IF(A226="N/A"," ",VLOOKUP(A226,SatSunPeakPwr,(IF(BMO=2,7,IF(BMO=1,6,8))),FALSE())+Inputs!$N$23)</f>
        <v> </v>
      </c>
      <c r="S226" s="443" t="str">
        <f aca="false">IF(A226="N/A"," ",(VLOOKUP(A226,OPPowerPrices,(IF(BMO=2,7,IF(BMO=1,6,8))),FALSE())+Inputs!$N$23))</f>
        <v> </v>
      </c>
      <c r="T226" s="444" t="str">
        <f aca="false">IF(A226="N/A"," ",(VLOOKUP(A226,GasCurves,9,FALSE()))+IF(BMO=1,Gasbmo,IF(BMO=3,-Gasbmo,0)))</f>
        <v> </v>
      </c>
      <c r="U226" s="444" t="str">
        <f aca="false">IF(A226="N/A"," ",IF(Basischeck=TRUE(),(VLOOKUP(A226,GasCurves,IF(MONTH(A226)&gt;=4,IF(MONTH(A226)&lt;=10,11,12),12),FALSE())),0))</f>
        <v> </v>
      </c>
      <c r="V226" s="444" t="str">
        <f aca="false">IF(A226="N/A"," ",IF(Indexcheck=TRUE(),(IF(MONTH(A226)&gt;=4,IF(MONTH(A226)&lt;=10,VLOOKUP(A226,'Gas Curves'!B204:O564,13),VLOOKUP(A226,'Gas Curves'!B204:O564,14)),VLOOKUP(A226,'Gas Curves'!B204:O564,14))),0))</f>
        <v> </v>
      </c>
      <c r="W226" s="444" t="str">
        <f aca="false">IF(A226="N/A"," ",((SUM(T226:V226))/(1-Inputs!$S$11)-(SUM(T226:V226))))</f>
        <v> </v>
      </c>
      <c r="X226" s="444" t="str">
        <f aca="false">IF(A226="N/A"," ",(IF(MONTH(A226)&gt;=4,IF(MONTH(A226)&lt;=10,Inputs!$S$9,Inputs!$S$10),Inputs!$S$10)))</f>
        <v> </v>
      </c>
      <c r="Y226" s="445" t="str">
        <f aca="false">IF(A226="N/A"," ",(VLOOKUP($A226,InterestRatesTable,2)))</f>
        <v> </v>
      </c>
      <c r="AF226" s="386" t="n">
        <v>43313</v>
      </c>
      <c r="AG226" s="376" t="n">
        <v>23</v>
      </c>
      <c r="AH226" s="376" t="n">
        <v>4</v>
      </c>
      <c r="AI226" s="376" t="n">
        <v>4</v>
      </c>
      <c r="AJ226" s="376" t="n">
        <v>0</v>
      </c>
      <c r="AK226" s="376" t="n">
        <v>31</v>
      </c>
    </row>
    <row r="227" customFormat="false" ht="12.75" hidden="false" customHeight="false" outlineLevel="0" collapsed="false">
      <c r="A227" s="434" t="str">
        <f aca="false">Calculations!A192</f>
        <v>N/A</v>
      </c>
      <c r="B227" s="435" t="str">
        <f aca="false">IF(A227="N/A"," ",IF(ISERROR(P227),B215*Pwresc,P227)*VLOOKUP(MONTH(A227),Curveadj,3))</f>
        <v> </v>
      </c>
      <c r="C227" s="436" t="str">
        <f aca="false">IF(A227="N/A"," ",IF(ISERROR(Q227),C215*Pwresc,Q227)*VLOOKUP(MONTH(A227),Curveadj,3))</f>
        <v> </v>
      </c>
      <c r="D227" s="437" t="str">
        <f aca="false">IF(A227="N/A"," ",IF(ISERROR(R227),D215*Pwresc,R227)*VLOOKUP(MONTH(A227),Curveadj,3))</f>
        <v> </v>
      </c>
      <c r="E227" s="438" t="str">
        <f aca="false">IF(A227="N/A"," ",IF(Scalers=1,(IF(AND(Dynamic=1,MONTH(A227)&gt;=6,MONTH(A227)&lt;=8,OR($O$37="REGION 2",$O$37="REGION 2A",$O$37="REGION 2B",$O$37="REGION 3",$O$37="REGION 3A",$O$37="REGION 3B",$O$37="REGION 3C",$O$37="REGION 4",$O$37="REGION 4B",$O$37="REGION 4C",$O$37="REGION 5",$O$37="REGION 5A")),((0.059228/(B227/100))-(0.4980013/(SQRT(B227/100)))+2.137988),HLOOKUP(MONTH(A227),ScalarTable,28))),1))</f>
        <v> </v>
      </c>
      <c r="F227" s="439" t="str">
        <f aca="false">IF(A227="N/A"," ",B227*E227)</f>
        <v> </v>
      </c>
      <c r="G227" s="439" t="str">
        <f aca="false">IF(A227="N/A"," ",C227*E227)</f>
        <v> </v>
      </c>
      <c r="H227" s="440" t="str">
        <f aca="false">IF(A227="N/A"," ",D227*E227)</f>
        <v> </v>
      </c>
      <c r="I227" s="402" t="str">
        <f aca="false">IF(A227="N/A"," ",2-E227)</f>
        <v> </v>
      </c>
      <c r="J227" s="439" t="str">
        <f aca="false">IF(A227="N/A"," ",B227*I227)</f>
        <v> </v>
      </c>
      <c r="K227" s="439" t="str">
        <f aca="false">IF(A227="N/A"," ",C227*I227)</f>
        <v> </v>
      </c>
      <c r="L227" s="440" t="str">
        <f aca="false">IF(A227="N/A"," ",D227*I227)</f>
        <v> </v>
      </c>
      <c r="M227" s="441" t="str">
        <f aca="false">IF(A227="N/A"," ",IF(ISERROR(S227),M215*Pwresc,S227))</f>
        <v> </v>
      </c>
      <c r="N227" s="442" t="str">
        <f aca="false">IF(A227="N/A"," ",SUM(T227:X227))</f>
        <v> </v>
      </c>
      <c r="O227" s="370"/>
      <c r="P227" s="436" t="str">
        <f aca="false">IF(A227="N/A"," ",VLOOKUP(A227,PeakPowerCurves,(IF(BMO=2,3,IF(BMO=1,2,4))),FALSE())+Inputs!N210)</f>
        <v> </v>
      </c>
      <c r="Q227" s="436" t="str">
        <f aca="false">IF(A227="N/A"," ",VLOOKUP(A227,SatSunPeakPwr,(IF(BMO=2,3,IF(BMO=1,2,4))),FALSE())+Inputs!$N$23)</f>
        <v> </v>
      </c>
      <c r="R227" s="436" t="str">
        <f aca="false">IF(A227="N/A"," ",VLOOKUP(A227,SatSunPeakPwr,(IF(BMO=2,7,IF(BMO=1,6,8))),FALSE())+Inputs!$N$23)</f>
        <v> </v>
      </c>
      <c r="S227" s="443" t="str">
        <f aca="false">IF(A227="N/A"," ",(VLOOKUP(A227,OPPowerPrices,(IF(BMO=2,7,IF(BMO=1,6,8))),FALSE())+Inputs!$N$23))</f>
        <v> </v>
      </c>
      <c r="T227" s="444" t="str">
        <f aca="false">IF(A227="N/A"," ",(VLOOKUP(A227,GasCurves,9,FALSE()))+IF(BMO=1,Gasbmo,IF(BMO=3,-Gasbmo,0)))</f>
        <v> </v>
      </c>
      <c r="U227" s="444" t="str">
        <f aca="false">IF(A227="N/A"," ",IF(Basischeck=TRUE(),(VLOOKUP(A227,GasCurves,IF(MONTH(A227)&gt;=4,IF(MONTH(A227)&lt;=10,11,12),12),FALSE())),0))</f>
        <v> </v>
      </c>
      <c r="V227" s="444" t="str">
        <f aca="false">IF(A227="N/A"," ",IF(Indexcheck=TRUE(),(IF(MONTH(A227)&gt;=4,IF(MONTH(A227)&lt;=10,VLOOKUP(A227,'Gas Curves'!B205:O565,13),VLOOKUP(A227,'Gas Curves'!B205:O565,14)),VLOOKUP(A227,'Gas Curves'!B205:O565,14))),0))</f>
        <v> </v>
      </c>
      <c r="W227" s="444" t="str">
        <f aca="false">IF(A227="N/A"," ",((SUM(T227:V227))/(1-Inputs!$S$11)-(SUM(T227:V227))))</f>
        <v> </v>
      </c>
      <c r="X227" s="444" t="str">
        <f aca="false">IF(A227="N/A"," ",(IF(MONTH(A227)&gt;=4,IF(MONTH(A227)&lt;=10,Inputs!$S$9,Inputs!$S$10),Inputs!$S$10)))</f>
        <v> </v>
      </c>
      <c r="Y227" s="445" t="str">
        <f aca="false">IF(A227="N/A"," ",(VLOOKUP($A227,InterestRatesTable,2)))</f>
        <v> </v>
      </c>
      <c r="AF227" s="386" t="n">
        <v>43344</v>
      </c>
      <c r="AG227" s="376" t="n">
        <v>19</v>
      </c>
      <c r="AH227" s="376" t="n">
        <v>5</v>
      </c>
      <c r="AI227" s="376" t="n">
        <v>6</v>
      </c>
      <c r="AJ227" s="376" t="n">
        <v>1</v>
      </c>
      <c r="AK227" s="376" t="n">
        <v>30</v>
      </c>
    </row>
    <row r="228" customFormat="false" ht="12.75" hidden="false" customHeight="false" outlineLevel="0" collapsed="false">
      <c r="A228" s="434" t="str">
        <f aca="false">Calculations!A193</f>
        <v>N/A</v>
      </c>
      <c r="B228" s="435" t="str">
        <f aca="false">IF(A228="N/A"," ",IF(ISERROR(P228),B216*Pwresc,P228)*VLOOKUP(MONTH(A228),Curveadj,3))</f>
        <v> </v>
      </c>
      <c r="C228" s="436" t="str">
        <f aca="false">IF(A228="N/A"," ",IF(ISERROR(Q228),C216*Pwresc,Q228)*VLOOKUP(MONTH(A228),Curveadj,3))</f>
        <v> </v>
      </c>
      <c r="D228" s="437" t="str">
        <f aca="false">IF(A228="N/A"," ",IF(ISERROR(R228),D216*Pwresc,R228)*VLOOKUP(MONTH(A228),Curveadj,3))</f>
        <v> </v>
      </c>
      <c r="E228" s="438" t="str">
        <f aca="false">IF(A228="N/A"," ",IF(Scalers=1,(IF(AND(Dynamic=1,MONTH(A228)&gt;=6,MONTH(A228)&lt;=8,OR($O$37="REGION 2",$O$37="REGION 2A",$O$37="REGION 2B",$O$37="REGION 3",$O$37="REGION 3A",$O$37="REGION 3B",$O$37="REGION 3C",$O$37="REGION 4",$O$37="REGION 4B",$O$37="REGION 4C",$O$37="REGION 5",$O$37="REGION 5A")),((0.059228/(B228/100))-(0.4980013/(SQRT(B228/100)))+2.137988),HLOOKUP(MONTH(A228),ScalarTable,28))),1))</f>
        <v> </v>
      </c>
      <c r="F228" s="439" t="str">
        <f aca="false">IF(A228="N/A"," ",B228*E228)</f>
        <v> </v>
      </c>
      <c r="G228" s="439" t="str">
        <f aca="false">IF(A228="N/A"," ",C228*E228)</f>
        <v> </v>
      </c>
      <c r="H228" s="440" t="str">
        <f aca="false">IF(A228="N/A"," ",D228*E228)</f>
        <v> </v>
      </c>
      <c r="I228" s="402" t="str">
        <f aca="false">IF(A228="N/A"," ",2-E228)</f>
        <v> </v>
      </c>
      <c r="J228" s="439" t="str">
        <f aca="false">IF(A228="N/A"," ",B228*I228)</f>
        <v> </v>
      </c>
      <c r="K228" s="439" t="str">
        <f aca="false">IF(A228="N/A"," ",C228*I228)</f>
        <v> </v>
      </c>
      <c r="L228" s="440" t="str">
        <f aca="false">IF(A228="N/A"," ",D228*I228)</f>
        <v> </v>
      </c>
      <c r="M228" s="441" t="str">
        <f aca="false">IF(A228="N/A"," ",IF(ISERROR(S228),M216*Pwresc,S228))</f>
        <v> </v>
      </c>
      <c r="N228" s="442" t="str">
        <f aca="false">IF(A228="N/A"," ",SUM(T228:X228))</f>
        <v> </v>
      </c>
      <c r="O228" s="370"/>
      <c r="P228" s="436" t="str">
        <f aca="false">IF(A228="N/A"," ",VLOOKUP(A228,PeakPowerCurves,(IF(BMO=2,3,IF(BMO=1,2,4))),FALSE())+Inputs!N211)</f>
        <v> </v>
      </c>
      <c r="Q228" s="436" t="str">
        <f aca="false">IF(A228="N/A"," ",VLOOKUP(A228,SatSunPeakPwr,(IF(BMO=2,3,IF(BMO=1,2,4))),FALSE())+Inputs!$N$23)</f>
        <v> </v>
      </c>
      <c r="R228" s="436" t="str">
        <f aca="false">IF(A228="N/A"," ",VLOOKUP(A228,SatSunPeakPwr,(IF(BMO=2,7,IF(BMO=1,6,8))),FALSE())+Inputs!$N$23)</f>
        <v> </v>
      </c>
      <c r="S228" s="443" t="str">
        <f aca="false">IF(A228="N/A"," ",(VLOOKUP(A228,OPPowerPrices,(IF(BMO=2,7,IF(BMO=1,6,8))),FALSE())+Inputs!$N$23))</f>
        <v> </v>
      </c>
      <c r="T228" s="444" t="str">
        <f aca="false">IF(A228="N/A"," ",(VLOOKUP(A228,GasCurves,9,FALSE()))+IF(BMO=1,Gasbmo,IF(BMO=3,-Gasbmo,0)))</f>
        <v> </v>
      </c>
      <c r="U228" s="444" t="str">
        <f aca="false">IF(A228="N/A"," ",IF(Basischeck=TRUE(),(VLOOKUP(A228,GasCurves,IF(MONTH(A228)&gt;=4,IF(MONTH(A228)&lt;=10,11,12),12),FALSE())),0))</f>
        <v> </v>
      </c>
      <c r="V228" s="444" t="str">
        <f aca="false">IF(A228="N/A"," ",IF(Indexcheck=TRUE(),(IF(MONTH(A228)&gt;=4,IF(MONTH(A228)&lt;=10,VLOOKUP(A228,'Gas Curves'!B206:O566,13),VLOOKUP(A228,'Gas Curves'!B206:O566,14)),VLOOKUP(A228,'Gas Curves'!B206:O566,14))),0))</f>
        <v> </v>
      </c>
      <c r="W228" s="444" t="str">
        <f aca="false">IF(A228="N/A"," ",((SUM(T228:V228))/(1-Inputs!$S$11)-(SUM(T228:V228))))</f>
        <v> </v>
      </c>
      <c r="X228" s="444" t="str">
        <f aca="false">IF(A228="N/A"," ",(IF(MONTH(A228)&gt;=4,IF(MONTH(A228)&lt;=10,Inputs!$S$9,Inputs!$S$10),Inputs!$S$10)))</f>
        <v> </v>
      </c>
      <c r="Y228" s="445" t="str">
        <f aca="false">IF(A228="N/A"," ",(VLOOKUP($A228,InterestRatesTable,2)))</f>
        <v> </v>
      </c>
      <c r="AF228" s="386" t="n">
        <v>43374</v>
      </c>
      <c r="AG228" s="376" t="n">
        <v>23</v>
      </c>
      <c r="AH228" s="376" t="n">
        <v>4</v>
      </c>
      <c r="AI228" s="376" t="n">
        <v>4</v>
      </c>
      <c r="AJ228" s="376" t="n">
        <v>0</v>
      </c>
      <c r="AK228" s="376" t="n">
        <v>31</v>
      </c>
    </row>
    <row r="229" customFormat="false" ht="12.75" hidden="false" customHeight="false" outlineLevel="0" collapsed="false">
      <c r="A229" s="434" t="str">
        <f aca="false">Calculations!A194</f>
        <v>N/A</v>
      </c>
      <c r="B229" s="435" t="str">
        <f aca="false">IF(A229="N/A"," ",IF(ISERROR(P229),B217*Pwresc,P229)*VLOOKUP(MONTH(A229),Curveadj,3))</f>
        <v> </v>
      </c>
      <c r="C229" s="436" t="str">
        <f aca="false">IF(A229="N/A"," ",IF(ISERROR(Q229),C217*Pwresc,Q229)*VLOOKUP(MONTH(A229),Curveadj,3))</f>
        <v> </v>
      </c>
      <c r="D229" s="437" t="str">
        <f aca="false">IF(A229="N/A"," ",IF(ISERROR(R229),D217*Pwresc,R229)*VLOOKUP(MONTH(A229),Curveadj,3))</f>
        <v> </v>
      </c>
      <c r="E229" s="438" t="str">
        <f aca="false">IF(A229="N/A"," ",IF(Scalers=1,(IF(AND(Dynamic=1,MONTH(A229)&gt;=6,MONTH(A229)&lt;=8,OR($O$37="REGION 2",$O$37="REGION 2A",$O$37="REGION 2B",$O$37="REGION 3",$O$37="REGION 3A",$O$37="REGION 3B",$O$37="REGION 3C",$O$37="REGION 4",$O$37="REGION 4B",$O$37="REGION 4C",$O$37="REGION 5",$O$37="REGION 5A")),((0.059228/(B229/100))-(0.4980013/(SQRT(B229/100)))+2.137988),HLOOKUP(MONTH(A229),ScalarTable,28))),1))</f>
        <v> </v>
      </c>
      <c r="F229" s="439" t="str">
        <f aca="false">IF(A229="N/A"," ",B229*E229)</f>
        <v> </v>
      </c>
      <c r="G229" s="439" t="str">
        <f aca="false">IF(A229="N/A"," ",C229*E229)</f>
        <v> </v>
      </c>
      <c r="H229" s="440" t="str">
        <f aca="false">IF(A229="N/A"," ",D229*E229)</f>
        <v> </v>
      </c>
      <c r="I229" s="402" t="str">
        <f aca="false">IF(A229="N/A"," ",2-E229)</f>
        <v> </v>
      </c>
      <c r="J229" s="439" t="str">
        <f aca="false">IF(A229="N/A"," ",B229*I229)</f>
        <v> </v>
      </c>
      <c r="K229" s="439" t="str">
        <f aca="false">IF(A229="N/A"," ",C229*I229)</f>
        <v> </v>
      </c>
      <c r="L229" s="440" t="str">
        <f aca="false">IF(A229="N/A"," ",D229*I229)</f>
        <v> </v>
      </c>
      <c r="M229" s="441" t="str">
        <f aca="false">IF(A229="N/A"," ",IF(ISERROR(S229),M217*Pwresc,S229))</f>
        <v> </v>
      </c>
      <c r="N229" s="442" t="str">
        <f aca="false">IF(A229="N/A"," ",SUM(T229:X229))</f>
        <v> </v>
      </c>
      <c r="O229" s="370"/>
      <c r="P229" s="436" t="str">
        <f aca="false">IF(A229="N/A"," ",VLOOKUP(A229,PeakPowerCurves,(IF(BMO=2,3,IF(BMO=1,2,4))),FALSE())+Inputs!N212)</f>
        <v> </v>
      </c>
      <c r="Q229" s="436" t="str">
        <f aca="false">IF(A229="N/A"," ",VLOOKUP(A229,SatSunPeakPwr,(IF(BMO=2,3,IF(BMO=1,2,4))),FALSE())+Inputs!$N$23)</f>
        <v> </v>
      </c>
      <c r="R229" s="436" t="str">
        <f aca="false">IF(A229="N/A"," ",VLOOKUP(A229,SatSunPeakPwr,(IF(BMO=2,7,IF(BMO=1,6,8))),FALSE())+Inputs!$N$23)</f>
        <v> </v>
      </c>
      <c r="S229" s="443" t="str">
        <f aca="false">IF(A229="N/A"," ",(VLOOKUP(A229,OPPowerPrices,(IF(BMO=2,7,IF(BMO=1,6,8))),FALSE())+Inputs!$N$23))</f>
        <v> </v>
      </c>
      <c r="T229" s="444" t="str">
        <f aca="false">IF(A229="N/A"," ",(VLOOKUP(A229,GasCurves,9,FALSE()))+IF(BMO=1,Gasbmo,IF(BMO=3,-Gasbmo,0)))</f>
        <v> </v>
      </c>
      <c r="U229" s="444" t="str">
        <f aca="false">IF(A229="N/A"," ",IF(Basischeck=TRUE(),(VLOOKUP(A229,GasCurves,IF(MONTH(A229)&gt;=4,IF(MONTH(A229)&lt;=10,11,12),12),FALSE())),0))</f>
        <v> </v>
      </c>
      <c r="V229" s="444" t="str">
        <f aca="false">IF(A229="N/A"," ",IF(Indexcheck=TRUE(),(IF(MONTH(A229)&gt;=4,IF(MONTH(A229)&lt;=10,VLOOKUP(A229,'Gas Curves'!B207:O567,13),VLOOKUP(A229,'Gas Curves'!B207:O567,14)),VLOOKUP(A229,'Gas Curves'!B207:O567,14))),0))</f>
        <v> </v>
      </c>
      <c r="W229" s="444" t="str">
        <f aca="false">IF(A229="N/A"," ",((SUM(T229:V229))/(1-Inputs!$S$11)-(SUM(T229:V229))))</f>
        <v> </v>
      </c>
      <c r="X229" s="444" t="str">
        <f aca="false">IF(A229="N/A"," ",(IF(MONTH(A229)&gt;=4,IF(MONTH(A229)&lt;=10,Inputs!$S$9,Inputs!$S$10),Inputs!$S$10)))</f>
        <v> </v>
      </c>
      <c r="Y229" s="445" t="str">
        <f aca="false">IF(A229="N/A"," ",(VLOOKUP($A229,InterestRatesTable,2)))</f>
        <v> </v>
      </c>
      <c r="AF229" s="386" t="n">
        <v>43405</v>
      </c>
      <c r="AG229" s="376" t="n">
        <v>21</v>
      </c>
      <c r="AH229" s="376" t="n">
        <v>4</v>
      </c>
      <c r="AI229" s="376" t="n">
        <v>5</v>
      </c>
      <c r="AJ229" s="376" t="n">
        <v>1</v>
      </c>
      <c r="AK229" s="376" t="n">
        <v>30</v>
      </c>
    </row>
    <row r="230" customFormat="false" ht="12.75" hidden="false" customHeight="false" outlineLevel="0" collapsed="false">
      <c r="A230" s="434" t="str">
        <f aca="false">Calculations!A195</f>
        <v>N/A</v>
      </c>
      <c r="B230" s="435" t="str">
        <f aca="false">IF(A230="N/A"," ",IF(ISERROR(P230),B218*Pwresc,P230)*VLOOKUP(MONTH(A230),Curveadj,3))</f>
        <v> </v>
      </c>
      <c r="C230" s="436" t="str">
        <f aca="false">IF(A230="N/A"," ",IF(ISERROR(Q230),C218*Pwresc,Q230)*VLOOKUP(MONTH(A230),Curveadj,3))</f>
        <v> </v>
      </c>
      <c r="D230" s="437" t="str">
        <f aca="false">IF(A230="N/A"," ",IF(ISERROR(R230),D218*Pwresc,R230)*VLOOKUP(MONTH(A230),Curveadj,3))</f>
        <v> </v>
      </c>
      <c r="E230" s="438" t="str">
        <f aca="false">IF(A230="N/A"," ",IF(Scalers=1,(IF(AND(Dynamic=1,MONTH(A230)&gt;=6,MONTH(A230)&lt;=8,OR($O$37="REGION 2",$O$37="REGION 2A",$O$37="REGION 2B",$O$37="REGION 3",$O$37="REGION 3A",$O$37="REGION 3B",$O$37="REGION 3C",$O$37="REGION 4",$O$37="REGION 4B",$O$37="REGION 4C",$O$37="REGION 5",$O$37="REGION 5A")),((0.059228/(B230/100))-(0.4980013/(SQRT(B230/100)))+2.137988),HLOOKUP(MONTH(A230),ScalarTable,28))),1))</f>
        <v> </v>
      </c>
      <c r="F230" s="439" t="str">
        <f aca="false">IF(A230="N/A"," ",B230*E230)</f>
        <v> </v>
      </c>
      <c r="G230" s="439" t="str">
        <f aca="false">IF(A230="N/A"," ",C230*E230)</f>
        <v> </v>
      </c>
      <c r="H230" s="440" t="str">
        <f aca="false">IF(A230="N/A"," ",D230*E230)</f>
        <v> </v>
      </c>
      <c r="I230" s="402" t="str">
        <f aca="false">IF(A230="N/A"," ",2-E230)</f>
        <v> </v>
      </c>
      <c r="J230" s="439" t="str">
        <f aca="false">IF(A230="N/A"," ",B230*I230)</f>
        <v> </v>
      </c>
      <c r="K230" s="439" t="str">
        <f aca="false">IF(A230="N/A"," ",C230*I230)</f>
        <v> </v>
      </c>
      <c r="L230" s="440" t="str">
        <f aca="false">IF(A230="N/A"," ",D230*I230)</f>
        <v> </v>
      </c>
      <c r="M230" s="441" t="str">
        <f aca="false">IF(A230="N/A"," ",IF(ISERROR(S230),M218*Pwresc,S230))</f>
        <v> </v>
      </c>
      <c r="N230" s="442" t="str">
        <f aca="false">IF(A230="N/A"," ",SUM(T230:X230))</f>
        <v> </v>
      </c>
      <c r="O230" s="370"/>
      <c r="P230" s="436" t="str">
        <f aca="false">IF(A230="N/A"," ",VLOOKUP(A230,PeakPowerCurves,(IF(BMO=2,3,IF(BMO=1,2,4))),FALSE())+Inputs!N213)</f>
        <v> </v>
      </c>
      <c r="Q230" s="436" t="str">
        <f aca="false">IF(A230="N/A"," ",VLOOKUP(A230,SatSunPeakPwr,(IF(BMO=2,3,IF(BMO=1,2,4))),FALSE())+Inputs!$N$23)</f>
        <v> </v>
      </c>
      <c r="R230" s="436" t="str">
        <f aca="false">IF(A230="N/A"," ",VLOOKUP(A230,SatSunPeakPwr,(IF(BMO=2,7,IF(BMO=1,6,8))),FALSE())+Inputs!$N$23)</f>
        <v> </v>
      </c>
      <c r="S230" s="443" t="str">
        <f aca="false">IF(A230="N/A"," ",(VLOOKUP(A230,OPPowerPrices,(IF(BMO=2,7,IF(BMO=1,6,8))),FALSE())+Inputs!$N$23))</f>
        <v> </v>
      </c>
      <c r="T230" s="444" t="str">
        <f aca="false">IF(A230="N/A"," ",(VLOOKUP(A230,GasCurves,9,FALSE()))+IF(BMO=1,Gasbmo,IF(BMO=3,-Gasbmo,0)))</f>
        <v> </v>
      </c>
      <c r="U230" s="444" t="str">
        <f aca="false">IF(A230="N/A"," ",IF(Basischeck=TRUE(),(VLOOKUP(A230,GasCurves,IF(MONTH(A230)&gt;=4,IF(MONTH(A230)&lt;=10,11,12),12),FALSE())),0))</f>
        <v> </v>
      </c>
      <c r="V230" s="444" t="str">
        <f aca="false">IF(A230="N/A"," ",IF(Indexcheck=TRUE(),(IF(MONTH(A230)&gt;=4,IF(MONTH(A230)&lt;=10,VLOOKUP(A230,'Gas Curves'!B208:O568,13),VLOOKUP(A230,'Gas Curves'!B208:O568,14)),VLOOKUP(A230,'Gas Curves'!B208:O568,14))),0))</f>
        <v> </v>
      </c>
      <c r="W230" s="444" t="str">
        <f aca="false">IF(A230="N/A"," ",((SUM(T230:V230))/(1-Inputs!$S$11)-(SUM(T230:V230))))</f>
        <v> </v>
      </c>
      <c r="X230" s="444" t="str">
        <f aca="false">IF(A230="N/A"," ",(IF(MONTH(A230)&gt;=4,IF(MONTH(A230)&lt;=10,Inputs!$S$9,Inputs!$S$10),Inputs!$S$10)))</f>
        <v> </v>
      </c>
      <c r="Y230" s="445" t="str">
        <f aca="false">IF(A230="N/A"," ",(VLOOKUP($A230,InterestRatesTable,2)))</f>
        <v> </v>
      </c>
      <c r="AF230" s="386" t="n">
        <v>43435</v>
      </c>
      <c r="AG230" s="376" t="n">
        <v>20</v>
      </c>
      <c r="AH230" s="376" t="n">
        <v>5</v>
      </c>
      <c r="AI230" s="376" t="n">
        <v>6</v>
      </c>
      <c r="AJ230" s="376" t="n">
        <v>1</v>
      </c>
      <c r="AK230" s="376" t="n">
        <v>31</v>
      </c>
    </row>
    <row r="231" customFormat="false" ht="12.75" hidden="false" customHeight="false" outlineLevel="0" collapsed="false">
      <c r="A231" s="434" t="str">
        <f aca="false">Calculations!A196</f>
        <v>N/A</v>
      </c>
      <c r="B231" s="435" t="str">
        <f aca="false">IF(A231="N/A"," ",IF(ISERROR(P231),B219*Pwresc,P231)*VLOOKUP(MONTH(A231),Curveadj,3))</f>
        <v> </v>
      </c>
      <c r="C231" s="436" t="str">
        <f aca="false">IF(A231="N/A"," ",IF(ISERROR(Q231),C219*Pwresc,Q231)*VLOOKUP(MONTH(A231),Curveadj,3))</f>
        <v> </v>
      </c>
      <c r="D231" s="437" t="str">
        <f aca="false">IF(A231="N/A"," ",IF(ISERROR(R231),D219*Pwresc,R231)*VLOOKUP(MONTH(A231),Curveadj,3))</f>
        <v> </v>
      </c>
      <c r="E231" s="438" t="str">
        <f aca="false">IF(A231="N/A"," ",IF(Scalers=1,(IF(AND(Dynamic=1,MONTH(A231)&gt;=6,MONTH(A231)&lt;=8,OR($O$37="REGION 2",$O$37="REGION 2A",$O$37="REGION 2B",$O$37="REGION 3",$O$37="REGION 3A",$O$37="REGION 3B",$O$37="REGION 3C",$O$37="REGION 4",$O$37="REGION 4B",$O$37="REGION 4C",$O$37="REGION 5",$O$37="REGION 5A")),((0.059228/(B231/100))-(0.4980013/(SQRT(B231/100)))+2.137988),HLOOKUP(MONTH(A231),ScalarTable,28))),1))</f>
        <v> </v>
      </c>
      <c r="F231" s="439" t="str">
        <f aca="false">IF(A231="N/A"," ",B231*E231)</f>
        <v> </v>
      </c>
      <c r="G231" s="439" t="str">
        <f aca="false">IF(A231="N/A"," ",C231*E231)</f>
        <v> </v>
      </c>
      <c r="H231" s="440" t="str">
        <f aca="false">IF(A231="N/A"," ",D231*E231)</f>
        <v> </v>
      </c>
      <c r="I231" s="402" t="str">
        <f aca="false">IF(A231="N/A"," ",2-E231)</f>
        <v> </v>
      </c>
      <c r="J231" s="439" t="str">
        <f aca="false">IF(A231="N/A"," ",B231*I231)</f>
        <v> </v>
      </c>
      <c r="K231" s="439" t="str">
        <f aca="false">IF(A231="N/A"," ",C231*I231)</f>
        <v> </v>
      </c>
      <c r="L231" s="440" t="str">
        <f aca="false">IF(A231="N/A"," ",D231*I231)</f>
        <v> </v>
      </c>
      <c r="M231" s="441" t="str">
        <f aca="false">IF(A231="N/A"," ",IF(ISERROR(S231),M219*Pwresc,S231))</f>
        <v> </v>
      </c>
      <c r="N231" s="442" t="str">
        <f aca="false">IF(A231="N/A"," ",SUM(T231:X231))</f>
        <v> </v>
      </c>
      <c r="O231" s="370"/>
      <c r="P231" s="436" t="str">
        <f aca="false">IF(A231="N/A"," ",VLOOKUP(A231,PeakPowerCurves,(IF(BMO=2,3,IF(BMO=1,2,4))),FALSE())+Inputs!N214)</f>
        <v> </v>
      </c>
      <c r="Q231" s="436" t="str">
        <f aca="false">IF(A231="N/A"," ",VLOOKUP(A231,SatSunPeakPwr,(IF(BMO=2,3,IF(BMO=1,2,4))),FALSE())+Inputs!$N$23)</f>
        <v> </v>
      </c>
      <c r="R231" s="436" t="str">
        <f aca="false">IF(A231="N/A"," ",VLOOKUP(A231,SatSunPeakPwr,(IF(BMO=2,7,IF(BMO=1,6,8))),FALSE())+Inputs!$N$23)</f>
        <v> </v>
      </c>
      <c r="S231" s="443" t="str">
        <f aca="false">IF(A231="N/A"," ",(VLOOKUP(A231,OPPowerPrices,(IF(BMO=2,7,IF(BMO=1,6,8))),FALSE())+Inputs!$N$23))</f>
        <v> </v>
      </c>
      <c r="T231" s="444" t="str">
        <f aca="false">IF(A231="N/A"," ",(VLOOKUP(A231,GasCurves,9,FALSE()))+IF(BMO=1,Gasbmo,IF(BMO=3,-Gasbmo,0)))</f>
        <v> </v>
      </c>
      <c r="U231" s="444" t="str">
        <f aca="false">IF(A231="N/A"," ",IF(Basischeck=TRUE(),(VLOOKUP(A231,GasCurves,IF(MONTH(A231)&gt;=4,IF(MONTH(A231)&lt;=10,11,12),12),FALSE())),0))</f>
        <v> </v>
      </c>
      <c r="V231" s="444" t="str">
        <f aca="false">IF(A231="N/A"," ",IF(Indexcheck=TRUE(),(IF(MONTH(A231)&gt;=4,IF(MONTH(A231)&lt;=10,VLOOKUP(A231,'Gas Curves'!B209:O569,13),VLOOKUP(A231,'Gas Curves'!B209:O569,14)),VLOOKUP(A231,'Gas Curves'!B209:O569,14))),0))</f>
        <v> </v>
      </c>
      <c r="W231" s="444" t="str">
        <f aca="false">IF(A231="N/A"," ",((SUM(T231:V231))/(1-Inputs!$S$11)-(SUM(T231:V231))))</f>
        <v> </v>
      </c>
      <c r="X231" s="444" t="str">
        <f aca="false">IF(A231="N/A"," ",(IF(MONTH(A231)&gt;=4,IF(MONTH(A231)&lt;=10,Inputs!$S$9,Inputs!$S$10),Inputs!$S$10)))</f>
        <v> </v>
      </c>
      <c r="Y231" s="445" t="str">
        <f aca="false">IF(A231="N/A"," ",(VLOOKUP($A231,InterestRatesTable,2)))</f>
        <v> </v>
      </c>
      <c r="AF231" s="386" t="n">
        <v>43466</v>
      </c>
      <c r="AG231" s="376" t="n">
        <v>22</v>
      </c>
      <c r="AH231" s="376" t="n">
        <v>4</v>
      </c>
      <c r="AI231" s="376" t="n">
        <v>5</v>
      </c>
      <c r="AJ231" s="376" t="n">
        <v>1</v>
      </c>
      <c r="AK231" s="376" t="n">
        <v>31</v>
      </c>
    </row>
    <row r="232" customFormat="false" ht="12.75" hidden="false" customHeight="false" outlineLevel="0" collapsed="false">
      <c r="A232" s="434" t="str">
        <f aca="false">Calculations!A197</f>
        <v>N/A</v>
      </c>
      <c r="B232" s="435" t="str">
        <f aca="false">IF(A232="N/A"," ",IF(ISERROR(P232),B220*Pwresc,P232)*VLOOKUP(MONTH(A232),Curveadj,3))</f>
        <v> </v>
      </c>
      <c r="C232" s="436" t="str">
        <f aca="false">IF(A232="N/A"," ",IF(ISERROR(Q232),C220*Pwresc,Q232)*VLOOKUP(MONTH(A232),Curveadj,3))</f>
        <v> </v>
      </c>
      <c r="D232" s="437" t="str">
        <f aca="false">IF(A232="N/A"," ",IF(ISERROR(R232),D220*Pwresc,R232)*VLOOKUP(MONTH(A232),Curveadj,3))</f>
        <v> </v>
      </c>
      <c r="E232" s="438" t="str">
        <f aca="false">IF(A232="N/A"," ",IF(Scalers=1,(IF(AND(Dynamic=1,MONTH(A232)&gt;=6,MONTH(A232)&lt;=8,OR($O$37="REGION 2",$O$37="REGION 2A",$O$37="REGION 2B",$O$37="REGION 3",$O$37="REGION 3A",$O$37="REGION 3B",$O$37="REGION 3C",$O$37="REGION 4",$O$37="REGION 4B",$O$37="REGION 4C",$O$37="REGION 5",$O$37="REGION 5A")),((0.059228/(B232/100))-(0.4980013/(SQRT(B232/100)))+2.137988),HLOOKUP(MONTH(A232),ScalarTable,28))),1))</f>
        <v> </v>
      </c>
      <c r="F232" s="439" t="str">
        <f aca="false">IF(A232="N/A"," ",B232*E232)</f>
        <v> </v>
      </c>
      <c r="G232" s="439" t="str">
        <f aca="false">IF(A232="N/A"," ",C232*E232)</f>
        <v> </v>
      </c>
      <c r="H232" s="440" t="str">
        <f aca="false">IF(A232="N/A"," ",D232*E232)</f>
        <v> </v>
      </c>
      <c r="I232" s="402" t="str">
        <f aca="false">IF(A232="N/A"," ",2-E232)</f>
        <v> </v>
      </c>
      <c r="J232" s="439" t="str">
        <f aca="false">IF(A232="N/A"," ",B232*I232)</f>
        <v> </v>
      </c>
      <c r="K232" s="439" t="str">
        <f aca="false">IF(A232="N/A"," ",C232*I232)</f>
        <v> </v>
      </c>
      <c r="L232" s="440" t="str">
        <f aca="false">IF(A232="N/A"," ",D232*I232)</f>
        <v> </v>
      </c>
      <c r="M232" s="441" t="str">
        <f aca="false">IF(A232="N/A"," ",IF(ISERROR(S232),M220*Pwresc,S232))</f>
        <v> </v>
      </c>
      <c r="N232" s="442" t="str">
        <f aca="false">IF(A232="N/A"," ",SUM(T232:X232))</f>
        <v> </v>
      </c>
      <c r="O232" s="370"/>
      <c r="P232" s="436" t="str">
        <f aca="false">IF(A232="N/A"," ",VLOOKUP(A232,PeakPowerCurves,(IF(BMO=2,3,IF(BMO=1,2,4))),FALSE())+Inputs!N215)</f>
        <v> </v>
      </c>
      <c r="Q232" s="436" t="str">
        <f aca="false">IF(A232="N/A"," ",VLOOKUP(A232,SatSunPeakPwr,(IF(BMO=2,3,IF(BMO=1,2,4))),FALSE())+Inputs!$N$23)</f>
        <v> </v>
      </c>
      <c r="R232" s="436" t="str">
        <f aca="false">IF(A232="N/A"," ",VLOOKUP(A232,SatSunPeakPwr,(IF(BMO=2,7,IF(BMO=1,6,8))),FALSE())+Inputs!$N$23)</f>
        <v> </v>
      </c>
      <c r="S232" s="443" t="str">
        <f aca="false">IF(A232="N/A"," ",(VLOOKUP(A232,OPPowerPrices,(IF(BMO=2,7,IF(BMO=1,6,8))),FALSE())+Inputs!$N$23))</f>
        <v> </v>
      </c>
      <c r="T232" s="444" t="str">
        <f aca="false">IF(A232="N/A"," ",(VLOOKUP(A232,GasCurves,9,FALSE()))+IF(BMO=1,Gasbmo,IF(BMO=3,-Gasbmo,0)))</f>
        <v> </v>
      </c>
      <c r="U232" s="444" t="str">
        <f aca="false">IF(A232="N/A"," ",IF(Basischeck=TRUE(),(VLOOKUP(A232,GasCurves,IF(MONTH(A232)&gt;=4,IF(MONTH(A232)&lt;=10,11,12),12),FALSE())),0))</f>
        <v> </v>
      </c>
      <c r="V232" s="444" t="str">
        <f aca="false">IF(A232="N/A"," ",IF(Indexcheck=TRUE(),(IF(MONTH(A232)&gt;=4,IF(MONTH(A232)&lt;=10,VLOOKUP(A232,'Gas Curves'!B210:O570,13),VLOOKUP(A232,'Gas Curves'!B210:O570,14)),VLOOKUP(A232,'Gas Curves'!B210:O570,14))),0))</f>
        <v> </v>
      </c>
      <c r="W232" s="444" t="str">
        <f aca="false">IF(A232="N/A"," ",((SUM(T232:V232))/(1-Inputs!$S$11)-(SUM(T232:V232))))</f>
        <v> </v>
      </c>
      <c r="X232" s="444" t="str">
        <f aca="false">IF(A232="N/A"," ",(IF(MONTH(A232)&gt;=4,IF(MONTH(A232)&lt;=10,Inputs!$S$9,Inputs!$S$10),Inputs!$S$10)))</f>
        <v> </v>
      </c>
      <c r="Y232" s="445" t="str">
        <f aca="false">IF(A232="N/A"," ",(VLOOKUP($A232,InterestRatesTable,2)))</f>
        <v> </v>
      </c>
      <c r="AF232" s="386" t="n">
        <v>43497</v>
      </c>
      <c r="AG232" s="376" t="n">
        <v>20</v>
      </c>
      <c r="AH232" s="376" t="n">
        <v>4</v>
      </c>
      <c r="AI232" s="376" t="n">
        <v>4</v>
      </c>
      <c r="AJ232" s="376" t="n">
        <v>0</v>
      </c>
      <c r="AK232" s="376" t="n">
        <v>28</v>
      </c>
    </row>
    <row r="233" customFormat="false" ht="12.75" hidden="false" customHeight="false" outlineLevel="0" collapsed="false">
      <c r="A233" s="434" t="str">
        <f aca="false">Calculations!A198</f>
        <v>N/A</v>
      </c>
      <c r="B233" s="435" t="str">
        <f aca="false">IF(A233="N/A"," ",IF(ISERROR(P233),B221*Pwresc,P233)*VLOOKUP(MONTH(A233),Curveadj,3))</f>
        <v> </v>
      </c>
      <c r="C233" s="436" t="str">
        <f aca="false">IF(A233="N/A"," ",IF(ISERROR(Q233),C221*Pwresc,Q233)*VLOOKUP(MONTH(A233),Curveadj,3))</f>
        <v> </v>
      </c>
      <c r="D233" s="437" t="str">
        <f aca="false">IF(A233="N/A"," ",IF(ISERROR(R233),D221*Pwresc,R233)*VLOOKUP(MONTH(A233),Curveadj,3))</f>
        <v> </v>
      </c>
      <c r="E233" s="438" t="str">
        <f aca="false">IF(A233="N/A"," ",IF(Scalers=1,(IF(AND(Dynamic=1,MONTH(A233)&gt;=6,MONTH(A233)&lt;=8,OR($O$37="REGION 2",$O$37="REGION 2A",$O$37="REGION 2B",$O$37="REGION 3",$O$37="REGION 3A",$O$37="REGION 3B",$O$37="REGION 3C",$O$37="REGION 4",$O$37="REGION 4B",$O$37="REGION 4C",$O$37="REGION 5",$O$37="REGION 5A")),((0.059228/(B233/100))-(0.4980013/(SQRT(B233/100)))+2.137988),HLOOKUP(MONTH(A233),ScalarTable,28))),1))</f>
        <v> </v>
      </c>
      <c r="F233" s="439" t="str">
        <f aca="false">IF(A233="N/A"," ",B233*E233)</f>
        <v> </v>
      </c>
      <c r="G233" s="439" t="str">
        <f aca="false">IF(A233="N/A"," ",C233*E233)</f>
        <v> </v>
      </c>
      <c r="H233" s="440" t="str">
        <f aca="false">IF(A233="N/A"," ",D233*E233)</f>
        <v> </v>
      </c>
      <c r="I233" s="402" t="str">
        <f aca="false">IF(A233="N/A"," ",2-E233)</f>
        <v> </v>
      </c>
      <c r="J233" s="439" t="str">
        <f aca="false">IF(A233="N/A"," ",B233*I233)</f>
        <v> </v>
      </c>
      <c r="K233" s="439" t="str">
        <f aca="false">IF(A233="N/A"," ",C233*I233)</f>
        <v> </v>
      </c>
      <c r="L233" s="440" t="str">
        <f aca="false">IF(A233="N/A"," ",D233*I233)</f>
        <v> </v>
      </c>
      <c r="M233" s="441" t="str">
        <f aca="false">IF(A233="N/A"," ",IF(ISERROR(S233),M221*Pwresc,S233))</f>
        <v> </v>
      </c>
      <c r="N233" s="442" t="str">
        <f aca="false">IF(A233="N/A"," ",SUM(T233:X233))</f>
        <v> </v>
      </c>
      <c r="O233" s="370"/>
      <c r="P233" s="436" t="str">
        <f aca="false">IF(A233="N/A"," ",VLOOKUP(A233,PeakPowerCurves,(IF(BMO=2,3,IF(BMO=1,2,4))),FALSE())+Inputs!N216)</f>
        <v> </v>
      </c>
      <c r="Q233" s="436" t="str">
        <f aca="false">IF(A233="N/A"," ",VLOOKUP(A233,SatSunPeakPwr,(IF(BMO=2,3,IF(BMO=1,2,4))),FALSE())+Inputs!$N$23)</f>
        <v> </v>
      </c>
      <c r="R233" s="436" t="str">
        <f aca="false">IF(A233="N/A"," ",VLOOKUP(A233,SatSunPeakPwr,(IF(BMO=2,7,IF(BMO=1,6,8))),FALSE())+Inputs!$N$23)</f>
        <v> </v>
      </c>
      <c r="S233" s="443" t="str">
        <f aca="false">IF(A233="N/A"," ",(VLOOKUP(A233,OPPowerPrices,(IF(BMO=2,7,IF(BMO=1,6,8))),FALSE())+Inputs!$N$23))</f>
        <v> </v>
      </c>
      <c r="T233" s="444" t="str">
        <f aca="false">IF(A233="N/A"," ",(VLOOKUP(A233,GasCurves,9,FALSE()))+IF(BMO=1,Gasbmo,IF(BMO=3,-Gasbmo,0)))</f>
        <v> </v>
      </c>
      <c r="U233" s="444" t="str">
        <f aca="false">IF(A233="N/A"," ",IF(Basischeck=TRUE(),(VLOOKUP(A233,GasCurves,IF(MONTH(A233)&gt;=4,IF(MONTH(A233)&lt;=10,11,12),12),FALSE())),0))</f>
        <v> </v>
      </c>
      <c r="V233" s="444" t="str">
        <f aca="false">IF(A233="N/A"," ",IF(Indexcheck=TRUE(),(IF(MONTH(A233)&gt;=4,IF(MONTH(A233)&lt;=10,VLOOKUP(A233,'Gas Curves'!B211:O571,13),VLOOKUP(A233,'Gas Curves'!B211:O571,14)),VLOOKUP(A233,'Gas Curves'!B211:O571,14))),0))</f>
        <v> </v>
      </c>
      <c r="W233" s="444" t="str">
        <f aca="false">IF(A233="N/A"," ",((SUM(T233:V233))/(1-Inputs!$S$11)-(SUM(T233:V233))))</f>
        <v> </v>
      </c>
      <c r="X233" s="444" t="str">
        <f aca="false">IF(A233="N/A"," ",(IF(MONTH(A233)&gt;=4,IF(MONTH(A233)&lt;=10,Inputs!$S$9,Inputs!$S$10),Inputs!$S$10)))</f>
        <v> </v>
      </c>
      <c r="Y233" s="445" t="str">
        <f aca="false">IF(A233="N/A"," ",(VLOOKUP($A233,InterestRatesTable,2)))</f>
        <v> </v>
      </c>
      <c r="AF233" s="386" t="n">
        <v>43525</v>
      </c>
      <c r="AG233" s="376" t="n">
        <v>21</v>
      </c>
      <c r="AH233" s="376" t="n">
        <v>5</v>
      </c>
      <c r="AI233" s="376" t="n">
        <v>5</v>
      </c>
      <c r="AJ233" s="376" t="n">
        <v>0</v>
      </c>
      <c r="AK233" s="376" t="n">
        <v>31</v>
      </c>
    </row>
    <row r="234" customFormat="false" ht="12.75" hidden="false" customHeight="false" outlineLevel="0" collapsed="false">
      <c r="A234" s="434" t="str">
        <f aca="false">Calculations!A199</f>
        <v>N/A</v>
      </c>
      <c r="B234" s="435" t="str">
        <f aca="false">IF(A234="N/A"," ",IF(ISERROR(P234),B222*Pwresc,P234)*VLOOKUP(MONTH(A234),Curveadj,3))</f>
        <v> </v>
      </c>
      <c r="C234" s="436" t="str">
        <f aca="false">IF(A234="N/A"," ",IF(ISERROR(Q234),C222*Pwresc,Q234)*VLOOKUP(MONTH(A234),Curveadj,3))</f>
        <v> </v>
      </c>
      <c r="D234" s="437" t="str">
        <f aca="false">IF(A234="N/A"," ",IF(ISERROR(R234),D222*Pwresc,R234)*VLOOKUP(MONTH(A234),Curveadj,3))</f>
        <v> </v>
      </c>
      <c r="E234" s="438" t="str">
        <f aca="false">IF(A234="N/A"," ",IF(Scalers=1,(IF(AND(Dynamic=1,MONTH(A234)&gt;=6,MONTH(A234)&lt;=8,OR($O$37="REGION 2",$O$37="REGION 2A",$O$37="REGION 2B",$O$37="REGION 3",$O$37="REGION 3A",$O$37="REGION 3B",$O$37="REGION 3C",$O$37="REGION 4",$O$37="REGION 4B",$O$37="REGION 4C",$O$37="REGION 5",$O$37="REGION 5A")),((0.059228/(B234/100))-(0.4980013/(SQRT(B234/100)))+2.137988),HLOOKUP(MONTH(A234),ScalarTable,28))),1))</f>
        <v> </v>
      </c>
      <c r="F234" s="439" t="str">
        <f aca="false">IF(A234="N/A"," ",B234*E234)</f>
        <v> </v>
      </c>
      <c r="G234" s="439" t="str">
        <f aca="false">IF(A234="N/A"," ",C234*E234)</f>
        <v> </v>
      </c>
      <c r="H234" s="440" t="str">
        <f aca="false">IF(A234="N/A"," ",D234*E234)</f>
        <v> </v>
      </c>
      <c r="I234" s="402" t="str">
        <f aca="false">IF(A234="N/A"," ",2-E234)</f>
        <v> </v>
      </c>
      <c r="J234" s="439" t="str">
        <f aca="false">IF(A234="N/A"," ",B234*I234)</f>
        <v> </v>
      </c>
      <c r="K234" s="439" t="str">
        <f aca="false">IF(A234="N/A"," ",C234*I234)</f>
        <v> </v>
      </c>
      <c r="L234" s="440" t="str">
        <f aca="false">IF(A234="N/A"," ",D234*I234)</f>
        <v> </v>
      </c>
      <c r="M234" s="441" t="str">
        <f aca="false">IF(A234="N/A"," ",IF(ISERROR(S234),M222*Pwresc,S234))</f>
        <v> </v>
      </c>
      <c r="N234" s="442" t="str">
        <f aca="false">IF(A234="N/A"," ",SUM(T234:X234))</f>
        <v> </v>
      </c>
      <c r="O234" s="370"/>
      <c r="P234" s="436" t="str">
        <f aca="false">IF(A234="N/A"," ",VLOOKUP(A234,PeakPowerCurves,(IF(BMO=2,3,IF(BMO=1,2,4))),FALSE())+Inputs!N217)</f>
        <v> </v>
      </c>
      <c r="Q234" s="436" t="str">
        <f aca="false">IF(A234="N/A"," ",VLOOKUP(A234,SatSunPeakPwr,(IF(BMO=2,3,IF(BMO=1,2,4))),FALSE())+Inputs!$N$23)</f>
        <v> </v>
      </c>
      <c r="R234" s="436" t="str">
        <f aca="false">IF(A234="N/A"," ",VLOOKUP(A234,SatSunPeakPwr,(IF(BMO=2,7,IF(BMO=1,6,8))),FALSE())+Inputs!$N$23)</f>
        <v> </v>
      </c>
      <c r="S234" s="443" t="str">
        <f aca="false">IF(A234="N/A"," ",(VLOOKUP(A234,OPPowerPrices,(IF(BMO=2,7,IF(BMO=1,6,8))),FALSE())+Inputs!$N$23))</f>
        <v> </v>
      </c>
      <c r="T234" s="444" t="str">
        <f aca="false">IF(A234="N/A"," ",(VLOOKUP(A234,GasCurves,9,FALSE()))+IF(BMO=1,Gasbmo,IF(BMO=3,-Gasbmo,0)))</f>
        <v> </v>
      </c>
      <c r="U234" s="444" t="str">
        <f aca="false">IF(A234="N/A"," ",IF(Basischeck=TRUE(),(VLOOKUP(A234,GasCurves,IF(MONTH(A234)&gt;=4,IF(MONTH(A234)&lt;=10,11,12),12),FALSE())),0))</f>
        <v> </v>
      </c>
      <c r="V234" s="444" t="str">
        <f aca="false">IF(A234="N/A"," ",IF(Indexcheck=TRUE(),(IF(MONTH(A234)&gt;=4,IF(MONTH(A234)&lt;=10,VLOOKUP(A234,'Gas Curves'!B212:O572,13),VLOOKUP(A234,'Gas Curves'!B212:O572,14)),VLOOKUP(A234,'Gas Curves'!B212:O572,14))),0))</f>
        <v> </v>
      </c>
      <c r="W234" s="444" t="str">
        <f aca="false">IF(A234="N/A"," ",((SUM(T234:V234))/(1-Inputs!$S$11)-(SUM(T234:V234))))</f>
        <v> </v>
      </c>
      <c r="X234" s="444" t="str">
        <f aca="false">IF(A234="N/A"," ",(IF(MONTH(A234)&gt;=4,IF(MONTH(A234)&lt;=10,Inputs!$S$9,Inputs!$S$10),Inputs!$S$10)))</f>
        <v> </v>
      </c>
      <c r="Y234" s="445" t="str">
        <f aca="false">IF(A234="N/A"," ",(VLOOKUP($A234,InterestRatesTable,2)))</f>
        <v> </v>
      </c>
      <c r="AF234" s="386" t="n">
        <v>43556</v>
      </c>
      <c r="AG234" s="376" t="n">
        <v>22</v>
      </c>
      <c r="AH234" s="376" t="n">
        <v>4</v>
      </c>
      <c r="AI234" s="376" t="n">
        <v>4</v>
      </c>
      <c r="AJ234" s="376" t="n">
        <v>0</v>
      </c>
      <c r="AK234" s="376" t="n">
        <v>30</v>
      </c>
    </row>
    <row r="235" customFormat="false" ht="12.75" hidden="false" customHeight="false" outlineLevel="0" collapsed="false">
      <c r="A235" s="434" t="str">
        <f aca="false">Calculations!A200</f>
        <v>N/A</v>
      </c>
      <c r="B235" s="435" t="str">
        <f aca="false">IF(A235="N/A"," ",IF(ISERROR(P235),B223*Pwresc,P235)*VLOOKUP(MONTH(A235),Curveadj,3))</f>
        <v> </v>
      </c>
      <c r="C235" s="436" t="str">
        <f aca="false">IF(A235="N/A"," ",IF(ISERROR(Q235),C223*Pwresc,Q235)*VLOOKUP(MONTH(A235),Curveadj,3))</f>
        <v> </v>
      </c>
      <c r="D235" s="437" t="str">
        <f aca="false">IF(A235="N/A"," ",IF(ISERROR(R235),D223*Pwresc,R235)*VLOOKUP(MONTH(A235),Curveadj,3))</f>
        <v> </v>
      </c>
      <c r="E235" s="438" t="str">
        <f aca="false">IF(A235="N/A"," ",IF(Scalers=1,(IF(AND(Dynamic=1,MONTH(A235)&gt;=6,MONTH(A235)&lt;=8,OR($O$37="REGION 2",$O$37="REGION 2A",$O$37="REGION 2B",$O$37="REGION 3",$O$37="REGION 3A",$O$37="REGION 3B",$O$37="REGION 3C",$O$37="REGION 4",$O$37="REGION 4B",$O$37="REGION 4C",$O$37="REGION 5",$O$37="REGION 5A")),((0.059228/(B235/100))-(0.4980013/(SQRT(B235/100)))+2.137988),HLOOKUP(MONTH(A235),ScalarTable,28))),1))</f>
        <v> </v>
      </c>
      <c r="F235" s="439" t="str">
        <f aca="false">IF(A235="N/A"," ",B235*E235)</f>
        <v> </v>
      </c>
      <c r="G235" s="439" t="str">
        <f aca="false">IF(A235="N/A"," ",C235*E235)</f>
        <v> </v>
      </c>
      <c r="H235" s="440" t="str">
        <f aca="false">IF(A235="N/A"," ",D235*E235)</f>
        <v> </v>
      </c>
      <c r="I235" s="402" t="str">
        <f aca="false">IF(A235="N/A"," ",2-E235)</f>
        <v> </v>
      </c>
      <c r="J235" s="439" t="str">
        <f aca="false">IF(A235="N/A"," ",B235*I235)</f>
        <v> </v>
      </c>
      <c r="K235" s="439" t="str">
        <f aca="false">IF(A235="N/A"," ",C235*I235)</f>
        <v> </v>
      </c>
      <c r="L235" s="440" t="str">
        <f aca="false">IF(A235="N/A"," ",D235*I235)</f>
        <v> </v>
      </c>
      <c r="M235" s="441" t="str">
        <f aca="false">IF(A235="N/A"," ",IF(ISERROR(S235),M223*Pwresc,S235))</f>
        <v> </v>
      </c>
      <c r="N235" s="442" t="str">
        <f aca="false">IF(A235="N/A"," ",SUM(T235:X235))</f>
        <v> </v>
      </c>
      <c r="O235" s="370"/>
      <c r="P235" s="436" t="str">
        <f aca="false">IF(A235="N/A"," ",VLOOKUP(A235,PeakPowerCurves,(IF(BMO=2,3,IF(BMO=1,2,4))),FALSE())+Inputs!N218)</f>
        <v> </v>
      </c>
      <c r="Q235" s="436" t="str">
        <f aca="false">IF(A235="N/A"," ",VLOOKUP(A235,SatSunPeakPwr,(IF(BMO=2,3,IF(BMO=1,2,4))),FALSE())+Inputs!$N$23)</f>
        <v> </v>
      </c>
      <c r="R235" s="436" t="str">
        <f aca="false">IF(A235="N/A"," ",VLOOKUP(A235,SatSunPeakPwr,(IF(BMO=2,7,IF(BMO=1,6,8))),FALSE())+Inputs!$N$23)</f>
        <v> </v>
      </c>
      <c r="S235" s="443" t="str">
        <f aca="false">IF(A235="N/A"," ",(VLOOKUP(A235,OPPowerPrices,(IF(BMO=2,7,IF(BMO=1,6,8))),FALSE())+Inputs!$N$23))</f>
        <v> </v>
      </c>
      <c r="T235" s="444" t="str">
        <f aca="false">IF(A235="N/A"," ",(VLOOKUP(A235,GasCurves,9,FALSE()))+IF(BMO=1,Gasbmo,IF(BMO=3,-Gasbmo,0)))</f>
        <v> </v>
      </c>
      <c r="U235" s="444" t="str">
        <f aca="false">IF(A235="N/A"," ",IF(Basischeck=TRUE(),(VLOOKUP(A235,GasCurves,IF(MONTH(A235)&gt;=4,IF(MONTH(A235)&lt;=10,11,12),12),FALSE())),0))</f>
        <v> </v>
      </c>
      <c r="V235" s="444" t="str">
        <f aca="false">IF(A235="N/A"," ",IF(Indexcheck=TRUE(),(IF(MONTH(A235)&gt;=4,IF(MONTH(A235)&lt;=10,VLOOKUP(A235,'Gas Curves'!B213:O573,13),VLOOKUP(A235,'Gas Curves'!B213:O573,14)),VLOOKUP(A235,'Gas Curves'!B213:O573,14))),0))</f>
        <v> </v>
      </c>
      <c r="W235" s="444" t="str">
        <f aca="false">IF(A235="N/A"," ",((SUM(T235:V235))/(1-Inputs!$S$11)-(SUM(T235:V235))))</f>
        <v> </v>
      </c>
      <c r="X235" s="444" t="str">
        <f aca="false">IF(A235="N/A"," ",(IF(MONTH(A235)&gt;=4,IF(MONTH(A235)&lt;=10,Inputs!$S$9,Inputs!$S$10),Inputs!$S$10)))</f>
        <v> </v>
      </c>
      <c r="Y235" s="445" t="str">
        <f aca="false">IF(A235="N/A"," ",(VLOOKUP($A235,InterestRatesTable,2)))</f>
        <v> </v>
      </c>
      <c r="AF235" s="386" t="n">
        <v>43586</v>
      </c>
      <c r="AG235" s="376" t="n">
        <v>22</v>
      </c>
      <c r="AH235" s="376" t="n">
        <v>4</v>
      </c>
      <c r="AI235" s="376" t="n">
        <v>5</v>
      </c>
      <c r="AJ235" s="376" t="n">
        <v>1</v>
      </c>
      <c r="AK235" s="376" t="n">
        <v>31</v>
      </c>
    </row>
    <row r="236" customFormat="false" ht="12.75" hidden="false" customHeight="false" outlineLevel="0" collapsed="false">
      <c r="A236" s="434" t="str">
        <f aca="false">Calculations!A201</f>
        <v>N/A</v>
      </c>
      <c r="B236" s="435" t="str">
        <f aca="false">IF(A236="N/A"," ",IF(ISERROR(P236),B224*Pwresc,P236)*VLOOKUP(MONTH(A236),Curveadj,3))</f>
        <v> </v>
      </c>
      <c r="C236" s="436" t="str">
        <f aca="false">IF(A236="N/A"," ",IF(ISERROR(Q236),C224*Pwresc,Q236)*VLOOKUP(MONTH(A236),Curveadj,3))</f>
        <v> </v>
      </c>
      <c r="D236" s="437" t="str">
        <f aca="false">IF(A236="N/A"," ",IF(ISERROR(R236),D224*Pwresc,R236)*VLOOKUP(MONTH(A236),Curveadj,3))</f>
        <v> </v>
      </c>
      <c r="E236" s="438" t="str">
        <f aca="false">IF(A236="N/A"," ",IF(Scalers=1,(IF(AND(Dynamic=1,MONTH(A236)&gt;=6,MONTH(A236)&lt;=8,OR($O$37="REGION 2",$O$37="REGION 2A",$O$37="REGION 2B",$O$37="REGION 3",$O$37="REGION 3A",$O$37="REGION 3B",$O$37="REGION 3C",$O$37="REGION 4",$O$37="REGION 4B",$O$37="REGION 4C",$O$37="REGION 5",$O$37="REGION 5A")),((0.059228/(B236/100))-(0.4980013/(SQRT(B236/100)))+2.137988),HLOOKUP(MONTH(A236),ScalarTable,28))),1))</f>
        <v> </v>
      </c>
      <c r="F236" s="439" t="str">
        <f aca="false">IF(A236="N/A"," ",B236*E236)</f>
        <v> </v>
      </c>
      <c r="G236" s="439" t="str">
        <f aca="false">IF(A236="N/A"," ",C236*E236)</f>
        <v> </v>
      </c>
      <c r="H236" s="440" t="str">
        <f aca="false">IF(A236="N/A"," ",D236*E236)</f>
        <v> </v>
      </c>
      <c r="I236" s="402" t="str">
        <f aca="false">IF(A236="N/A"," ",2-E236)</f>
        <v> </v>
      </c>
      <c r="J236" s="439" t="str">
        <f aca="false">IF(A236="N/A"," ",B236*I236)</f>
        <v> </v>
      </c>
      <c r="K236" s="439" t="str">
        <f aca="false">IF(A236="N/A"," ",C236*I236)</f>
        <v> </v>
      </c>
      <c r="L236" s="440" t="str">
        <f aca="false">IF(A236="N/A"," ",D236*I236)</f>
        <v> </v>
      </c>
      <c r="M236" s="441" t="str">
        <f aca="false">IF(A236="N/A"," ",IF(ISERROR(S236),M224*Pwresc,S236))</f>
        <v> </v>
      </c>
      <c r="N236" s="442" t="str">
        <f aca="false">IF(A236="N/A"," ",SUM(T236:X236))</f>
        <v> </v>
      </c>
      <c r="O236" s="370"/>
      <c r="P236" s="436" t="str">
        <f aca="false">IF(A236="N/A"," ",VLOOKUP(A236,PeakPowerCurves,(IF(BMO=2,3,IF(BMO=1,2,4))),FALSE())+Inputs!N219)</f>
        <v> </v>
      </c>
      <c r="Q236" s="436" t="str">
        <f aca="false">IF(A236="N/A"," ",VLOOKUP(A236,SatSunPeakPwr,(IF(BMO=2,3,IF(BMO=1,2,4))),FALSE())+Inputs!$N$23)</f>
        <v> </v>
      </c>
      <c r="R236" s="436" t="str">
        <f aca="false">IF(A236="N/A"," ",VLOOKUP(A236,SatSunPeakPwr,(IF(BMO=2,7,IF(BMO=1,6,8))),FALSE())+Inputs!$N$23)</f>
        <v> </v>
      </c>
      <c r="S236" s="443" t="str">
        <f aca="false">IF(A236="N/A"," ",(VLOOKUP(A236,OPPowerPrices,(IF(BMO=2,7,IF(BMO=1,6,8))),FALSE())+Inputs!$N$23))</f>
        <v> </v>
      </c>
      <c r="T236" s="444" t="str">
        <f aca="false">IF(A236="N/A"," ",(VLOOKUP(A236,GasCurves,9,FALSE()))+IF(BMO=1,Gasbmo,IF(BMO=3,-Gasbmo,0)))</f>
        <v> </v>
      </c>
      <c r="U236" s="444" t="str">
        <f aca="false">IF(A236="N/A"," ",IF(Basischeck=TRUE(),(VLOOKUP(A236,GasCurves,IF(MONTH(A236)&gt;=4,IF(MONTH(A236)&lt;=10,11,12),12),FALSE())),0))</f>
        <v> </v>
      </c>
      <c r="V236" s="444" t="str">
        <f aca="false">IF(A236="N/A"," ",IF(Indexcheck=TRUE(),(IF(MONTH(A236)&gt;=4,IF(MONTH(A236)&lt;=10,VLOOKUP(A236,'Gas Curves'!B214:O574,13),VLOOKUP(A236,'Gas Curves'!B214:O574,14)),VLOOKUP(A236,'Gas Curves'!B214:O574,14))),0))</f>
        <v> </v>
      </c>
      <c r="W236" s="444" t="str">
        <f aca="false">IF(A236="N/A"," ",((SUM(T236:V236))/(1-Inputs!$S$11)-(SUM(T236:V236))))</f>
        <v> </v>
      </c>
      <c r="X236" s="444" t="str">
        <f aca="false">IF(A236="N/A"," ",(IF(MONTH(A236)&gt;=4,IF(MONTH(A236)&lt;=10,Inputs!$S$9,Inputs!$S$10),Inputs!$S$10)))</f>
        <v> </v>
      </c>
      <c r="Y236" s="445" t="str">
        <f aca="false">IF(A236="N/A"," ",(VLOOKUP($A236,InterestRatesTable,2)))</f>
        <v> </v>
      </c>
      <c r="AF236" s="386" t="n">
        <v>43617</v>
      </c>
      <c r="AG236" s="376" t="n">
        <v>20</v>
      </c>
      <c r="AH236" s="376" t="n">
        <v>5</v>
      </c>
      <c r="AI236" s="376" t="n">
        <v>5</v>
      </c>
      <c r="AJ236" s="376" t="n">
        <v>0</v>
      </c>
      <c r="AK236" s="376" t="n">
        <v>30</v>
      </c>
    </row>
    <row r="237" customFormat="false" ht="12.75" hidden="false" customHeight="false" outlineLevel="0" collapsed="false">
      <c r="A237" s="434" t="str">
        <f aca="false">Calculations!A202</f>
        <v>N/A</v>
      </c>
      <c r="B237" s="435" t="str">
        <f aca="false">IF(A237="N/A"," ",IF(ISERROR(P237),B225*Pwresc,P237)*VLOOKUP(MONTH(A237),Curveadj,3))</f>
        <v> </v>
      </c>
      <c r="C237" s="436" t="str">
        <f aca="false">IF(A237="N/A"," ",IF(ISERROR(Q237),C225*Pwresc,Q237)*VLOOKUP(MONTH(A237),Curveadj,3))</f>
        <v> </v>
      </c>
      <c r="D237" s="437" t="str">
        <f aca="false">IF(A237="N/A"," ",IF(ISERROR(R237),D225*Pwresc,R237)*VLOOKUP(MONTH(A237),Curveadj,3))</f>
        <v> </v>
      </c>
      <c r="E237" s="438" t="str">
        <f aca="false">IF(A237="N/A"," ",IF(Scalers=1,(IF(AND(Dynamic=1,MONTH(A237)&gt;=6,MONTH(A237)&lt;=8,OR($O$37="REGION 2",$O$37="REGION 2A",$O$37="REGION 2B",$O$37="REGION 3",$O$37="REGION 3A",$O$37="REGION 3B",$O$37="REGION 3C",$O$37="REGION 4",$O$37="REGION 4B",$O$37="REGION 4C",$O$37="REGION 5",$O$37="REGION 5A")),((0.059228/(B237/100))-(0.4980013/(SQRT(B237/100)))+2.137988),HLOOKUP(MONTH(A237),ScalarTable,28))),1))</f>
        <v> </v>
      </c>
      <c r="F237" s="439" t="str">
        <f aca="false">IF(A237="N/A"," ",B237*E237)</f>
        <v> </v>
      </c>
      <c r="G237" s="439" t="str">
        <f aca="false">IF(A237="N/A"," ",C237*E237)</f>
        <v> </v>
      </c>
      <c r="H237" s="440" t="str">
        <f aca="false">IF(A237="N/A"," ",D237*E237)</f>
        <v> </v>
      </c>
      <c r="I237" s="402" t="str">
        <f aca="false">IF(A237="N/A"," ",2-E237)</f>
        <v> </v>
      </c>
      <c r="J237" s="439" t="str">
        <f aca="false">IF(A237="N/A"," ",B237*I237)</f>
        <v> </v>
      </c>
      <c r="K237" s="439" t="str">
        <f aca="false">IF(A237="N/A"," ",C237*I237)</f>
        <v> </v>
      </c>
      <c r="L237" s="440" t="str">
        <f aca="false">IF(A237="N/A"," ",D237*I237)</f>
        <v> </v>
      </c>
      <c r="M237" s="441" t="str">
        <f aca="false">IF(A237="N/A"," ",IF(ISERROR(S237),M225*Pwresc,S237))</f>
        <v> </v>
      </c>
      <c r="N237" s="442" t="str">
        <f aca="false">IF(A237="N/A"," ",SUM(T237:X237))</f>
        <v> </v>
      </c>
      <c r="O237" s="370"/>
      <c r="P237" s="436" t="str">
        <f aca="false">IF(A237="N/A"," ",VLOOKUP(A237,PeakPowerCurves,(IF(BMO=2,3,IF(BMO=1,2,4))),FALSE())+Inputs!N220)</f>
        <v> </v>
      </c>
      <c r="Q237" s="436" t="str">
        <f aca="false">IF(A237="N/A"," ",VLOOKUP(A237,SatSunPeakPwr,(IF(BMO=2,3,IF(BMO=1,2,4))),FALSE())+Inputs!$N$23)</f>
        <v> </v>
      </c>
      <c r="R237" s="436" t="str">
        <f aca="false">IF(A237="N/A"," ",VLOOKUP(A237,SatSunPeakPwr,(IF(BMO=2,7,IF(BMO=1,6,8))),FALSE())+Inputs!$N$23)</f>
        <v> </v>
      </c>
      <c r="S237" s="443" t="str">
        <f aca="false">IF(A237="N/A"," ",(VLOOKUP(A237,OPPowerPrices,(IF(BMO=2,7,IF(BMO=1,6,8))),FALSE())+Inputs!$N$23))</f>
        <v> </v>
      </c>
      <c r="T237" s="444" t="str">
        <f aca="false">IF(A237="N/A"," ",(VLOOKUP(A237,GasCurves,9,FALSE()))+IF(BMO=1,Gasbmo,IF(BMO=3,-Gasbmo,0)))</f>
        <v> </v>
      </c>
      <c r="U237" s="444" t="str">
        <f aca="false">IF(A237="N/A"," ",IF(Basischeck=TRUE(),(VLOOKUP(A237,GasCurves,IF(MONTH(A237)&gt;=4,IF(MONTH(A237)&lt;=10,11,12),12),FALSE())),0))</f>
        <v> </v>
      </c>
      <c r="V237" s="444" t="str">
        <f aca="false">IF(A237="N/A"," ",IF(Indexcheck=TRUE(),(IF(MONTH(A237)&gt;=4,IF(MONTH(A237)&lt;=10,VLOOKUP(A237,'Gas Curves'!B215:O575,13),VLOOKUP(A237,'Gas Curves'!B215:O575,14)),VLOOKUP(A237,'Gas Curves'!B215:O575,14))),0))</f>
        <v> </v>
      </c>
      <c r="W237" s="444" t="str">
        <f aca="false">IF(A237="N/A"," ",((SUM(T237:V237))/(1-Inputs!$S$11)-(SUM(T237:V237))))</f>
        <v> </v>
      </c>
      <c r="X237" s="444" t="str">
        <f aca="false">IF(A237="N/A"," ",(IF(MONTH(A237)&gt;=4,IF(MONTH(A237)&lt;=10,Inputs!$S$9,Inputs!$S$10),Inputs!$S$10)))</f>
        <v> </v>
      </c>
      <c r="Y237" s="445" t="str">
        <f aca="false">IF(A237="N/A"," ",(VLOOKUP($A237,InterestRatesTable,2)))</f>
        <v> </v>
      </c>
      <c r="AF237" s="386" t="n">
        <v>43647</v>
      </c>
      <c r="AG237" s="376" t="n">
        <v>22</v>
      </c>
      <c r="AH237" s="376" t="n">
        <v>4</v>
      </c>
      <c r="AI237" s="376" t="n">
        <v>5</v>
      </c>
      <c r="AJ237" s="376" t="n">
        <v>1</v>
      </c>
      <c r="AK237" s="376" t="n">
        <v>31</v>
      </c>
    </row>
    <row r="238" customFormat="false" ht="12.75" hidden="false" customHeight="false" outlineLevel="0" collapsed="false">
      <c r="A238" s="434" t="str">
        <f aca="false">Calculations!A203</f>
        <v>N/A</v>
      </c>
      <c r="B238" s="435" t="str">
        <f aca="false">IF(A238="N/A"," ",IF(ISERROR(P238),B226*Pwresc,P238)*VLOOKUP(MONTH(A238),Curveadj,3))</f>
        <v> </v>
      </c>
      <c r="C238" s="436" t="str">
        <f aca="false">IF(A238="N/A"," ",IF(ISERROR(Q238),C226*Pwresc,Q238)*VLOOKUP(MONTH(A238),Curveadj,3))</f>
        <v> </v>
      </c>
      <c r="D238" s="437" t="str">
        <f aca="false">IF(A238="N/A"," ",IF(ISERROR(R238),D226*Pwresc,R238)*VLOOKUP(MONTH(A238),Curveadj,3))</f>
        <v> </v>
      </c>
      <c r="E238" s="438" t="str">
        <f aca="false">IF(A238="N/A"," ",IF(Scalers=1,(IF(AND(Dynamic=1,MONTH(A238)&gt;=6,MONTH(A238)&lt;=8,OR($O$37="REGION 2",$O$37="REGION 2A",$O$37="REGION 2B",$O$37="REGION 3",$O$37="REGION 3A",$O$37="REGION 3B",$O$37="REGION 3C",$O$37="REGION 4",$O$37="REGION 4B",$O$37="REGION 4C",$O$37="REGION 5",$O$37="REGION 5A")),((0.059228/(B238/100))-(0.4980013/(SQRT(B238/100)))+2.137988),HLOOKUP(MONTH(A238),ScalarTable,28))),1))</f>
        <v> </v>
      </c>
      <c r="F238" s="439" t="str">
        <f aca="false">IF(A238="N/A"," ",B238*E238)</f>
        <v> </v>
      </c>
      <c r="G238" s="439" t="str">
        <f aca="false">IF(A238="N/A"," ",C238*E238)</f>
        <v> </v>
      </c>
      <c r="H238" s="440" t="str">
        <f aca="false">IF(A238="N/A"," ",D238*E238)</f>
        <v> </v>
      </c>
      <c r="I238" s="402" t="str">
        <f aca="false">IF(A238="N/A"," ",2-E238)</f>
        <v> </v>
      </c>
      <c r="J238" s="439" t="str">
        <f aca="false">IF(A238="N/A"," ",B238*I238)</f>
        <v> </v>
      </c>
      <c r="K238" s="439" t="str">
        <f aca="false">IF(A238="N/A"," ",C238*I238)</f>
        <v> </v>
      </c>
      <c r="L238" s="440" t="str">
        <f aca="false">IF(A238="N/A"," ",D238*I238)</f>
        <v> </v>
      </c>
      <c r="M238" s="441" t="str">
        <f aca="false">IF(A238="N/A"," ",IF(ISERROR(S238),M226*Pwresc,S238))</f>
        <v> </v>
      </c>
      <c r="N238" s="442" t="str">
        <f aca="false">IF(A238="N/A"," ",SUM(T238:X238))</f>
        <v> </v>
      </c>
      <c r="O238" s="370"/>
      <c r="P238" s="436" t="str">
        <f aca="false">IF(A238="N/A"," ",VLOOKUP(A238,PeakPowerCurves,(IF(BMO=2,3,IF(BMO=1,2,4))),FALSE())+Inputs!N221)</f>
        <v> </v>
      </c>
      <c r="Q238" s="436" t="str">
        <f aca="false">IF(A238="N/A"," ",VLOOKUP(A238,SatSunPeakPwr,(IF(BMO=2,3,IF(BMO=1,2,4))),FALSE())+Inputs!$N$23)</f>
        <v> </v>
      </c>
      <c r="R238" s="436" t="str">
        <f aca="false">IF(A238="N/A"," ",VLOOKUP(A238,SatSunPeakPwr,(IF(BMO=2,7,IF(BMO=1,6,8))),FALSE())+Inputs!$N$23)</f>
        <v> </v>
      </c>
      <c r="S238" s="443" t="str">
        <f aca="false">IF(A238="N/A"," ",(VLOOKUP(A238,OPPowerPrices,(IF(BMO=2,7,IF(BMO=1,6,8))),FALSE())+Inputs!$N$23))</f>
        <v> </v>
      </c>
      <c r="T238" s="444" t="str">
        <f aca="false">IF(A238="N/A"," ",(VLOOKUP(A238,GasCurves,9,FALSE()))+IF(BMO=1,Gasbmo,IF(BMO=3,-Gasbmo,0)))</f>
        <v> </v>
      </c>
      <c r="U238" s="444" t="str">
        <f aca="false">IF(A238="N/A"," ",IF(Basischeck=TRUE(),(VLOOKUP(A238,GasCurves,IF(MONTH(A238)&gt;=4,IF(MONTH(A238)&lt;=10,11,12),12),FALSE())),0))</f>
        <v> </v>
      </c>
      <c r="V238" s="444" t="str">
        <f aca="false">IF(A238="N/A"," ",IF(Indexcheck=TRUE(),(IF(MONTH(A238)&gt;=4,IF(MONTH(A238)&lt;=10,VLOOKUP(A238,'Gas Curves'!B216:O576,13),VLOOKUP(A238,'Gas Curves'!B216:O576,14)),VLOOKUP(A238,'Gas Curves'!B216:O576,14))),0))</f>
        <v> </v>
      </c>
      <c r="W238" s="444" t="str">
        <f aca="false">IF(A238="N/A"," ",((SUM(T238:V238))/(1-Inputs!$S$11)-(SUM(T238:V238))))</f>
        <v> </v>
      </c>
      <c r="X238" s="444" t="str">
        <f aca="false">IF(A238="N/A"," ",(IF(MONTH(A238)&gt;=4,IF(MONTH(A238)&lt;=10,Inputs!$S$9,Inputs!$S$10),Inputs!$S$10)))</f>
        <v> </v>
      </c>
      <c r="Y238" s="445" t="str">
        <f aca="false">IF(A238="N/A"," ",(VLOOKUP($A238,InterestRatesTable,2)))</f>
        <v> </v>
      </c>
      <c r="AF238" s="386" t="n">
        <v>43678</v>
      </c>
      <c r="AG238" s="376" t="n">
        <v>22</v>
      </c>
      <c r="AH238" s="376" t="n">
        <v>5</v>
      </c>
      <c r="AI238" s="376" t="n">
        <v>4</v>
      </c>
      <c r="AJ238" s="376" t="n">
        <v>0</v>
      </c>
      <c r="AK238" s="376" t="n">
        <v>31</v>
      </c>
    </row>
    <row r="239" customFormat="false" ht="12.75" hidden="false" customHeight="false" outlineLevel="0" collapsed="false">
      <c r="A239" s="434" t="str">
        <f aca="false">Calculations!A204</f>
        <v>N/A</v>
      </c>
      <c r="B239" s="435" t="str">
        <f aca="false">IF(A239="N/A"," ",IF(ISERROR(P239),B227*Pwresc,P239)*VLOOKUP(MONTH(A239),Curveadj,3))</f>
        <v> </v>
      </c>
      <c r="C239" s="436" t="str">
        <f aca="false">IF(A239="N/A"," ",IF(ISERROR(Q239),C227*Pwresc,Q239)*VLOOKUP(MONTH(A239),Curveadj,3))</f>
        <v> </v>
      </c>
      <c r="D239" s="437" t="str">
        <f aca="false">IF(A239="N/A"," ",IF(ISERROR(R239),D227*Pwresc,R239)*VLOOKUP(MONTH(A239),Curveadj,3))</f>
        <v> </v>
      </c>
      <c r="E239" s="438" t="str">
        <f aca="false">IF(A239="N/A"," ",IF(Scalers=1,(IF(AND(Dynamic=1,MONTH(A239)&gt;=6,MONTH(A239)&lt;=8,OR($O$37="REGION 2",$O$37="REGION 2A",$O$37="REGION 2B",$O$37="REGION 3",$O$37="REGION 3A",$O$37="REGION 3B",$O$37="REGION 3C",$O$37="REGION 4",$O$37="REGION 4B",$O$37="REGION 4C",$O$37="REGION 5",$O$37="REGION 5A")),((0.059228/(B239/100))-(0.4980013/(SQRT(B239/100)))+2.137988),HLOOKUP(MONTH(A239),ScalarTable,28))),1))</f>
        <v> </v>
      </c>
      <c r="F239" s="439" t="str">
        <f aca="false">IF(A239="N/A"," ",B239*E239)</f>
        <v> </v>
      </c>
      <c r="G239" s="439" t="str">
        <f aca="false">IF(A239="N/A"," ",C239*E239)</f>
        <v> </v>
      </c>
      <c r="H239" s="440" t="str">
        <f aca="false">IF(A239="N/A"," ",D239*E239)</f>
        <v> </v>
      </c>
      <c r="I239" s="402" t="str">
        <f aca="false">IF(A239="N/A"," ",2-E239)</f>
        <v> </v>
      </c>
      <c r="J239" s="439" t="str">
        <f aca="false">IF(A239="N/A"," ",B239*I239)</f>
        <v> </v>
      </c>
      <c r="K239" s="439" t="str">
        <f aca="false">IF(A239="N/A"," ",C239*I239)</f>
        <v> </v>
      </c>
      <c r="L239" s="440" t="str">
        <f aca="false">IF(A239="N/A"," ",D239*I239)</f>
        <v> </v>
      </c>
      <c r="M239" s="441" t="str">
        <f aca="false">IF(A239="N/A"," ",IF(ISERROR(S239),M227*Pwresc,S239))</f>
        <v> </v>
      </c>
      <c r="N239" s="442" t="str">
        <f aca="false">IF(A239="N/A"," ",SUM(T239:X239))</f>
        <v> </v>
      </c>
      <c r="O239" s="370"/>
      <c r="P239" s="436" t="str">
        <f aca="false">IF(A239="N/A"," ",VLOOKUP(A239,PeakPowerCurves,(IF(BMO=2,3,IF(BMO=1,2,4))),FALSE())+Inputs!N222)</f>
        <v> </v>
      </c>
      <c r="Q239" s="436" t="str">
        <f aca="false">IF(A239="N/A"," ",VLOOKUP(A239,SatSunPeakPwr,(IF(BMO=2,3,IF(BMO=1,2,4))),FALSE())+Inputs!$N$23)</f>
        <v> </v>
      </c>
      <c r="R239" s="436" t="str">
        <f aca="false">IF(A239="N/A"," ",VLOOKUP(A239,SatSunPeakPwr,(IF(BMO=2,7,IF(BMO=1,6,8))),FALSE())+Inputs!$N$23)</f>
        <v> </v>
      </c>
      <c r="S239" s="443" t="str">
        <f aca="false">IF(A239="N/A"," ",(VLOOKUP(A239,OPPowerPrices,(IF(BMO=2,7,IF(BMO=1,6,8))),FALSE())+Inputs!$N$23))</f>
        <v> </v>
      </c>
      <c r="T239" s="444" t="str">
        <f aca="false">IF(A239="N/A"," ",(VLOOKUP(A239,GasCurves,9,FALSE()))+IF(BMO=1,Gasbmo,IF(BMO=3,-Gasbmo,0)))</f>
        <v> </v>
      </c>
      <c r="U239" s="444" t="str">
        <f aca="false">IF(A239="N/A"," ",IF(Basischeck=TRUE(),(VLOOKUP(A239,GasCurves,IF(MONTH(A239)&gt;=4,IF(MONTH(A239)&lt;=10,11,12),12),FALSE())),0))</f>
        <v> </v>
      </c>
      <c r="V239" s="444" t="str">
        <f aca="false">IF(A239="N/A"," ",IF(Indexcheck=TRUE(),(IF(MONTH(A239)&gt;=4,IF(MONTH(A239)&lt;=10,VLOOKUP(A239,'Gas Curves'!B217:O577,13),VLOOKUP(A239,'Gas Curves'!B217:O577,14)),VLOOKUP(A239,'Gas Curves'!B217:O577,14))),0))</f>
        <v> </v>
      </c>
      <c r="W239" s="444" t="str">
        <f aca="false">IF(A239="N/A"," ",((SUM(T239:V239))/(1-Inputs!$S$11)-(SUM(T239:V239))))</f>
        <v> </v>
      </c>
      <c r="X239" s="444" t="str">
        <f aca="false">IF(A239="N/A"," ",(IF(MONTH(A239)&gt;=4,IF(MONTH(A239)&lt;=10,Inputs!$S$9,Inputs!$S$10),Inputs!$S$10)))</f>
        <v> </v>
      </c>
      <c r="Y239" s="445" t="str">
        <f aca="false">IF(A239="N/A"," ",(VLOOKUP($A239,InterestRatesTable,2)))</f>
        <v> </v>
      </c>
      <c r="AF239" s="386" t="n">
        <v>43709</v>
      </c>
      <c r="AG239" s="376" t="n">
        <v>20</v>
      </c>
      <c r="AH239" s="376" t="n">
        <v>4</v>
      </c>
      <c r="AI239" s="376" t="n">
        <v>6</v>
      </c>
      <c r="AJ239" s="376" t="n">
        <v>1</v>
      </c>
      <c r="AK239" s="376" t="n">
        <v>30</v>
      </c>
    </row>
    <row r="240" customFormat="false" ht="12.75" hidden="false" customHeight="false" outlineLevel="0" collapsed="false">
      <c r="A240" s="434" t="str">
        <f aca="false">Calculations!A205</f>
        <v>N/A</v>
      </c>
      <c r="B240" s="435" t="str">
        <f aca="false">IF(A240="N/A"," ",IF(ISERROR(P240),B228*Pwresc,P240)*VLOOKUP(MONTH(A240),Curveadj,3))</f>
        <v> </v>
      </c>
      <c r="C240" s="436" t="str">
        <f aca="false">IF(A240="N/A"," ",IF(ISERROR(Q240),C228*Pwresc,Q240)*VLOOKUP(MONTH(A240),Curveadj,3))</f>
        <v> </v>
      </c>
      <c r="D240" s="437" t="str">
        <f aca="false">IF(A240="N/A"," ",IF(ISERROR(R240),D228*Pwresc,R240)*VLOOKUP(MONTH(A240),Curveadj,3))</f>
        <v> </v>
      </c>
      <c r="E240" s="438" t="str">
        <f aca="false">IF(A240="N/A"," ",IF(Scalers=1,(IF(AND(Dynamic=1,MONTH(A240)&gt;=6,MONTH(A240)&lt;=8,OR($O$37="REGION 2",$O$37="REGION 2A",$O$37="REGION 2B",$O$37="REGION 3",$O$37="REGION 3A",$O$37="REGION 3B",$O$37="REGION 3C",$O$37="REGION 4",$O$37="REGION 4B",$O$37="REGION 4C",$O$37="REGION 5",$O$37="REGION 5A")),((0.059228/(B240/100))-(0.4980013/(SQRT(B240/100)))+2.137988),HLOOKUP(MONTH(A240),ScalarTable,28))),1))</f>
        <v> </v>
      </c>
      <c r="F240" s="439" t="str">
        <f aca="false">IF(A240="N/A"," ",B240*E240)</f>
        <v> </v>
      </c>
      <c r="G240" s="439" t="str">
        <f aca="false">IF(A240="N/A"," ",C240*E240)</f>
        <v> </v>
      </c>
      <c r="H240" s="440" t="str">
        <f aca="false">IF(A240="N/A"," ",D240*E240)</f>
        <v> </v>
      </c>
      <c r="I240" s="402" t="str">
        <f aca="false">IF(A240="N/A"," ",2-E240)</f>
        <v> </v>
      </c>
      <c r="J240" s="439" t="str">
        <f aca="false">IF(A240="N/A"," ",B240*I240)</f>
        <v> </v>
      </c>
      <c r="K240" s="439" t="str">
        <f aca="false">IF(A240="N/A"," ",C240*I240)</f>
        <v> </v>
      </c>
      <c r="L240" s="440" t="str">
        <f aca="false">IF(A240="N/A"," ",D240*I240)</f>
        <v> </v>
      </c>
      <c r="M240" s="441" t="str">
        <f aca="false">IF(A240="N/A"," ",IF(ISERROR(S240),M228*Pwresc,S240))</f>
        <v> </v>
      </c>
      <c r="N240" s="442" t="str">
        <f aca="false">IF(A240="N/A"," ",SUM(T240:X240))</f>
        <v> </v>
      </c>
      <c r="O240" s="370"/>
      <c r="P240" s="436" t="str">
        <f aca="false">IF(A240="N/A"," ",VLOOKUP(A240,PeakPowerCurves,(IF(BMO=2,3,IF(BMO=1,2,4))),FALSE())+Inputs!N223)</f>
        <v> </v>
      </c>
      <c r="Q240" s="436" t="str">
        <f aca="false">IF(A240="N/A"," ",VLOOKUP(A240,SatSunPeakPwr,(IF(BMO=2,3,IF(BMO=1,2,4))),FALSE())+Inputs!$N$23)</f>
        <v> </v>
      </c>
      <c r="R240" s="436" t="str">
        <f aca="false">IF(A240="N/A"," ",VLOOKUP(A240,SatSunPeakPwr,(IF(BMO=2,7,IF(BMO=1,6,8))),FALSE())+Inputs!$N$23)</f>
        <v> </v>
      </c>
      <c r="S240" s="443" t="str">
        <f aca="false">IF(A240="N/A"," ",(VLOOKUP(A240,OPPowerPrices,(IF(BMO=2,7,IF(BMO=1,6,8))),FALSE())+Inputs!$N$23))</f>
        <v> </v>
      </c>
      <c r="T240" s="444" t="str">
        <f aca="false">IF(A240="N/A"," ",(VLOOKUP(A240,GasCurves,9,FALSE()))+IF(BMO=1,Gasbmo,IF(BMO=3,-Gasbmo,0)))</f>
        <v> </v>
      </c>
      <c r="U240" s="444" t="str">
        <f aca="false">IF(A240="N/A"," ",IF(Basischeck=TRUE(),(VLOOKUP(A240,GasCurves,IF(MONTH(A240)&gt;=4,IF(MONTH(A240)&lt;=10,11,12),12),FALSE())),0))</f>
        <v> </v>
      </c>
      <c r="V240" s="444" t="str">
        <f aca="false">IF(A240="N/A"," ",IF(Indexcheck=TRUE(),(IF(MONTH(A240)&gt;=4,IF(MONTH(A240)&lt;=10,VLOOKUP(A240,'Gas Curves'!B218:O578,13),VLOOKUP(A240,'Gas Curves'!B218:O578,14)),VLOOKUP(A240,'Gas Curves'!B218:O578,14))),0))</f>
        <v> </v>
      </c>
      <c r="W240" s="444" t="str">
        <f aca="false">IF(A240="N/A"," ",((SUM(T240:V240))/(1-Inputs!$S$11)-(SUM(T240:V240))))</f>
        <v> </v>
      </c>
      <c r="X240" s="444" t="str">
        <f aca="false">IF(A240="N/A"," ",(IF(MONTH(A240)&gt;=4,IF(MONTH(A240)&lt;=10,Inputs!$S$9,Inputs!$S$10),Inputs!$S$10)))</f>
        <v> </v>
      </c>
      <c r="Y240" s="445" t="str">
        <f aca="false">IF(A240="N/A"," ",(VLOOKUP($A240,InterestRatesTable,2)))</f>
        <v> </v>
      </c>
      <c r="AF240" s="386" t="n">
        <v>43739</v>
      </c>
      <c r="AG240" s="376" t="n">
        <v>23</v>
      </c>
      <c r="AH240" s="376" t="n">
        <v>4</v>
      </c>
      <c r="AI240" s="376" t="n">
        <v>4</v>
      </c>
      <c r="AJ240" s="376" t="n">
        <v>0</v>
      </c>
      <c r="AK240" s="376" t="n">
        <v>31</v>
      </c>
    </row>
    <row r="241" customFormat="false" ht="12.75" hidden="false" customHeight="false" outlineLevel="0" collapsed="false">
      <c r="A241" s="434" t="str">
        <f aca="false">Calculations!A206</f>
        <v>N/A</v>
      </c>
      <c r="B241" s="435" t="str">
        <f aca="false">IF(A241="N/A"," ",IF(ISERROR(P241),B229*Pwresc,P241)*VLOOKUP(MONTH(A241),Curveadj,3))</f>
        <v> </v>
      </c>
      <c r="C241" s="436" t="str">
        <f aca="false">IF(A241="N/A"," ",IF(ISERROR(Q241),C229*Pwresc,Q241)*VLOOKUP(MONTH(A241),Curveadj,3))</f>
        <v> </v>
      </c>
      <c r="D241" s="437" t="str">
        <f aca="false">IF(A241="N/A"," ",IF(ISERROR(R241),D229*Pwresc,R241)*VLOOKUP(MONTH(A241),Curveadj,3))</f>
        <v> </v>
      </c>
      <c r="E241" s="438" t="str">
        <f aca="false">IF(A241="N/A"," ",IF(Scalers=1,(IF(AND(Dynamic=1,MONTH(A241)&gt;=6,MONTH(A241)&lt;=8,OR($O$37="REGION 2",$O$37="REGION 2A",$O$37="REGION 2B",$O$37="REGION 3",$O$37="REGION 3A",$O$37="REGION 3B",$O$37="REGION 3C",$O$37="REGION 4",$O$37="REGION 4B",$O$37="REGION 4C",$O$37="REGION 5",$O$37="REGION 5A")),((0.059228/(B241/100))-(0.4980013/(SQRT(B241/100)))+2.137988),HLOOKUP(MONTH(A241),ScalarTable,28))),1))</f>
        <v> </v>
      </c>
      <c r="F241" s="439" t="str">
        <f aca="false">IF(A241="N/A"," ",B241*E241)</f>
        <v> </v>
      </c>
      <c r="G241" s="439" t="str">
        <f aca="false">IF(A241="N/A"," ",C241*E241)</f>
        <v> </v>
      </c>
      <c r="H241" s="440" t="str">
        <f aca="false">IF(A241="N/A"," ",D241*E241)</f>
        <v> </v>
      </c>
      <c r="I241" s="402" t="str">
        <f aca="false">IF(A241="N/A"," ",2-E241)</f>
        <v> </v>
      </c>
      <c r="J241" s="439" t="str">
        <f aca="false">IF(A241="N/A"," ",B241*I241)</f>
        <v> </v>
      </c>
      <c r="K241" s="439" t="str">
        <f aca="false">IF(A241="N/A"," ",C241*I241)</f>
        <v> </v>
      </c>
      <c r="L241" s="440" t="str">
        <f aca="false">IF(A241="N/A"," ",D241*I241)</f>
        <v> </v>
      </c>
      <c r="M241" s="441" t="str">
        <f aca="false">IF(A241="N/A"," ",IF(ISERROR(S241),M229*Pwresc,S241))</f>
        <v> </v>
      </c>
      <c r="N241" s="442" t="str">
        <f aca="false">IF(A241="N/A"," ",SUM(T241:X241))</f>
        <v> </v>
      </c>
      <c r="O241" s="370"/>
      <c r="P241" s="436" t="str">
        <f aca="false">IF(A241="N/A"," ",VLOOKUP(A241,PeakPowerCurves,(IF(BMO=2,3,IF(BMO=1,2,4))),FALSE())+Inputs!N224)</f>
        <v> </v>
      </c>
      <c r="Q241" s="436" t="str">
        <f aca="false">IF(A241="N/A"," ",VLOOKUP(A241,SatSunPeakPwr,(IF(BMO=2,3,IF(BMO=1,2,4))),FALSE())+Inputs!$N$23)</f>
        <v> </v>
      </c>
      <c r="R241" s="436" t="str">
        <f aca="false">IF(A241="N/A"," ",VLOOKUP(A241,SatSunPeakPwr,(IF(BMO=2,7,IF(BMO=1,6,8))),FALSE())+Inputs!$N$23)</f>
        <v> </v>
      </c>
      <c r="S241" s="443" t="str">
        <f aca="false">IF(A241="N/A"," ",(VLOOKUP(A241,OPPowerPrices,(IF(BMO=2,7,IF(BMO=1,6,8))),FALSE())+Inputs!$N$23))</f>
        <v> </v>
      </c>
      <c r="T241" s="444" t="str">
        <f aca="false">IF(A241="N/A"," ",(VLOOKUP(A241,GasCurves,9,FALSE()))+IF(BMO=1,Gasbmo,IF(BMO=3,-Gasbmo,0)))</f>
        <v> </v>
      </c>
      <c r="U241" s="444" t="str">
        <f aca="false">IF(A241="N/A"," ",IF(Basischeck=TRUE(),(VLOOKUP(A241,GasCurves,IF(MONTH(A241)&gt;=4,IF(MONTH(A241)&lt;=10,11,12),12),FALSE())),0))</f>
        <v> </v>
      </c>
      <c r="V241" s="444" t="str">
        <f aca="false">IF(A241="N/A"," ",IF(Indexcheck=TRUE(),(IF(MONTH(A241)&gt;=4,IF(MONTH(A241)&lt;=10,VLOOKUP(A241,'Gas Curves'!B219:O579,13),VLOOKUP(A241,'Gas Curves'!B219:O579,14)),VLOOKUP(A241,'Gas Curves'!B219:O579,14))),0))</f>
        <v> </v>
      </c>
      <c r="W241" s="444" t="str">
        <f aca="false">IF(A241="N/A"," ",((SUM(T241:V241))/(1-Inputs!$S$11)-(SUM(T241:V241))))</f>
        <v> </v>
      </c>
      <c r="X241" s="444" t="str">
        <f aca="false">IF(A241="N/A"," ",(IF(MONTH(A241)&gt;=4,IF(MONTH(A241)&lt;=10,Inputs!$S$9,Inputs!$S$10),Inputs!$S$10)))</f>
        <v> </v>
      </c>
      <c r="Y241" s="445" t="str">
        <f aca="false">IF(A241="N/A"," ",(VLOOKUP($A241,InterestRatesTable,2)))</f>
        <v> </v>
      </c>
      <c r="AF241" s="386" t="n">
        <v>43770</v>
      </c>
      <c r="AG241" s="376" t="n">
        <v>20</v>
      </c>
      <c r="AH241" s="376" t="n">
        <v>5</v>
      </c>
      <c r="AI241" s="376" t="n">
        <v>5</v>
      </c>
      <c r="AJ241" s="376" t="n">
        <v>1</v>
      </c>
      <c r="AK241" s="376" t="n">
        <v>30</v>
      </c>
    </row>
    <row r="242" customFormat="false" ht="12.75" hidden="false" customHeight="false" outlineLevel="0" collapsed="false">
      <c r="A242" s="434" t="str">
        <f aca="false">Calculations!A207</f>
        <v>N/A</v>
      </c>
      <c r="B242" s="435" t="str">
        <f aca="false">IF(A242="N/A"," ",IF(ISERROR(P242),B230*Pwresc,P242)*VLOOKUP(MONTH(A242),Curveadj,3))</f>
        <v> </v>
      </c>
      <c r="C242" s="436" t="str">
        <f aca="false">IF(A242="N/A"," ",IF(ISERROR(Q242),C230*Pwresc,Q242)*VLOOKUP(MONTH(A242),Curveadj,3))</f>
        <v> </v>
      </c>
      <c r="D242" s="437" t="str">
        <f aca="false">IF(A242="N/A"," ",IF(ISERROR(R242),D230*Pwresc,R242)*VLOOKUP(MONTH(A242),Curveadj,3))</f>
        <v> </v>
      </c>
      <c r="E242" s="438" t="str">
        <f aca="false">IF(A242="N/A"," ",IF(Scalers=1,(IF(AND(Dynamic=1,MONTH(A242)&gt;=6,MONTH(A242)&lt;=8,OR($O$37="REGION 2",$O$37="REGION 2A",$O$37="REGION 2B",$O$37="REGION 3",$O$37="REGION 3A",$O$37="REGION 3B",$O$37="REGION 3C",$O$37="REGION 4",$O$37="REGION 4B",$O$37="REGION 4C",$O$37="REGION 5",$O$37="REGION 5A")),((0.059228/(B242/100))-(0.4980013/(SQRT(B242/100)))+2.137988),HLOOKUP(MONTH(A242),ScalarTable,28))),1))</f>
        <v> </v>
      </c>
      <c r="F242" s="439" t="str">
        <f aca="false">IF(A242="N/A"," ",B242*E242)</f>
        <v> </v>
      </c>
      <c r="G242" s="439" t="str">
        <f aca="false">IF(A242="N/A"," ",C242*E242)</f>
        <v> </v>
      </c>
      <c r="H242" s="440" t="str">
        <f aca="false">IF(A242="N/A"," ",D242*E242)</f>
        <v> </v>
      </c>
      <c r="I242" s="402" t="str">
        <f aca="false">IF(A242="N/A"," ",2-E242)</f>
        <v> </v>
      </c>
      <c r="J242" s="439" t="str">
        <f aca="false">IF(A242="N/A"," ",B242*I242)</f>
        <v> </v>
      </c>
      <c r="K242" s="439" t="str">
        <f aca="false">IF(A242="N/A"," ",C242*I242)</f>
        <v> </v>
      </c>
      <c r="L242" s="440" t="str">
        <f aca="false">IF(A242="N/A"," ",D242*I242)</f>
        <v> </v>
      </c>
      <c r="M242" s="441" t="str">
        <f aca="false">IF(A242="N/A"," ",IF(ISERROR(S242),M230*Pwresc,S242))</f>
        <v> </v>
      </c>
      <c r="N242" s="442" t="str">
        <f aca="false">IF(A242="N/A"," ",SUM(T242:X242))</f>
        <v> </v>
      </c>
      <c r="O242" s="370"/>
      <c r="P242" s="436" t="str">
        <f aca="false">IF(A242="N/A"," ",VLOOKUP(A242,PeakPowerCurves,(IF(BMO=2,3,IF(BMO=1,2,4))),FALSE())+Inputs!N225)</f>
        <v> </v>
      </c>
      <c r="Q242" s="436" t="str">
        <f aca="false">IF(A242="N/A"," ",VLOOKUP(A242,SatSunPeakPwr,(IF(BMO=2,3,IF(BMO=1,2,4))),FALSE())+Inputs!$N$23)</f>
        <v> </v>
      </c>
      <c r="R242" s="436" t="str">
        <f aca="false">IF(A242="N/A"," ",VLOOKUP(A242,SatSunPeakPwr,(IF(BMO=2,7,IF(BMO=1,6,8))),FALSE())+Inputs!$N$23)</f>
        <v> </v>
      </c>
      <c r="S242" s="443" t="str">
        <f aca="false">IF(A242="N/A"," ",(VLOOKUP(A242,OPPowerPrices,(IF(BMO=2,7,IF(BMO=1,6,8))),FALSE())+Inputs!$N$23))</f>
        <v> </v>
      </c>
      <c r="T242" s="444" t="str">
        <f aca="false">IF(A242="N/A"," ",(VLOOKUP(A242,GasCurves,9,FALSE()))+IF(BMO=1,Gasbmo,IF(BMO=3,-Gasbmo,0)))</f>
        <v> </v>
      </c>
      <c r="U242" s="444" t="str">
        <f aca="false">IF(A242="N/A"," ",IF(Basischeck=TRUE(),(VLOOKUP(A242,GasCurves,IF(MONTH(A242)&gt;=4,IF(MONTH(A242)&lt;=10,11,12),12),FALSE())),0))</f>
        <v> </v>
      </c>
      <c r="V242" s="444" t="str">
        <f aca="false">IF(A242="N/A"," ",IF(Indexcheck=TRUE(),(IF(MONTH(A242)&gt;=4,IF(MONTH(A242)&lt;=10,VLOOKUP(A242,'Gas Curves'!B220:O580,13),VLOOKUP(A242,'Gas Curves'!B220:O580,14)),VLOOKUP(A242,'Gas Curves'!B220:O580,14))),0))</f>
        <v> </v>
      </c>
      <c r="W242" s="444" t="str">
        <f aca="false">IF(A242="N/A"," ",((SUM(T242:V242))/(1-Inputs!$S$11)-(SUM(T242:V242))))</f>
        <v> </v>
      </c>
      <c r="X242" s="444" t="str">
        <f aca="false">IF(A242="N/A"," ",(IF(MONTH(A242)&gt;=4,IF(MONTH(A242)&lt;=10,Inputs!$S$9,Inputs!$S$10),Inputs!$S$10)))</f>
        <v> </v>
      </c>
      <c r="Y242" s="445" t="str">
        <f aca="false">IF(A242="N/A"," ",(VLOOKUP($A242,InterestRatesTable,2)))</f>
        <v> </v>
      </c>
      <c r="AF242" s="386" t="n">
        <v>43800</v>
      </c>
      <c r="AG242" s="376" t="n">
        <v>21</v>
      </c>
      <c r="AH242" s="376" t="n">
        <v>4</v>
      </c>
      <c r="AI242" s="376" t="n">
        <v>6</v>
      </c>
      <c r="AJ242" s="376" t="n">
        <v>1</v>
      </c>
      <c r="AK242" s="376" t="n">
        <v>31</v>
      </c>
    </row>
    <row r="243" customFormat="false" ht="12.75" hidden="false" customHeight="false" outlineLevel="0" collapsed="false">
      <c r="A243" s="434" t="str">
        <f aca="false">Calculations!A208</f>
        <v>N/A</v>
      </c>
      <c r="B243" s="435" t="str">
        <f aca="false">IF(A243="N/A"," ",IF(ISERROR(P243),B231*Pwresc,P243)*VLOOKUP(MONTH(A243),Curveadj,3))</f>
        <v> </v>
      </c>
      <c r="C243" s="436" t="str">
        <f aca="false">IF(A243="N/A"," ",IF(ISERROR(Q243),C231*Pwresc,Q243)*VLOOKUP(MONTH(A243),Curveadj,3))</f>
        <v> </v>
      </c>
      <c r="D243" s="437" t="str">
        <f aca="false">IF(A243="N/A"," ",IF(ISERROR(R243),D231*Pwresc,R243)*VLOOKUP(MONTH(A243),Curveadj,3))</f>
        <v> </v>
      </c>
      <c r="E243" s="438" t="str">
        <f aca="false">IF(A243="N/A"," ",IF(Scalers=1,(IF(AND(Dynamic=1,MONTH(A243)&gt;=6,MONTH(A243)&lt;=8,OR($O$37="REGION 2",$O$37="REGION 2A",$O$37="REGION 2B",$O$37="REGION 3",$O$37="REGION 3A",$O$37="REGION 3B",$O$37="REGION 3C",$O$37="REGION 4",$O$37="REGION 4B",$O$37="REGION 4C",$O$37="REGION 5",$O$37="REGION 5A")),((0.059228/(B243/100))-(0.4980013/(SQRT(B243/100)))+2.137988),HLOOKUP(MONTH(A243),ScalarTable,28))),1))</f>
        <v> </v>
      </c>
      <c r="F243" s="439" t="str">
        <f aca="false">IF(A243="N/A"," ",B243*E243)</f>
        <v> </v>
      </c>
      <c r="G243" s="439" t="str">
        <f aca="false">IF(A243="N/A"," ",C243*E243)</f>
        <v> </v>
      </c>
      <c r="H243" s="440" t="str">
        <f aca="false">IF(A243="N/A"," ",D243*E243)</f>
        <v> </v>
      </c>
      <c r="I243" s="402" t="str">
        <f aca="false">IF(A243="N/A"," ",2-E243)</f>
        <v> </v>
      </c>
      <c r="J243" s="439" t="str">
        <f aca="false">IF(A243="N/A"," ",B243*I243)</f>
        <v> </v>
      </c>
      <c r="K243" s="439" t="str">
        <f aca="false">IF(A243="N/A"," ",C243*I243)</f>
        <v> </v>
      </c>
      <c r="L243" s="440" t="str">
        <f aca="false">IF(A243="N/A"," ",D243*I243)</f>
        <v> </v>
      </c>
      <c r="M243" s="441" t="str">
        <f aca="false">IF(A243="N/A"," ",IF(ISERROR(S243),M231*Pwresc,S243))</f>
        <v> </v>
      </c>
      <c r="N243" s="442" t="str">
        <f aca="false">IF(A243="N/A"," ",SUM(T243:X243))</f>
        <v> </v>
      </c>
      <c r="O243" s="370"/>
      <c r="P243" s="436" t="str">
        <f aca="false">IF(A243="N/A"," ",VLOOKUP(A243,PeakPowerCurves,(IF(BMO=2,3,IF(BMO=1,2,4))),FALSE())+Inputs!N226)</f>
        <v> </v>
      </c>
      <c r="Q243" s="436" t="str">
        <f aca="false">IF(A243="N/A"," ",VLOOKUP(A243,SatSunPeakPwr,(IF(BMO=2,3,IF(BMO=1,2,4))),FALSE())+Inputs!$N$23)</f>
        <v> </v>
      </c>
      <c r="R243" s="436" t="str">
        <f aca="false">IF(A243="N/A"," ",VLOOKUP(A243,SatSunPeakPwr,(IF(BMO=2,7,IF(BMO=1,6,8))),FALSE())+Inputs!$N$23)</f>
        <v> </v>
      </c>
      <c r="S243" s="443" t="str">
        <f aca="false">IF(A243="N/A"," ",(VLOOKUP(A243,OPPowerPrices,(IF(BMO=2,7,IF(BMO=1,6,8))),FALSE())+Inputs!$N$23))</f>
        <v> </v>
      </c>
      <c r="T243" s="444" t="str">
        <f aca="false">IF(A243="N/A"," ",(VLOOKUP(A243,GasCurves,9,FALSE()))+IF(BMO=1,Gasbmo,IF(BMO=3,-Gasbmo,0)))</f>
        <v> </v>
      </c>
      <c r="U243" s="444" t="str">
        <f aca="false">IF(A243="N/A"," ",IF(Basischeck=TRUE(),(VLOOKUP(A243,GasCurves,IF(MONTH(A243)&gt;=4,IF(MONTH(A243)&lt;=10,11,12),12),FALSE())),0))</f>
        <v> </v>
      </c>
      <c r="V243" s="444" t="str">
        <f aca="false">IF(A243="N/A"," ",IF(Indexcheck=TRUE(),(IF(MONTH(A243)&gt;=4,IF(MONTH(A243)&lt;=10,VLOOKUP(A243,'Gas Curves'!B221:O581,13),VLOOKUP(A243,'Gas Curves'!B221:O581,14)),VLOOKUP(A243,'Gas Curves'!B221:O581,14))),0))</f>
        <v> </v>
      </c>
      <c r="W243" s="444" t="str">
        <f aca="false">IF(A243="N/A"," ",((SUM(T243:V243))/(1-Inputs!$S$11)-(SUM(T243:V243))))</f>
        <v> </v>
      </c>
      <c r="X243" s="444" t="str">
        <f aca="false">IF(A243="N/A"," ",(IF(MONTH(A243)&gt;=4,IF(MONTH(A243)&lt;=10,Inputs!$S$9,Inputs!$S$10),Inputs!$S$10)))</f>
        <v> </v>
      </c>
      <c r="Y243" s="445" t="str">
        <f aca="false">IF(A243="N/A"," ",(VLOOKUP($A243,InterestRatesTable,2)))</f>
        <v> </v>
      </c>
      <c r="AF243" s="386" t="n">
        <v>43831</v>
      </c>
      <c r="AG243" s="376" t="n">
        <v>22</v>
      </c>
      <c r="AH243" s="376" t="n">
        <v>4</v>
      </c>
      <c r="AI243" s="376" t="n">
        <v>5</v>
      </c>
      <c r="AJ243" s="376" t="n">
        <v>1</v>
      </c>
      <c r="AK243" s="376" t="n">
        <v>31</v>
      </c>
    </row>
    <row r="244" customFormat="false" ht="12.75" hidden="false" customHeight="false" outlineLevel="0" collapsed="false">
      <c r="A244" s="434" t="str">
        <f aca="false">Calculations!A209</f>
        <v>N/A</v>
      </c>
      <c r="B244" s="435" t="str">
        <f aca="false">IF(A244="N/A"," ",IF(ISERROR(P244),B232*Pwresc,P244)*VLOOKUP(MONTH(A244),Curveadj,3))</f>
        <v> </v>
      </c>
      <c r="C244" s="436" t="str">
        <f aca="false">IF(A244="N/A"," ",IF(ISERROR(Q244),C232*Pwresc,Q244)*VLOOKUP(MONTH(A244),Curveadj,3))</f>
        <v> </v>
      </c>
      <c r="D244" s="437" t="str">
        <f aca="false">IF(A244="N/A"," ",IF(ISERROR(R244),D232*Pwresc,R244)*VLOOKUP(MONTH(A244),Curveadj,3))</f>
        <v> </v>
      </c>
      <c r="E244" s="438" t="str">
        <f aca="false">IF(A244="N/A"," ",IF(Scalers=1,(IF(AND(Dynamic=1,MONTH(A244)&gt;=6,MONTH(A244)&lt;=8,OR($O$37="REGION 2",$O$37="REGION 2A",$O$37="REGION 2B",$O$37="REGION 3",$O$37="REGION 3A",$O$37="REGION 3B",$O$37="REGION 3C",$O$37="REGION 4",$O$37="REGION 4B",$O$37="REGION 4C",$O$37="REGION 5",$O$37="REGION 5A")),((0.059228/(B244/100))-(0.4980013/(SQRT(B244/100)))+2.137988),HLOOKUP(MONTH(A244),ScalarTable,28))),1))</f>
        <v> </v>
      </c>
      <c r="F244" s="439" t="str">
        <f aca="false">IF(A244="N/A"," ",B244*E244)</f>
        <v> </v>
      </c>
      <c r="G244" s="439" t="str">
        <f aca="false">IF(A244="N/A"," ",C244*E244)</f>
        <v> </v>
      </c>
      <c r="H244" s="440" t="str">
        <f aca="false">IF(A244="N/A"," ",D244*E244)</f>
        <v> </v>
      </c>
      <c r="I244" s="402" t="str">
        <f aca="false">IF(A244="N/A"," ",2-E244)</f>
        <v> </v>
      </c>
      <c r="J244" s="439" t="str">
        <f aca="false">IF(A244="N/A"," ",B244*I244)</f>
        <v> </v>
      </c>
      <c r="K244" s="439" t="str">
        <f aca="false">IF(A244="N/A"," ",C244*I244)</f>
        <v> </v>
      </c>
      <c r="L244" s="440" t="str">
        <f aca="false">IF(A244="N/A"," ",D244*I244)</f>
        <v> </v>
      </c>
      <c r="M244" s="441" t="str">
        <f aca="false">IF(A244="N/A"," ",IF(ISERROR(S244),M232*Pwresc,S244))</f>
        <v> </v>
      </c>
      <c r="N244" s="442" t="str">
        <f aca="false">IF(A244="N/A"," ",SUM(T244:X244))</f>
        <v> </v>
      </c>
      <c r="O244" s="370"/>
      <c r="P244" s="436" t="str">
        <f aca="false">IF(A244="N/A"," ",VLOOKUP(A244,PeakPowerCurves,(IF(BMO=2,3,IF(BMO=1,2,4))),FALSE())+Inputs!N227)</f>
        <v> </v>
      </c>
      <c r="Q244" s="436" t="str">
        <f aca="false">IF(A244="N/A"," ",VLOOKUP(A244,SatSunPeakPwr,(IF(BMO=2,3,IF(BMO=1,2,4))),FALSE())+Inputs!$N$23)</f>
        <v> </v>
      </c>
      <c r="R244" s="436" t="str">
        <f aca="false">IF(A244="N/A"," ",VLOOKUP(A244,SatSunPeakPwr,(IF(BMO=2,7,IF(BMO=1,6,8))),FALSE())+Inputs!$N$23)</f>
        <v> </v>
      </c>
      <c r="S244" s="443" t="str">
        <f aca="false">IF(A244="N/A"," ",(VLOOKUP(A244,OPPowerPrices,(IF(BMO=2,7,IF(BMO=1,6,8))),FALSE())+Inputs!$N$23))</f>
        <v> </v>
      </c>
      <c r="T244" s="444" t="str">
        <f aca="false">IF(A244="N/A"," ",(VLOOKUP(A244,GasCurves,9,FALSE()))+IF(BMO=1,Gasbmo,IF(BMO=3,-Gasbmo,0)))</f>
        <v> </v>
      </c>
      <c r="U244" s="444" t="str">
        <f aca="false">IF(A244="N/A"," ",IF(Basischeck=TRUE(),(VLOOKUP(A244,GasCurves,IF(MONTH(A244)&gt;=4,IF(MONTH(A244)&lt;=10,11,12),12),FALSE())),0))</f>
        <v> </v>
      </c>
      <c r="V244" s="444" t="str">
        <f aca="false">IF(A244="N/A"," ",IF(Indexcheck=TRUE(),(IF(MONTH(A244)&gt;=4,IF(MONTH(A244)&lt;=10,VLOOKUP(A244,'Gas Curves'!B222:O582,13),VLOOKUP(A244,'Gas Curves'!B222:O582,14)),VLOOKUP(A244,'Gas Curves'!B222:O582,14))),0))</f>
        <v> </v>
      </c>
      <c r="W244" s="444" t="str">
        <f aca="false">IF(A244="N/A"," ",((SUM(T244:V244))/(1-Inputs!$S$11)-(SUM(T244:V244))))</f>
        <v> </v>
      </c>
      <c r="X244" s="444" t="str">
        <f aca="false">IF(A244="N/A"," ",(IF(MONTH(A244)&gt;=4,IF(MONTH(A244)&lt;=10,Inputs!$S$9,Inputs!$S$10),Inputs!$S$10)))</f>
        <v> </v>
      </c>
      <c r="Y244" s="445" t="str">
        <f aca="false">IF(A244="N/A"," ",(VLOOKUP($A244,InterestRatesTable,2)))</f>
        <v> </v>
      </c>
      <c r="AF244" s="386" t="n">
        <v>43862</v>
      </c>
      <c r="AG244" s="376" t="n">
        <v>20</v>
      </c>
      <c r="AH244" s="376" t="n">
        <v>5</v>
      </c>
      <c r="AI244" s="376" t="n">
        <v>4</v>
      </c>
      <c r="AJ244" s="376" t="n">
        <v>0</v>
      </c>
      <c r="AK244" s="376" t="n">
        <v>29</v>
      </c>
    </row>
    <row r="245" customFormat="false" ht="12.75" hidden="false" customHeight="false" outlineLevel="0" collapsed="false">
      <c r="A245" s="434" t="str">
        <f aca="false">Calculations!A210</f>
        <v>N/A</v>
      </c>
      <c r="B245" s="435" t="str">
        <f aca="false">IF(A245="N/A"," ",IF(ISERROR(P245),B233*Pwresc,P245)*VLOOKUP(MONTH(A245),Curveadj,3))</f>
        <v> </v>
      </c>
      <c r="C245" s="436" t="str">
        <f aca="false">IF(A245="N/A"," ",IF(ISERROR(Q245),C233*Pwresc,Q245)*VLOOKUP(MONTH(A245),Curveadj,3))</f>
        <v> </v>
      </c>
      <c r="D245" s="437" t="str">
        <f aca="false">IF(A245="N/A"," ",IF(ISERROR(R245),D233*Pwresc,R245)*VLOOKUP(MONTH(A245),Curveadj,3))</f>
        <v> </v>
      </c>
      <c r="E245" s="438" t="str">
        <f aca="false">IF(A245="N/A"," ",IF(Scalers=1,(IF(AND(Dynamic=1,MONTH(A245)&gt;=6,MONTH(A245)&lt;=8,OR($O$37="REGION 2",$O$37="REGION 2A",$O$37="REGION 2B",$O$37="REGION 3",$O$37="REGION 3A",$O$37="REGION 3B",$O$37="REGION 3C",$O$37="REGION 4",$O$37="REGION 4B",$O$37="REGION 4C",$O$37="REGION 5",$O$37="REGION 5A")),((0.059228/(B245/100))-(0.4980013/(SQRT(B245/100)))+2.137988),HLOOKUP(MONTH(A245),ScalarTable,28))),1))</f>
        <v> </v>
      </c>
      <c r="F245" s="439" t="str">
        <f aca="false">IF(A245="N/A"," ",B245*E245)</f>
        <v> </v>
      </c>
      <c r="G245" s="439" t="str">
        <f aca="false">IF(A245="N/A"," ",C245*E245)</f>
        <v> </v>
      </c>
      <c r="H245" s="440" t="str">
        <f aca="false">IF(A245="N/A"," ",D245*E245)</f>
        <v> </v>
      </c>
      <c r="I245" s="402" t="str">
        <f aca="false">IF(A245="N/A"," ",2-E245)</f>
        <v> </v>
      </c>
      <c r="J245" s="439" t="str">
        <f aca="false">IF(A245="N/A"," ",B245*I245)</f>
        <v> </v>
      </c>
      <c r="K245" s="439" t="str">
        <f aca="false">IF(A245="N/A"," ",C245*I245)</f>
        <v> </v>
      </c>
      <c r="L245" s="440" t="str">
        <f aca="false">IF(A245="N/A"," ",D245*I245)</f>
        <v> </v>
      </c>
      <c r="M245" s="441" t="str">
        <f aca="false">IF(A245="N/A"," ",IF(ISERROR(S245),M233*Pwresc,S245))</f>
        <v> </v>
      </c>
      <c r="N245" s="442" t="str">
        <f aca="false">IF(A245="N/A"," ",SUM(T245:X245))</f>
        <v> </v>
      </c>
      <c r="O245" s="370"/>
      <c r="P245" s="436" t="str">
        <f aca="false">IF(A245="N/A"," ",VLOOKUP(A245,PeakPowerCurves,(IF(BMO=2,3,IF(BMO=1,2,4))),FALSE())+Inputs!N228)</f>
        <v> </v>
      </c>
      <c r="Q245" s="436" t="str">
        <f aca="false">IF(A245="N/A"," ",VLOOKUP(A245,SatSunPeakPwr,(IF(BMO=2,3,IF(BMO=1,2,4))),FALSE())+Inputs!$N$23)</f>
        <v> </v>
      </c>
      <c r="R245" s="436" t="str">
        <f aca="false">IF(A245="N/A"," ",VLOOKUP(A245,SatSunPeakPwr,(IF(BMO=2,7,IF(BMO=1,6,8))),FALSE())+Inputs!$N$23)</f>
        <v> </v>
      </c>
      <c r="S245" s="443" t="str">
        <f aca="false">IF(A245="N/A"," ",(VLOOKUP(A245,OPPowerPrices,(IF(BMO=2,7,IF(BMO=1,6,8))),FALSE())+Inputs!$N$23))</f>
        <v> </v>
      </c>
      <c r="T245" s="444" t="str">
        <f aca="false">IF(A245="N/A"," ",(VLOOKUP(A245,GasCurves,9,FALSE()))+IF(BMO=1,Gasbmo,IF(BMO=3,-Gasbmo,0)))</f>
        <v> </v>
      </c>
      <c r="U245" s="444" t="str">
        <f aca="false">IF(A245="N/A"," ",IF(Basischeck=TRUE(),(VLOOKUP(A245,GasCurves,IF(MONTH(A245)&gt;=4,IF(MONTH(A245)&lt;=10,11,12),12),FALSE())),0))</f>
        <v> </v>
      </c>
      <c r="V245" s="444" t="str">
        <f aca="false">IF(A245="N/A"," ",IF(Indexcheck=TRUE(),(IF(MONTH(A245)&gt;=4,IF(MONTH(A245)&lt;=10,VLOOKUP(A245,'Gas Curves'!B223:O583,13),VLOOKUP(A245,'Gas Curves'!B223:O583,14)),VLOOKUP(A245,'Gas Curves'!B223:O583,14))),0))</f>
        <v> </v>
      </c>
      <c r="W245" s="444" t="str">
        <f aca="false">IF(A245="N/A"," ",((SUM(T245:V245))/(1-Inputs!$S$11)-(SUM(T245:V245))))</f>
        <v> </v>
      </c>
      <c r="X245" s="444" t="str">
        <f aca="false">IF(A245="N/A"," ",(IF(MONTH(A245)&gt;=4,IF(MONTH(A245)&lt;=10,Inputs!$S$9,Inputs!$S$10),Inputs!$S$10)))</f>
        <v> </v>
      </c>
      <c r="Y245" s="445" t="str">
        <f aca="false">IF(A245="N/A"," ",(VLOOKUP($A245,InterestRatesTable,2)))</f>
        <v> </v>
      </c>
      <c r="AF245" s="386" t="n">
        <v>43891</v>
      </c>
      <c r="AG245" s="376" t="n">
        <v>22</v>
      </c>
      <c r="AH245" s="376" t="n">
        <v>4</v>
      </c>
      <c r="AI245" s="376" t="n">
        <v>5</v>
      </c>
      <c r="AJ245" s="376" t="n">
        <v>0</v>
      </c>
      <c r="AK245" s="376" t="n">
        <v>31</v>
      </c>
    </row>
    <row r="246" customFormat="false" ht="12.75" hidden="false" customHeight="false" outlineLevel="0" collapsed="false">
      <c r="A246" s="434" t="str">
        <f aca="false">Calculations!A211</f>
        <v>N/A</v>
      </c>
      <c r="B246" s="435" t="str">
        <f aca="false">IF(A246="N/A"," ",IF(ISERROR(P246),B234*Pwresc,P246)*VLOOKUP(MONTH(A246),Curveadj,3))</f>
        <v> </v>
      </c>
      <c r="C246" s="436" t="str">
        <f aca="false">IF(A246="N/A"," ",IF(ISERROR(Q246),C234*Pwresc,Q246)*VLOOKUP(MONTH(A246),Curveadj,3))</f>
        <v> </v>
      </c>
      <c r="D246" s="437" t="str">
        <f aca="false">IF(A246="N/A"," ",IF(ISERROR(R246),D234*Pwresc,R246)*VLOOKUP(MONTH(A246),Curveadj,3))</f>
        <v> </v>
      </c>
      <c r="E246" s="438" t="str">
        <f aca="false">IF(A246="N/A"," ",IF(Scalers=1,(IF(AND(Dynamic=1,MONTH(A246)&gt;=6,MONTH(A246)&lt;=8,OR($O$37="REGION 2",$O$37="REGION 2A",$O$37="REGION 2B",$O$37="REGION 3",$O$37="REGION 3A",$O$37="REGION 3B",$O$37="REGION 3C",$O$37="REGION 4",$O$37="REGION 4B",$O$37="REGION 4C",$O$37="REGION 5",$O$37="REGION 5A")),((0.059228/(B246/100))-(0.4980013/(SQRT(B246/100)))+2.137988),HLOOKUP(MONTH(A246),ScalarTable,28))),1))</f>
        <v> </v>
      </c>
      <c r="F246" s="439" t="str">
        <f aca="false">IF(A246="N/A"," ",B246*E246)</f>
        <v> </v>
      </c>
      <c r="G246" s="439" t="str">
        <f aca="false">IF(A246="N/A"," ",C246*E246)</f>
        <v> </v>
      </c>
      <c r="H246" s="440" t="str">
        <f aca="false">IF(A246="N/A"," ",D246*E246)</f>
        <v> </v>
      </c>
      <c r="I246" s="402" t="str">
        <f aca="false">IF(A246="N/A"," ",2-E246)</f>
        <v> </v>
      </c>
      <c r="J246" s="439" t="str">
        <f aca="false">IF(A246="N/A"," ",B246*I246)</f>
        <v> </v>
      </c>
      <c r="K246" s="439" t="str">
        <f aca="false">IF(A246="N/A"," ",C246*I246)</f>
        <v> </v>
      </c>
      <c r="L246" s="440" t="str">
        <f aca="false">IF(A246="N/A"," ",D246*I246)</f>
        <v> </v>
      </c>
      <c r="M246" s="441" t="str">
        <f aca="false">IF(A246="N/A"," ",IF(ISERROR(S246),M234*Pwresc,S246))</f>
        <v> </v>
      </c>
      <c r="N246" s="442" t="str">
        <f aca="false">IF(A246="N/A"," ",SUM(T246:X246))</f>
        <v> </v>
      </c>
      <c r="O246" s="370"/>
      <c r="P246" s="436" t="str">
        <f aca="false">IF(A246="N/A"," ",VLOOKUP(A246,PeakPowerCurves,(IF(BMO=2,3,IF(BMO=1,2,4))),FALSE())+Inputs!N229)</f>
        <v> </v>
      </c>
      <c r="Q246" s="436" t="str">
        <f aca="false">IF(A246="N/A"," ",VLOOKUP(A246,SatSunPeakPwr,(IF(BMO=2,3,IF(BMO=1,2,4))),FALSE())+Inputs!$N$23)</f>
        <v> </v>
      </c>
      <c r="R246" s="436" t="str">
        <f aca="false">IF(A246="N/A"," ",VLOOKUP(A246,SatSunPeakPwr,(IF(BMO=2,7,IF(BMO=1,6,8))),FALSE())+Inputs!$N$23)</f>
        <v> </v>
      </c>
      <c r="S246" s="443" t="str">
        <f aca="false">IF(A246="N/A"," ",(VLOOKUP(A246,OPPowerPrices,(IF(BMO=2,7,IF(BMO=1,6,8))),FALSE())+Inputs!$N$23))</f>
        <v> </v>
      </c>
      <c r="T246" s="444" t="str">
        <f aca="false">IF(A246="N/A"," ",(VLOOKUP(A246,GasCurves,9,FALSE()))+IF(BMO=1,Gasbmo,IF(BMO=3,-Gasbmo,0)))</f>
        <v> </v>
      </c>
      <c r="U246" s="444" t="str">
        <f aca="false">IF(A246="N/A"," ",IF(Basischeck=TRUE(),(VLOOKUP(A246,GasCurves,IF(MONTH(A246)&gt;=4,IF(MONTH(A246)&lt;=10,11,12),12),FALSE())),0))</f>
        <v> </v>
      </c>
      <c r="V246" s="444" t="str">
        <f aca="false">IF(A246="N/A"," ",IF(Indexcheck=TRUE(),(IF(MONTH(A246)&gt;=4,IF(MONTH(A246)&lt;=10,VLOOKUP(A246,'Gas Curves'!B224:O584,13),VLOOKUP(A246,'Gas Curves'!B224:O584,14)),VLOOKUP(A246,'Gas Curves'!B224:O584,14))),0))</f>
        <v> </v>
      </c>
      <c r="W246" s="444" t="str">
        <f aca="false">IF(A246="N/A"," ",((SUM(T246:V246))/(1-Inputs!$S$11)-(SUM(T246:V246))))</f>
        <v> </v>
      </c>
      <c r="X246" s="444" t="str">
        <f aca="false">IF(A246="N/A"," ",(IF(MONTH(A246)&gt;=4,IF(MONTH(A246)&lt;=10,Inputs!$S$9,Inputs!$S$10),Inputs!$S$10)))</f>
        <v> </v>
      </c>
      <c r="Y246" s="445" t="str">
        <f aca="false">IF(A246="N/A"," ",(VLOOKUP($A246,InterestRatesTable,2)))</f>
        <v> </v>
      </c>
      <c r="AF246" s="386" t="n">
        <v>43922</v>
      </c>
      <c r="AG246" s="376" t="n">
        <v>22</v>
      </c>
      <c r="AH246" s="376" t="n">
        <v>4</v>
      </c>
      <c r="AI246" s="376" t="n">
        <v>4</v>
      </c>
      <c r="AJ246" s="376" t="n">
        <v>0</v>
      </c>
      <c r="AK246" s="376" t="n">
        <v>30</v>
      </c>
    </row>
    <row r="247" customFormat="false" ht="12.75" hidden="false" customHeight="false" outlineLevel="0" collapsed="false">
      <c r="A247" s="434" t="str">
        <f aca="false">Calculations!A212</f>
        <v>N/A</v>
      </c>
      <c r="B247" s="435" t="str">
        <f aca="false">IF(A247="N/A"," ",IF(ISERROR(P247),B235*Pwresc,P247)*VLOOKUP(MONTH(A247),Curveadj,3))</f>
        <v> </v>
      </c>
      <c r="C247" s="436" t="str">
        <f aca="false">IF(A247="N/A"," ",IF(ISERROR(Q247),C235*Pwresc,Q247)*VLOOKUP(MONTH(A247),Curveadj,3))</f>
        <v> </v>
      </c>
      <c r="D247" s="437" t="str">
        <f aca="false">IF(A247="N/A"," ",IF(ISERROR(R247),D235*Pwresc,R247)*VLOOKUP(MONTH(A247),Curveadj,3))</f>
        <v> </v>
      </c>
      <c r="E247" s="438" t="str">
        <f aca="false">IF(A247="N/A"," ",IF(Scalers=1,(IF(AND(Dynamic=1,MONTH(A247)&gt;=6,MONTH(A247)&lt;=8,OR($O$37="REGION 2",$O$37="REGION 2A",$O$37="REGION 2B",$O$37="REGION 3",$O$37="REGION 3A",$O$37="REGION 3B",$O$37="REGION 3C",$O$37="REGION 4",$O$37="REGION 4B",$O$37="REGION 4C",$O$37="REGION 5",$O$37="REGION 5A")),((0.059228/(B247/100))-(0.4980013/(SQRT(B247/100)))+2.137988),HLOOKUP(MONTH(A247),ScalarTable,28))),1))</f>
        <v> </v>
      </c>
      <c r="F247" s="439" t="str">
        <f aca="false">IF(A247="N/A"," ",B247*E247)</f>
        <v> </v>
      </c>
      <c r="G247" s="439" t="str">
        <f aca="false">IF(A247="N/A"," ",C247*E247)</f>
        <v> </v>
      </c>
      <c r="H247" s="440" t="str">
        <f aca="false">IF(A247="N/A"," ",D247*E247)</f>
        <v> </v>
      </c>
      <c r="I247" s="402" t="str">
        <f aca="false">IF(A247="N/A"," ",2-E247)</f>
        <v> </v>
      </c>
      <c r="J247" s="439" t="str">
        <f aca="false">IF(A247="N/A"," ",B247*I247)</f>
        <v> </v>
      </c>
      <c r="K247" s="439" t="str">
        <f aca="false">IF(A247="N/A"," ",C247*I247)</f>
        <v> </v>
      </c>
      <c r="L247" s="440" t="str">
        <f aca="false">IF(A247="N/A"," ",D247*I247)</f>
        <v> </v>
      </c>
      <c r="M247" s="441" t="str">
        <f aca="false">IF(A247="N/A"," ",IF(ISERROR(S247),M235*Pwresc,S247))</f>
        <v> </v>
      </c>
      <c r="N247" s="442" t="str">
        <f aca="false">IF(A247="N/A"," ",SUM(T247:X247))</f>
        <v> </v>
      </c>
      <c r="O247" s="370"/>
      <c r="P247" s="436" t="str">
        <f aca="false">IF(A247="N/A"," ",VLOOKUP(A247,PeakPowerCurves,(IF(BMO=2,3,IF(BMO=1,2,4))),FALSE())+Inputs!N230)</f>
        <v> </v>
      </c>
      <c r="Q247" s="436" t="str">
        <f aca="false">IF(A247="N/A"," ",VLOOKUP(A247,SatSunPeakPwr,(IF(BMO=2,3,IF(BMO=1,2,4))),FALSE())+Inputs!$N$23)</f>
        <v> </v>
      </c>
      <c r="R247" s="436" t="str">
        <f aca="false">IF(A247="N/A"," ",VLOOKUP(A247,SatSunPeakPwr,(IF(BMO=2,7,IF(BMO=1,6,8))),FALSE())+Inputs!$N$23)</f>
        <v> </v>
      </c>
      <c r="S247" s="443" t="str">
        <f aca="false">IF(A247="N/A"," ",(VLOOKUP(A247,OPPowerPrices,(IF(BMO=2,7,IF(BMO=1,6,8))),FALSE())+Inputs!$N$23))</f>
        <v> </v>
      </c>
      <c r="T247" s="444" t="str">
        <f aca="false">IF(A247="N/A"," ",(VLOOKUP(A247,GasCurves,9,FALSE()))+IF(BMO=1,Gasbmo,IF(BMO=3,-Gasbmo,0)))</f>
        <v> </v>
      </c>
      <c r="U247" s="444" t="str">
        <f aca="false">IF(A247="N/A"," ",IF(Basischeck=TRUE(),(VLOOKUP(A247,GasCurves,IF(MONTH(A247)&gt;=4,IF(MONTH(A247)&lt;=10,11,12),12),FALSE())),0))</f>
        <v> </v>
      </c>
      <c r="V247" s="444" t="str">
        <f aca="false">IF(A247="N/A"," ",IF(Indexcheck=TRUE(),(IF(MONTH(A247)&gt;=4,IF(MONTH(A247)&lt;=10,VLOOKUP(A247,'Gas Curves'!B225:O585,13),VLOOKUP(A247,'Gas Curves'!B225:O585,14)),VLOOKUP(A247,'Gas Curves'!B225:O585,14))),0))</f>
        <v> </v>
      </c>
      <c r="W247" s="444" t="str">
        <f aca="false">IF(A247="N/A"," ",((SUM(T247:V247))/(1-Inputs!$S$11)-(SUM(T247:V247))))</f>
        <v> </v>
      </c>
      <c r="X247" s="444" t="str">
        <f aca="false">IF(A247="N/A"," ",(IF(MONTH(A247)&gt;=4,IF(MONTH(A247)&lt;=10,Inputs!$S$9,Inputs!$S$10),Inputs!$S$10)))</f>
        <v> </v>
      </c>
      <c r="Y247" s="445" t="str">
        <f aca="false">IF(A247="N/A"," ",(VLOOKUP($A247,InterestRatesTable,2)))</f>
        <v> </v>
      </c>
      <c r="AF247" s="386" t="n">
        <v>43952</v>
      </c>
      <c r="AG247" s="376" t="n">
        <v>20</v>
      </c>
      <c r="AH247" s="376" t="n">
        <v>5</v>
      </c>
      <c r="AI247" s="376" t="n">
        <v>6</v>
      </c>
      <c r="AJ247" s="376" t="n">
        <v>1</v>
      </c>
      <c r="AK247" s="376" t="n">
        <v>31</v>
      </c>
    </row>
    <row r="248" customFormat="false" ht="12.75" hidden="false" customHeight="false" outlineLevel="0" collapsed="false">
      <c r="A248" s="434" t="str">
        <f aca="false">Calculations!A213</f>
        <v>N/A</v>
      </c>
      <c r="B248" s="435" t="str">
        <f aca="false">IF(A248="N/A"," ",IF(ISERROR(P248),B236*Pwresc,P248)*VLOOKUP(MONTH(A248),Curveadj,3))</f>
        <v> </v>
      </c>
      <c r="C248" s="436" t="str">
        <f aca="false">IF(A248="N/A"," ",IF(ISERROR(Q248),C236*Pwresc,Q248)*VLOOKUP(MONTH(A248),Curveadj,3))</f>
        <v> </v>
      </c>
      <c r="D248" s="437" t="str">
        <f aca="false">IF(A248="N/A"," ",IF(ISERROR(R248),D236*Pwresc,R248)*VLOOKUP(MONTH(A248),Curveadj,3))</f>
        <v> </v>
      </c>
      <c r="E248" s="438" t="str">
        <f aca="false">IF(A248="N/A"," ",IF(Scalers=1,(IF(AND(Dynamic=1,MONTH(A248)&gt;=6,MONTH(A248)&lt;=8,OR($O$37="REGION 2",$O$37="REGION 2A",$O$37="REGION 2B",$O$37="REGION 3",$O$37="REGION 3A",$O$37="REGION 3B",$O$37="REGION 3C",$O$37="REGION 4",$O$37="REGION 4B",$O$37="REGION 4C",$O$37="REGION 5",$O$37="REGION 5A")),((0.059228/(B248/100))-(0.4980013/(SQRT(B248/100)))+2.137988),HLOOKUP(MONTH(A248),ScalarTable,28))),1))</f>
        <v> </v>
      </c>
      <c r="F248" s="439" t="str">
        <f aca="false">IF(A248="N/A"," ",B248*E248)</f>
        <v> </v>
      </c>
      <c r="G248" s="439" t="str">
        <f aca="false">IF(A248="N/A"," ",C248*E248)</f>
        <v> </v>
      </c>
      <c r="H248" s="440" t="str">
        <f aca="false">IF(A248="N/A"," ",D248*E248)</f>
        <v> </v>
      </c>
      <c r="I248" s="402" t="str">
        <f aca="false">IF(A248="N/A"," ",2-E248)</f>
        <v> </v>
      </c>
      <c r="J248" s="439" t="str">
        <f aca="false">IF(A248="N/A"," ",B248*I248)</f>
        <v> </v>
      </c>
      <c r="K248" s="439" t="str">
        <f aca="false">IF(A248="N/A"," ",C248*I248)</f>
        <v> </v>
      </c>
      <c r="L248" s="440" t="str">
        <f aca="false">IF(A248="N/A"," ",D248*I248)</f>
        <v> </v>
      </c>
      <c r="M248" s="441" t="str">
        <f aca="false">IF(A248="N/A"," ",IF(ISERROR(S248),M236*Pwresc,S248))</f>
        <v> </v>
      </c>
      <c r="N248" s="442" t="str">
        <f aca="false">IF(A248="N/A"," ",SUM(T248:X248))</f>
        <v> </v>
      </c>
      <c r="O248" s="370"/>
      <c r="P248" s="436" t="str">
        <f aca="false">IF(A248="N/A"," ",VLOOKUP(A248,PeakPowerCurves,(IF(BMO=2,3,IF(BMO=1,2,4))),FALSE())+Inputs!N231)</f>
        <v> </v>
      </c>
      <c r="Q248" s="436" t="str">
        <f aca="false">IF(A248="N/A"," ",VLOOKUP(A248,SatSunPeakPwr,(IF(BMO=2,3,IF(BMO=1,2,4))),FALSE())+Inputs!$N$23)</f>
        <v> </v>
      </c>
      <c r="R248" s="436" t="str">
        <f aca="false">IF(A248="N/A"," ",VLOOKUP(A248,SatSunPeakPwr,(IF(BMO=2,7,IF(BMO=1,6,8))),FALSE())+Inputs!$N$23)</f>
        <v> </v>
      </c>
      <c r="S248" s="443" t="str">
        <f aca="false">IF(A248="N/A"," ",(VLOOKUP(A248,OPPowerPrices,(IF(BMO=2,7,IF(BMO=1,6,8))),FALSE())+Inputs!$N$23))</f>
        <v> </v>
      </c>
      <c r="T248" s="444" t="str">
        <f aca="false">IF(A248="N/A"," ",(VLOOKUP(A248,GasCurves,9,FALSE()))+IF(BMO=1,Gasbmo,IF(BMO=3,-Gasbmo,0)))</f>
        <v> </v>
      </c>
      <c r="U248" s="444" t="str">
        <f aca="false">IF(A248="N/A"," ",IF(Basischeck=TRUE(),(VLOOKUP(A248,GasCurves,IF(MONTH(A248)&gt;=4,IF(MONTH(A248)&lt;=10,11,12),12),FALSE())),0))</f>
        <v> </v>
      </c>
      <c r="V248" s="444" t="str">
        <f aca="false">IF(A248="N/A"," ",IF(Indexcheck=TRUE(),(IF(MONTH(A248)&gt;=4,IF(MONTH(A248)&lt;=10,VLOOKUP(A248,'Gas Curves'!B226:O586,13),VLOOKUP(A248,'Gas Curves'!B226:O586,14)),VLOOKUP(A248,'Gas Curves'!B226:O586,14))),0))</f>
        <v> </v>
      </c>
      <c r="W248" s="444" t="str">
        <f aca="false">IF(A248="N/A"," ",((SUM(T248:V248))/(1-Inputs!$S$11)-(SUM(T248:V248))))</f>
        <v> </v>
      </c>
      <c r="X248" s="444" t="str">
        <f aca="false">IF(A248="N/A"," ",(IF(MONTH(A248)&gt;=4,IF(MONTH(A248)&lt;=10,Inputs!$S$9,Inputs!$S$10),Inputs!$S$10)))</f>
        <v> </v>
      </c>
      <c r="Y248" s="445" t="str">
        <f aca="false">IF(A248="N/A"," ",(VLOOKUP($A248,InterestRatesTable,2)))</f>
        <v> </v>
      </c>
      <c r="AF248" s="386" t="n">
        <v>43983</v>
      </c>
      <c r="AG248" s="376" t="n">
        <v>22</v>
      </c>
      <c r="AH248" s="376" t="n">
        <v>4</v>
      </c>
      <c r="AI248" s="376" t="n">
        <v>4</v>
      </c>
      <c r="AJ248" s="376" t="n">
        <v>0</v>
      </c>
      <c r="AK248" s="376" t="n">
        <v>30</v>
      </c>
    </row>
    <row r="249" customFormat="false" ht="12.75" hidden="false" customHeight="false" outlineLevel="0" collapsed="false">
      <c r="A249" s="434" t="str">
        <f aca="false">Calculations!A214</f>
        <v>N/A</v>
      </c>
      <c r="B249" s="435" t="str">
        <f aca="false">IF(A249="N/A"," ",IF(ISERROR(P249),B237*Pwresc,P249)*VLOOKUP(MONTH(A249),Curveadj,3))</f>
        <v> </v>
      </c>
      <c r="C249" s="436" t="str">
        <f aca="false">IF(A249="N/A"," ",IF(ISERROR(Q249),C237*Pwresc,Q249)*VLOOKUP(MONTH(A249),Curveadj,3))</f>
        <v> </v>
      </c>
      <c r="D249" s="437" t="str">
        <f aca="false">IF(A249="N/A"," ",IF(ISERROR(R249),D237*Pwresc,R249)*VLOOKUP(MONTH(A249),Curveadj,3))</f>
        <v> </v>
      </c>
      <c r="E249" s="438" t="str">
        <f aca="false">IF(A249="N/A"," ",IF(Scalers=1,(IF(AND(Dynamic=1,MONTH(A249)&gt;=6,MONTH(A249)&lt;=8,OR($O$37="REGION 2",$O$37="REGION 2A",$O$37="REGION 2B",$O$37="REGION 3",$O$37="REGION 3A",$O$37="REGION 3B",$O$37="REGION 3C",$O$37="REGION 4",$O$37="REGION 4B",$O$37="REGION 4C",$O$37="REGION 5",$O$37="REGION 5A")),((0.059228/(B249/100))-(0.4980013/(SQRT(B249/100)))+2.137988),HLOOKUP(MONTH(A249),ScalarTable,28))),1))</f>
        <v> </v>
      </c>
      <c r="F249" s="439" t="str">
        <f aca="false">IF(A249="N/A"," ",B249*E249)</f>
        <v> </v>
      </c>
      <c r="G249" s="439" t="str">
        <f aca="false">IF(A249="N/A"," ",C249*E249)</f>
        <v> </v>
      </c>
      <c r="H249" s="440" t="str">
        <f aca="false">IF(A249="N/A"," ",D249*E249)</f>
        <v> </v>
      </c>
      <c r="I249" s="402" t="str">
        <f aca="false">IF(A249="N/A"," ",2-E249)</f>
        <v> </v>
      </c>
      <c r="J249" s="439" t="str">
        <f aca="false">IF(A249="N/A"," ",B249*I249)</f>
        <v> </v>
      </c>
      <c r="K249" s="439" t="str">
        <f aca="false">IF(A249="N/A"," ",C249*I249)</f>
        <v> </v>
      </c>
      <c r="L249" s="440" t="str">
        <f aca="false">IF(A249="N/A"," ",D249*I249)</f>
        <v> </v>
      </c>
      <c r="M249" s="441" t="str">
        <f aca="false">IF(A249="N/A"," ",IF(ISERROR(S249),M237*Pwresc,S249))</f>
        <v> </v>
      </c>
      <c r="N249" s="442" t="str">
        <f aca="false">IF(A249="N/A"," ",SUM(T249:X249))</f>
        <v> </v>
      </c>
      <c r="O249" s="370"/>
      <c r="P249" s="436" t="str">
        <f aca="false">IF(A249="N/A"," ",VLOOKUP(A249,PeakPowerCurves,(IF(BMO=2,3,IF(BMO=1,2,4))),FALSE())+Inputs!N232)</f>
        <v> </v>
      </c>
      <c r="Q249" s="436" t="str">
        <f aca="false">IF(A249="N/A"," ",VLOOKUP(A249,SatSunPeakPwr,(IF(BMO=2,3,IF(BMO=1,2,4))),FALSE())+Inputs!$N$23)</f>
        <v> </v>
      </c>
      <c r="R249" s="436" t="str">
        <f aca="false">IF(A249="N/A"," ",VLOOKUP(A249,SatSunPeakPwr,(IF(BMO=2,7,IF(BMO=1,6,8))),FALSE())+Inputs!$N$23)</f>
        <v> </v>
      </c>
      <c r="S249" s="443" t="str">
        <f aca="false">IF(A249="N/A"," ",(VLOOKUP(A249,OPPowerPrices,(IF(BMO=2,7,IF(BMO=1,6,8))),FALSE())+Inputs!$N$23))</f>
        <v> </v>
      </c>
      <c r="T249" s="444" t="str">
        <f aca="false">IF(A249="N/A"," ",(VLOOKUP(A249,GasCurves,9,FALSE()))+IF(BMO=1,Gasbmo,IF(BMO=3,-Gasbmo,0)))</f>
        <v> </v>
      </c>
      <c r="U249" s="444" t="str">
        <f aca="false">IF(A249="N/A"," ",IF(Basischeck=TRUE(),(VLOOKUP(A249,GasCurves,IF(MONTH(A249)&gt;=4,IF(MONTH(A249)&lt;=10,11,12),12),FALSE())),0))</f>
        <v> </v>
      </c>
      <c r="V249" s="444" t="str">
        <f aca="false">IF(A249="N/A"," ",IF(Indexcheck=TRUE(),(IF(MONTH(A249)&gt;=4,IF(MONTH(A249)&lt;=10,VLOOKUP(A249,'Gas Curves'!B227:O587,13),VLOOKUP(A249,'Gas Curves'!B227:O587,14)),VLOOKUP(A249,'Gas Curves'!B227:O587,14))),0))</f>
        <v> </v>
      </c>
      <c r="W249" s="444" t="str">
        <f aca="false">IF(A249="N/A"," ",((SUM(T249:V249))/(1-Inputs!$S$11)-(SUM(T249:V249))))</f>
        <v> </v>
      </c>
      <c r="X249" s="444" t="str">
        <f aca="false">IF(A249="N/A"," ",(IF(MONTH(A249)&gt;=4,IF(MONTH(A249)&lt;=10,Inputs!$S$9,Inputs!$S$10),Inputs!$S$10)))</f>
        <v> </v>
      </c>
      <c r="Y249" s="445" t="str">
        <f aca="false">IF(A249="N/A"," ",(VLOOKUP($A249,InterestRatesTable,2)))</f>
        <v> </v>
      </c>
      <c r="AF249" s="386" t="n">
        <v>44013</v>
      </c>
      <c r="AG249" s="376" t="n">
        <v>23</v>
      </c>
      <c r="AH249" s="376" t="n">
        <v>3</v>
      </c>
      <c r="AI249" s="376" t="n">
        <v>5</v>
      </c>
      <c r="AJ249" s="376" t="n">
        <v>1</v>
      </c>
      <c r="AK249" s="376" t="n">
        <v>31</v>
      </c>
    </row>
    <row r="250" customFormat="false" ht="12.75" hidden="false" customHeight="false" outlineLevel="0" collapsed="false">
      <c r="A250" s="434" t="str">
        <f aca="false">Calculations!A215</f>
        <v>N/A</v>
      </c>
      <c r="B250" s="435" t="str">
        <f aca="false">IF(A250="N/A"," ",IF(ISERROR(P250),B238*Pwresc,P250)*VLOOKUP(MONTH(A250),Curveadj,3))</f>
        <v> </v>
      </c>
      <c r="C250" s="436" t="str">
        <f aca="false">IF(A250="N/A"," ",IF(ISERROR(Q250),C238*Pwresc,Q250)*VLOOKUP(MONTH(A250),Curveadj,3))</f>
        <v> </v>
      </c>
      <c r="D250" s="437" t="str">
        <f aca="false">IF(A250="N/A"," ",IF(ISERROR(R250),D238*Pwresc,R250)*VLOOKUP(MONTH(A250),Curveadj,3))</f>
        <v> </v>
      </c>
      <c r="E250" s="438" t="str">
        <f aca="false">IF(A250="N/A"," ",IF(Scalers=1,(IF(AND(Dynamic=1,MONTH(A250)&gt;=6,MONTH(A250)&lt;=8,OR($O$37="REGION 2",$O$37="REGION 2A",$O$37="REGION 2B",$O$37="REGION 3",$O$37="REGION 3A",$O$37="REGION 3B",$O$37="REGION 3C",$O$37="REGION 4",$O$37="REGION 4B",$O$37="REGION 4C",$O$37="REGION 5",$O$37="REGION 5A")),((0.059228/(B250/100))-(0.4980013/(SQRT(B250/100)))+2.137988),HLOOKUP(MONTH(A250),ScalarTable,28))),1))</f>
        <v> </v>
      </c>
      <c r="F250" s="439" t="str">
        <f aca="false">IF(A250="N/A"," ",B250*E250)</f>
        <v> </v>
      </c>
      <c r="G250" s="439" t="str">
        <f aca="false">IF(A250="N/A"," ",C250*E250)</f>
        <v> </v>
      </c>
      <c r="H250" s="440" t="str">
        <f aca="false">IF(A250="N/A"," ",D250*E250)</f>
        <v> </v>
      </c>
      <c r="I250" s="402" t="str">
        <f aca="false">IF(A250="N/A"," ",2-E250)</f>
        <v> </v>
      </c>
      <c r="J250" s="439" t="str">
        <f aca="false">IF(A250="N/A"," ",B250*I250)</f>
        <v> </v>
      </c>
      <c r="K250" s="439" t="str">
        <f aca="false">IF(A250="N/A"," ",C250*I250)</f>
        <v> </v>
      </c>
      <c r="L250" s="440" t="str">
        <f aca="false">IF(A250="N/A"," ",D250*I250)</f>
        <v> </v>
      </c>
      <c r="M250" s="441" t="str">
        <f aca="false">IF(A250="N/A"," ",IF(ISERROR(S250),M238*Pwresc,S250))</f>
        <v> </v>
      </c>
      <c r="N250" s="442" t="str">
        <f aca="false">IF(A250="N/A"," ",SUM(T250:X250))</f>
        <v> </v>
      </c>
      <c r="O250" s="370"/>
      <c r="P250" s="436" t="str">
        <f aca="false">IF(A250="N/A"," ",VLOOKUP(A250,PeakPowerCurves,(IF(BMO=2,3,IF(BMO=1,2,4))),FALSE())+Inputs!N233)</f>
        <v> </v>
      </c>
      <c r="Q250" s="436" t="str">
        <f aca="false">IF(A250="N/A"," ",VLOOKUP(A250,SatSunPeakPwr,(IF(BMO=2,3,IF(BMO=1,2,4))),FALSE())+Inputs!$N$23)</f>
        <v> </v>
      </c>
      <c r="R250" s="436" t="str">
        <f aca="false">IF(A250="N/A"," ",VLOOKUP(A250,SatSunPeakPwr,(IF(BMO=2,7,IF(BMO=1,6,8))),FALSE())+Inputs!$N$23)</f>
        <v> </v>
      </c>
      <c r="S250" s="443" t="str">
        <f aca="false">IF(A250="N/A"," ",(VLOOKUP(A250,OPPowerPrices,(IF(BMO=2,7,IF(BMO=1,6,8))),FALSE())+Inputs!$N$23))</f>
        <v> </v>
      </c>
      <c r="T250" s="444" t="str">
        <f aca="false">IF(A250="N/A"," ",(VLOOKUP(A250,GasCurves,9,FALSE()))+IF(BMO=1,Gasbmo,IF(BMO=3,-Gasbmo,0)))</f>
        <v> </v>
      </c>
      <c r="U250" s="444" t="str">
        <f aca="false">IF(A250="N/A"," ",IF(Basischeck=TRUE(),(VLOOKUP(A250,GasCurves,IF(MONTH(A250)&gt;=4,IF(MONTH(A250)&lt;=10,11,12),12),FALSE())),0))</f>
        <v> </v>
      </c>
      <c r="V250" s="444" t="str">
        <f aca="false">IF(A250="N/A"," ",IF(Indexcheck=TRUE(),(IF(MONTH(A250)&gt;=4,IF(MONTH(A250)&lt;=10,VLOOKUP(A250,'Gas Curves'!B228:O588,13),VLOOKUP(A250,'Gas Curves'!B228:O588,14)),VLOOKUP(A250,'Gas Curves'!B228:O588,14))),0))</f>
        <v> </v>
      </c>
      <c r="W250" s="444" t="str">
        <f aca="false">IF(A250="N/A"," ",((SUM(T250:V250))/(1-Inputs!$S$11)-(SUM(T250:V250))))</f>
        <v> </v>
      </c>
      <c r="X250" s="444" t="str">
        <f aca="false">IF(A250="N/A"," ",(IF(MONTH(A250)&gt;=4,IF(MONTH(A250)&lt;=10,Inputs!$S$9,Inputs!$S$10),Inputs!$S$10)))</f>
        <v> </v>
      </c>
      <c r="Y250" s="445" t="str">
        <f aca="false">IF(A250="N/A"," ",(VLOOKUP($A250,InterestRatesTable,2)))</f>
        <v> </v>
      </c>
      <c r="AF250" s="386" t="n">
        <v>44044</v>
      </c>
      <c r="AG250" s="376" t="n">
        <v>21</v>
      </c>
      <c r="AH250" s="376" t="n">
        <v>5</v>
      </c>
      <c r="AI250" s="376" t="n">
        <v>5</v>
      </c>
      <c r="AJ250" s="376" t="n">
        <v>0</v>
      </c>
      <c r="AK250" s="376" t="n">
        <v>31</v>
      </c>
    </row>
    <row r="251" customFormat="false" ht="12.75" hidden="false" customHeight="false" outlineLevel="0" collapsed="false">
      <c r="A251" s="434" t="str">
        <f aca="false">Calculations!A216</f>
        <v>N/A</v>
      </c>
      <c r="B251" s="435" t="str">
        <f aca="false">IF(A251="N/A"," ",IF(ISERROR(P251),B239*Pwresc,P251)*VLOOKUP(MONTH(A251),Curveadj,3))</f>
        <v> </v>
      </c>
      <c r="C251" s="436" t="str">
        <f aca="false">IF(A251="N/A"," ",IF(ISERROR(Q251),C239*Pwresc,Q251)*VLOOKUP(MONTH(A251),Curveadj,3))</f>
        <v> </v>
      </c>
      <c r="D251" s="437" t="str">
        <f aca="false">IF(A251="N/A"," ",IF(ISERROR(R251),D239*Pwresc,R251)*VLOOKUP(MONTH(A251),Curveadj,3))</f>
        <v> </v>
      </c>
      <c r="E251" s="438" t="str">
        <f aca="false">IF(A251="N/A"," ",IF(Scalers=1,(IF(AND(Dynamic=1,MONTH(A251)&gt;=6,MONTH(A251)&lt;=8,OR($O$37="REGION 2",$O$37="REGION 2A",$O$37="REGION 2B",$O$37="REGION 3",$O$37="REGION 3A",$O$37="REGION 3B",$O$37="REGION 3C",$O$37="REGION 4",$O$37="REGION 4B",$O$37="REGION 4C",$O$37="REGION 5",$O$37="REGION 5A")),((0.059228/(B251/100))-(0.4980013/(SQRT(B251/100)))+2.137988),HLOOKUP(MONTH(A251),ScalarTable,28))),1))</f>
        <v> </v>
      </c>
      <c r="F251" s="439" t="str">
        <f aca="false">IF(A251="N/A"," ",B251*E251)</f>
        <v> </v>
      </c>
      <c r="G251" s="439" t="str">
        <f aca="false">IF(A251="N/A"," ",C251*E251)</f>
        <v> </v>
      </c>
      <c r="H251" s="440" t="str">
        <f aca="false">IF(A251="N/A"," ",D251*E251)</f>
        <v> </v>
      </c>
      <c r="I251" s="402" t="str">
        <f aca="false">IF(A251="N/A"," ",2-E251)</f>
        <v> </v>
      </c>
      <c r="J251" s="439" t="str">
        <f aca="false">IF(A251="N/A"," ",B251*I251)</f>
        <v> </v>
      </c>
      <c r="K251" s="439" t="str">
        <f aca="false">IF(A251="N/A"," ",C251*I251)</f>
        <v> </v>
      </c>
      <c r="L251" s="440" t="str">
        <f aca="false">IF(A251="N/A"," ",D251*I251)</f>
        <v> </v>
      </c>
      <c r="M251" s="441" t="str">
        <f aca="false">IF(A251="N/A"," ",IF(ISERROR(S251),M239*Pwresc,S251))</f>
        <v> </v>
      </c>
      <c r="N251" s="442" t="str">
        <f aca="false">IF(A251="N/A"," ",SUM(T251:X251))</f>
        <v> </v>
      </c>
      <c r="O251" s="370"/>
      <c r="P251" s="436" t="str">
        <f aca="false">IF(A251="N/A"," ",VLOOKUP(A251,PeakPowerCurves,(IF(BMO=2,3,IF(BMO=1,2,4))),FALSE())+Inputs!N234)</f>
        <v> </v>
      </c>
      <c r="Q251" s="436" t="str">
        <f aca="false">IF(A251="N/A"," ",VLOOKUP(A251,SatSunPeakPwr,(IF(BMO=2,3,IF(BMO=1,2,4))),FALSE())+Inputs!$N$23)</f>
        <v> </v>
      </c>
      <c r="R251" s="436" t="str">
        <f aca="false">IF(A251="N/A"," ",VLOOKUP(A251,SatSunPeakPwr,(IF(BMO=2,7,IF(BMO=1,6,8))),FALSE())+Inputs!$N$23)</f>
        <v> </v>
      </c>
      <c r="S251" s="443" t="str">
        <f aca="false">IF(A251="N/A"," ",(VLOOKUP(A251,OPPowerPrices,(IF(BMO=2,7,IF(BMO=1,6,8))),FALSE())+Inputs!$N$23))</f>
        <v> </v>
      </c>
      <c r="T251" s="444" t="str">
        <f aca="false">IF(A251="N/A"," ",(VLOOKUP(A251,GasCurves,9,FALSE()))+IF(BMO=1,Gasbmo,IF(BMO=3,-Gasbmo,0)))</f>
        <v> </v>
      </c>
      <c r="U251" s="444" t="str">
        <f aca="false">IF(A251="N/A"," ",IF(Basischeck=TRUE(),(VLOOKUP(A251,GasCurves,IF(MONTH(A251)&gt;=4,IF(MONTH(A251)&lt;=10,11,12),12),FALSE())),0))</f>
        <v> </v>
      </c>
      <c r="V251" s="444" t="str">
        <f aca="false">IF(A251="N/A"," ",IF(Indexcheck=TRUE(),(IF(MONTH(A251)&gt;=4,IF(MONTH(A251)&lt;=10,VLOOKUP(A251,'Gas Curves'!B229:O589,13),VLOOKUP(A251,'Gas Curves'!B229:O589,14)),VLOOKUP(A251,'Gas Curves'!B229:O589,14))),0))</f>
        <v> </v>
      </c>
      <c r="W251" s="444" t="str">
        <f aca="false">IF(A251="N/A"," ",((SUM(T251:V251))/(1-Inputs!$S$11)-(SUM(T251:V251))))</f>
        <v> </v>
      </c>
      <c r="X251" s="444" t="str">
        <f aca="false">IF(A251="N/A"," ",(IF(MONTH(A251)&gt;=4,IF(MONTH(A251)&lt;=10,Inputs!$S$9,Inputs!$S$10),Inputs!$S$10)))</f>
        <v> </v>
      </c>
      <c r="Y251" s="445" t="str">
        <f aca="false">IF(A251="N/A"," ",(VLOOKUP($A251,InterestRatesTable,2)))</f>
        <v> </v>
      </c>
      <c r="AF251" s="386" t="n">
        <v>44075</v>
      </c>
      <c r="AG251" s="376" t="n">
        <v>21</v>
      </c>
      <c r="AH251" s="376" t="n">
        <v>4</v>
      </c>
      <c r="AI251" s="376" t="n">
        <v>5</v>
      </c>
      <c r="AJ251" s="376" t="n">
        <v>1</v>
      </c>
      <c r="AK251" s="376" t="n">
        <v>30</v>
      </c>
    </row>
    <row r="252" customFormat="false" ht="12.75" hidden="false" customHeight="false" outlineLevel="0" collapsed="false">
      <c r="A252" s="434" t="str">
        <f aca="false">Calculations!A217</f>
        <v>N/A</v>
      </c>
      <c r="B252" s="435" t="str">
        <f aca="false">IF(A252="N/A"," ",IF(ISERROR(P252),B240*Pwresc,P252)*VLOOKUP(MONTH(A252),Curveadj,3))</f>
        <v> </v>
      </c>
      <c r="C252" s="436" t="str">
        <f aca="false">IF(A252="N/A"," ",IF(ISERROR(Q252),C240*Pwresc,Q252)*VLOOKUP(MONTH(A252),Curveadj,3))</f>
        <v> </v>
      </c>
      <c r="D252" s="437" t="str">
        <f aca="false">IF(A252="N/A"," ",IF(ISERROR(R252),D240*Pwresc,R252)*VLOOKUP(MONTH(A252),Curveadj,3))</f>
        <v> </v>
      </c>
      <c r="E252" s="438" t="str">
        <f aca="false">IF(A252="N/A"," ",IF(Scalers=1,(IF(AND(Dynamic=1,MONTH(A252)&gt;=6,MONTH(A252)&lt;=8,OR($O$37="REGION 2",$O$37="REGION 2A",$O$37="REGION 2B",$O$37="REGION 3",$O$37="REGION 3A",$O$37="REGION 3B",$O$37="REGION 3C",$O$37="REGION 4",$O$37="REGION 4B",$O$37="REGION 4C",$O$37="REGION 5",$O$37="REGION 5A")),((0.059228/(B252/100))-(0.4980013/(SQRT(B252/100)))+2.137988),HLOOKUP(MONTH(A252),ScalarTable,28))),1))</f>
        <v> </v>
      </c>
      <c r="F252" s="439" t="str">
        <f aca="false">IF(A252="N/A"," ",B252*E252)</f>
        <v> </v>
      </c>
      <c r="G252" s="439" t="str">
        <f aca="false">IF(A252="N/A"," ",C252*E252)</f>
        <v> </v>
      </c>
      <c r="H252" s="440" t="str">
        <f aca="false">IF(A252="N/A"," ",D252*E252)</f>
        <v> </v>
      </c>
      <c r="I252" s="402" t="str">
        <f aca="false">IF(A252="N/A"," ",2-E252)</f>
        <v> </v>
      </c>
      <c r="J252" s="439" t="str">
        <f aca="false">IF(A252="N/A"," ",B252*I252)</f>
        <v> </v>
      </c>
      <c r="K252" s="439" t="str">
        <f aca="false">IF(A252="N/A"," ",C252*I252)</f>
        <v> </v>
      </c>
      <c r="L252" s="440" t="str">
        <f aca="false">IF(A252="N/A"," ",D252*I252)</f>
        <v> </v>
      </c>
      <c r="M252" s="441" t="str">
        <f aca="false">IF(A252="N/A"," ",IF(ISERROR(S252),M240*Pwresc,S252))</f>
        <v> </v>
      </c>
      <c r="N252" s="442" t="str">
        <f aca="false">IF(A252="N/A"," ",SUM(T252:X252))</f>
        <v> </v>
      </c>
      <c r="O252" s="370"/>
      <c r="P252" s="436" t="str">
        <f aca="false">IF(A252="N/A"," ",VLOOKUP(A252,PeakPowerCurves,(IF(BMO=2,3,IF(BMO=1,2,4))),FALSE())+Inputs!N235)</f>
        <v> </v>
      </c>
      <c r="Q252" s="436" t="str">
        <f aca="false">IF(A252="N/A"," ",VLOOKUP(A252,SatSunPeakPwr,(IF(BMO=2,3,IF(BMO=1,2,4))),FALSE())+Inputs!$N$23)</f>
        <v> </v>
      </c>
      <c r="R252" s="436" t="str">
        <f aca="false">IF(A252="N/A"," ",VLOOKUP(A252,SatSunPeakPwr,(IF(BMO=2,7,IF(BMO=1,6,8))),FALSE())+Inputs!$N$23)</f>
        <v> </v>
      </c>
      <c r="S252" s="443" t="str">
        <f aca="false">IF(A252="N/A"," ",(VLOOKUP(A252,OPPowerPrices,(IF(BMO=2,7,IF(BMO=1,6,8))),FALSE())+Inputs!$N$23))</f>
        <v> </v>
      </c>
      <c r="T252" s="444" t="str">
        <f aca="false">IF(A252="N/A"," ",(VLOOKUP(A252,GasCurves,9,FALSE()))+IF(BMO=1,Gasbmo,IF(BMO=3,-Gasbmo,0)))</f>
        <v> </v>
      </c>
      <c r="U252" s="444" t="str">
        <f aca="false">IF(A252="N/A"," ",IF(Basischeck=TRUE(),(VLOOKUP(A252,GasCurves,IF(MONTH(A252)&gt;=4,IF(MONTH(A252)&lt;=10,11,12),12),FALSE())),0))</f>
        <v> </v>
      </c>
      <c r="V252" s="444" t="str">
        <f aca="false">IF(A252="N/A"," ",IF(Indexcheck=TRUE(),(IF(MONTH(A252)&gt;=4,IF(MONTH(A252)&lt;=10,VLOOKUP(A252,'Gas Curves'!B230:O590,13),VLOOKUP(A252,'Gas Curves'!B230:O590,14)),VLOOKUP(A252,'Gas Curves'!B230:O590,14))),0))</f>
        <v> </v>
      </c>
      <c r="W252" s="444" t="str">
        <f aca="false">IF(A252="N/A"," ",((SUM(T252:V252))/(1-Inputs!$S$11)-(SUM(T252:V252))))</f>
        <v> </v>
      </c>
      <c r="X252" s="444" t="str">
        <f aca="false">IF(A252="N/A"," ",(IF(MONTH(A252)&gt;=4,IF(MONTH(A252)&lt;=10,Inputs!$S$9,Inputs!$S$10),Inputs!$S$10)))</f>
        <v> </v>
      </c>
      <c r="Y252" s="445" t="str">
        <f aca="false">IF(A252="N/A"," ",(VLOOKUP($A252,InterestRatesTable,2)))</f>
        <v> </v>
      </c>
      <c r="AF252" s="386" t="n">
        <v>44105</v>
      </c>
      <c r="AG252" s="376" t="n">
        <v>22</v>
      </c>
      <c r="AH252" s="376" t="n">
        <v>5</v>
      </c>
      <c r="AI252" s="376" t="n">
        <v>4</v>
      </c>
      <c r="AJ252" s="376" t="n">
        <v>0</v>
      </c>
      <c r="AK252" s="376" t="n">
        <v>31</v>
      </c>
    </row>
    <row r="253" customFormat="false" ht="12.75" hidden="false" customHeight="false" outlineLevel="0" collapsed="false">
      <c r="A253" s="434" t="str">
        <f aca="false">Calculations!A218</f>
        <v>N/A</v>
      </c>
      <c r="B253" s="435" t="str">
        <f aca="false">IF(A253="N/A"," ",IF(ISERROR(P253),B241*Pwresc,P253)*VLOOKUP(MONTH(A253),Curveadj,3))</f>
        <v> </v>
      </c>
      <c r="C253" s="436" t="str">
        <f aca="false">IF(A253="N/A"," ",IF(ISERROR(Q253),C241*Pwresc,Q253)*VLOOKUP(MONTH(A253),Curveadj,3))</f>
        <v> </v>
      </c>
      <c r="D253" s="437" t="str">
        <f aca="false">IF(A253="N/A"," ",IF(ISERROR(R253),D241*Pwresc,R253)*VLOOKUP(MONTH(A253),Curveadj,3))</f>
        <v> </v>
      </c>
      <c r="E253" s="438" t="str">
        <f aca="false">IF(A253="N/A"," ",IF(Scalers=1,(IF(AND(Dynamic=1,MONTH(A253)&gt;=6,MONTH(A253)&lt;=8,OR($O$37="REGION 2",$O$37="REGION 2A",$O$37="REGION 2B",$O$37="REGION 3",$O$37="REGION 3A",$O$37="REGION 3B",$O$37="REGION 3C",$O$37="REGION 4",$O$37="REGION 4B",$O$37="REGION 4C",$O$37="REGION 5",$O$37="REGION 5A")),((0.059228/(B253/100))-(0.4980013/(SQRT(B253/100)))+2.137988),HLOOKUP(MONTH(A253),ScalarTable,28))),1))</f>
        <v> </v>
      </c>
      <c r="F253" s="439" t="str">
        <f aca="false">IF(A253="N/A"," ",B253*E253)</f>
        <v> </v>
      </c>
      <c r="G253" s="439" t="str">
        <f aca="false">IF(A253="N/A"," ",C253*E253)</f>
        <v> </v>
      </c>
      <c r="H253" s="440" t="str">
        <f aca="false">IF(A253="N/A"," ",D253*E253)</f>
        <v> </v>
      </c>
      <c r="I253" s="402" t="str">
        <f aca="false">IF(A253="N/A"," ",2-E253)</f>
        <v> </v>
      </c>
      <c r="J253" s="439" t="str">
        <f aca="false">IF(A253="N/A"," ",B253*I253)</f>
        <v> </v>
      </c>
      <c r="K253" s="439" t="str">
        <f aca="false">IF(A253="N/A"," ",C253*I253)</f>
        <v> </v>
      </c>
      <c r="L253" s="440" t="str">
        <f aca="false">IF(A253="N/A"," ",D253*I253)</f>
        <v> </v>
      </c>
      <c r="M253" s="441" t="str">
        <f aca="false">IF(A253="N/A"," ",IF(ISERROR(S253),M241*Pwresc,S253))</f>
        <v> </v>
      </c>
      <c r="N253" s="442" t="str">
        <f aca="false">IF(A253="N/A"," ",SUM(T253:X253))</f>
        <v> </v>
      </c>
      <c r="O253" s="370"/>
      <c r="P253" s="436" t="str">
        <f aca="false">IF(A253="N/A"," ",VLOOKUP(A253,PeakPowerCurves,(IF(BMO=2,3,IF(BMO=1,2,4))),FALSE())+Inputs!N236)</f>
        <v> </v>
      </c>
      <c r="Q253" s="436" t="str">
        <f aca="false">IF(A253="N/A"," ",VLOOKUP(A253,SatSunPeakPwr,(IF(BMO=2,3,IF(BMO=1,2,4))),FALSE())+Inputs!$N$23)</f>
        <v> </v>
      </c>
      <c r="R253" s="436" t="str">
        <f aca="false">IF(A253="N/A"," ",VLOOKUP(A253,SatSunPeakPwr,(IF(BMO=2,7,IF(BMO=1,6,8))),FALSE())+Inputs!$N$23)</f>
        <v> </v>
      </c>
      <c r="S253" s="443" t="str">
        <f aca="false">IF(A253="N/A"," ",(VLOOKUP(A253,OPPowerPrices,(IF(BMO=2,7,IF(BMO=1,6,8))),FALSE())+Inputs!$N$23))</f>
        <v> </v>
      </c>
      <c r="T253" s="444" t="str">
        <f aca="false">IF(A253="N/A"," ",(VLOOKUP(A253,GasCurves,9,FALSE()))+IF(BMO=1,Gasbmo,IF(BMO=3,-Gasbmo,0)))</f>
        <v> </v>
      </c>
      <c r="U253" s="444" t="str">
        <f aca="false">IF(A253="N/A"," ",IF(Basischeck=TRUE(),(VLOOKUP(A253,GasCurves,IF(MONTH(A253)&gt;=4,IF(MONTH(A253)&lt;=10,11,12),12),FALSE())),0))</f>
        <v> </v>
      </c>
      <c r="V253" s="444" t="str">
        <f aca="false">IF(A253="N/A"," ",IF(Indexcheck=TRUE(),(IF(MONTH(A253)&gt;=4,IF(MONTH(A253)&lt;=10,VLOOKUP(A253,'Gas Curves'!B231:O591,13),VLOOKUP(A253,'Gas Curves'!B231:O591,14)),VLOOKUP(A253,'Gas Curves'!B231:O591,14))),0))</f>
        <v> </v>
      </c>
      <c r="W253" s="444" t="str">
        <f aca="false">IF(A253="N/A"," ",((SUM(T253:V253))/(1-Inputs!$S$11)-(SUM(T253:V253))))</f>
        <v> </v>
      </c>
      <c r="X253" s="444" t="str">
        <f aca="false">IF(A253="N/A"," ",(IF(MONTH(A253)&gt;=4,IF(MONTH(A253)&lt;=10,Inputs!$S$9,Inputs!$S$10),Inputs!$S$10)))</f>
        <v> </v>
      </c>
      <c r="Y253" s="445" t="str">
        <f aca="false">IF(A253="N/A"," ",(VLOOKUP($A253,InterestRatesTable,2)))</f>
        <v> </v>
      </c>
      <c r="AF253" s="386" t="n">
        <v>44136</v>
      </c>
      <c r="AG253" s="376" t="n">
        <v>20</v>
      </c>
      <c r="AH253" s="376" t="n">
        <v>4</v>
      </c>
      <c r="AI253" s="376" t="n">
        <v>6</v>
      </c>
      <c r="AJ253" s="376" t="n">
        <v>1</v>
      </c>
      <c r="AK253" s="376" t="n">
        <v>30</v>
      </c>
    </row>
    <row r="254" customFormat="false" ht="12.75" hidden="false" customHeight="false" outlineLevel="0" collapsed="false">
      <c r="A254" s="434" t="str">
        <f aca="false">Calculations!A219</f>
        <v>N/A</v>
      </c>
      <c r="B254" s="435" t="str">
        <f aca="false">IF(A254="N/A"," ",IF(ISERROR(P254),B242*Pwresc,P254)*VLOOKUP(MONTH(A254),Curveadj,3))</f>
        <v> </v>
      </c>
      <c r="C254" s="436" t="str">
        <f aca="false">IF(A254="N/A"," ",IF(ISERROR(Q254),C242*Pwresc,Q254)*VLOOKUP(MONTH(A254),Curveadj,3))</f>
        <v> </v>
      </c>
      <c r="D254" s="437" t="str">
        <f aca="false">IF(A254="N/A"," ",IF(ISERROR(R254),D242*Pwresc,R254)*VLOOKUP(MONTH(A254),Curveadj,3))</f>
        <v> </v>
      </c>
      <c r="E254" s="438" t="str">
        <f aca="false">IF(A254="N/A"," ",IF(Scalers=1,(IF(AND(Dynamic=1,MONTH(A254)&gt;=6,MONTH(A254)&lt;=8,OR($O$37="REGION 2",$O$37="REGION 2A",$O$37="REGION 2B",$O$37="REGION 3",$O$37="REGION 3A",$O$37="REGION 3B",$O$37="REGION 3C",$O$37="REGION 4",$O$37="REGION 4B",$O$37="REGION 4C",$O$37="REGION 5",$O$37="REGION 5A")),((0.059228/(B254/100))-(0.4980013/(SQRT(B254/100)))+2.137988),HLOOKUP(MONTH(A254),ScalarTable,28))),1))</f>
        <v> </v>
      </c>
      <c r="F254" s="439" t="str">
        <f aca="false">IF(A254="N/A"," ",B254*E254)</f>
        <v> </v>
      </c>
      <c r="G254" s="439" t="str">
        <f aca="false">IF(A254="N/A"," ",C254*E254)</f>
        <v> </v>
      </c>
      <c r="H254" s="440" t="str">
        <f aca="false">IF(A254="N/A"," ",D254*E254)</f>
        <v> </v>
      </c>
      <c r="I254" s="402" t="str">
        <f aca="false">IF(A254="N/A"," ",2-E254)</f>
        <v> </v>
      </c>
      <c r="J254" s="439" t="str">
        <f aca="false">IF(A254="N/A"," ",B254*I254)</f>
        <v> </v>
      </c>
      <c r="K254" s="439" t="str">
        <f aca="false">IF(A254="N/A"," ",C254*I254)</f>
        <v> </v>
      </c>
      <c r="L254" s="440" t="str">
        <f aca="false">IF(A254="N/A"," ",D254*I254)</f>
        <v> </v>
      </c>
      <c r="M254" s="441" t="str">
        <f aca="false">IF(A254="N/A"," ",IF(ISERROR(S254),M242*Pwresc,S254))</f>
        <v> </v>
      </c>
      <c r="N254" s="442" t="str">
        <f aca="false">IF(A254="N/A"," ",SUM(T254:X254))</f>
        <v> </v>
      </c>
      <c r="O254" s="370"/>
      <c r="P254" s="436" t="str">
        <f aca="false">IF(A254="N/A"," ",VLOOKUP(A254,PeakPowerCurves,(IF(BMO=2,3,IF(BMO=1,2,4))),FALSE())+Inputs!N237)</f>
        <v> </v>
      </c>
      <c r="Q254" s="436" t="str">
        <f aca="false">IF(A254="N/A"," ",VLOOKUP(A254,SatSunPeakPwr,(IF(BMO=2,3,IF(BMO=1,2,4))),FALSE())+Inputs!$N$23)</f>
        <v> </v>
      </c>
      <c r="R254" s="436" t="str">
        <f aca="false">IF(A254="N/A"," ",VLOOKUP(A254,SatSunPeakPwr,(IF(BMO=2,7,IF(BMO=1,6,8))),FALSE())+Inputs!$N$23)</f>
        <v> </v>
      </c>
      <c r="S254" s="443" t="str">
        <f aca="false">IF(A254="N/A"," ",(VLOOKUP(A254,OPPowerPrices,(IF(BMO=2,7,IF(BMO=1,6,8))),FALSE())+Inputs!$N$23))</f>
        <v> </v>
      </c>
      <c r="T254" s="444" t="str">
        <f aca="false">IF(A254="N/A"," ",(VLOOKUP(A254,GasCurves,9,FALSE()))+IF(BMO=1,Gasbmo,IF(BMO=3,-Gasbmo,0)))</f>
        <v> </v>
      </c>
      <c r="U254" s="444" t="str">
        <f aca="false">IF(A254="N/A"," ",IF(Basischeck=TRUE(),(VLOOKUP(A254,GasCurves,IF(MONTH(A254)&gt;=4,IF(MONTH(A254)&lt;=10,11,12),12),FALSE())),0))</f>
        <v> </v>
      </c>
      <c r="V254" s="444" t="str">
        <f aca="false">IF(A254="N/A"," ",IF(Indexcheck=TRUE(),(IF(MONTH(A254)&gt;=4,IF(MONTH(A254)&lt;=10,VLOOKUP(A254,'Gas Curves'!B232:O592,13),VLOOKUP(A254,'Gas Curves'!B232:O592,14)),VLOOKUP(A254,'Gas Curves'!B232:O592,14))),0))</f>
        <v> </v>
      </c>
      <c r="W254" s="444" t="str">
        <f aca="false">IF(A254="N/A"," ",((SUM(T254:V254))/(1-Inputs!$S$11)-(SUM(T254:V254))))</f>
        <v> </v>
      </c>
      <c r="X254" s="444" t="str">
        <f aca="false">IF(A254="N/A"," ",(IF(MONTH(A254)&gt;=4,IF(MONTH(A254)&lt;=10,Inputs!$S$9,Inputs!$S$10),Inputs!$S$10)))</f>
        <v> </v>
      </c>
      <c r="Y254" s="445" t="str">
        <f aca="false">IF(A254="N/A"," ",(VLOOKUP($A254,InterestRatesTable,2)))</f>
        <v> </v>
      </c>
      <c r="AF254" s="386" t="n">
        <v>44166</v>
      </c>
      <c r="AG254" s="376" t="n">
        <v>22</v>
      </c>
      <c r="AH254" s="376" t="n">
        <v>4</v>
      </c>
      <c r="AI254" s="376" t="n">
        <v>5</v>
      </c>
      <c r="AJ254" s="376" t="n">
        <v>1</v>
      </c>
      <c r="AK254" s="376" t="n">
        <v>31</v>
      </c>
    </row>
    <row r="255" customFormat="false" ht="12.75" hidden="false" customHeight="false" outlineLevel="0" collapsed="false">
      <c r="A255" s="434" t="str">
        <f aca="false">Calculations!A220</f>
        <v>N/A</v>
      </c>
      <c r="B255" s="435" t="str">
        <f aca="false">IF(A255="N/A"," ",IF(ISERROR(P255),B243*Pwresc,P255)*VLOOKUP(MONTH(A255),Curveadj,3))</f>
        <v> </v>
      </c>
      <c r="C255" s="436" t="str">
        <f aca="false">IF(A255="N/A"," ",IF(ISERROR(Q255),C243*Pwresc,Q255)*VLOOKUP(MONTH(A255),Curveadj,3))</f>
        <v> </v>
      </c>
      <c r="D255" s="437" t="str">
        <f aca="false">IF(A255="N/A"," ",IF(ISERROR(R255),D243*Pwresc,R255)*VLOOKUP(MONTH(A255),Curveadj,3))</f>
        <v> </v>
      </c>
      <c r="E255" s="438" t="str">
        <f aca="false">IF(A255="N/A"," ",IF(Scalers=1,(IF(AND(Dynamic=1,MONTH(A255)&gt;=6,MONTH(A255)&lt;=8,OR($O$37="REGION 2",$O$37="REGION 2A",$O$37="REGION 2B",$O$37="REGION 3",$O$37="REGION 3A",$O$37="REGION 3B",$O$37="REGION 3C",$O$37="REGION 4",$O$37="REGION 4B",$O$37="REGION 4C",$O$37="REGION 5",$O$37="REGION 5A")),((0.059228/(B255/100))-(0.4980013/(SQRT(B255/100)))+2.137988),HLOOKUP(MONTH(A255),ScalarTable,28))),1))</f>
        <v> </v>
      </c>
      <c r="F255" s="439" t="str">
        <f aca="false">IF(A255="N/A"," ",B255*E255)</f>
        <v> </v>
      </c>
      <c r="G255" s="439" t="str">
        <f aca="false">IF(A255="N/A"," ",C255*E255)</f>
        <v> </v>
      </c>
      <c r="H255" s="440" t="str">
        <f aca="false">IF(A255="N/A"," ",D255*E255)</f>
        <v> </v>
      </c>
      <c r="I255" s="402" t="str">
        <f aca="false">IF(A255="N/A"," ",2-E255)</f>
        <v> </v>
      </c>
      <c r="J255" s="439" t="str">
        <f aca="false">IF(A255="N/A"," ",B255*I255)</f>
        <v> </v>
      </c>
      <c r="K255" s="439" t="str">
        <f aca="false">IF(A255="N/A"," ",C255*I255)</f>
        <v> </v>
      </c>
      <c r="L255" s="440" t="str">
        <f aca="false">IF(A255="N/A"," ",D255*I255)</f>
        <v> </v>
      </c>
      <c r="M255" s="441" t="str">
        <f aca="false">IF(A255="N/A"," ",IF(ISERROR(S255),M243*Pwresc,S255))</f>
        <v> </v>
      </c>
      <c r="N255" s="442" t="str">
        <f aca="false">IF(A255="N/A"," ",SUM(T255:X255))</f>
        <v> </v>
      </c>
      <c r="O255" s="370"/>
      <c r="P255" s="436" t="str">
        <f aca="false">IF(A255="N/A"," ",VLOOKUP(A255,PeakPowerCurves,(IF(BMO=2,3,IF(BMO=1,2,4))),FALSE())+Inputs!N238)</f>
        <v> </v>
      </c>
      <c r="Q255" s="436" t="str">
        <f aca="false">IF(A255="N/A"," ",VLOOKUP(A255,SatSunPeakPwr,(IF(BMO=2,3,IF(BMO=1,2,4))),FALSE())+Inputs!$N$23)</f>
        <v> </v>
      </c>
      <c r="R255" s="436" t="str">
        <f aca="false">IF(A255="N/A"," ",VLOOKUP(A255,SatSunPeakPwr,(IF(BMO=2,7,IF(BMO=1,6,8))),FALSE())+Inputs!$N$23)</f>
        <v> </v>
      </c>
      <c r="S255" s="443" t="str">
        <f aca="false">IF(A255="N/A"," ",(VLOOKUP(A255,OPPowerPrices,(IF(BMO=2,7,IF(BMO=1,6,8))),FALSE())+Inputs!$N$23))</f>
        <v> </v>
      </c>
      <c r="T255" s="444" t="str">
        <f aca="false">IF(A255="N/A"," ",(VLOOKUP(A255,GasCurves,9,FALSE()))+IF(BMO=1,Gasbmo,IF(BMO=3,-Gasbmo,0)))</f>
        <v> </v>
      </c>
      <c r="U255" s="444" t="str">
        <f aca="false">IF(A255="N/A"," ",IF(Basischeck=TRUE(),(VLOOKUP(A255,GasCurves,IF(MONTH(A255)&gt;=4,IF(MONTH(A255)&lt;=10,11,12),12),FALSE())),0))</f>
        <v> </v>
      </c>
      <c r="V255" s="444" t="str">
        <f aca="false">IF(A255="N/A"," ",IF(Indexcheck=TRUE(),(IF(MONTH(A255)&gt;=4,IF(MONTH(A255)&lt;=10,VLOOKUP(A255,'Gas Curves'!B233:O593,13),VLOOKUP(A255,'Gas Curves'!B233:O593,14)),VLOOKUP(A255,'Gas Curves'!B233:O593,14))),0))</f>
        <v> </v>
      </c>
      <c r="W255" s="444" t="str">
        <f aca="false">IF(A255="N/A"," ",((SUM(T255:V255))/(1-Inputs!$S$11)-(SUM(T255:V255))))</f>
        <v> </v>
      </c>
      <c r="X255" s="444" t="str">
        <f aca="false">IF(A255="N/A"," ",(IF(MONTH(A255)&gt;=4,IF(MONTH(A255)&lt;=10,Inputs!$S$9,Inputs!$S$10),Inputs!$S$10)))</f>
        <v> </v>
      </c>
      <c r="Y255" s="445" t="str">
        <f aca="false">IF(A255="N/A"," ",(VLOOKUP($A255,InterestRatesTable,2)))</f>
        <v> </v>
      </c>
      <c r="AF255" s="386" t="n">
        <f aca="false">EOMONTH(AF254,0)+1</f>
        <v>44197</v>
      </c>
      <c r="AG255" s="376" t="n">
        <v>22</v>
      </c>
      <c r="AH255" s="376" t="n">
        <v>4</v>
      </c>
      <c r="AI255" s="376" t="n">
        <v>5</v>
      </c>
      <c r="AJ255" s="376" t="n">
        <v>1</v>
      </c>
      <c r="AK255" s="376" t="n">
        <v>31</v>
      </c>
    </row>
    <row r="256" customFormat="false" ht="12.75" hidden="false" customHeight="false" outlineLevel="0" collapsed="false">
      <c r="A256" s="434" t="str">
        <f aca="false">Calculations!A221</f>
        <v>N/A</v>
      </c>
      <c r="B256" s="435" t="str">
        <f aca="false">IF(A256="N/A"," ",IF(ISERROR(P256),B244*Pwresc,P256)*VLOOKUP(MONTH(A256),Curveadj,3))</f>
        <v> </v>
      </c>
      <c r="C256" s="436" t="str">
        <f aca="false">IF(A256="N/A"," ",IF(ISERROR(Q256),C244*Pwresc,Q256)*VLOOKUP(MONTH(A256),Curveadj,3))</f>
        <v> </v>
      </c>
      <c r="D256" s="437" t="str">
        <f aca="false">IF(A256="N/A"," ",IF(ISERROR(R256),D244*Pwresc,R256)*VLOOKUP(MONTH(A256),Curveadj,3))</f>
        <v> </v>
      </c>
      <c r="E256" s="438" t="str">
        <f aca="false">IF(A256="N/A"," ",IF(Scalers=1,(IF(AND(Dynamic=1,MONTH(A256)&gt;=6,MONTH(A256)&lt;=8,OR($O$37="REGION 2",$O$37="REGION 2A",$O$37="REGION 2B",$O$37="REGION 3",$O$37="REGION 3A",$O$37="REGION 3B",$O$37="REGION 3C",$O$37="REGION 4",$O$37="REGION 4B",$O$37="REGION 4C",$O$37="REGION 5",$O$37="REGION 5A")),((0.059228/(B256/100))-(0.4980013/(SQRT(B256/100)))+2.137988),HLOOKUP(MONTH(A256),ScalarTable,28))),1))</f>
        <v> </v>
      </c>
      <c r="F256" s="439" t="str">
        <f aca="false">IF(A256="N/A"," ",B256*E256)</f>
        <v> </v>
      </c>
      <c r="G256" s="439" t="str">
        <f aca="false">IF(A256="N/A"," ",C256*E256)</f>
        <v> </v>
      </c>
      <c r="H256" s="440" t="str">
        <f aca="false">IF(A256="N/A"," ",D256*E256)</f>
        <v> </v>
      </c>
      <c r="I256" s="402" t="str">
        <f aca="false">IF(A256="N/A"," ",2-E256)</f>
        <v> </v>
      </c>
      <c r="J256" s="439" t="str">
        <f aca="false">IF(A256="N/A"," ",B256*I256)</f>
        <v> </v>
      </c>
      <c r="K256" s="439" t="str">
        <f aca="false">IF(A256="N/A"," ",C256*I256)</f>
        <v> </v>
      </c>
      <c r="L256" s="440" t="str">
        <f aca="false">IF(A256="N/A"," ",D256*I256)</f>
        <v> </v>
      </c>
      <c r="M256" s="441" t="str">
        <f aca="false">IF(A256="N/A"," ",IF(ISERROR(S256),M244*Pwresc,S256))</f>
        <v> </v>
      </c>
      <c r="N256" s="442" t="str">
        <f aca="false">IF(A256="N/A"," ",SUM(T256:X256))</f>
        <v> </v>
      </c>
      <c r="O256" s="370"/>
      <c r="P256" s="436" t="str">
        <f aca="false">IF(A256="N/A"," ",VLOOKUP(A256,PeakPowerCurves,(IF(BMO=2,3,IF(BMO=1,2,4))),FALSE())+Inputs!N239)</f>
        <v> </v>
      </c>
      <c r="Q256" s="436" t="str">
        <f aca="false">IF(A256="N/A"," ",VLOOKUP(A256,SatSunPeakPwr,(IF(BMO=2,3,IF(BMO=1,2,4))),FALSE())+Inputs!$N$23)</f>
        <v> </v>
      </c>
      <c r="R256" s="436" t="str">
        <f aca="false">IF(A256="N/A"," ",VLOOKUP(A256,SatSunPeakPwr,(IF(BMO=2,7,IF(BMO=1,6,8))),FALSE())+Inputs!$N$23)</f>
        <v> </v>
      </c>
      <c r="S256" s="443" t="str">
        <f aca="false">IF(A256="N/A"," ",(VLOOKUP(A256,OPPowerPrices,(IF(BMO=2,7,IF(BMO=1,6,8))),FALSE())+Inputs!$N$23))</f>
        <v> </v>
      </c>
      <c r="T256" s="444" t="str">
        <f aca="false">IF(A256="N/A"," ",(VLOOKUP(A256,GasCurves,9,FALSE()))+IF(BMO=1,Gasbmo,IF(BMO=3,-Gasbmo,0)))</f>
        <v> </v>
      </c>
      <c r="U256" s="444" t="str">
        <f aca="false">IF(A256="N/A"," ",IF(Basischeck=TRUE(),(VLOOKUP(A256,GasCurves,IF(MONTH(A256)&gt;=4,IF(MONTH(A256)&lt;=10,11,12),12),FALSE())),0))</f>
        <v> </v>
      </c>
      <c r="V256" s="444" t="str">
        <f aca="false">IF(A256="N/A"," ",IF(Indexcheck=TRUE(),(IF(MONTH(A256)&gt;=4,IF(MONTH(A256)&lt;=10,VLOOKUP(A256,'Gas Curves'!B234:O594,13),VLOOKUP(A256,'Gas Curves'!B234:O594,14)),VLOOKUP(A256,'Gas Curves'!B234:O594,14))),0))</f>
        <v> </v>
      </c>
      <c r="W256" s="444" t="str">
        <f aca="false">IF(A256="N/A"," ",((SUM(T256:V256))/(1-Inputs!$S$11)-(SUM(T256:V256))))</f>
        <v> </v>
      </c>
      <c r="X256" s="444" t="str">
        <f aca="false">IF(A256="N/A"," ",(IF(MONTH(A256)&gt;=4,IF(MONTH(A256)&lt;=10,Inputs!$S$9,Inputs!$S$10),Inputs!$S$10)))</f>
        <v> </v>
      </c>
      <c r="Y256" s="445" t="str">
        <f aca="false">IF(A256="N/A"," ",(VLOOKUP($A256,InterestRatesTable,2)))</f>
        <v> </v>
      </c>
      <c r="AF256" s="386" t="n">
        <f aca="false">EOMONTH(AF255,0)+1</f>
        <v>44228</v>
      </c>
      <c r="AG256" s="376" t="n">
        <v>20</v>
      </c>
      <c r="AH256" s="376" t="n">
        <v>4</v>
      </c>
      <c r="AI256" s="376" t="n">
        <v>4</v>
      </c>
      <c r="AJ256" s="376" t="n">
        <v>0</v>
      </c>
      <c r="AK256" s="376" t="n">
        <v>28</v>
      </c>
    </row>
    <row r="257" customFormat="false" ht="12.75" hidden="false" customHeight="false" outlineLevel="0" collapsed="false">
      <c r="A257" s="434" t="str">
        <f aca="false">Calculations!A222</f>
        <v>N/A</v>
      </c>
      <c r="B257" s="435" t="str">
        <f aca="false">IF(A257="N/A"," ",IF(ISERROR(P257),B245*Pwresc,P257)*VLOOKUP(MONTH(A257),Curveadj,3))</f>
        <v> </v>
      </c>
      <c r="C257" s="436" t="str">
        <f aca="false">IF(A257="N/A"," ",IF(ISERROR(Q257),C245*Pwresc,Q257)*VLOOKUP(MONTH(A257),Curveadj,3))</f>
        <v> </v>
      </c>
      <c r="D257" s="437" t="str">
        <f aca="false">IF(A257="N/A"," ",IF(ISERROR(R257),D245*Pwresc,R257)*VLOOKUP(MONTH(A257),Curveadj,3))</f>
        <v> </v>
      </c>
      <c r="E257" s="438" t="str">
        <f aca="false">IF(A257="N/A"," ",IF(Scalers=1,(IF(AND(Dynamic=1,MONTH(A257)&gt;=6,MONTH(A257)&lt;=8,OR($O$37="REGION 2",$O$37="REGION 2A",$O$37="REGION 2B",$O$37="REGION 3",$O$37="REGION 3A",$O$37="REGION 3B",$O$37="REGION 3C",$O$37="REGION 4",$O$37="REGION 4B",$O$37="REGION 4C",$O$37="REGION 5",$O$37="REGION 5A")),((0.059228/(B257/100))-(0.4980013/(SQRT(B257/100)))+2.137988),HLOOKUP(MONTH(A257),ScalarTable,28))),1))</f>
        <v> </v>
      </c>
      <c r="F257" s="439" t="str">
        <f aca="false">IF(A257="N/A"," ",B257*E257)</f>
        <v> </v>
      </c>
      <c r="G257" s="439" t="str">
        <f aca="false">IF(A257="N/A"," ",C257*E257)</f>
        <v> </v>
      </c>
      <c r="H257" s="440" t="str">
        <f aca="false">IF(A257="N/A"," ",D257*E257)</f>
        <v> </v>
      </c>
      <c r="I257" s="402" t="str">
        <f aca="false">IF(A257="N/A"," ",2-E257)</f>
        <v> </v>
      </c>
      <c r="J257" s="439" t="str">
        <f aca="false">IF(A257="N/A"," ",B257*I257)</f>
        <v> </v>
      </c>
      <c r="K257" s="439" t="str">
        <f aca="false">IF(A257="N/A"," ",C257*I257)</f>
        <v> </v>
      </c>
      <c r="L257" s="440" t="str">
        <f aca="false">IF(A257="N/A"," ",D257*I257)</f>
        <v> </v>
      </c>
      <c r="M257" s="441" t="str">
        <f aca="false">IF(A257="N/A"," ",IF(ISERROR(S257),M245*Pwresc,S257))</f>
        <v> </v>
      </c>
      <c r="N257" s="442" t="str">
        <f aca="false">IF(A257="N/A"," ",SUM(T257:X257))</f>
        <v> </v>
      </c>
      <c r="O257" s="370"/>
      <c r="P257" s="436" t="str">
        <f aca="false">IF(A257="N/A"," ",VLOOKUP(A257,PeakPowerCurves,(IF(BMO=2,3,IF(BMO=1,2,4))),FALSE())+Inputs!N240)</f>
        <v> </v>
      </c>
      <c r="Q257" s="436" t="str">
        <f aca="false">IF(A257="N/A"," ",VLOOKUP(A257,SatSunPeakPwr,(IF(BMO=2,3,IF(BMO=1,2,4))),FALSE())+Inputs!$N$23)</f>
        <v> </v>
      </c>
      <c r="R257" s="436" t="str">
        <f aca="false">IF(A257="N/A"," ",VLOOKUP(A257,SatSunPeakPwr,(IF(BMO=2,7,IF(BMO=1,6,8))),FALSE())+Inputs!$N$23)</f>
        <v> </v>
      </c>
      <c r="S257" s="443" t="str">
        <f aca="false">IF(A257="N/A"," ",(VLOOKUP(A257,OPPowerPrices,(IF(BMO=2,7,IF(BMO=1,6,8))),FALSE())+Inputs!$N$23))</f>
        <v> </v>
      </c>
      <c r="T257" s="444" t="str">
        <f aca="false">IF(A257="N/A"," ",(VLOOKUP(A257,GasCurves,9,FALSE()))+IF(BMO=1,Gasbmo,IF(BMO=3,-Gasbmo,0)))</f>
        <v> </v>
      </c>
      <c r="U257" s="444" t="str">
        <f aca="false">IF(A257="N/A"," ",IF(Basischeck=TRUE(),(VLOOKUP(A257,GasCurves,IF(MONTH(A257)&gt;=4,IF(MONTH(A257)&lt;=10,11,12),12),FALSE())),0))</f>
        <v> </v>
      </c>
      <c r="V257" s="444" t="str">
        <f aca="false">IF(A257="N/A"," ",IF(Indexcheck=TRUE(),(IF(MONTH(A257)&gt;=4,IF(MONTH(A257)&lt;=10,VLOOKUP(A257,'Gas Curves'!B235:O595,13),VLOOKUP(A257,'Gas Curves'!B235:O595,14)),VLOOKUP(A257,'Gas Curves'!B235:O595,14))),0))</f>
        <v> </v>
      </c>
      <c r="W257" s="444" t="str">
        <f aca="false">IF(A257="N/A"," ",((SUM(T257:V257))/(1-Inputs!$S$11)-(SUM(T257:V257))))</f>
        <v> </v>
      </c>
      <c r="X257" s="444" t="str">
        <f aca="false">IF(A257="N/A"," ",(IF(MONTH(A257)&gt;=4,IF(MONTH(A257)&lt;=10,Inputs!$S$9,Inputs!$S$10),Inputs!$S$10)))</f>
        <v> </v>
      </c>
      <c r="Y257" s="445" t="str">
        <f aca="false">IF(A257="N/A"," ",(VLOOKUP($A257,InterestRatesTable,2)))</f>
        <v> </v>
      </c>
      <c r="AF257" s="386" t="n">
        <f aca="false">EOMONTH(AF256,0)+1</f>
        <v>44256</v>
      </c>
      <c r="AG257" s="376" t="n">
        <v>21</v>
      </c>
      <c r="AH257" s="376" t="n">
        <v>5</v>
      </c>
      <c r="AI257" s="376" t="n">
        <v>5</v>
      </c>
      <c r="AJ257" s="376" t="n">
        <v>0</v>
      </c>
      <c r="AK257" s="376" t="n">
        <v>31</v>
      </c>
    </row>
    <row r="258" customFormat="false" ht="12.75" hidden="false" customHeight="false" outlineLevel="0" collapsed="false">
      <c r="A258" s="434" t="str">
        <f aca="false">Calculations!A223</f>
        <v>N/A</v>
      </c>
      <c r="B258" s="435" t="str">
        <f aca="false">IF(A258="N/A"," ",IF(ISERROR(P258),B246*Pwresc,P258)*VLOOKUP(MONTH(A258),Curveadj,3))</f>
        <v> </v>
      </c>
      <c r="C258" s="436" t="str">
        <f aca="false">IF(A258="N/A"," ",IF(ISERROR(Q258),C246*Pwresc,Q258)*VLOOKUP(MONTH(A258),Curveadj,3))</f>
        <v> </v>
      </c>
      <c r="D258" s="437" t="str">
        <f aca="false">IF(A258="N/A"," ",IF(ISERROR(R258),D246*Pwresc,R258)*VLOOKUP(MONTH(A258),Curveadj,3))</f>
        <v> </v>
      </c>
      <c r="E258" s="438" t="str">
        <f aca="false">IF(A258="N/A"," ",IF(Scalers=1,(IF(AND(Dynamic=1,MONTH(A258)&gt;=6,MONTH(A258)&lt;=8,OR($O$37="REGION 2",$O$37="REGION 2A",$O$37="REGION 2B",$O$37="REGION 3",$O$37="REGION 3A",$O$37="REGION 3B",$O$37="REGION 3C",$O$37="REGION 4",$O$37="REGION 4B",$O$37="REGION 4C",$O$37="REGION 5",$O$37="REGION 5A")),((0.059228/(B258/100))-(0.4980013/(SQRT(B258/100)))+2.137988),HLOOKUP(MONTH(A258),ScalarTable,28))),1))</f>
        <v> </v>
      </c>
      <c r="F258" s="439" t="str">
        <f aca="false">IF(A258="N/A"," ",B258*E258)</f>
        <v> </v>
      </c>
      <c r="G258" s="439" t="str">
        <f aca="false">IF(A258="N/A"," ",C258*E258)</f>
        <v> </v>
      </c>
      <c r="H258" s="440" t="str">
        <f aca="false">IF(A258="N/A"," ",D258*E258)</f>
        <v> </v>
      </c>
      <c r="I258" s="402" t="str">
        <f aca="false">IF(A258="N/A"," ",2-E258)</f>
        <v> </v>
      </c>
      <c r="J258" s="439" t="str">
        <f aca="false">IF(A258="N/A"," ",B258*I258)</f>
        <v> </v>
      </c>
      <c r="K258" s="439" t="str">
        <f aca="false">IF(A258="N/A"," ",C258*I258)</f>
        <v> </v>
      </c>
      <c r="L258" s="440" t="str">
        <f aca="false">IF(A258="N/A"," ",D258*I258)</f>
        <v> </v>
      </c>
      <c r="M258" s="441" t="str">
        <f aca="false">IF(A258="N/A"," ",IF(ISERROR(S258),M246*Pwresc,S258))</f>
        <v> </v>
      </c>
      <c r="N258" s="442" t="str">
        <f aca="false">IF(A258="N/A"," ",SUM(T258:X258))</f>
        <v> </v>
      </c>
      <c r="O258" s="370"/>
      <c r="P258" s="436" t="str">
        <f aca="false">IF(A258="N/A"," ",VLOOKUP(A258,PeakPowerCurves,(IF(BMO=2,3,IF(BMO=1,2,4))),FALSE())+Inputs!N241)</f>
        <v> </v>
      </c>
      <c r="Q258" s="436" t="str">
        <f aca="false">IF(A258="N/A"," ",VLOOKUP(A258,SatSunPeakPwr,(IF(BMO=2,3,IF(BMO=1,2,4))),FALSE())+Inputs!$N$23)</f>
        <v> </v>
      </c>
      <c r="R258" s="436" t="str">
        <f aca="false">IF(A258="N/A"," ",VLOOKUP(A258,SatSunPeakPwr,(IF(BMO=2,7,IF(BMO=1,6,8))),FALSE())+Inputs!$N$23)</f>
        <v> </v>
      </c>
      <c r="S258" s="443" t="str">
        <f aca="false">IF(A258="N/A"," ",(VLOOKUP(A258,OPPowerPrices,(IF(BMO=2,7,IF(BMO=1,6,8))),FALSE())+Inputs!$N$23))</f>
        <v> </v>
      </c>
      <c r="T258" s="444" t="str">
        <f aca="false">IF(A258="N/A"," ",(VLOOKUP(A258,GasCurves,9,FALSE()))+IF(BMO=1,Gasbmo,IF(BMO=3,-Gasbmo,0)))</f>
        <v> </v>
      </c>
      <c r="U258" s="444" t="str">
        <f aca="false">IF(A258="N/A"," ",IF(Basischeck=TRUE(),(VLOOKUP(A258,GasCurves,IF(MONTH(A258)&gt;=4,IF(MONTH(A258)&lt;=10,11,12),12),FALSE())),0))</f>
        <v> </v>
      </c>
      <c r="V258" s="444" t="str">
        <f aca="false">IF(A258="N/A"," ",IF(Indexcheck=TRUE(),(IF(MONTH(A258)&gt;=4,IF(MONTH(A258)&lt;=10,VLOOKUP(A258,'Gas Curves'!B236:O596,13),VLOOKUP(A258,'Gas Curves'!B236:O596,14)),VLOOKUP(A258,'Gas Curves'!B236:O596,14))),0))</f>
        <v> </v>
      </c>
      <c r="W258" s="444" t="str">
        <f aca="false">IF(A258="N/A"," ",((SUM(T258:V258))/(1-Inputs!$S$11)-(SUM(T258:V258))))</f>
        <v> </v>
      </c>
      <c r="X258" s="444" t="str">
        <f aca="false">IF(A258="N/A"," ",(IF(MONTH(A258)&gt;=4,IF(MONTH(A258)&lt;=10,Inputs!$S$9,Inputs!$S$10),Inputs!$S$10)))</f>
        <v> </v>
      </c>
      <c r="Y258" s="445" t="str">
        <f aca="false">IF(A258="N/A"," ",(VLOOKUP($A258,InterestRatesTable,2)))</f>
        <v> </v>
      </c>
      <c r="AF258" s="386" t="n">
        <f aca="false">EOMONTH(AF257,0)+1</f>
        <v>44287</v>
      </c>
      <c r="AG258" s="376" t="n">
        <v>22</v>
      </c>
      <c r="AH258" s="376" t="n">
        <v>4</v>
      </c>
      <c r="AI258" s="376" t="n">
        <v>4</v>
      </c>
      <c r="AJ258" s="376" t="n">
        <v>0</v>
      </c>
      <c r="AK258" s="376" t="n">
        <v>30</v>
      </c>
    </row>
    <row r="259" customFormat="false" ht="12.75" hidden="false" customHeight="false" outlineLevel="0" collapsed="false">
      <c r="A259" s="434" t="str">
        <f aca="false">Calculations!A224</f>
        <v>N/A</v>
      </c>
      <c r="B259" s="435" t="str">
        <f aca="false">IF(A259="N/A"," ",IF(ISERROR(P259),B247*Pwresc,P259)*VLOOKUP(MONTH(A259),Curveadj,3))</f>
        <v> </v>
      </c>
      <c r="C259" s="436" t="str">
        <f aca="false">IF(A259="N/A"," ",IF(ISERROR(Q259),C247*Pwresc,Q259)*VLOOKUP(MONTH(A259),Curveadj,3))</f>
        <v> </v>
      </c>
      <c r="D259" s="437" t="str">
        <f aca="false">IF(A259="N/A"," ",IF(ISERROR(R259),D247*Pwresc,R259)*VLOOKUP(MONTH(A259),Curveadj,3))</f>
        <v> </v>
      </c>
      <c r="E259" s="438" t="str">
        <f aca="false">IF(A259="N/A"," ",IF(Scalers=1,(IF(AND(Dynamic=1,MONTH(A259)&gt;=6,MONTH(A259)&lt;=8,OR($O$37="REGION 2",$O$37="REGION 2A",$O$37="REGION 2B",$O$37="REGION 3",$O$37="REGION 3A",$O$37="REGION 3B",$O$37="REGION 3C",$O$37="REGION 4",$O$37="REGION 4B",$O$37="REGION 4C",$O$37="REGION 5",$O$37="REGION 5A")),((0.059228/(B259/100))-(0.4980013/(SQRT(B259/100)))+2.137988),HLOOKUP(MONTH(A259),ScalarTable,28))),1))</f>
        <v> </v>
      </c>
      <c r="F259" s="439" t="str">
        <f aca="false">IF(A259="N/A"," ",B259*E259)</f>
        <v> </v>
      </c>
      <c r="G259" s="439" t="str">
        <f aca="false">IF(A259="N/A"," ",C259*E259)</f>
        <v> </v>
      </c>
      <c r="H259" s="440" t="str">
        <f aca="false">IF(A259="N/A"," ",D259*E259)</f>
        <v> </v>
      </c>
      <c r="I259" s="402" t="str">
        <f aca="false">IF(A259="N/A"," ",2-E259)</f>
        <v> </v>
      </c>
      <c r="J259" s="439" t="str">
        <f aca="false">IF(A259="N/A"," ",B259*I259)</f>
        <v> </v>
      </c>
      <c r="K259" s="439" t="str">
        <f aca="false">IF(A259="N/A"," ",C259*I259)</f>
        <v> </v>
      </c>
      <c r="L259" s="440" t="str">
        <f aca="false">IF(A259="N/A"," ",D259*I259)</f>
        <v> </v>
      </c>
      <c r="M259" s="441" t="str">
        <f aca="false">IF(A259="N/A"," ",IF(ISERROR(S259),M247*Pwresc,S259))</f>
        <v> </v>
      </c>
      <c r="N259" s="442" t="str">
        <f aca="false">IF(A259="N/A"," ",SUM(T259:X259))</f>
        <v> </v>
      </c>
      <c r="O259" s="370"/>
      <c r="P259" s="436" t="str">
        <f aca="false">IF(A259="N/A"," ",VLOOKUP(A259,PeakPowerCurves,(IF(BMO=2,3,IF(BMO=1,2,4))),FALSE())+Inputs!N242)</f>
        <v> </v>
      </c>
      <c r="Q259" s="436" t="str">
        <f aca="false">IF(A259="N/A"," ",VLOOKUP(A259,SatSunPeakPwr,(IF(BMO=2,3,IF(BMO=1,2,4))),FALSE())+Inputs!$N$23)</f>
        <v> </v>
      </c>
      <c r="R259" s="436" t="str">
        <f aca="false">IF(A259="N/A"," ",VLOOKUP(A259,SatSunPeakPwr,(IF(BMO=2,7,IF(BMO=1,6,8))),FALSE())+Inputs!$N$23)</f>
        <v> </v>
      </c>
      <c r="S259" s="443" t="str">
        <f aca="false">IF(A259="N/A"," ",(VLOOKUP(A259,OPPowerPrices,(IF(BMO=2,7,IF(BMO=1,6,8))),FALSE())+Inputs!$N$23))</f>
        <v> </v>
      </c>
      <c r="T259" s="444" t="str">
        <f aca="false">IF(A259="N/A"," ",(VLOOKUP(A259,GasCurves,9,FALSE()))+IF(BMO=1,Gasbmo,IF(BMO=3,-Gasbmo,0)))</f>
        <v> </v>
      </c>
      <c r="U259" s="444" t="str">
        <f aca="false">IF(A259="N/A"," ",IF(Basischeck=TRUE(),(VLOOKUP(A259,GasCurves,IF(MONTH(A259)&gt;=4,IF(MONTH(A259)&lt;=10,11,12),12),FALSE())),0))</f>
        <v> </v>
      </c>
      <c r="V259" s="444" t="str">
        <f aca="false">IF(A259="N/A"," ",IF(Indexcheck=TRUE(),(IF(MONTH(A259)&gt;=4,IF(MONTH(A259)&lt;=10,VLOOKUP(A259,'Gas Curves'!B237:O597,13),VLOOKUP(A259,'Gas Curves'!B237:O597,14)),VLOOKUP(A259,'Gas Curves'!B237:O597,14))),0))</f>
        <v> </v>
      </c>
      <c r="W259" s="444" t="str">
        <f aca="false">IF(A259="N/A"," ",((SUM(T259:V259))/(1-Inputs!$S$11)-(SUM(T259:V259))))</f>
        <v> </v>
      </c>
      <c r="X259" s="444" t="str">
        <f aca="false">IF(A259="N/A"," ",(IF(MONTH(A259)&gt;=4,IF(MONTH(A259)&lt;=10,Inputs!$S$9,Inputs!$S$10),Inputs!$S$10)))</f>
        <v> </v>
      </c>
      <c r="Y259" s="445" t="str">
        <f aca="false">IF(A259="N/A"," ",(VLOOKUP($A259,InterestRatesTable,2)))</f>
        <v> </v>
      </c>
      <c r="AF259" s="386" t="n">
        <f aca="false">EOMONTH(AF258,0)+1</f>
        <v>44317</v>
      </c>
      <c r="AG259" s="376" t="n">
        <v>22</v>
      </c>
      <c r="AH259" s="376" t="n">
        <v>4</v>
      </c>
      <c r="AI259" s="376" t="n">
        <v>5</v>
      </c>
      <c r="AJ259" s="376" t="n">
        <v>1</v>
      </c>
      <c r="AK259" s="376" t="n">
        <v>31</v>
      </c>
    </row>
    <row r="260" customFormat="false" ht="12.75" hidden="false" customHeight="false" outlineLevel="0" collapsed="false">
      <c r="A260" s="434" t="str">
        <f aca="false">Calculations!A225</f>
        <v>N/A</v>
      </c>
      <c r="B260" s="435" t="str">
        <f aca="false">IF(A260="N/A"," ",IF(ISERROR(P260),B248*Pwresc,P260)*VLOOKUP(MONTH(A260),Curveadj,3))</f>
        <v> </v>
      </c>
      <c r="C260" s="436" t="str">
        <f aca="false">IF(A260="N/A"," ",IF(ISERROR(Q260),C248*Pwresc,Q260)*VLOOKUP(MONTH(A260),Curveadj,3))</f>
        <v> </v>
      </c>
      <c r="D260" s="437" t="str">
        <f aca="false">IF(A260="N/A"," ",IF(ISERROR(R260),D248*Pwresc,R260)*VLOOKUP(MONTH(A260),Curveadj,3))</f>
        <v> </v>
      </c>
      <c r="E260" s="438" t="str">
        <f aca="false">IF(A260="N/A"," ",IF(Scalers=1,(IF(AND(Dynamic=1,MONTH(A260)&gt;=6,MONTH(A260)&lt;=8,OR($O$37="REGION 2",$O$37="REGION 2A",$O$37="REGION 2B",$O$37="REGION 3",$O$37="REGION 3A",$O$37="REGION 3B",$O$37="REGION 3C",$O$37="REGION 4",$O$37="REGION 4B",$O$37="REGION 4C",$O$37="REGION 5",$O$37="REGION 5A")),((0.059228/(B260/100))-(0.4980013/(SQRT(B260/100)))+2.137988),HLOOKUP(MONTH(A260),ScalarTable,28))),1))</f>
        <v> </v>
      </c>
      <c r="F260" s="439" t="str">
        <f aca="false">IF(A260="N/A"," ",B260*E260)</f>
        <v> </v>
      </c>
      <c r="G260" s="439" t="str">
        <f aca="false">IF(A260="N/A"," ",C260*E260)</f>
        <v> </v>
      </c>
      <c r="H260" s="440" t="str">
        <f aca="false">IF(A260="N/A"," ",D260*E260)</f>
        <v> </v>
      </c>
      <c r="I260" s="402" t="str">
        <f aca="false">IF(A260="N/A"," ",2-E260)</f>
        <v> </v>
      </c>
      <c r="J260" s="439" t="str">
        <f aca="false">IF(A260="N/A"," ",B260*I260)</f>
        <v> </v>
      </c>
      <c r="K260" s="439" t="str">
        <f aca="false">IF(A260="N/A"," ",C260*I260)</f>
        <v> </v>
      </c>
      <c r="L260" s="440" t="str">
        <f aca="false">IF(A260="N/A"," ",D260*I260)</f>
        <v> </v>
      </c>
      <c r="M260" s="441" t="str">
        <f aca="false">IF(A260="N/A"," ",IF(ISERROR(S260),M248*Pwresc,S260))</f>
        <v> </v>
      </c>
      <c r="N260" s="442" t="str">
        <f aca="false">IF(A260="N/A"," ",SUM(T260:X260))</f>
        <v> </v>
      </c>
      <c r="O260" s="370"/>
      <c r="P260" s="436" t="str">
        <f aca="false">IF(A260="N/A"," ",VLOOKUP(A260,PeakPowerCurves,(IF(BMO=2,3,IF(BMO=1,2,4))),FALSE())+Inputs!N243)</f>
        <v> </v>
      </c>
      <c r="Q260" s="436" t="str">
        <f aca="false">IF(A260="N/A"," ",VLOOKUP(A260,SatSunPeakPwr,(IF(BMO=2,3,IF(BMO=1,2,4))),FALSE())+Inputs!$N$23)</f>
        <v> </v>
      </c>
      <c r="R260" s="436" t="str">
        <f aca="false">IF(A260="N/A"," ",VLOOKUP(A260,SatSunPeakPwr,(IF(BMO=2,7,IF(BMO=1,6,8))),FALSE())+Inputs!$N$23)</f>
        <v> </v>
      </c>
      <c r="S260" s="443" t="str">
        <f aca="false">IF(A260="N/A"," ",(VLOOKUP(A260,OPPowerPrices,(IF(BMO=2,7,IF(BMO=1,6,8))),FALSE())+Inputs!$N$23))</f>
        <v> </v>
      </c>
      <c r="T260" s="444" t="str">
        <f aca="false">IF(A260="N/A"," ",(VLOOKUP(A260,GasCurves,9,FALSE()))+IF(BMO=1,Gasbmo,IF(BMO=3,-Gasbmo,0)))</f>
        <v> </v>
      </c>
      <c r="U260" s="444" t="str">
        <f aca="false">IF(A260="N/A"," ",IF(Basischeck=TRUE(),(VLOOKUP(A260,GasCurves,IF(MONTH(A260)&gt;=4,IF(MONTH(A260)&lt;=10,11,12),12),FALSE())),0))</f>
        <v> </v>
      </c>
      <c r="V260" s="444" t="str">
        <f aca="false">IF(A260="N/A"," ",IF(Indexcheck=TRUE(),(IF(MONTH(A260)&gt;=4,IF(MONTH(A260)&lt;=10,VLOOKUP(A260,'Gas Curves'!B238:O598,13),VLOOKUP(A260,'Gas Curves'!B238:O598,14)),VLOOKUP(A260,'Gas Curves'!B238:O598,14))),0))</f>
        <v> </v>
      </c>
      <c r="W260" s="444" t="str">
        <f aca="false">IF(A260="N/A"," ",((SUM(T260:V260))/(1-Inputs!$S$11)-(SUM(T260:V260))))</f>
        <v> </v>
      </c>
      <c r="X260" s="444" t="str">
        <f aca="false">IF(A260="N/A"," ",(IF(MONTH(A260)&gt;=4,IF(MONTH(A260)&lt;=10,Inputs!$S$9,Inputs!$S$10),Inputs!$S$10)))</f>
        <v> </v>
      </c>
      <c r="Y260" s="445" t="str">
        <f aca="false">IF(A260="N/A"," ",(VLOOKUP($A260,InterestRatesTable,2)))</f>
        <v> </v>
      </c>
      <c r="AF260" s="386" t="n">
        <f aca="false">EOMONTH(AF259,0)+1</f>
        <v>44348</v>
      </c>
      <c r="AG260" s="376" t="n">
        <v>20</v>
      </c>
      <c r="AH260" s="376" t="n">
        <v>5</v>
      </c>
      <c r="AI260" s="376" t="n">
        <v>5</v>
      </c>
      <c r="AJ260" s="376" t="n">
        <v>0</v>
      </c>
      <c r="AK260" s="376" t="n">
        <v>30</v>
      </c>
    </row>
    <row r="261" customFormat="false" ht="12.75" hidden="false" customHeight="false" outlineLevel="0" collapsed="false">
      <c r="A261" s="434" t="str">
        <f aca="false">Calculations!A226</f>
        <v>N/A</v>
      </c>
      <c r="B261" s="435" t="str">
        <f aca="false">IF(A261="N/A"," ",IF(ISERROR(P261),B249*Pwresc,P261)*VLOOKUP(MONTH(A261),Curveadj,3))</f>
        <v> </v>
      </c>
      <c r="C261" s="436" t="str">
        <f aca="false">IF(A261="N/A"," ",IF(ISERROR(Q261),C249*Pwresc,Q261)*VLOOKUP(MONTH(A261),Curveadj,3))</f>
        <v> </v>
      </c>
      <c r="D261" s="437" t="str">
        <f aca="false">IF(A261="N/A"," ",IF(ISERROR(R261),D249*Pwresc,R261)*VLOOKUP(MONTH(A261),Curveadj,3))</f>
        <v> </v>
      </c>
      <c r="E261" s="438" t="str">
        <f aca="false">IF(A261="N/A"," ",IF(Scalers=1,(IF(AND(Dynamic=1,MONTH(A261)&gt;=6,MONTH(A261)&lt;=8,OR($O$37="REGION 2",$O$37="REGION 2A",$O$37="REGION 2B",$O$37="REGION 3",$O$37="REGION 3A",$O$37="REGION 3B",$O$37="REGION 3C",$O$37="REGION 4",$O$37="REGION 4B",$O$37="REGION 4C",$O$37="REGION 5",$O$37="REGION 5A")),((0.059228/(B261/100))-(0.4980013/(SQRT(B261/100)))+2.137988),HLOOKUP(MONTH(A261),ScalarTable,28))),1))</f>
        <v> </v>
      </c>
      <c r="F261" s="439" t="str">
        <f aca="false">IF(A261="N/A"," ",B261*E261)</f>
        <v> </v>
      </c>
      <c r="G261" s="439" t="str">
        <f aca="false">IF(A261="N/A"," ",C261*E261)</f>
        <v> </v>
      </c>
      <c r="H261" s="440" t="str">
        <f aca="false">IF(A261="N/A"," ",D261*E261)</f>
        <v> </v>
      </c>
      <c r="I261" s="402" t="str">
        <f aca="false">IF(A261="N/A"," ",2-E261)</f>
        <v> </v>
      </c>
      <c r="J261" s="439" t="str">
        <f aca="false">IF(A261="N/A"," ",B261*I261)</f>
        <v> </v>
      </c>
      <c r="K261" s="439" t="str">
        <f aca="false">IF(A261="N/A"," ",C261*I261)</f>
        <v> </v>
      </c>
      <c r="L261" s="440" t="str">
        <f aca="false">IF(A261="N/A"," ",D261*I261)</f>
        <v> </v>
      </c>
      <c r="M261" s="441" t="str">
        <f aca="false">IF(A261="N/A"," ",IF(ISERROR(S261),M249*Pwresc,S261))</f>
        <v> </v>
      </c>
      <c r="N261" s="442" t="str">
        <f aca="false">IF(A261="N/A"," ",SUM(T261:X261))</f>
        <v> </v>
      </c>
      <c r="O261" s="370"/>
      <c r="P261" s="436" t="str">
        <f aca="false">IF(A261="N/A"," ",VLOOKUP(A261,PeakPowerCurves,(IF(BMO=2,3,IF(BMO=1,2,4))),FALSE())+Inputs!N244)</f>
        <v> </v>
      </c>
      <c r="Q261" s="436" t="str">
        <f aca="false">IF(A261="N/A"," ",VLOOKUP(A261,SatSunPeakPwr,(IF(BMO=2,3,IF(BMO=1,2,4))),FALSE())+Inputs!$N$23)</f>
        <v> </v>
      </c>
      <c r="R261" s="436" t="str">
        <f aca="false">IF(A261="N/A"," ",VLOOKUP(A261,SatSunPeakPwr,(IF(BMO=2,7,IF(BMO=1,6,8))),FALSE())+Inputs!$N$23)</f>
        <v> </v>
      </c>
      <c r="S261" s="443" t="str">
        <f aca="false">IF(A261="N/A"," ",(VLOOKUP(A261,OPPowerPrices,(IF(BMO=2,7,IF(BMO=1,6,8))),FALSE())+Inputs!$N$23))</f>
        <v> </v>
      </c>
      <c r="T261" s="444" t="str">
        <f aca="false">IF(A261="N/A"," ",(VLOOKUP(A261,GasCurves,9,FALSE()))+IF(BMO=1,Gasbmo,IF(BMO=3,-Gasbmo,0)))</f>
        <v> </v>
      </c>
      <c r="U261" s="444" t="str">
        <f aca="false">IF(A261="N/A"," ",IF(Basischeck=TRUE(),(VLOOKUP(A261,GasCurves,IF(MONTH(A261)&gt;=4,IF(MONTH(A261)&lt;=10,11,12),12),FALSE())),0))</f>
        <v> </v>
      </c>
      <c r="V261" s="444" t="str">
        <f aca="false">IF(A261="N/A"," ",IF(Indexcheck=TRUE(),(IF(MONTH(A261)&gt;=4,IF(MONTH(A261)&lt;=10,VLOOKUP(A261,'Gas Curves'!B239:O599,13),VLOOKUP(A261,'Gas Curves'!B239:O599,14)),VLOOKUP(A261,'Gas Curves'!B239:O599,14))),0))</f>
        <v> </v>
      </c>
      <c r="W261" s="444" t="str">
        <f aca="false">IF(A261="N/A"," ",((SUM(T261:V261))/(1-Inputs!$S$11)-(SUM(T261:V261))))</f>
        <v> </v>
      </c>
      <c r="X261" s="444" t="str">
        <f aca="false">IF(A261="N/A"," ",(IF(MONTH(A261)&gt;=4,IF(MONTH(A261)&lt;=10,Inputs!$S$9,Inputs!$S$10),Inputs!$S$10)))</f>
        <v> </v>
      </c>
      <c r="Y261" s="445" t="str">
        <f aca="false">IF(A261="N/A"," ",(VLOOKUP($A261,InterestRatesTable,2)))</f>
        <v> </v>
      </c>
      <c r="AF261" s="386" t="n">
        <f aca="false">EOMONTH(AF260,0)+1</f>
        <v>44378</v>
      </c>
      <c r="AG261" s="376" t="n">
        <v>22</v>
      </c>
      <c r="AH261" s="376" t="n">
        <v>4</v>
      </c>
      <c r="AI261" s="376" t="n">
        <v>5</v>
      </c>
      <c r="AJ261" s="376" t="n">
        <v>1</v>
      </c>
      <c r="AK261" s="376" t="n">
        <v>31</v>
      </c>
    </row>
    <row r="262" customFormat="false" ht="12.75" hidden="false" customHeight="false" outlineLevel="0" collapsed="false">
      <c r="A262" s="434" t="str">
        <f aca="false">Calculations!A227</f>
        <v>N/A</v>
      </c>
      <c r="B262" s="435" t="str">
        <f aca="false">IF(A262="N/A"," ",IF(ISERROR(P262),B250*Pwresc,P262)*VLOOKUP(MONTH(A262),Curveadj,3))</f>
        <v> </v>
      </c>
      <c r="C262" s="436" t="str">
        <f aca="false">IF(A262="N/A"," ",IF(ISERROR(Q262),C250*Pwresc,Q262)*VLOOKUP(MONTH(A262),Curveadj,3))</f>
        <v> </v>
      </c>
      <c r="D262" s="437" t="str">
        <f aca="false">IF(A262="N/A"," ",IF(ISERROR(R262),D250*Pwresc,R262)*VLOOKUP(MONTH(A262),Curveadj,3))</f>
        <v> </v>
      </c>
      <c r="E262" s="438" t="str">
        <f aca="false">IF(A262="N/A"," ",IF(Scalers=1,(IF(AND(Dynamic=1,MONTH(A262)&gt;=6,MONTH(A262)&lt;=8,OR($O$37="REGION 2",$O$37="REGION 2A",$O$37="REGION 2B",$O$37="REGION 3",$O$37="REGION 3A",$O$37="REGION 3B",$O$37="REGION 3C",$O$37="REGION 4",$O$37="REGION 4B",$O$37="REGION 4C",$O$37="REGION 5",$O$37="REGION 5A")),((0.059228/(B262/100))-(0.4980013/(SQRT(B262/100)))+2.137988),HLOOKUP(MONTH(A262),ScalarTable,28))),1))</f>
        <v> </v>
      </c>
      <c r="F262" s="439" t="str">
        <f aca="false">IF(A262="N/A"," ",B262*E262)</f>
        <v> </v>
      </c>
      <c r="G262" s="439" t="str">
        <f aca="false">IF(A262="N/A"," ",C262*E262)</f>
        <v> </v>
      </c>
      <c r="H262" s="440" t="str">
        <f aca="false">IF(A262="N/A"," ",D262*E262)</f>
        <v> </v>
      </c>
      <c r="I262" s="402" t="str">
        <f aca="false">IF(A262="N/A"," ",2-E262)</f>
        <v> </v>
      </c>
      <c r="J262" s="439" t="str">
        <f aca="false">IF(A262="N/A"," ",B262*I262)</f>
        <v> </v>
      </c>
      <c r="K262" s="439" t="str">
        <f aca="false">IF(A262="N/A"," ",C262*I262)</f>
        <v> </v>
      </c>
      <c r="L262" s="440" t="str">
        <f aca="false">IF(A262="N/A"," ",D262*I262)</f>
        <v> </v>
      </c>
      <c r="M262" s="441" t="str">
        <f aca="false">IF(A262="N/A"," ",IF(ISERROR(S262),M250*Pwresc,S262))</f>
        <v> </v>
      </c>
      <c r="N262" s="442" t="str">
        <f aca="false">IF(A262="N/A"," ",SUM(T262:X262))</f>
        <v> </v>
      </c>
      <c r="O262" s="370"/>
      <c r="P262" s="436" t="str">
        <f aca="false">IF(A262="N/A"," ",VLOOKUP(A262,PeakPowerCurves,(IF(BMO=2,3,IF(BMO=1,2,4))),FALSE())+Inputs!N245)</f>
        <v> </v>
      </c>
      <c r="Q262" s="436" t="str">
        <f aca="false">IF(A262="N/A"," ",VLOOKUP(A262,SatSunPeakPwr,(IF(BMO=2,3,IF(BMO=1,2,4))),FALSE())+Inputs!$N$23)</f>
        <v> </v>
      </c>
      <c r="R262" s="436" t="str">
        <f aca="false">IF(A262="N/A"," ",VLOOKUP(A262,SatSunPeakPwr,(IF(BMO=2,7,IF(BMO=1,6,8))),FALSE())+Inputs!$N$23)</f>
        <v> </v>
      </c>
      <c r="S262" s="443" t="str">
        <f aca="false">IF(A262="N/A"," ",(VLOOKUP(A262,OPPowerPrices,(IF(BMO=2,7,IF(BMO=1,6,8))),FALSE())+Inputs!$N$23))</f>
        <v> </v>
      </c>
      <c r="T262" s="444" t="str">
        <f aca="false">IF(A262="N/A"," ",(VLOOKUP(A262,GasCurves,9,FALSE()))+IF(BMO=1,Gasbmo,IF(BMO=3,-Gasbmo,0)))</f>
        <v> </v>
      </c>
      <c r="U262" s="444" t="str">
        <f aca="false">IF(A262="N/A"," ",IF(Basischeck=TRUE(),(VLOOKUP(A262,GasCurves,IF(MONTH(A262)&gt;=4,IF(MONTH(A262)&lt;=10,11,12),12),FALSE())),0))</f>
        <v> </v>
      </c>
      <c r="V262" s="444" t="str">
        <f aca="false">IF(A262="N/A"," ",IF(Indexcheck=TRUE(),(IF(MONTH(A262)&gt;=4,IF(MONTH(A262)&lt;=10,VLOOKUP(A262,'Gas Curves'!B240:O600,13),VLOOKUP(A262,'Gas Curves'!B240:O600,14)),VLOOKUP(A262,'Gas Curves'!B240:O600,14))),0))</f>
        <v> </v>
      </c>
      <c r="W262" s="444" t="str">
        <f aca="false">IF(A262="N/A"," ",((SUM(T262:V262))/(1-Inputs!$S$11)-(SUM(T262:V262))))</f>
        <v> </v>
      </c>
      <c r="X262" s="444" t="str">
        <f aca="false">IF(A262="N/A"," ",(IF(MONTH(A262)&gt;=4,IF(MONTH(A262)&lt;=10,Inputs!$S$9,Inputs!$S$10),Inputs!$S$10)))</f>
        <v> </v>
      </c>
      <c r="Y262" s="445" t="str">
        <f aca="false">IF(A262="N/A"," ",(VLOOKUP($A262,InterestRatesTable,2)))</f>
        <v> </v>
      </c>
      <c r="AF262" s="386" t="n">
        <f aca="false">EOMONTH(AF261,0)+1</f>
        <v>44409</v>
      </c>
      <c r="AG262" s="376" t="n">
        <v>22</v>
      </c>
      <c r="AH262" s="376" t="n">
        <v>5</v>
      </c>
      <c r="AI262" s="376" t="n">
        <v>4</v>
      </c>
      <c r="AJ262" s="376" t="n">
        <v>0</v>
      </c>
      <c r="AK262" s="376" t="n">
        <v>31</v>
      </c>
    </row>
    <row r="263" customFormat="false" ht="12.75" hidden="false" customHeight="false" outlineLevel="0" collapsed="false">
      <c r="A263" s="434" t="str">
        <f aca="false">Calculations!A228</f>
        <v>N/A</v>
      </c>
      <c r="B263" s="435" t="str">
        <f aca="false">IF(A263="N/A"," ",IF(ISERROR(P263),B251*Pwresc,P263)*VLOOKUP(MONTH(A263),Curveadj,3))</f>
        <v> </v>
      </c>
      <c r="C263" s="436" t="str">
        <f aca="false">IF(A263="N/A"," ",IF(ISERROR(Q263),C251*Pwresc,Q263)*VLOOKUP(MONTH(A263),Curveadj,3))</f>
        <v> </v>
      </c>
      <c r="D263" s="437" t="str">
        <f aca="false">IF(A263="N/A"," ",IF(ISERROR(R263),D251*Pwresc,R263)*VLOOKUP(MONTH(A263),Curveadj,3))</f>
        <v> </v>
      </c>
      <c r="E263" s="438" t="str">
        <f aca="false">IF(A263="N/A"," ",IF(Scalers=1,(IF(AND(Dynamic=1,MONTH(A263)&gt;=6,MONTH(A263)&lt;=8,OR($O$37="REGION 2",$O$37="REGION 2A",$O$37="REGION 2B",$O$37="REGION 3",$O$37="REGION 3A",$O$37="REGION 3B",$O$37="REGION 3C",$O$37="REGION 4",$O$37="REGION 4B",$O$37="REGION 4C",$O$37="REGION 5",$O$37="REGION 5A")),((0.059228/(B263/100))-(0.4980013/(SQRT(B263/100)))+2.137988),HLOOKUP(MONTH(A263),ScalarTable,28))),1))</f>
        <v> </v>
      </c>
      <c r="F263" s="439" t="str">
        <f aca="false">IF(A263="N/A"," ",B263*E263)</f>
        <v> </v>
      </c>
      <c r="G263" s="439" t="str">
        <f aca="false">IF(A263="N/A"," ",C263*E263)</f>
        <v> </v>
      </c>
      <c r="H263" s="440" t="str">
        <f aca="false">IF(A263="N/A"," ",D263*E263)</f>
        <v> </v>
      </c>
      <c r="I263" s="402" t="str">
        <f aca="false">IF(A263="N/A"," ",2-E263)</f>
        <v> </v>
      </c>
      <c r="J263" s="439" t="str">
        <f aca="false">IF(A263="N/A"," ",B263*I263)</f>
        <v> </v>
      </c>
      <c r="K263" s="439" t="str">
        <f aca="false">IF(A263="N/A"," ",C263*I263)</f>
        <v> </v>
      </c>
      <c r="L263" s="440" t="str">
        <f aca="false">IF(A263="N/A"," ",D263*I263)</f>
        <v> </v>
      </c>
      <c r="M263" s="441" t="str">
        <f aca="false">IF(A263="N/A"," ",IF(ISERROR(S263),M251*Pwresc,S263))</f>
        <v> </v>
      </c>
      <c r="N263" s="442" t="str">
        <f aca="false">IF(A263="N/A"," ",SUM(T263:X263))</f>
        <v> </v>
      </c>
      <c r="O263" s="370"/>
      <c r="P263" s="436" t="str">
        <f aca="false">IF(A263="N/A"," ",VLOOKUP(A263,PeakPowerCurves,(IF(BMO=2,3,IF(BMO=1,2,4))),FALSE())+Inputs!N246)</f>
        <v> </v>
      </c>
      <c r="Q263" s="436" t="str">
        <f aca="false">IF(A263="N/A"," ",VLOOKUP(A263,SatSunPeakPwr,(IF(BMO=2,3,IF(BMO=1,2,4))),FALSE())+Inputs!$N$23)</f>
        <v> </v>
      </c>
      <c r="R263" s="436" t="str">
        <f aca="false">IF(A263="N/A"," ",VLOOKUP(A263,SatSunPeakPwr,(IF(BMO=2,7,IF(BMO=1,6,8))),FALSE())+Inputs!$N$23)</f>
        <v> </v>
      </c>
      <c r="S263" s="443" t="str">
        <f aca="false">IF(A263="N/A"," ",(VLOOKUP(A263,OPPowerPrices,(IF(BMO=2,7,IF(BMO=1,6,8))),FALSE())+Inputs!$N$23))</f>
        <v> </v>
      </c>
      <c r="T263" s="444" t="str">
        <f aca="false">IF(A263="N/A"," ",(VLOOKUP(A263,GasCurves,9,FALSE()))+IF(BMO=1,Gasbmo,IF(BMO=3,-Gasbmo,0)))</f>
        <v> </v>
      </c>
      <c r="U263" s="444" t="str">
        <f aca="false">IF(A263="N/A"," ",IF(Basischeck=TRUE(),(VLOOKUP(A263,GasCurves,IF(MONTH(A263)&gt;=4,IF(MONTH(A263)&lt;=10,11,12),12),FALSE())),0))</f>
        <v> </v>
      </c>
      <c r="V263" s="444" t="str">
        <f aca="false">IF(A263="N/A"," ",IF(Indexcheck=TRUE(),(IF(MONTH(A263)&gt;=4,IF(MONTH(A263)&lt;=10,VLOOKUP(A263,'Gas Curves'!B241:O601,13),VLOOKUP(A263,'Gas Curves'!B241:O601,14)),VLOOKUP(A263,'Gas Curves'!B241:O601,14))),0))</f>
        <v> </v>
      </c>
      <c r="W263" s="444" t="str">
        <f aca="false">IF(A263="N/A"," ",((SUM(T263:V263))/(1-Inputs!$S$11)-(SUM(T263:V263))))</f>
        <v> </v>
      </c>
      <c r="X263" s="444" t="str">
        <f aca="false">IF(A263="N/A"," ",(IF(MONTH(A263)&gt;=4,IF(MONTH(A263)&lt;=10,Inputs!$S$9,Inputs!$S$10),Inputs!$S$10)))</f>
        <v> </v>
      </c>
      <c r="Y263" s="445" t="str">
        <f aca="false">IF(A263="N/A"," ",(VLOOKUP($A263,InterestRatesTable,2)))</f>
        <v> </v>
      </c>
      <c r="AF263" s="386" t="n">
        <f aca="false">EOMONTH(AF262,0)+1</f>
        <v>44440</v>
      </c>
      <c r="AG263" s="376" t="n">
        <v>20</v>
      </c>
      <c r="AH263" s="376" t="n">
        <v>4</v>
      </c>
      <c r="AI263" s="376" t="n">
        <v>6</v>
      </c>
      <c r="AJ263" s="376" t="n">
        <v>1</v>
      </c>
      <c r="AK263" s="376" t="n">
        <v>30</v>
      </c>
    </row>
    <row r="264" customFormat="false" ht="12.75" hidden="false" customHeight="false" outlineLevel="0" collapsed="false">
      <c r="A264" s="434" t="str">
        <f aca="false">Calculations!A229</f>
        <v>N/A</v>
      </c>
      <c r="B264" s="435" t="str">
        <f aca="false">IF(A264="N/A"," ",IF(ISERROR(P264),B252*Pwresc,P264)*VLOOKUP(MONTH(A264),Curveadj,3))</f>
        <v> </v>
      </c>
      <c r="C264" s="436" t="str">
        <f aca="false">IF(A264="N/A"," ",IF(ISERROR(Q264),C252*Pwresc,Q264)*VLOOKUP(MONTH(A264),Curveadj,3))</f>
        <v> </v>
      </c>
      <c r="D264" s="437" t="str">
        <f aca="false">IF(A264="N/A"," ",IF(ISERROR(R264),D252*Pwresc,R264)*VLOOKUP(MONTH(A264),Curveadj,3))</f>
        <v> </v>
      </c>
      <c r="E264" s="438" t="str">
        <f aca="false">IF(A264="N/A"," ",IF(Scalers=1,(IF(AND(Dynamic=1,MONTH(A264)&gt;=6,MONTH(A264)&lt;=8,OR($O$37="REGION 2",$O$37="REGION 2A",$O$37="REGION 2B",$O$37="REGION 3",$O$37="REGION 3A",$O$37="REGION 3B",$O$37="REGION 3C",$O$37="REGION 4",$O$37="REGION 4B",$O$37="REGION 4C",$O$37="REGION 5",$O$37="REGION 5A")),((0.059228/(B264/100))-(0.4980013/(SQRT(B264/100)))+2.137988),HLOOKUP(MONTH(A264),ScalarTable,28))),1))</f>
        <v> </v>
      </c>
      <c r="F264" s="439" t="str">
        <f aca="false">IF(A264="N/A"," ",B264*E264)</f>
        <v> </v>
      </c>
      <c r="G264" s="439" t="str">
        <f aca="false">IF(A264="N/A"," ",C264*E264)</f>
        <v> </v>
      </c>
      <c r="H264" s="440" t="str">
        <f aca="false">IF(A264="N/A"," ",D264*E264)</f>
        <v> </v>
      </c>
      <c r="I264" s="402" t="str">
        <f aca="false">IF(A264="N/A"," ",2-E264)</f>
        <v> </v>
      </c>
      <c r="J264" s="439" t="str">
        <f aca="false">IF(A264="N/A"," ",B264*I264)</f>
        <v> </v>
      </c>
      <c r="K264" s="439" t="str">
        <f aca="false">IF(A264="N/A"," ",C264*I264)</f>
        <v> </v>
      </c>
      <c r="L264" s="440" t="str">
        <f aca="false">IF(A264="N/A"," ",D264*I264)</f>
        <v> </v>
      </c>
      <c r="M264" s="441" t="str">
        <f aca="false">IF(A264="N/A"," ",IF(ISERROR(S264),M252*Pwresc,S264))</f>
        <v> </v>
      </c>
      <c r="N264" s="442" t="str">
        <f aca="false">IF(A264="N/A"," ",SUM(T264:X264))</f>
        <v> </v>
      </c>
      <c r="O264" s="370"/>
      <c r="P264" s="436" t="str">
        <f aca="false">IF(A264="N/A"," ",VLOOKUP(A264,PeakPowerCurves,(IF(BMO=2,3,IF(BMO=1,2,4))),FALSE())+Inputs!N247)</f>
        <v> </v>
      </c>
      <c r="Q264" s="436" t="str">
        <f aca="false">IF(A264="N/A"," ",VLOOKUP(A264,SatSunPeakPwr,(IF(BMO=2,3,IF(BMO=1,2,4))),FALSE())+Inputs!$N$23)</f>
        <v> </v>
      </c>
      <c r="R264" s="436" t="str">
        <f aca="false">IF(A264="N/A"," ",VLOOKUP(A264,SatSunPeakPwr,(IF(BMO=2,7,IF(BMO=1,6,8))),FALSE())+Inputs!$N$23)</f>
        <v> </v>
      </c>
      <c r="S264" s="443" t="str">
        <f aca="false">IF(A264="N/A"," ",(VLOOKUP(A264,OPPowerPrices,(IF(BMO=2,7,IF(BMO=1,6,8))),FALSE())+Inputs!$N$23))</f>
        <v> </v>
      </c>
      <c r="T264" s="444" t="str">
        <f aca="false">IF(A264="N/A"," ",(VLOOKUP(A264,GasCurves,9,FALSE()))+IF(BMO=1,Gasbmo,IF(BMO=3,-Gasbmo,0)))</f>
        <v> </v>
      </c>
      <c r="U264" s="444" t="str">
        <f aca="false">IF(A264="N/A"," ",IF(Basischeck=TRUE(),(VLOOKUP(A264,GasCurves,IF(MONTH(A264)&gt;=4,IF(MONTH(A264)&lt;=10,11,12),12),FALSE())),0))</f>
        <v> </v>
      </c>
      <c r="V264" s="444" t="str">
        <f aca="false">IF(A264="N/A"," ",IF(Indexcheck=TRUE(),(IF(MONTH(A264)&gt;=4,IF(MONTH(A264)&lt;=10,VLOOKUP(A264,'Gas Curves'!B242:O602,13),VLOOKUP(A264,'Gas Curves'!B242:O602,14)),VLOOKUP(A264,'Gas Curves'!B242:O602,14))),0))</f>
        <v> </v>
      </c>
      <c r="W264" s="444" t="str">
        <f aca="false">IF(A264="N/A"," ",((SUM(T264:V264))/(1-Inputs!$S$11)-(SUM(T264:V264))))</f>
        <v> </v>
      </c>
      <c r="X264" s="444" t="str">
        <f aca="false">IF(A264="N/A"," ",(IF(MONTH(A264)&gt;=4,IF(MONTH(A264)&lt;=10,Inputs!$S$9,Inputs!$S$10),Inputs!$S$10)))</f>
        <v> </v>
      </c>
      <c r="Y264" s="445" t="str">
        <f aca="false">IF(A264="N/A"," ",(VLOOKUP($A264,InterestRatesTable,2)))</f>
        <v> </v>
      </c>
      <c r="AF264" s="386" t="n">
        <f aca="false">EOMONTH(AF263,0)+1</f>
        <v>44470</v>
      </c>
      <c r="AG264" s="376" t="n">
        <v>23</v>
      </c>
      <c r="AH264" s="376" t="n">
        <v>4</v>
      </c>
      <c r="AI264" s="376" t="n">
        <v>4</v>
      </c>
      <c r="AJ264" s="376" t="n">
        <v>0</v>
      </c>
      <c r="AK264" s="376" t="n">
        <v>31</v>
      </c>
    </row>
    <row r="265" customFormat="false" ht="12.75" hidden="false" customHeight="false" outlineLevel="0" collapsed="false">
      <c r="A265" s="434" t="str">
        <f aca="false">Calculations!A230</f>
        <v>N/A</v>
      </c>
      <c r="B265" s="435" t="str">
        <f aca="false">IF(A265="N/A"," ",IF(ISERROR(P265),B253*Pwresc,P265)*VLOOKUP(MONTH(A265),Curveadj,3))</f>
        <v> </v>
      </c>
      <c r="C265" s="436" t="str">
        <f aca="false">IF(A265="N/A"," ",IF(ISERROR(Q265),C253*Pwresc,Q265)*VLOOKUP(MONTH(A265),Curveadj,3))</f>
        <v> </v>
      </c>
      <c r="D265" s="437" t="str">
        <f aca="false">IF(A265="N/A"," ",IF(ISERROR(R265),D253*Pwresc,R265)*VLOOKUP(MONTH(A265),Curveadj,3))</f>
        <v> </v>
      </c>
      <c r="E265" s="438" t="str">
        <f aca="false">IF(A265="N/A"," ",IF(Scalers=1,(IF(AND(Dynamic=1,MONTH(A265)&gt;=6,MONTH(A265)&lt;=8,OR($O$37="REGION 2",$O$37="REGION 2A",$O$37="REGION 2B",$O$37="REGION 3",$O$37="REGION 3A",$O$37="REGION 3B",$O$37="REGION 3C",$O$37="REGION 4",$O$37="REGION 4B",$O$37="REGION 4C",$O$37="REGION 5",$O$37="REGION 5A")),((0.059228/(B265/100))-(0.4980013/(SQRT(B265/100)))+2.137988),HLOOKUP(MONTH(A265),ScalarTable,28))),1))</f>
        <v> </v>
      </c>
      <c r="F265" s="439" t="str">
        <f aca="false">IF(A265="N/A"," ",B265*E265)</f>
        <v> </v>
      </c>
      <c r="G265" s="439" t="str">
        <f aca="false">IF(A265="N/A"," ",C265*E265)</f>
        <v> </v>
      </c>
      <c r="H265" s="440" t="str">
        <f aca="false">IF(A265="N/A"," ",D265*E265)</f>
        <v> </v>
      </c>
      <c r="I265" s="402" t="str">
        <f aca="false">IF(A265="N/A"," ",2-E265)</f>
        <v> </v>
      </c>
      <c r="J265" s="439" t="str">
        <f aca="false">IF(A265="N/A"," ",B265*I265)</f>
        <v> </v>
      </c>
      <c r="K265" s="439" t="str">
        <f aca="false">IF(A265="N/A"," ",C265*I265)</f>
        <v> </v>
      </c>
      <c r="L265" s="440" t="str">
        <f aca="false">IF(A265="N/A"," ",D265*I265)</f>
        <v> </v>
      </c>
      <c r="M265" s="441" t="str">
        <f aca="false">IF(A265="N/A"," ",IF(ISERROR(S265),M253*Pwresc,S265))</f>
        <v> </v>
      </c>
      <c r="N265" s="442" t="str">
        <f aca="false">IF(A265="N/A"," ",SUM(T265:X265))</f>
        <v> </v>
      </c>
      <c r="O265" s="370"/>
      <c r="P265" s="436" t="str">
        <f aca="false">IF(A265="N/A"," ",VLOOKUP(A265,PeakPowerCurves,(IF(BMO=2,3,IF(BMO=1,2,4))),FALSE())+Inputs!N248)</f>
        <v> </v>
      </c>
      <c r="Q265" s="436" t="str">
        <f aca="false">IF(A265="N/A"," ",VLOOKUP(A265,SatSunPeakPwr,(IF(BMO=2,3,IF(BMO=1,2,4))),FALSE())+Inputs!$N$23)</f>
        <v> </v>
      </c>
      <c r="R265" s="436" t="str">
        <f aca="false">IF(A265="N/A"," ",VLOOKUP(A265,SatSunPeakPwr,(IF(BMO=2,7,IF(BMO=1,6,8))),FALSE())+Inputs!$N$23)</f>
        <v> </v>
      </c>
      <c r="S265" s="443" t="str">
        <f aca="false">IF(A265="N/A"," ",(VLOOKUP(A265,OPPowerPrices,(IF(BMO=2,7,IF(BMO=1,6,8))),FALSE())+Inputs!$N$23))</f>
        <v> </v>
      </c>
      <c r="T265" s="444" t="str">
        <f aca="false">IF(A265="N/A"," ",(VLOOKUP(A265,GasCurves,9,FALSE()))+IF(BMO=1,Gasbmo,IF(BMO=3,-Gasbmo,0)))</f>
        <v> </v>
      </c>
      <c r="U265" s="444" t="str">
        <f aca="false">IF(A265="N/A"," ",IF(Basischeck=TRUE(),(VLOOKUP(A265,GasCurves,IF(MONTH(A265)&gt;=4,IF(MONTH(A265)&lt;=10,11,12),12),FALSE())),0))</f>
        <v> </v>
      </c>
      <c r="V265" s="444" t="str">
        <f aca="false">IF(A265="N/A"," ",IF(Indexcheck=TRUE(),(IF(MONTH(A265)&gt;=4,IF(MONTH(A265)&lt;=10,VLOOKUP(A265,'Gas Curves'!B243:O603,13),VLOOKUP(A265,'Gas Curves'!B243:O603,14)),VLOOKUP(A265,'Gas Curves'!B243:O603,14))),0))</f>
        <v> </v>
      </c>
      <c r="W265" s="444" t="str">
        <f aca="false">IF(A265="N/A"," ",((SUM(T265:V265))/(1-Inputs!$S$11)-(SUM(T265:V265))))</f>
        <v> </v>
      </c>
      <c r="X265" s="444" t="str">
        <f aca="false">IF(A265="N/A"," ",(IF(MONTH(A265)&gt;=4,IF(MONTH(A265)&lt;=10,Inputs!$S$9,Inputs!$S$10),Inputs!$S$10)))</f>
        <v> </v>
      </c>
      <c r="Y265" s="445" t="str">
        <f aca="false">IF(A265="N/A"," ",(VLOOKUP($A265,InterestRatesTable,2)))</f>
        <v> </v>
      </c>
      <c r="AF265" s="386" t="n">
        <f aca="false">EOMONTH(AF264,0)+1</f>
        <v>44501</v>
      </c>
      <c r="AG265" s="376" t="n">
        <v>20</v>
      </c>
      <c r="AH265" s="376" t="n">
        <v>5</v>
      </c>
      <c r="AI265" s="376" t="n">
        <v>5</v>
      </c>
      <c r="AJ265" s="376" t="n">
        <v>1</v>
      </c>
      <c r="AK265" s="376" t="n">
        <v>30</v>
      </c>
    </row>
    <row r="266" customFormat="false" ht="12.75" hidden="false" customHeight="false" outlineLevel="0" collapsed="false">
      <c r="A266" s="434" t="str">
        <f aca="false">Calculations!A231</f>
        <v>N/A</v>
      </c>
      <c r="B266" s="435" t="str">
        <f aca="false">IF(A266="N/A"," ",IF(ISERROR(P266),B254*Pwresc,P266)*VLOOKUP(MONTH(A266),Curveadj,3))</f>
        <v> </v>
      </c>
      <c r="C266" s="436" t="str">
        <f aca="false">IF(A266="N/A"," ",IF(ISERROR(Q266),C254*Pwresc,Q266)*VLOOKUP(MONTH(A266),Curveadj,3))</f>
        <v> </v>
      </c>
      <c r="D266" s="437" t="str">
        <f aca="false">IF(A266="N/A"," ",IF(ISERROR(R266),D254*Pwresc,R266)*VLOOKUP(MONTH(A266),Curveadj,3))</f>
        <v> </v>
      </c>
      <c r="E266" s="438" t="str">
        <f aca="false">IF(A266="N/A"," ",IF(Scalers=1,(IF(AND(Dynamic=1,MONTH(A266)&gt;=6,MONTH(A266)&lt;=8,OR($O$37="REGION 2",$O$37="REGION 2A",$O$37="REGION 2B",$O$37="REGION 3",$O$37="REGION 3A",$O$37="REGION 3B",$O$37="REGION 3C",$O$37="REGION 4",$O$37="REGION 4B",$O$37="REGION 4C",$O$37="REGION 5",$O$37="REGION 5A")),((0.059228/(B266/100))-(0.4980013/(SQRT(B266/100)))+2.137988),HLOOKUP(MONTH(A266),ScalarTable,28))),1))</f>
        <v> </v>
      </c>
      <c r="F266" s="439" t="str">
        <f aca="false">IF(A266="N/A"," ",B266*E266)</f>
        <v> </v>
      </c>
      <c r="G266" s="439" t="str">
        <f aca="false">IF(A266="N/A"," ",C266*E266)</f>
        <v> </v>
      </c>
      <c r="H266" s="440" t="str">
        <f aca="false">IF(A266="N/A"," ",D266*E266)</f>
        <v> </v>
      </c>
      <c r="I266" s="402" t="str">
        <f aca="false">IF(A266="N/A"," ",2-E266)</f>
        <v> </v>
      </c>
      <c r="J266" s="439" t="str">
        <f aca="false">IF(A266="N/A"," ",B266*I266)</f>
        <v> </v>
      </c>
      <c r="K266" s="439" t="str">
        <f aca="false">IF(A266="N/A"," ",C266*I266)</f>
        <v> </v>
      </c>
      <c r="L266" s="440" t="str">
        <f aca="false">IF(A266="N/A"," ",D266*I266)</f>
        <v> </v>
      </c>
      <c r="M266" s="441" t="str">
        <f aca="false">IF(A266="N/A"," ",IF(ISERROR(S266),M254*Pwresc,S266))</f>
        <v> </v>
      </c>
      <c r="N266" s="442" t="str">
        <f aca="false">IF(A266="N/A"," ",SUM(T266:X266))</f>
        <v> </v>
      </c>
      <c r="O266" s="370"/>
      <c r="P266" s="436" t="str">
        <f aca="false">IF(A266="N/A"," ",VLOOKUP(A266,PeakPowerCurves,(IF(BMO=2,3,IF(BMO=1,2,4))),FALSE())+Inputs!N249)</f>
        <v> </v>
      </c>
      <c r="Q266" s="436" t="str">
        <f aca="false">IF(A266="N/A"," ",VLOOKUP(A266,SatSunPeakPwr,(IF(BMO=2,3,IF(BMO=1,2,4))),FALSE())+Inputs!$N$23)</f>
        <v> </v>
      </c>
      <c r="R266" s="436" t="str">
        <f aca="false">IF(A266="N/A"," ",VLOOKUP(A266,SatSunPeakPwr,(IF(BMO=2,7,IF(BMO=1,6,8))),FALSE())+Inputs!$N$23)</f>
        <v> </v>
      </c>
      <c r="S266" s="443" t="str">
        <f aca="false">IF(A266="N/A"," ",(VLOOKUP(A266,OPPowerPrices,(IF(BMO=2,7,IF(BMO=1,6,8))),FALSE())+Inputs!$N$23))</f>
        <v> </v>
      </c>
      <c r="T266" s="444" t="str">
        <f aca="false">IF(A266="N/A"," ",(VLOOKUP(A266,GasCurves,9,FALSE()))+IF(BMO=1,Gasbmo,IF(BMO=3,-Gasbmo,0)))</f>
        <v> </v>
      </c>
      <c r="U266" s="444" t="str">
        <f aca="false">IF(A266="N/A"," ",IF(Basischeck=TRUE(),(VLOOKUP(A266,GasCurves,IF(MONTH(A266)&gt;=4,IF(MONTH(A266)&lt;=10,11,12),12),FALSE())),0))</f>
        <v> </v>
      </c>
      <c r="V266" s="444" t="str">
        <f aca="false">IF(A266="N/A"," ",IF(Indexcheck=TRUE(),(IF(MONTH(A266)&gt;=4,IF(MONTH(A266)&lt;=10,VLOOKUP(A266,'Gas Curves'!B244:O604,13),VLOOKUP(A266,'Gas Curves'!B244:O604,14)),VLOOKUP(A266,'Gas Curves'!B244:O604,14))),0))</f>
        <v> </v>
      </c>
      <c r="W266" s="444" t="str">
        <f aca="false">IF(A266="N/A"," ",((SUM(T266:V266))/(1-Inputs!$S$11)-(SUM(T266:V266))))</f>
        <v> </v>
      </c>
      <c r="X266" s="444" t="str">
        <f aca="false">IF(A266="N/A"," ",(IF(MONTH(A266)&gt;=4,IF(MONTH(A266)&lt;=10,Inputs!$S$9,Inputs!$S$10),Inputs!$S$10)))</f>
        <v> </v>
      </c>
      <c r="Y266" s="445" t="str">
        <f aca="false">IF(A266="N/A"," ",(VLOOKUP($A266,InterestRatesTable,2)))</f>
        <v> </v>
      </c>
      <c r="AF266" s="386" t="n">
        <f aca="false">EOMONTH(AF265,0)+1</f>
        <v>44531</v>
      </c>
      <c r="AG266" s="376" t="n">
        <v>21</v>
      </c>
      <c r="AH266" s="376" t="n">
        <v>4</v>
      </c>
      <c r="AI266" s="376" t="n">
        <v>6</v>
      </c>
      <c r="AJ266" s="376" t="n">
        <v>1</v>
      </c>
      <c r="AK266" s="376" t="n">
        <v>31</v>
      </c>
    </row>
    <row r="267" customFormat="false" ht="12.75" hidden="false" customHeight="false" outlineLevel="0" collapsed="false">
      <c r="A267" s="434" t="str">
        <f aca="false">Calculations!A232</f>
        <v>N/A</v>
      </c>
      <c r="B267" s="435" t="str">
        <f aca="false">IF(A267="N/A"," ",IF(ISERROR(P267),B255*Pwresc,P267)*VLOOKUP(MONTH(A267),Curveadj,3))</f>
        <v> </v>
      </c>
      <c r="C267" s="436" t="str">
        <f aca="false">IF(A267="N/A"," ",IF(ISERROR(Q267),C255*Pwresc,Q267)*VLOOKUP(MONTH(A267),Curveadj,3))</f>
        <v> </v>
      </c>
      <c r="D267" s="437" t="str">
        <f aca="false">IF(A267="N/A"," ",IF(ISERROR(R267),D255*Pwresc,R267)*VLOOKUP(MONTH(A267),Curveadj,3))</f>
        <v> </v>
      </c>
      <c r="E267" s="438" t="str">
        <f aca="false">IF(A267="N/A"," ",IF(Scalers=1,(IF(AND(Dynamic=1,MONTH(A267)&gt;=6,MONTH(A267)&lt;=8,OR($O$37="REGION 2",$O$37="REGION 2A",$O$37="REGION 2B",$O$37="REGION 3",$O$37="REGION 3A",$O$37="REGION 3B",$O$37="REGION 3C",$O$37="REGION 4",$O$37="REGION 4B",$O$37="REGION 4C",$O$37="REGION 5",$O$37="REGION 5A")),((0.059228/(B267/100))-(0.4980013/(SQRT(B267/100)))+2.137988),HLOOKUP(MONTH(A267),ScalarTable,28))),1))</f>
        <v> </v>
      </c>
      <c r="F267" s="439" t="str">
        <f aca="false">IF(A267="N/A"," ",B267*E267)</f>
        <v> </v>
      </c>
      <c r="G267" s="439" t="str">
        <f aca="false">IF(A267="N/A"," ",C267*E267)</f>
        <v> </v>
      </c>
      <c r="H267" s="440" t="str">
        <f aca="false">IF(A267="N/A"," ",D267*E267)</f>
        <v> </v>
      </c>
      <c r="I267" s="402" t="str">
        <f aca="false">IF(A267="N/A"," ",2-E267)</f>
        <v> </v>
      </c>
      <c r="J267" s="439" t="str">
        <f aca="false">IF(A267="N/A"," ",B267*I267)</f>
        <v> </v>
      </c>
      <c r="K267" s="439" t="str">
        <f aca="false">IF(A267="N/A"," ",C267*I267)</f>
        <v> </v>
      </c>
      <c r="L267" s="440" t="str">
        <f aca="false">IF(A267="N/A"," ",D267*I267)</f>
        <v> </v>
      </c>
      <c r="M267" s="441" t="str">
        <f aca="false">IF(A267="N/A"," ",IF(ISERROR(S267),M255*Pwresc,S267))</f>
        <v> </v>
      </c>
      <c r="N267" s="442" t="str">
        <f aca="false">IF(A267="N/A"," ",SUM(T267:X267))</f>
        <v> </v>
      </c>
      <c r="O267" s="370"/>
      <c r="P267" s="436" t="str">
        <f aca="false">IF(A267="N/A"," ",VLOOKUP(A267,PeakPowerCurves,(IF(BMO=2,3,IF(BMO=1,2,4))),FALSE())+Inputs!N250)</f>
        <v> </v>
      </c>
      <c r="Q267" s="436" t="str">
        <f aca="false">IF(A267="N/A"," ",VLOOKUP(A267,SatSunPeakPwr,(IF(BMO=2,3,IF(BMO=1,2,4))),FALSE())+Inputs!$N$23)</f>
        <v> </v>
      </c>
      <c r="R267" s="436" t="str">
        <f aca="false">IF(A267="N/A"," ",VLOOKUP(A267,SatSunPeakPwr,(IF(BMO=2,7,IF(BMO=1,6,8))),FALSE())+Inputs!$N$23)</f>
        <v> </v>
      </c>
      <c r="S267" s="443" t="str">
        <f aca="false">IF(A267="N/A"," ",(VLOOKUP(A267,OPPowerPrices,(IF(BMO=2,7,IF(BMO=1,6,8))),FALSE())+Inputs!$N$23))</f>
        <v> </v>
      </c>
      <c r="T267" s="444" t="str">
        <f aca="false">IF(A267="N/A"," ",(VLOOKUP(A267,GasCurves,9,FALSE()))+IF(BMO=1,Gasbmo,IF(BMO=3,-Gasbmo,0)))</f>
        <v> </v>
      </c>
      <c r="U267" s="444" t="str">
        <f aca="false">IF(A267="N/A"," ",IF(Basischeck=TRUE(),(VLOOKUP(A267,GasCurves,IF(MONTH(A267)&gt;=4,IF(MONTH(A267)&lt;=10,11,12),12),FALSE())),0))</f>
        <v> </v>
      </c>
      <c r="V267" s="444" t="str">
        <f aca="false">IF(A267="N/A"," ",IF(Indexcheck=TRUE(),(IF(MONTH(A267)&gt;=4,IF(MONTH(A267)&lt;=10,VLOOKUP(A267,'Gas Curves'!B245:O605,13),VLOOKUP(A267,'Gas Curves'!B245:O605,14)),VLOOKUP(A267,'Gas Curves'!B245:O605,14))),0))</f>
        <v> </v>
      </c>
      <c r="W267" s="444" t="str">
        <f aca="false">IF(A267="N/A"," ",((SUM(T267:V267))/(1-Inputs!$S$11)-(SUM(T267:V267))))</f>
        <v> </v>
      </c>
      <c r="X267" s="444" t="str">
        <f aca="false">IF(A267="N/A"," ",(IF(MONTH(A267)&gt;=4,IF(MONTH(A267)&lt;=10,Inputs!$S$9,Inputs!$S$10),Inputs!$S$10)))</f>
        <v> </v>
      </c>
      <c r="Y267" s="445" t="str">
        <f aca="false">IF(A267="N/A"," ",(VLOOKUP($A267,InterestRatesTable,2)))</f>
        <v> </v>
      </c>
      <c r="AF267" s="386" t="n">
        <f aca="false">EOMONTH(AF266,0)+1</f>
        <v>44562</v>
      </c>
      <c r="AG267" s="376" t="n">
        <v>22</v>
      </c>
      <c r="AH267" s="376" t="n">
        <v>4</v>
      </c>
      <c r="AI267" s="376" t="n">
        <v>5</v>
      </c>
      <c r="AJ267" s="376" t="n">
        <v>1</v>
      </c>
      <c r="AK267" s="376" t="n">
        <v>31</v>
      </c>
    </row>
    <row r="268" customFormat="false" ht="12.75" hidden="false" customHeight="false" outlineLevel="0" collapsed="false">
      <c r="A268" s="434" t="str">
        <f aca="false">Calculations!A233</f>
        <v>N/A</v>
      </c>
      <c r="B268" s="435" t="str">
        <f aca="false">IF(A268="N/A"," ",IF(ISERROR(P268),B256*Pwresc,P268)*VLOOKUP(MONTH(A268),Curveadj,3))</f>
        <v> </v>
      </c>
      <c r="C268" s="436" t="str">
        <f aca="false">IF(A268="N/A"," ",IF(ISERROR(Q268),C256*Pwresc,Q268)*VLOOKUP(MONTH(A268),Curveadj,3))</f>
        <v> </v>
      </c>
      <c r="D268" s="437" t="str">
        <f aca="false">IF(A268="N/A"," ",IF(ISERROR(R268),D256*Pwresc,R268)*VLOOKUP(MONTH(A268),Curveadj,3))</f>
        <v> </v>
      </c>
      <c r="E268" s="438" t="str">
        <f aca="false">IF(A268="N/A"," ",IF(Scalers=1,(IF(AND(Dynamic=1,MONTH(A268)&gt;=6,MONTH(A268)&lt;=8,OR($O$37="REGION 2",$O$37="REGION 2A",$O$37="REGION 2B",$O$37="REGION 3",$O$37="REGION 3A",$O$37="REGION 3B",$O$37="REGION 3C",$O$37="REGION 4",$O$37="REGION 4B",$O$37="REGION 4C",$O$37="REGION 5",$O$37="REGION 5A")),((0.059228/(B268/100))-(0.4980013/(SQRT(B268/100)))+2.137988),HLOOKUP(MONTH(A268),ScalarTable,28))),1))</f>
        <v> </v>
      </c>
      <c r="F268" s="439" t="str">
        <f aca="false">IF(A268="N/A"," ",B268*E268)</f>
        <v> </v>
      </c>
      <c r="G268" s="439" t="str">
        <f aca="false">IF(A268="N/A"," ",C268*E268)</f>
        <v> </v>
      </c>
      <c r="H268" s="440" t="str">
        <f aca="false">IF(A268="N/A"," ",D268*E268)</f>
        <v> </v>
      </c>
      <c r="I268" s="402" t="str">
        <f aca="false">IF(A268="N/A"," ",2-E268)</f>
        <v> </v>
      </c>
      <c r="J268" s="439" t="str">
        <f aca="false">IF(A268="N/A"," ",B268*I268)</f>
        <v> </v>
      </c>
      <c r="K268" s="439" t="str">
        <f aca="false">IF(A268="N/A"," ",C268*I268)</f>
        <v> </v>
      </c>
      <c r="L268" s="440" t="str">
        <f aca="false">IF(A268="N/A"," ",D268*I268)</f>
        <v> </v>
      </c>
      <c r="M268" s="441" t="str">
        <f aca="false">IF(A268="N/A"," ",IF(ISERROR(S268),M256*Pwresc,S268))</f>
        <v> </v>
      </c>
      <c r="N268" s="442" t="str">
        <f aca="false">IF(A268="N/A"," ",SUM(T268:X268))</f>
        <v> </v>
      </c>
      <c r="O268" s="370"/>
      <c r="P268" s="436" t="str">
        <f aca="false">IF(A268="N/A"," ",VLOOKUP(A268,PeakPowerCurves,(IF(BMO=2,3,IF(BMO=1,2,4))),FALSE())+Inputs!N251)</f>
        <v> </v>
      </c>
      <c r="Q268" s="436" t="str">
        <f aca="false">IF(A268="N/A"," ",VLOOKUP(A268,SatSunPeakPwr,(IF(BMO=2,3,IF(BMO=1,2,4))),FALSE())+Inputs!$N$23)</f>
        <v> </v>
      </c>
      <c r="R268" s="436" t="str">
        <f aca="false">IF(A268="N/A"," ",VLOOKUP(A268,SatSunPeakPwr,(IF(BMO=2,7,IF(BMO=1,6,8))),FALSE())+Inputs!$N$23)</f>
        <v> </v>
      </c>
      <c r="S268" s="443" t="str">
        <f aca="false">IF(A268="N/A"," ",(VLOOKUP(A268,OPPowerPrices,(IF(BMO=2,7,IF(BMO=1,6,8))),FALSE())+Inputs!$N$23))</f>
        <v> </v>
      </c>
      <c r="T268" s="444" t="str">
        <f aca="false">IF(A268="N/A"," ",(VLOOKUP(A268,GasCurves,9,FALSE()))+IF(BMO=1,Gasbmo,IF(BMO=3,-Gasbmo,0)))</f>
        <v> </v>
      </c>
      <c r="U268" s="444" t="str">
        <f aca="false">IF(A268="N/A"," ",IF(Basischeck=TRUE(),(VLOOKUP(A268,GasCurves,IF(MONTH(A268)&gt;=4,IF(MONTH(A268)&lt;=10,11,12),12),FALSE())),0))</f>
        <v> </v>
      </c>
      <c r="V268" s="444" t="str">
        <f aca="false">IF(A268="N/A"," ",IF(Indexcheck=TRUE(),(IF(MONTH(A268)&gt;=4,IF(MONTH(A268)&lt;=10,VLOOKUP(A268,'Gas Curves'!B246:O606,13),VLOOKUP(A268,'Gas Curves'!B246:O606,14)),VLOOKUP(A268,'Gas Curves'!B246:O606,14))),0))</f>
        <v> </v>
      </c>
      <c r="W268" s="444" t="str">
        <f aca="false">IF(A268="N/A"," ",((SUM(T268:V268))/(1-Inputs!$S$11)-(SUM(T268:V268))))</f>
        <v> </v>
      </c>
      <c r="X268" s="444" t="str">
        <f aca="false">IF(A268="N/A"," ",(IF(MONTH(A268)&gt;=4,IF(MONTH(A268)&lt;=10,Inputs!$S$9,Inputs!$S$10),Inputs!$S$10)))</f>
        <v> </v>
      </c>
      <c r="Y268" s="445" t="str">
        <f aca="false">IF(A268="N/A"," ",(VLOOKUP($A268,InterestRatesTable,2)))</f>
        <v> </v>
      </c>
      <c r="AF268" s="386" t="n">
        <f aca="false">EOMONTH(AF267,0)+1</f>
        <v>44593</v>
      </c>
      <c r="AG268" s="376" t="n">
        <v>20</v>
      </c>
      <c r="AH268" s="376" t="n">
        <v>4</v>
      </c>
      <c r="AI268" s="376" t="n">
        <v>4</v>
      </c>
      <c r="AJ268" s="376" t="n">
        <v>0</v>
      </c>
      <c r="AK268" s="376" t="n">
        <v>28</v>
      </c>
    </row>
    <row r="269" customFormat="false" ht="12.75" hidden="false" customHeight="false" outlineLevel="0" collapsed="false">
      <c r="A269" s="434" t="str">
        <f aca="false">Calculations!A234</f>
        <v>N/A</v>
      </c>
      <c r="B269" s="435" t="str">
        <f aca="false">IF(A269="N/A"," ",IF(ISERROR(P269),B257*Pwresc,P269)*VLOOKUP(MONTH(A269),Curveadj,3))</f>
        <v> </v>
      </c>
      <c r="C269" s="436" t="str">
        <f aca="false">IF(A269="N/A"," ",IF(ISERROR(Q269),C257*Pwresc,Q269)*VLOOKUP(MONTH(A269),Curveadj,3))</f>
        <v> </v>
      </c>
      <c r="D269" s="437" t="str">
        <f aca="false">IF(A269="N/A"," ",IF(ISERROR(R269),D257*Pwresc,R269)*VLOOKUP(MONTH(A269),Curveadj,3))</f>
        <v> </v>
      </c>
      <c r="E269" s="438" t="str">
        <f aca="false">IF(A269="N/A"," ",IF(Scalers=1,(IF(AND(Dynamic=1,MONTH(A269)&gt;=6,MONTH(A269)&lt;=8,OR($O$37="REGION 2",$O$37="REGION 2A",$O$37="REGION 2B",$O$37="REGION 3",$O$37="REGION 3A",$O$37="REGION 3B",$O$37="REGION 3C",$O$37="REGION 4",$O$37="REGION 4B",$O$37="REGION 4C",$O$37="REGION 5",$O$37="REGION 5A")),((0.059228/(B269/100))-(0.4980013/(SQRT(B269/100)))+2.137988),HLOOKUP(MONTH(A269),ScalarTable,28))),1))</f>
        <v> </v>
      </c>
      <c r="F269" s="439" t="str">
        <f aca="false">IF(A269="N/A"," ",B269*E269)</f>
        <v> </v>
      </c>
      <c r="G269" s="439" t="str">
        <f aca="false">IF(A269="N/A"," ",C269*E269)</f>
        <v> </v>
      </c>
      <c r="H269" s="440" t="str">
        <f aca="false">IF(A269="N/A"," ",D269*E269)</f>
        <v> </v>
      </c>
      <c r="I269" s="402" t="str">
        <f aca="false">IF(A269="N/A"," ",2-E269)</f>
        <v> </v>
      </c>
      <c r="J269" s="439" t="str">
        <f aca="false">IF(A269="N/A"," ",B269*I269)</f>
        <v> </v>
      </c>
      <c r="K269" s="439" t="str">
        <f aca="false">IF(A269="N/A"," ",C269*I269)</f>
        <v> </v>
      </c>
      <c r="L269" s="440" t="str">
        <f aca="false">IF(A269="N/A"," ",D269*I269)</f>
        <v> </v>
      </c>
      <c r="M269" s="441" t="str">
        <f aca="false">IF(A269="N/A"," ",IF(ISERROR(S269),M257*Pwresc,S269))</f>
        <v> </v>
      </c>
      <c r="N269" s="442" t="str">
        <f aca="false">IF(A269="N/A"," ",SUM(T269:X269))</f>
        <v> </v>
      </c>
      <c r="O269" s="370"/>
      <c r="P269" s="436" t="str">
        <f aca="false">IF(A269="N/A"," ",VLOOKUP(A269,PeakPowerCurves,(IF(BMO=2,3,IF(BMO=1,2,4))),FALSE())+Inputs!N252)</f>
        <v> </v>
      </c>
      <c r="Q269" s="436" t="str">
        <f aca="false">IF(A269="N/A"," ",VLOOKUP(A269,SatSunPeakPwr,(IF(BMO=2,3,IF(BMO=1,2,4))),FALSE())+Inputs!$N$23)</f>
        <v> </v>
      </c>
      <c r="R269" s="436" t="str">
        <f aca="false">IF(A269="N/A"," ",VLOOKUP(A269,SatSunPeakPwr,(IF(BMO=2,7,IF(BMO=1,6,8))),FALSE())+Inputs!$N$23)</f>
        <v> </v>
      </c>
      <c r="S269" s="443" t="str">
        <f aca="false">IF(A269="N/A"," ",(VLOOKUP(A269,OPPowerPrices,(IF(BMO=2,7,IF(BMO=1,6,8))),FALSE())+Inputs!$N$23))</f>
        <v> </v>
      </c>
      <c r="T269" s="444" t="str">
        <f aca="false">IF(A269="N/A"," ",(VLOOKUP(A269,GasCurves,9,FALSE()))+IF(BMO=1,Gasbmo,IF(BMO=3,-Gasbmo,0)))</f>
        <v> </v>
      </c>
      <c r="U269" s="444" t="str">
        <f aca="false">IF(A269="N/A"," ",IF(Basischeck=TRUE(),(VLOOKUP(A269,GasCurves,IF(MONTH(A269)&gt;=4,IF(MONTH(A269)&lt;=10,11,12),12),FALSE())),0))</f>
        <v> </v>
      </c>
      <c r="V269" s="444" t="str">
        <f aca="false">IF(A269="N/A"," ",IF(Indexcheck=TRUE(),(IF(MONTH(A269)&gt;=4,IF(MONTH(A269)&lt;=10,VLOOKUP(A269,'Gas Curves'!B247:O607,13),VLOOKUP(A269,'Gas Curves'!B247:O607,14)),VLOOKUP(A269,'Gas Curves'!B247:O607,14))),0))</f>
        <v> </v>
      </c>
      <c r="W269" s="444" t="str">
        <f aca="false">IF(A269="N/A"," ",((SUM(T269:V269))/(1-Inputs!$S$11)-(SUM(T269:V269))))</f>
        <v> </v>
      </c>
      <c r="X269" s="444" t="str">
        <f aca="false">IF(A269="N/A"," ",(IF(MONTH(A269)&gt;=4,IF(MONTH(A269)&lt;=10,Inputs!$S$9,Inputs!$S$10),Inputs!$S$10)))</f>
        <v> </v>
      </c>
      <c r="Y269" s="445" t="str">
        <f aca="false">IF(A269="N/A"," ",(VLOOKUP($A269,InterestRatesTable,2)))</f>
        <v> </v>
      </c>
      <c r="AF269" s="386" t="n">
        <f aca="false">EOMONTH(AF268,0)+1</f>
        <v>44621</v>
      </c>
      <c r="AG269" s="376" t="n">
        <v>21</v>
      </c>
      <c r="AH269" s="376" t="n">
        <v>5</v>
      </c>
      <c r="AI269" s="376" t="n">
        <v>5</v>
      </c>
      <c r="AJ269" s="376" t="n">
        <v>0</v>
      </c>
      <c r="AK269" s="376" t="n">
        <v>31</v>
      </c>
    </row>
    <row r="270" customFormat="false" ht="12.75" hidden="false" customHeight="false" outlineLevel="0" collapsed="false">
      <c r="A270" s="434" t="str">
        <f aca="false">Calculations!A235</f>
        <v>N/A</v>
      </c>
      <c r="B270" s="435" t="str">
        <f aca="false">IF(A270="N/A"," ",IF(ISERROR(P270),B258*Pwresc,P270)*VLOOKUP(MONTH(A270),Curveadj,3))</f>
        <v> </v>
      </c>
      <c r="C270" s="436" t="str">
        <f aca="false">IF(A270="N/A"," ",IF(ISERROR(Q270),C258*Pwresc,Q270)*VLOOKUP(MONTH(A270),Curveadj,3))</f>
        <v> </v>
      </c>
      <c r="D270" s="437" t="str">
        <f aca="false">IF(A270="N/A"," ",IF(ISERROR(R270),D258*Pwresc,R270)*VLOOKUP(MONTH(A270),Curveadj,3))</f>
        <v> </v>
      </c>
      <c r="E270" s="438" t="str">
        <f aca="false">IF(A270="N/A"," ",IF(Scalers=1,(IF(AND(Dynamic=1,MONTH(A270)&gt;=6,MONTH(A270)&lt;=8,OR($O$37="REGION 2",$O$37="REGION 2A",$O$37="REGION 2B",$O$37="REGION 3",$O$37="REGION 3A",$O$37="REGION 3B",$O$37="REGION 3C",$O$37="REGION 4",$O$37="REGION 4B",$O$37="REGION 4C",$O$37="REGION 5",$O$37="REGION 5A")),((0.059228/(B270/100))-(0.4980013/(SQRT(B270/100)))+2.137988),HLOOKUP(MONTH(A270),ScalarTable,28))),1))</f>
        <v> </v>
      </c>
      <c r="F270" s="439" t="str">
        <f aca="false">IF(A270="N/A"," ",B270*E270)</f>
        <v> </v>
      </c>
      <c r="G270" s="439" t="str">
        <f aca="false">IF(A270="N/A"," ",C270*E270)</f>
        <v> </v>
      </c>
      <c r="H270" s="440" t="str">
        <f aca="false">IF(A270="N/A"," ",D270*E270)</f>
        <v> </v>
      </c>
      <c r="I270" s="402" t="str">
        <f aca="false">IF(A270="N/A"," ",2-E270)</f>
        <v> </v>
      </c>
      <c r="J270" s="439" t="str">
        <f aca="false">IF(A270="N/A"," ",B270*I270)</f>
        <v> </v>
      </c>
      <c r="K270" s="439" t="str">
        <f aca="false">IF(A270="N/A"," ",C270*I270)</f>
        <v> </v>
      </c>
      <c r="L270" s="440" t="str">
        <f aca="false">IF(A270="N/A"," ",D270*I270)</f>
        <v> </v>
      </c>
      <c r="M270" s="441" t="str">
        <f aca="false">IF(A270="N/A"," ",IF(ISERROR(S270),M258*Pwresc,S270))</f>
        <v> </v>
      </c>
      <c r="N270" s="442" t="str">
        <f aca="false">IF(A270="N/A"," ",SUM(T270:X270))</f>
        <v> </v>
      </c>
      <c r="O270" s="370"/>
      <c r="P270" s="436" t="str">
        <f aca="false">IF(A270="N/A"," ",VLOOKUP(A270,PeakPowerCurves,(IF(BMO=2,3,IF(BMO=1,2,4))),FALSE())+Inputs!N253)</f>
        <v> </v>
      </c>
      <c r="Q270" s="436" t="str">
        <f aca="false">IF(A270="N/A"," ",VLOOKUP(A270,SatSunPeakPwr,(IF(BMO=2,3,IF(BMO=1,2,4))),FALSE())+Inputs!$N$23)</f>
        <v> </v>
      </c>
      <c r="R270" s="436" t="str">
        <f aca="false">IF(A270="N/A"," ",VLOOKUP(A270,SatSunPeakPwr,(IF(BMO=2,7,IF(BMO=1,6,8))),FALSE())+Inputs!$N$23)</f>
        <v> </v>
      </c>
      <c r="S270" s="443" t="str">
        <f aca="false">IF(A270="N/A"," ",(VLOOKUP(A270,OPPowerPrices,(IF(BMO=2,7,IF(BMO=1,6,8))),FALSE())+Inputs!$N$23))</f>
        <v> </v>
      </c>
      <c r="T270" s="444" t="str">
        <f aca="false">IF(A270="N/A"," ",(VLOOKUP(A270,GasCurves,9,FALSE()))+IF(BMO=1,Gasbmo,IF(BMO=3,-Gasbmo,0)))</f>
        <v> </v>
      </c>
      <c r="U270" s="444" t="str">
        <f aca="false">IF(A270="N/A"," ",IF(Basischeck=TRUE(),(VLOOKUP(A270,GasCurves,IF(MONTH(A270)&gt;=4,IF(MONTH(A270)&lt;=10,11,12),12),FALSE())),0))</f>
        <v> </v>
      </c>
      <c r="V270" s="444" t="str">
        <f aca="false">IF(A270="N/A"," ",IF(Indexcheck=TRUE(),(IF(MONTH(A270)&gt;=4,IF(MONTH(A270)&lt;=10,VLOOKUP(A270,'Gas Curves'!B248:O608,13),VLOOKUP(A270,'Gas Curves'!B248:O608,14)),VLOOKUP(A270,'Gas Curves'!B248:O608,14))),0))</f>
        <v> </v>
      </c>
      <c r="W270" s="444" t="str">
        <f aca="false">IF(A270="N/A"," ",((SUM(T270:V270))/(1-Inputs!$S$11)-(SUM(T270:V270))))</f>
        <v> </v>
      </c>
      <c r="X270" s="444" t="str">
        <f aca="false">IF(A270="N/A"," ",(IF(MONTH(A270)&gt;=4,IF(MONTH(A270)&lt;=10,Inputs!$S$9,Inputs!$S$10),Inputs!$S$10)))</f>
        <v> </v>
      </c>
      <c r="Y270" s="445" t="str">
        <f aca="false">IF(A270="N/A"," ",(VLOOKUP($A270,InterestRatesTable,2)))</f>
        <v> </v>
      </c>
      <c r="AF270" s="386" t="n">
        <f aca="false">EOMONTH(AF269,0)+1</f>
        <v>44652</v>
      </c>
      <c r="AG270" s="376" t="n">
        <v>22</v>
      </c>
      <c r="AH270" s="376" t="n">
        <v>4</v>
      </c>
      <c r="AI270" s="376" t="n">
        <v>4</v>
      </c>
      <c r="AJ270" s="376" t="n">
        <v>0</v>
      </c>
      <c r="AK270" s="376" t="n">
        <v>30</v>
      </c>
    </row>
    <row r="271" customFormat="false" ht="12.75" hidden="false" customHeight="false" outlineLevel="0" collapsed="false">
      <c r="A271" s="434" t="str">
        <f aca="false">Calculations!A236</f>
        <v>N/A</v>
      </c>
      <c r="B271" s="435" t="str">
        <f aca="false">IF(A271="N/A"," ",IF(ISERROR(P271),B259*Pwresc,P271)*VLOOKUP(MONTH(A271),Curveadj,3))</f>
        <v> </v>
      </c>
      <c r="C271" s="436" t="str">
        <f aca="false">IF(A271="N/A"," ",IF(ISERROR(Q271),C259*Pwresc,Q271)*VLOOKUP(MONTH(A271),Curveadj,3))</f>
        <v> </v>
      </c>
      <c r="D271" s="437" t="str">
        <f aca="false">IF(A271="N/A"," ",IF(ISERROR(R271),D259*Pwresc,R271)*VLOOKUP(MONTH(A271),Curveadj,3))</f>
        <v> </v>
      </c>
      <c r="E271" s="438" t="str">
        <f aca="false">IF(A271="N/A"," ",IF(Scalers=1,(IF(AND(Dynamic=1,MONTH(A271)&gt;=6,MONTH(A271)&lt;=8,OR($O$37="REGION 2",$O$37="REGION 2A",$O$37="REGION 2B",$O$37="REGION 3",$O$37="REGION 3A",$O$37="REGION 3B",$O$37="REGION 3C",$O$37="REGION 4",$O$37="REGION 4B",$O$37="REGION 4C",$O$37="REGION 5",$O$37="REGION 5A")),((0.059228/(B271/100))-(0.4980013/(SQRT(B271/100)))+2.137988),HLOOKUP(MONTH(A271),ScalarTable,28))),1))</f>
        <v> </v>
      </c>
      <c r="F271" s="439" t="str">
        <f aca="false">IF(A271="N/A"," ",B271*E271)</f>
        <v> </v>
      </c>
      <c r="G271" s="439" t="str">
        <f aca="false">IF(A271="N/A"," ",C271*E271)</f>
        <v> </v>
      </c>
      <c r="H271" s="440" t="str">
        <f aca="false">IF(A271="N/A"," ",D271*E271)</f>
        <v> </v>
      </c>
      <c r="I271" s="402" t="str">
        <f aca="false">IF(A271="N/A"," ",2-E271)</f>
        <v> </v>
      </c>
      <c r="J271" s="439" t="str">
        <f aca="false">IF(A271="N/A"," ",B271*I271)</f>
        <v> </v>
      </c>
      <c r="K271" s="439" t="str">
        <f aca="false">IF(A271="N/A"," ",C271*I271)</f>
        <v> </v>
      </c>
      <c r="L271" s="440" t="str">
        <f aca="false">IF(A271="N/A"," ",D271*I271)</f>
        <v> </v>
      </c>
      <c r="M271" s="441" t="str">
        <f aca="false">IF(A271="N/A"," ",IF(ISERROR(S271),M259*Pwresc,S271))</f>
        <v> </v>
      </c>
      <c r="N271" s="442" t="str">
        <f aca="false">IF(A271="N/A"," ",SUM(T271:X271))</f>
        <v> </v>
      </c>
      <c r="O271" s="370"/>
      <c r="P271" s="436" t="str">
        <f aca="false">IF(A271="N/A"," ",VLOOKUP(A271,PeakPowerCurves,(IF(BMO=2,3,IF(BMO=1,2,4))),FALSE())+Inputs!N254)</f>
        <v> </v>
      </c>
      <c r="Q271" s="436" t="str">
        <f aca="false">IF(A271="N/A"," ",VLOOKUP(A271,SatSunPeakPwr,(IF(BMO=2,3,IF(BMO=1,2,4))),FALSE())+Inputs!$N$23)</f>
        <v> </v>
      </c>
      <c r="R271" s="436" t="str">
        <f aca="false">IF(A271="N/A"," ",VLOOKUP(A271,SatSunPeakPwr,(IF(BMO=2,7,IF(BMO=1,6,8))),FALSE())+Inputs!$N$23)</f>
        <v> </v>
      </c>
      <c r="S271" s="443" t="str">
        <f aca="false">IF(A271="N/A"," ",(VLOOKUP(A271,OPPowerPrices,(IF(BMO=2,7,IF(BMO=1,6,8))),FALSE())+Inputs!$N$23))</f>
        <v> </v>
      </c>
      <c r="T271" s="444" t="str">
        <f aca="false">IF(A271="N/A"," ",(VLOOKUP(A271,GasCurves,9,FALSE()))+IF(BMO=1,Gasbmo,IF(BMO=3,-Gasbmo,0)))</f>
        <v> </v>
      </c>
      <c r="U271" s="444" t="str">
        <f aca="false">IF(A271="N/A"," ",IF(Basischeck=TRUE(),(VLOOKUP(A271,GasCurves,IF(MONTH(A271)&gt;=4,IF(MONTH(A271)&lt;=10,11,12),12),FALSE())),0))</f>
        <v> </v>
      </c>
      <c r="V271" s="444" t="str">
        <f aca="false">IF(A271="N/A"," ",IF(Indexcheck=TRUE(),(IF(MONTH(A271)&gt;=4,IF(MONTH(A271)&lt;=10,VLOOKUP(A271,'Gas Curves'!B249:O609,13),VLOOKUP(A271,'Gas Curves'!B249:O609,14)),VLOOKUP(A271,'Gas Curves'!B249:O609,14))),0))</f>
        <v> </v>
      </c>
      <c r="W271" s="444" t="str">
        <f aca="false">IF(A271="N/A"," ",((SUM(T271:V271))/(1-Inputs!$S$11)-(SUM(T271:V271))))</f>
        <v> </v>
      </c>
      <c r="X271" s="444" t="str">
        <f aca="false">IF(A271="N/A"," ",(IF(MONTH(A271)&gt;=4,IF(MONTH(A271)&lt;=10,Inputs!$S$9,Inputs!$S$10),Inputs!$S$10)))</f>
        <v> </v>
      </c>
      <c r="Y271" s="445" t="str">
        <f aca="false">IF(A271="N/A"," ",(VLOOKUP($A271,InterestRatesTable,2)))</f>
        <v> </v>
      </c>
      <c r="AF271" s="386" t="n">
        <f aca="false">EOMONTH(AF270,0)+1</f>
        <v>44682</v>
      </c>
      <c r="AG271" s="376" t="n">
        <v>22</v>
      </c>
      <c r="AH271" s="376" t="n">
        <v>4</v>
      </c>
      <c r="AI271" s="376" t="n">
        <v>5</v>
      </c>
      <c r="AJ271" s="376" t="n">
        <v>1</v>
      </c>
      <c r="AK271" s="376" t="n">
        <v>31</v>
      </c>
    </row>
    <row r="272" customFormat="false" ht="12.75" hidden="false" customHeight="false" outlineLevel="0" collapsed="false">
      <c r="A272" s="434" t="str">
        <f aca="false">Calculations!A237</f>
        <v>N/A</v>
      </c>
      <c r="B272" s="435" t="str">
        <f aca="false">IF(A272="N/A"," ",IF(ISERROR(P272),B260*Pwresc,P272)*VLOOKUP(MONTH(A272),Curveadj,3))</f>
        <v> </v>
      </c>
      <c r="C272" s="436" t="str">
        <f aca="false">IF(A272="N/A"," ",IF(ISERROR(Q272),C260*Pwresc,Q272)*VLOOKUP(MONTH(A272),Curveadj,3))</f>
        <v> </v>
      </c>
      <c r="D272" s="437" t="str">
        <f aca="false">IF(A272="N/A"," ",IF(ISERROR(R272),D260*Pwresc,R272)*VLOOKUP(MONTH(A272),Curveadj,3))</f>
        <v> </v>
      </c>
      <c r="E272" s="438" t="str">
        <f aca="false">IF(A272="N/A"," ",IF(Scalers=1,(IF(AND(Dynamic=1,MONTH(A272)&gt;=6,MONTH(A272)&lt;=8,OR($O$37="REGION 2",$O$37="REGION 2A",$O$37="REGION 2B",$O$37="REGION 3",$O$37="REGION 3A",$O$37="REGION 3B",$O$37="REGION 3C",$O$37="REGION 4",$O$37="REGION 4B",$O$37="REGION 4C",$O$37="REGION 5",$O$37="REGION 5A")),((0.059228/(B272/100))-(0.4980013/(SQRT(B272/100)))+2.137988),HLOOKUP(MONTH(A272),ScalarTable,28))),1))</f>
        <v> </v>
      </c>
      <c r="F272" s="439" t="str">
        <f aca="false">IF(A272="N/A"," ",B272*E272)</f>
        <v> </v>
      </c>
      <c r="G272" s="439" t="str">
        <f aca="false">IF(A272="N/A"," ",C272*E272)</f>
        <v> </v>
      </c>
      <c r="H272" s="440" t="str">
        <f aca="false">IF(A272="N/A"," ",D272*E272)</f>
        <v> </v>
      </c>
      <c r="I272" s="402" t="str">
        <f aca="false">IF(A272="N/A"," ",2-E272)</f>
        <v> </v>
      </c>
      <c r="J272" s="439" t="str">
        <f aca="false">IF(A272="N/A"," ",B272*I272)</f>
        <v> </v>
      </c>
      <c r="K272" s="439" t="str">
        <f aca="false">IF(A272="N/A"," ",C272*I272)</f>
        <v> </v>
      </c>
      <c r="L272" s="440" t="str">
        <f aca="false">IF(A272="N/A"," ",D272*I272)</f>
        <v> </v>
      </c>
      <c r="M272" s="441" t="str">
        <f aca="false">IF(A272="N/A"," ",IF(ISERROR(S272),M260*Pwresc,S272))</f>
        <v> </v>
      </c>
      <c r="N272" s="442" t="str">
        <f aca="false">IF(A272="N/A"," ",SUM(T272:X272))</f>
        <v> </v>
      </c>
      <c r="O272" s="370"/>
      <c r="P272" s="436" t="str">
        <f aca="false">IF(A272="N/A"," ",VLOOKUP(A272,PeakPowerCurves,(IF(BMO=2,3,IF(BMO=1,2,4))),FALSE())+Inputs!N255)</f>
        <v> </v>
      </c>
      <c r="Q272" s="436" t="str">
        <f aca="false">IF(A272="N/A"," ",VLOOKUP(A272,SatSunPeakPwr,(IF(BMO=2,3,IF(BMO=1,2,4))),FALSE())+Inputs!$N$23)</f>
        <v> </v>
      </c>
      <c r="R272" s="436" t="str">
        <f aca="false">IF(A272="N/A"," ",VLOOKUP(A272,SatSunPeakPwr,(IF(BMO=2,7,IF(BMO=1,6,8))),FALSE())+Inputs!$N$23)</f>
        <v> </v>
      </c>
      <c r="S272" s="443" t="str">
        <f aca="false">IF(A272="N/A"," ",(VLOOKUP(A272,OPPowerPrices,(IF(BMO=2,7,IF(BMO=1,6,8))),FALSE())+Inputs!$N$23))</f>
        <v> </v>
      </c>
      <c r="T272" s="444" t="str">
        <f aca="false">IF(A272="N/A"," ",(VLOOKUP(A272,GasCurves,9,FALSE()))+IF(BMO=1,Gasbmo,IF(BMO=3,-Gasbmo,0)))</f>
        <v> </v>
      </c>
      <c r="U272" s="444" t="str">
        <f aca="false">IF(A272="N/A"," ",IF(Basischeck=TRUE(),(VLOOKUP(A272,GasCurves,IF(MONTH(A272)&gt;=4,IF(MONTH(A272)&lt;=10,11,12),12),FALSE())),0))</f>
        <v> </v>
      </c>
      <c r="V272" s="444" t="str">
        <f aca="false">IF(A272="N/A"," ",IF(Indexcheck=TRUE(),(IF(MONTH(A272)&gt;=4,IF(MONTH(A272)&lt;=10,VLOOKUP(A272,'Gas Curves'!B250:O610,13),VLOOKUP(A272,'Gas Curves'!B250:O610,14)),VLOOKUP(A272,'Gas Curves'!B250:O610,14))),0))</f>
        <v> </v>
      </c>
      <c r="W272" s="444" t="str">
        <f aca="false">IF(A272="N/A"," ",((SUM(T272:V272))/(1-Inputs!$S$11)-(SUM(T272:V272))))</f>
        <v> </v>
      </c>
      <c r="X272" s="444" t="str">
        <f aca="false">IF(A272="N/A"," ",(IF(MONTH(A272)&gt;=4,IF(MONTH(A272)&lt;=10,Inputs!$S$9,Inputs!$S$10),Inputs!$S$10)))</f>
        <v> </v>
      </c>
      <c r="Y272" s="445" t="str">
        <f aca="false">IF(A272="N/A"," ",(VLOOKUP($A272,InterestRatesTable,2)))</f>
        <v> </v>
      </c>
      <c r="AF272" s="386" t="n">
        <f aca="false">EOMONTH(AF271,0)+1</f>
        <v>44713</v>
      </c>
      <c r="AG272" s="376" t="n">
        <v>20</v>
      </c>
      <c r="AH272" s="376" t="n">
        <v>5</v>
      </c>
      <c r="AI272" s="376" t="n">
        <v>5</v>
      </c>
      <c r="AJ272" s="376" t="n">
        <v>0</v>
      </c>
      <c r="AK272" s="376" t="n">
        <v>30</v>
      </c>
    </row>
    <row r="273" customFormat="false" ht="12.75" hidden="false" customHeight="false" outlineLevel="0" collapsed="false">
      <c r="A273" s="434" t="str">
        <f aca="false">Calculations!A238</f>
        <v>N/A</v>
      </c>
      <c r="B273" s="435" t="str">
        <f aca="false">IF(A273="N/A"," ",IF(ISERROR(P273),B261*Pwresc,P273)*VLOOKUP(MONTH(A273),Curveadj,3))</f>
        <v> </v>
      </c>
      <c r="C273" s="436" t="str">
        <f aca="false">IF(A273="N/A"," ",IF(ISERROR(Q273),C261*Pwresc,Q273)*VLOOKUP(MONTH(A273),Curveadj,3))</f>
        <v> </v>
      </c>
      <c r="D273" s="437" t="str">
        <f aca="false">IF(A273="N/A"," ",IF(ISERROR(R273),D261*Pwresc,R273)*VLOOKUP(MONTH(A273),Curveadj,3))</f>
        <v> </v>
      </c>
      <c r="E273" s="438" t="str">
        <f aca="false">IF(A273="N/A"," ",IF(Scalers=1,(IF(AND(Dynamic=1,MONTH(A273)&gt;=6,MONTH(A273)&lt;=8,OR($O$37="REGION 2",$O$37="REGION 2A",$O$37="REGION 2B",$O$37="REGION 3",$O$37="REGION 3A",$O$37="REGION 3B",$O$37="REGION 3C",$O$37="REGION 4",$O$37="REGION 4B",$O$37="REGION 4C",$O$37="REGION 5",$O$37="REGION 5A")),((0.059228/(B273/100))-(0.4980013/(SQRT(B273/100)))+2.137988),HLOOKUP(MONTH(A273),ScalarTable,28))),1))</f>
        <v> </v>
      </c>
      <c r="F273" s="439" t="str">
        <f aca="false">IF(A273="N/A"," ",B273*E273)</f>
        <v> </v>
      </c>
      <c r="G273" s="439" t="str">
        <f aca="false">IF(A273="N/A"," ",C273*E273)</f>
        <v> </v>
      </c>
      <c r="H273" s="440" t="str">
        <f aca="false">IF(A273="N/A"," ",D273*E273)</f>
        <v> </v>
      </c>
      <c r="I273" s="402" t="str">
        <f aca="false">IF(A273="N/A"," ",2-E273)</f>
        <v> </v>
      </c>
      <c r="J273" s="439" t="str">
        <f aca="false">IF(A273="N/A"," ",B273*I273)</f>
        <v> </v>
      </c>
      <c r="K273" s="439" t="str">
        <f aca="false">IF(A273="N/A"," ",C273*I273)</f>
        <v> </v>
      </c>
      <c r="L273" s="440" t="str">
        <f aca="false">IF(A273="N/A"," ",D273*I273)</f>
        <v> </v>
      </c>
      <c r="M273" s="441" t="str">
        <f aca="false">IF(A273="N/A"," ",IF(ISERROR(S273),M261*Pwresc,S273))</f>
        <v> </v>
      </c>
      <c r="N273" s="442" t="str">
        <f aca="false">IF(A273="N/A"," ",SUM(T273:X273))</f>
        <v> </v>
      </c>
      <c r="O273" s="370"/>
      <c r="P273" s="436" t="str">
        <f aca="false">IF(A273="N/A"," ",VLOOKUP(A273,PeakPowerCurves,(IF(BMO=2,3,IF(BMO=1,2,4))),FALSE())+Inputs!N256)</f>
        <v> </v>
      </c>
      <c r="Q273" s="436" t="str">
        <f aca="false">IF(A273="N/A"," ",VLOOKUP(A273,SatSunPeakPwr,(IF(BMO=2,3,IF(BMO=1,2,4))),FALSE())+Inputs!$N$23)</f>
        <v> </v>
      </c>
      <c r="R273" s="436" t="str">
        <f aca="false">IF(A273="N/A"," ",VLOOKUP(A273,SatSunPeakPwr,(IF(BMO=2,7,IF(BMO=1,6,8))),FALSE())+Inputs!$N$23)</f>
        <v> </v>
      </c>
      <c r="S273" s="443" t="str">
        <f aca="false">IF(A273="N/A"," ",(VLOOKUP(A273,OPPowerPrices,(IF(BMO=2,7,IF(BMO=1,6,8))),FALSE())+Inputs!$N$23))</f>
        <v> </v>
      </c>
      <c r="T273" s="444" t="str">
        <f aca="false">IF(A273="N/A"," ",(VLOOKUP(A273,GasCurves,9,FALSE()))+IF(BMO=1,Gasbmo,IF(BMO=3,-Gasbmo,0)))</f>
        <v> </v>
      </c>
      <c r="U273" s="444" t="str">
        <f aca="false">IF(A273="N/A"," ",IF(Basischeck=TRUE(),(VLOOKUP(A273,GasCurves,IF(MONTH(A273)&gt;=4,IF(MONTH(A273)&lt;=10,11,12),12),FALSE())),0))</f>
        <v> </v>
      </c>
      <c r="V273" s="444" t="str">
        <f aca="false">IF(A273="N/A"," ",IF(Indexcheck=TRUE(),(IF(MONTH(A273)&gt;=4,IF(MONTH(A273)&lt;=10,VLOOKUP(A273,'Gas Curves'!B251:O611,13),VLOOKUP(A273,'Gas Curves'!B251:O611,14)),VLOOKUP(A273,'Gas Curves'!B251:O611,14))),0))</f>
        <v> </v>
      </c>
      <c r="W273" s="444" t="str">
        <f aca="false">IF(A273="N/A"," ",((SUM(T273:V273))/(1-Inputs!$S$11)-(SUM(T273:V273))))</f>
        <v> </v>
      </c>
      <c r="X273" s="444" t="str">
        <f aca="false">IF(A273="N/A"," ",(IF(MONTH(A273)&gt;=4,IF(MONTH(A273)&lt;=10,Inputs!$S$9,Inputs!$S$10),Inputs!$S$10)))</f>
        <v> </v>
      </c>
      <c r="Y273" s="445" t="str">
        <f aca="false">IF(A273="N/A"," ",(VLOOKUP($A273,InterestRatesTable,2)))</f>
        <v> </v>
      </c>
      <c r="AF273" s="386" t="n">
        <f aca="false">EOMONTH(AF272,0)+1</f>
        <v>44743</v>
      </c>
      <c r="AG273" s="376" t="n">
        <v>22</v>
      </c>
      <c r="AH273" s="376" t="n">
        <v>4</v>
      </c>
      <c r="AI273" s="376" t="n">
        <v>5</v>
      </c>
      <c r="AJ273" s="376" t="n">
        <v>1</v>
      </c>
      <c r="AK273" s="376" t="n">
        <v>31</v>
      </c>
    </row>
    <row r="274" customFormat="false" ht="12.75" hidden="false" customHeight="false" outlineLevel="0" collapsed="false">
      <c r="A274" s="434" t="str">
        <f aca="false">Calculations!A239</f>
        <v>N/A</v>
      </c>
      <c r="B274" s="435" t="str">
        <f aca="false">IF(A274="N/A"," ",IF(ISERROR(P274),B262*Pwresc,P274)*VLOOKUP(MONTH(A274),Curveadj,3))</f>
        <v> </v>
      </c>
      <c r="C274" s="436" t="str">
        <f aca="false">IF(A274="N/A"," ",IF(ISERROR(Q274),C262*Pwresc,Q274)*VLOOKUP(MONTH(A274),Curveadj,3))</f>
        <v> </v>
      </c>
      <c r="D274" s="437" t="str">
        <f aca="false">IF(A274="N/A"," ",IF(ISERROR(R274),D262*Pwresc,R274)*VLOOKUP(MONTH(A274),Curveadj,3))</f>
        <v> </v>
      </c>
      <c r="E274" s="438" t="str">
        <f aca="false">IF(A274="N/A"," ",IF(Scalers=1,(IF(AND(Dynamic=1,MONTH(A274)&gt;=6,MONTH(A274)&lt;=8,OR($O$37="REGION 2",$O$37="REGION 2A",$O$37="REGION 2B",$O$37="REGION 3",$O$37="REGION 3A",$O$37="REGION 3B",$O$37="REGION 3C",$O$37="REGION 4",$O$37="REGION 4B",$O$37="REGION 4C",$O$37="REGION 5",$O$37="REGION 5A")),((0.059228/(B274/100))-(0.4980013/(SQRT(B274/100)))+2.137988),HLOOKUP(MONTH(A274),ScalarTable,28))),1))</f>
        <v> </v>
      </c>
      <c r="F274" s="439" t="str">
        <f aca="false">IF(A274="N/A"," ",B274*E274)</f>
        <v> </v>
      </c>
      <c r="G274" s="439" t="str">
        <f aca="false">IF(A274="N/A"," ",C274*E274)</f>
        <v> </v>
      </c>
      <c r="H274" s="440" t="str">
        <f aca="false">IF(A274="N/A"," ",D274*E274)</f>
        <v> </v>
      </c>
      <c r="I274" s="402" t="str">
        <f aca="false">IF(A274="N/A"," ",2-E274)</f>
        <v> </v>
      </c>
      <c r="J274" s="439" t="str">
        <f aca="false">IF(A274="N/A"," ",B274*I274)</f>
        <v> </v>
      </c>
      <c r="K274" s="439" t="str">
        <f aca="false">IF(A274="N/A"," ",C274*I274)</f>
        <v> </v>
      </c>
      <c r="L274" s="440" t="str">
        <f aca="false">IF(A274="N/A"," ",D274*I274)</f>
        <v> </v>
      </c>
      <c r="M274" s="441" t="str">
        <f aca="false">IF(A274="N/A"," ",IF(ISERROR(S274),M262*Pwresc,S274))</f>
        <v> </v>
      </c>
      <c r="N274" s="442" t="str">
        <f aca="false">IF(A274="N/A"," ",SUM(T274:X274))</f>
        <v> </v>
      </c>
      <c r="O274" s="370"/>
      <c r="P274" s="436" t="str">
        <f aca="false">IF(A274="N/A"," ",VLOOKUP(A274,PeakPowerCurves,(IF(BMO=2,3,IF(BMO=1,2,4))),FALSE())+Inputs!N257)</f>
        <v> </v>
      </c>
      <c r="Q274" s="436" t="str">
        <f aca="false">IF(A274="N/A"," ",VLOOKUP(A274,SatSunPeakPwr,(IF(BMO=2,3,IF(BMO=1,2,4))),FALSE())+Inputs!$N$23)</f>
        <v> </v>
      </c>
      <c r="R274" s="436" t="str">
        <f aca="false">IF(A274="N/A"," ",VLOOKUP(A274,SatSunPeakPwr,(IF(BMO=2,7,IF(BMO=1,6,8))),FALSE())+Inputs!$N$23)</f>
        <v> </v>
      </c>
      <c r="S274" s="443" t="str">
        <f aca="false">IF(A274="N/A"," ",(VLOOKUP(A274,OPPowerPrices,(IF(BMO=2,7,IF(BMO=1,6,8))),FALSE())+Inputs!$N$23))</f>
        <v> </v>
      </c>
      <c r="T274" s="444" t="str">
        <f aca="false">IF(A274="N/A"," ",(VLOOKUP(A274,GasCurves,9,FALSE()))+IF(BMO=1,Gasbmo,IF(BMO=3,-Gasbmo,0)))</f>
        <v> </v>
      </c>
      <c r="U274" s="444" t="str">
        <f aca="false">IF(A274="N/A"," ",IF(Basischeck=TRUE(),(VLOOKUP(A274,GasCurves,IF(MONTH(A274)&gt;=4,IF(MONTH(A274)&lt;=10,11,12),12),FALSE())),0))</f>
        <v> </v>
      </c>
      <c r="V274" s="444" t="str">
        <f aca="false">IF(A274="N/A"," ",IF(Indexcheck=TRUE(),(IF(MONTH(A274)&gt;=4,IF(MONTH(A274)&lt;=10,VLOOKUP(A274,'Gas Curves'!B252:O612,13),VLOOKUP(A274,'Gas Curves'!B252:O612,14)),VLOOKUP(A274,'Gas Curves'!B252:O612,14))),0))</f>
        <v> </v>
      </c>
      <c r="W274" s="444" t="str">
        <f aca="false">IF(A274="N/A"," ",((SUM(T274:V274))/(1-Inputs!$S$11)-(SUM(T274:V274))))</f>
        <v> </v>
      </c>
      <c r="X274" s="444" t="str">
        <f aca="false">IF(A274="N/A"," ",(IF(MONTH(A274)&gt;=4,IF(MONTH(A274)&lt;=10,Inputs!$S$9,Inputs!$S$10),Inputs!$S$10)))</f>
        <v> </v>
      </c>
      <c r="Y274" s="445" t="str">
        <f aca="false">IF(A274="N/A"," ",(VLOOKUP($A274,InterestRatesTable,2)))</f>
        <v> </v>
      </c>
      <c r="AF274" s="386" t="n">
        <f aca="false">EOMONTH(AF273,0)+1</f>
        <v>44774</v>
      </c>
      <c r="AG274" s="376" t="n">
        <v>22</v>
      </c>
      <c r="AH274" s="376" t="n">
        <v>5</v>
      </c>
      <c r="AI274" s="376" t="n">
        <v>4</v>
      </c>
      <c r="AJ274" s="376" t="n">
        <v>0</v>
      </c>
      <c r="AK274" s="376" t="n">
        <v>31</v>
      </c>
    </row>
    <row r="275" customFormat="false" ht="12.75" hidden="false" customHeight="false" outlineLevel="0" collapsed="false">
      <c r="A275" s="434" t="str">
        <f aca="false">Calculations!A240</f>
        <v>N/A</v>
      </c>
      <c r="B275" s="435" t="str">
        <f aca="false">IF(A275="N/A"," ",IF(ISERROR(P275),B263*Pwresc,P275)*VLOOKUP(MONTH(A275),Curveadj,3))</f>
        <v> </v>
      </c>
      <c r="C275" s="436" t="str">
        <f aca="false">IF(A275="N/A"," ",IF(ISERROR(Q275),C263*Pwresc,Q275)*VLOOKUP(MONTH(A275),Curveadj,3))</f>
        <v> </v>
      </c>
      <c r="D275" s="437" t="str">
        <f aca="false">IF(A275="N/A"," ",IF(ISERROR(R275),D263*Pwresc,R275)*VLOOKUP(MONTH(A275),Curveadj,3))</f>
        <v> </v>
      </c>
      <c r="E275" s="438" t="str">
        <f aca="false">IF(A275="N/A"," ",IF(Scalers=1,(IF(AND(Dynamic=1,MONTH(A275)&gt;=6,MONTH(A275)&lt;=8,OR($O$37="REGION 2",$O$37="REGION 2A",$O$37="REGION 2B",$O$37="REGION 3",$O$37="REGION 3A",$O$37="REGION 3B",$O$37="REGION 3C",$O$37="REGION 4",$O$37="REGION 4B",$O$37="REGION 4C",$O$37="REGION 5",$O$37="REGION 5A")),((0.059228/(B275/100))-(0.4980013/(SQRT(B275/100)))+2.137988),HLOOKUP(MONTH(A275),ScalarTable,28))),1))</f>
        <v> </v>
      </c>
      <c r="F275" s="439" t="str">
        <f aca="false">IF(A275="N/A"," ",B275*E275)</f>
        <v> </v>
      </c>
      <c r="G275" s="439" t="str">
        <f aca="false">IF(A275="N/A"," ",C275*E275)</f>
        <v> </v>
      </c>
      <c r="H275" s="440" t="str">
        <f aca="false">IF(A275="N/A"," ",D275*E275)</f>
        <v> </v>
      </c>
      <c r="I275" s="402" t="str">
        <f aca="false">IF(A275="N/A"," ",2-E275)</f>
        <v> </v>
      </c>
      <c r="J275" s="439" t="str">
        <f aca="false">IF(A275="N/A"," ",B275*I275)</f>
        <v> </v>
      </c>
      <c r="K275" s="439" t="str">
        <f aca="false">IF(A275="N/A"," ",C275*I275)</f>
        <v> </v>
      </c>
      <c r="L275" s="440" t="str">
        <f aca="false">IF(A275="N/A"," ",D275*I275)</f>
        <v> </v>
      </c>
      <c r="M275" s="441" t="str">
        <f aca="false">IF(A275="N/A"," ",IF(ISERROR(S275),M263*Pwresc,S275))</f>
        <v> </v>
      </c>
      <c r="N275" s="442" t="str">
        <f aca="false">IF(A275="N/A"," ",SUM(T275:X275))</f>
        <v> </v>
      </c>
      <c r="O275" s="370"/>
      <c r="P275" s="436" t="str">
        <f aca="false">IF(A275="N/A"," ",VLOOKUP(A275,PeakPowerCurves,(IF(BMO=2,3,IF(BMO=1,2,4))),FALSE())+Inputs!N258)</f>
        <v> </v>
      </c>
      <c r="Q275" s="436" t="str">
        <f aca="false">IF(A275="N/A"," ",VLOOKUP(A275,SatSunPeakPwr,(IF(BMO=2,3,IF(BMO=1,2,4))),FALSE())+Inputs!$N$23)</f>
        <v> </v>
      </c>
      <c r="R275" s="436" t="str">
        <f aca="false">IF(A275="N/A"," ",VLOOKUP(A275,SatSunPeakPwr,(IF(BMO=2,7,IF(BMO=1,6,8))),FALSE())+Inputs!$N$23)</f>
        <v> </v>
      </c>
      <c r="S275" s="443" t="str">
        <f aca="false">IF(A275="N/A"," ",(VLOOKUP(A275,OPPowerPrices,(IF(BMO=2,7,IF(BMO=1,6,8))),FALSE())+Inputs!$N$23))</f>
        <v> </v>
      </c>
      <c r="T275" s="444" t="str">
        <f aca="false">IF(A275="N/A"," ",(VLOOKUP(A275,GasCurves,9,FALSE()))+IF(BMO=1,Gasbmo,IF(BMO=3,-Gasbmo,0)))</f>
        <v> </v>
      </c>
      <c r="U275" s="444" t="str">
        <f aca="false">IF(A275="N/A"," ",IF(Basischeck=TRUE(),(VLOOKUP(A275,GasCurves,IF(MONTH(A275)&gt;=4,IF(MONTH(A275)&lt;=10,11,12),12),FALSE())),0))</f>
        <v> </v>
      </c>
      <c r="V275" s="444" t="str">
        <f aca="false">IF(A275="N/A"," ",IF(Indexcheck=TRUE(),(IF(MONTH(A275)&gt;=4,IF(MONTH(A275)&lt;=10,VLOOKUP(A275,'Gas Curves'!B253:O613,13),VLOOKUP(A275,'Gas Curves'!B253:O613,14)),VLOOKUP(A275,'Gas Curves'!B253:O613,14))),0))</f>
        <v> </v>
      </c>
      <c r="W275" s="444" t="str">
        <f aca="false">IF(A275="N/A"," ",((SUM(T275:V275))/(1-Inputs!$S$11)-(SUM(T275:V275))))</f>
        <v> </v>
      </c>
      <c r="X275" s="444" t="str">
        <f aca="false">IF(A275="N/A"," ",(IF(MONTH(A275)&gt;=4,IF(MONTH(A275)&lt;=10,Inputs!$S$9,Inputs!$S$10),Inputs!$S$10)))</f>
        <v> </v>
      </c>
      <c r="Y275" s="445" t="str">
        <f aca="false">IF(A275="N/A"," ",(VLOOKUP($A275,InterestRatesTable,2)))</f>
        <v> </v>
      </c>
      <c r="AF275" s="386" t="n">
        <f aca="false">EOMONTH(AF274,0)+1</f>
        <v>44805</v>
      </c>
      <c r="AG275" s="376" t="n">
        <v>20</v>
      </c>
      <c r="AH275" s="376" t="n">
        <v>4</v>
      </c>
      <c r="AI275" s="376" t="n">
        <v>6</v>
      </c>
      <c r="AJ275" s="376" t="n">
        <v>1</v>
      </c>
      <c r="AK275" s="376" t="n">
        <v>30</v>
      </c>
    </row>
    <row r="276" customFormat="false" ht="12.75" hidden="false" customHeight="false" outlineLevel="0" collapsed="false">
      <c r="A276" s="434" t="str">
        <f aca="false">Calculations!A241</f>
        <v>N/A</v>
      </c>
      <c r="B276" s="435" t="str">
        <f aca="false">IF(A276="N/A"," ",IF(ISERROR(P276),B264*Pwresc,P276)*VLOOKUP(MONTH(A276),Curveadj,3))</f>
        <v> </v>
      </c>
      <c r="C276" s="436" t="str">
        <f aca="false">IF(A276="N/A"," ",IF(ISERROR(Q276),C264*Pwresc,Q276)*VLOOKUP(MONTH(A276),Curveadj,3))</f>
        <v> </v>
      </c>
      <c r="D276" s="437" t="str">
        <f aca="false">IF(A276="N/A"," ",IF(ISERROR(R276),D264*Pwresc,R276)*VLOOKUP(MONTH(A276),Curveadj,3))</f>
        <v> </v>
      </c>
      <c r="E276" s="438" t="str">
        <f aca="false">IF(A276="N/A"," ",IF(Scalers=1,(IF(AND(Dynamic=1,MONTH(A276)&gt;=6,MONTH(A276)&lt;=8,OR($O$37="REGION 2",$O$37="REGION 2A",$O$37="REGION 2B",$O$37="REGION 3",$O$37="REGION 3A",$O$37="REGION 3B",$O$37="REGION 3C",$O$37="REGION 4",$O$37="REGION 4B",$O$37="REGION 4C",$O$37="REGION 5",$O$37="REGION 5A")),((0.059228/(B276/100))-(0.4980013/(SQRT(B276/100)))+2.137988),HLOOKUP(MONTH(A276),ScalarTable,28))),1))</f>
        <v> </v>
      </c>
      <c r="F276" s="439" t="str">
        <f aca="false">IF(A276="N/A"," ",B276*E276)</f>
        <v> </v>
      </c>
      <c r="G276" s="439" t="str">
        <f aca="false">IF(A276="N/A"," ",C276*E276)</f>
        <v> </v>
      </c>
      <c r="H276" s="440" t="str">
        <f aca="false">IF(A276="N/A"," ",D276*E276)</f>
        <v> </v>
      </c>
      <c r="I276" s="402" t="str">
        <f aca="false">IF(A276="N/A"," ",2-E276)</f>
        <v> </v>
      </c>
      <c r="J276" s="439" t="str">
        <f aca="false">IF(A276="N/A"," ",B276*I276)</f>
        <v> </v>
      </c>
      <c r="K276" s="439" t="str">
        <f aca="false">IF(A276="N/A"," ",C276*I276)</f>
        <v> </v>
      </c>
      <c r="L276" s="440" t="str">
        <f aca="false">IF(A276="N/A"," ",D276*I276)</f>
        <v> </v>
      </c>
      <c r="M276" s="441" t="str">
        <f aca="false">IF(A276="N/A"," ",IF(ISERROR(S276),M264*Pwresc,S276))</f>
        <v> </v>
      </c>
      <c r="N276" s="442" t="str">
        <f aca="false">IF(A276="N/A"," ",SUM(T276:X276))</f>
        <v> </v>
      </c>
      <c r="O276" s="370"/>
      <c r="P276" s="436" t="str">
        <f aca="false">IF(A276="N/A"," ",VLOOKUP(A276,PeakPowerCurves,(IF(BMO=2,3,IF(BMO=1,2,4))),FALSE())+Inputs!N259)</f>
        <v> </v>
      </c>
      <c r="Q276" s="436" t="str">
        <f aca="false">IF(A276="N/A"," ",VLOOKUP(A276,SatSunPeakPwr,(IF(BMO=2,3,IF(BMO=1,2,4))),FALSE())+Inputs!$N$23)</f>
        <v> </v>
      </c>
      <c r="R276" s="436" t="str">
        <f aca="false">IF(A276="N/A"," ",VLOOKUP(A276,SatSunPeakPwr,(IF(BMO=2,7,IF(BMO=1,6,8))),FALSE())+Inputs!$N$23)</f>
        <v> </v>
      </c>
      <c r="S276" s="443" t="str">
        <f aca="false">IF(A276="N/A"," ",(VLOOKUP(A276,OPPowerPrices,(IF(BMO=2,7,IF(BMO=1,6,8))),FALSE())+Inputs!$N$23))</f>
        <v> </v>
      </c>
      <c r="T276" s="444" t="str">
        <f aca="false">IF(A276="N/A"," ",(VLOOKUP(A276,GasCurves,9,FALSE()))+IF(BMO=1,Gasbmo,IF(BMO=3,-Gasbmo,0)))</f>
        <v> </v>
      </c>
      <c r="U276" s="444" t="str">
        <f aca="false">IF(A276="N/A"," ",IF(Basischeck=TRUE(),(VLOOKUP(A276,GasCurves,IF(MONTH(A276)&gt;=4,IF(MONTH(A276)&lt;=10,11,12),12),FALSE())),0))</f>
        <v> </v>
      </c>
      <c r="V276" s="444" t="str">
        <f aca="false">IF(A276="N/A"," ",IF(Indexcheck=TRUE(),(IF(MONTH(A276)&gt;=4,IF(MONTH(A276)&lt;=10,VLOOKUP(A276,'Gas Curves'!B254:O614,13),VLOOKUP(A276,'Gas Curves'!B254:O614,14)),VLOOKUP(A276,'Gas Curves'!B254:O614,14))),0))</f>
        <v> </v>
      </c>
      <c r="W276" s="444" t="str">
        <f aca="false">IF(A276="N/A"," ",((SUM(T276:V276))/(1-Inputs!$S$11)-(SUM(T276:V276))))</f>
        <v> </v>
      </c>
      <c r="X276" s="444" t="str">
        <f aca="false">IF(A276="N/A"," ",(IF(MONTH(A276)&gt;=4,IF(MONTH(A276)&lt;=10,Inputs!$S$9,Inputs!$S$10),Inputs!$S$10)))</f>
        <v> </v>
      </c>
      <c r="Y276" s="445" t="str">
        <f aca="false">IF(A276="N/A"," ",(VLOOKUP($A276,InterestRatesTable,2)))</f>
        <v> </v>
      </c>
      <c r="AF276" s="386" t="n">
        <f aca="false">EOMONTH(AF275,0)+1</f>
        <v>44835</v>
      </c>
      <c r="AG276" s="376" t="n">
        <v>23</v>
      </c>
      <c r="AH276" s="376" t="n">
        <v>4</v>
      </c>
      <c r="AI276" s="376" t="n">
        <v>4</v>
      </c>
      <c r="AJ276" s="376" t="n">
        <v>0</v>
      </c>
      <c r="AK276" s="376" t="n">
        <v>31</v>
      </c>
    </row>
    <row r="277" customFormat="false" ht="12.75" hidden="false" customHeight="false" outlineLevel="0" collapsed="false">
      <c r="A277" s="434" t="str">
        <f aca="false">Calculations!A242</f>
        <v>N/A</v>
      </c>
      <c r="B277" s="435" t="str">
        <f aca="false">IF(A277="N/A"," ",IF(ISERROR(P277),B265*Pwresc,P277)*VLOOKUP(MONTH(A277),Curveadj,3))</f>
        <v> </v>
      </c>
      <c r="C277" s="436" t="str">
        <f aca="false">IF(A277="N/A"," ",IF(ISERROR(Q277),C265*Pwresc,Q277)*VLOOKUP(MONTH(A277),Curveadj,3))</f>
        <v> </v>
      </c>
      <c r="D277" s="437" t="str">
        <f aca="false">IF(A277="N/A"," ",IF(ISERROR(R277),D265*Pwresc,R277)*VLOOKUP(MONTH(A277),Curveadj,3))</f>
        <v> </v>
      </c>
      <c r="E277" s="438" t="str">
        <f aca="false">IF(A277="N/A"," ",IF(Scalers=1,(IF(AND(Dynamic=1,MONTH(A277)&gt;=6,MONTH(A277)&lt;=8,OR($O$37="REGION 2",$O$37="REGION 2A",$O$37="REGION 2B",$O$37="REGION 3",$O$37="REGION 3A",$O$37="REGION 3B",$O$37="REGION 3C",$O$37="REGION 4",$O$37="REGION 4B",$O$37="REGION 4C",$O$37="REGION 5",$O$37="REGION 5A")),((0.059228/(B277/100))-(0.4980013/(SQRT(B277/100)))+2.137988),HLOOKUP(MONTH(A277),ScalarTable,28))),1))</f>
        <v> </v>
      </c>
      <c r="F277" s="439" t="str">
        <f aca="false">IF(A277="N/A"," ",B277*E277)</f>
        <v> </v>
      </c>
      <c r="G277" s="439" t="str">
        <f aca="false">IF(A277="N/A"," ",C277*E277)</f>
        <v> </v>
      </c>
      <c r="H277" s="440" t="str">
        <f aca="false">IF(A277="N/A"," ",D277*E277)</f>
        <v> </v>
      </c>
      <c r="I277" s="402" t="str">
        <f aca="false">IF(A277="N/A"," ",2-E277)</f>
        <v> </v>
      </c>
      <c r="J277" s="439" t="str">
        <f aca="false">IF(A277="N/A"," ",B277*I277)</f>
        <v> </v>
      </c>
      <c r="K277" s="439" t="str">
        <f aca="false">IF(A277="N/A"," ",C277*I277)</f>
        <v> </v>
      </c>
      <c r="L277" s="440" t="str">
        <f aca="false">IF(A277="N/A"," ",D277*I277)</f>
        <v> </v>
      </c>
      <c r="M277" s="441" t="str">
        <f aca="false">IF(A277="N/A"," ",IF(ISERROR(S277),M265*Pwresc,S277))</f>
        <v> </v>
      </c>
      <c r="N277" s="442" t="str">
        <f aca="false">IF(A277="N/A"," ",SUM(T277:X277))</f>
        <v> </v>
      </c>
      <c r="O277" s="370"/>
      <c r="P277" s="436" t="str">
        <f aca="false">IF(A277="N/A"," ",VLOOKUP(A277,PeakPowerCurves,(IF(BMO=2,3,IF(BMO=1,2,4))),FALSE())+Inputs!N260)</f>
        <v> </v>
      </c>
      <c r="Q277" s="436" t="str">
        <f aca="false">IF(A277="N/A"," ",VLOOKUP(A277,SatSunPeakPwr,(IF(BMO=2,3,IF(BMO=1,2,4))),FALSE())+Inputs!$N$23)</f>
        <v> </v>
      </c>
      <c r="R277" s="436" t="str">
        <f aca="false">IF(A277="N/A"," ",VLOOKUP(A277,SatSunPeakPwr,(IF(BMO=2,7,IF(BMO=1,6,8))),FALSE())+Inputs!$N$23)</f>
        <v> </v>
      </c>
      <c r="S277" s="443" t="str">
        <f aca="false">IF(A277="N/A"," ",(VLOOKUP(A277,OPPowerPrices,(IF(BMO=2,7,IF(BMO=1,6,8))),FALSE())+Inputs!$N$23))</f>
        <v> </v>
      </c>
      <c r="T277" s="444" t="str">
        <f aca="false">IF(A277="N/A"," ",(VLOOKUP(A277,GasCurves,9,FALSE()))+IF(BMO=1,Gasbmo,IF(BMO=3,-Gasbmo,0)))</f>
        <v> </v>
      </c>
      <c r="U277" s="444" t="str">
        <f aca="false">IF(A277="N/A"," ",IF(Basischeck=TRUE(),(VLOOKUP(A277,GasCurves,IF(MONTH(A277)&gt;=4,IF(MONTH(A277)&lt;=10,11,12),12),FALSE())),0))</f>
        <v> </v>
      </c>
      <c r="V277" s="444" t="str">
        <f aca="false">IF(A277="N/A"," ",IF(Indexcheck=TRUE(),(IF(MONTH(A277)&gt;=4,IF(MONTH(A277)&lt;=10,VLOOKUP(A277,'Gas Curves'!B255:O615,13),VLOOKUP(A277,'Gas Curves'!B255:O615,14)),VLOOKUP(A277,'Gas Curves'!B255:O615,14))),0))</f>
        <v> </v>
      </c>
      <c r="W277" s="444" t="str">
        <f aca="false">IF(A277="N/A"," ",((SUM(T277:V277))/(1-Inputs!$S$11)-(SUM(T277:V277))))</f>
        <v> </v>
      </c>
      <c r="X277" s="444" t="str">
        <f aca="false">IF(A277="N/A"," ",(IF(MONTH(A277)&gt;=4,IF(MONTH(A277)&lt;=10,Inputs!$S$9,Inputs!$S$10),Inputs!$S$10)))</f>
        <v> </v>
      </c>
      <c r="Y277" s="445" t="str">
        <f aca="false">IF(A277="N/A"," ",(VLOOKUP($A277,InterestRatesTable,2)))</f>
        <v> </v>
      </c>
      <c r="AF277" s="386" t="n">
        <f aca="false">EOMONTH(AF276,0)+1</f>
        <v>44866</v>
      </c>
      <c r="AG277" s="376" t="n">
        <v>20</v>
      </c>
      <c r="AH277" s="376" t="n">
        <v>5</v>
      </c>
      <c r="AI277" s="376" t="n">
        <v>5</v>
      </c>
      <c r="AJ277" s="376" t="n">
        <v>1</v>
      </c>
      <c r="AK277" s="376" t="n">
        <v>30</v>
      </c>
    </row>
    <row r="278" customFormat="false" ht="12.75" hidden="false" customHeight="false" outlineLevel="0" collapsed="false">
      <c r="A278" s="434" t="str">
        <f aca="false">Calculations!A243</f>
        <v>N/A</v>
      </c>
      <c r="B278" s="435" t="str">
        <f aca="false">IF(A278="N/A"," ",IF(ISERROR(P278),B266*Pwresc,P278)*VLOOKUP(MONTH(A278),Curveadj,3))</f>
        <v> </v>
      </c>
      <c r="C278" s="436" t="str">
        <f aca="false">IF(A278="N/A"," ",IF(ISERROR(Q278),C266*Pwresc,Q278)*VLOOKUP(MONTH(A278),Curveadj,3))</f>
        <v> </v>
      </c>
      <c r="D278" s="437" t="str">
        <f aca="false">IF(A278="N/A"," ",IF(ISERROR(R278),D266*Pwresc,R278)*VLOOKUP(MONTH(A278),Curveadj,3))</f>
        <v> </v>
      </c>
      <c r="E278" s="438" t="str">
        <f aca="false">IF(A278="N/A"," ",IF(Scalers=1,(IF(AND(Dynamic=1,MONTH(A278)&gt;=6,MONTH(A278)&lt;=8,OR($O$37="REGION 2",$O$37="REGION 2A",$O$37="REGION 2B",$O$37="REGION 3",$O$37="REGION 3A",$O$37="REGION 3B",$O$37="REGION 3C",$O$37="REGION 4",$O$37="REGION 4B",$O$37="REGION 4C",$O$37="REGION 5",$O$37="REGION 5A")),((0.059228/(B278/100))-(0.4980013/(SQRT(B278/100)))+2.137988),HLOOKUP(MONTH(A278),ScalarTable,28))),1))</f>
        <v> </v>
      </c>
      <c r="F278" s="439" t="str">
        <f aca="false">IF(A278="N/A"," ",B278*E278)</f>
        <v> </v>
      </c>
      <c r="G278" s="439" t="str">
        <f aca="false">IF(A278="N/A"," ",C278*E278)</f>
        <v> </v>
      </c>
      <c r="H278" s="440" t="str">
        <f aca="false">IF(A278="N/A"," ",D278*E278)</f>
        <v> </v>
      </c>
      <c r="I278" s="402" t="str">
        <f aca="false">IF(A278="N/A"," ",2-E278)</f>
        <v> </v>
      </c>
      <c r="J278" s="439" t="str">
        <f aca="false">IF(A278="N/A"," ",B278*I278)</f>
        <v> </v>
      </c>
      <c r="K278" s="439" t="str">
        <f aca="false">IF(A278="N/A"," ",C278*I278)</f>
        <v> </v>
      </c>
      <c r="L278" s="440" t="str">
        <f aca="false">IF(A278="N/A"," ",D278*I278)</f>
        <v> </v>
      </c>
      <c r="M278" s="441" t="str">
        <f aca="false">IF(A278="N/A"," ",IF(ISERROR(S278),M266*Pwresc,S278))</f>
        <v> </v>
      </c>
      <c r="N278" s="442" t="str">
        <f aca="false">IF(A278="N/A"," ",SUM(T278:X278))</f>
        <v> </v>
      </c>
      <c r="O278" s="370"/>
      <c r="P278" s="436" t="str">
        <f aca="false">IF(A278="N/A"," ",VLOOKUP(A278,PeakPowerCurves,(IF(BMO=2,3,IF(BMO=1,2,4))),FALSE())+Inputs!N261)</f>
        <v> </v>
      </c>
      <c r="Q278" s="436" t="str">
        <f aca="false">IF(A278="N/A"," ",VLOOKUP(A278,SatSunPeakPwr,(IF(BMO=2,3,IF(BMO=1,2,4))),FALSE())+Inputs!$N$23)</f>
        <v> </v>
      </c>
      <c r="R278" s="436" t="str">
        <f aca="false">IF(A278="N/A"," ",VLOOKUP(A278,SatSunPeakPwr,(IF(BMO=2,7,IF(BMO=1,6,8))),FALSE())+Inputs!$N$23)</f>
        <v> </v>
      </c>
      <c r="S278" s="443" t="str">
        <f aca="false">IF(A278="N/A"," ",(VLOOKUP(A278,OPPowerPrices,(IF(BMO=2,7,IF(BMO=1,6,8))),FALSE())+Inputs!$N$23))</f>
        <v> </v>
      </c>
      <c r="T278" s="444" t="str">
        <f aca="false">IF(A278="N/A"," ",(VLOOKUP(A278,GasCurves,9,FALSE()))+IF(BMO=1,Gasbmo,IF(BMO=3,-Gasbmo,0)))</f>
        <v> </v>
      </c>
      <c r="U278" s="444" t="str">
        <f aca="false">IF(A278="N/A"," ",IF(Basischeck=TRUE(),(VLOOKUP(A278,GasCurves,IF(MONTH(A278)&gt;=4,IF(MONTH(A278)&lt;=10,11,12),12),FALSE())),0))</f>
        <v> </v>
      </c>
      <c r="V278" s="444" t="str">
        <f aca="false">IF(A278="N/A"," ",IF(Indexcheck=TRUE(),(IF(MONTH(A278)&gt;=4,IF(MONTH(A278)&lt;=10,VLOOKUP(A278,'Gas Curves'!B256:O616,13),VLOOKUP(A278,'Gas Curves'!B256:O616,14)),VLOOKUP(A278,'Gas Curves'!B256:O616,14))),0))</f>
        <v> </v>
      </c>
      <c r="W278" s="444" t="str">
        <f aca="false">IF(A278="N/A"," ",((SUM(T278:V278))/(1-Inputs!$S$11)-(SUM(T278:V278))))</f>
        <v> </v>
      </c>
      <c r="X278" s="444" t="str">
        <f aca="false">IF(A278="N/A"," ",(IF(MONTH(A278)&gt;=4,IF(MONTH(A278)&lt;=10,Inputs!$S$9,Inputs!$S$10),Inputs!$S$10)))</f>
        <v> </v>
      </c>
      <c r="Y278" s="445" t="str">
        <f aca="false">IF(A278="N/A"," ",(VLOOKUP($A278,InterestRatesTable,2)))</f>
        <v> </v>
      </c>
      <c r="AF278" s="386" t="n">
        <f aca="false">EOMONTH(AF277,0)+1</f>
        <v>44896</v>
      </c>
      <c r="AG278" s="376" t="n">
        <v>21</v>
      </c>
      <c r="AH278" s="376" t="n">
        <v>4</v>
      </c>
      <c r="AI278" s="376" t="n">
        <v>6</v>
      </c>
      <c r="AJ278" s="376" t="n">
        <v>1</v>
      </c>
      <c r="AK278" s="376" t="n">
        <v>31</v>
      </c>
    </row>
    <row r="279" customFormat="false" ht="12.75" hidden="false" customHeight="false" outlineLevel="0" collapsed="false">
      <c r="A279" s="434" t="str">
        <f aca="false">Calculations!A244</f>
        <v>N/A</v>
      </c>
      <c r="B279" s="435" t="str">
        <f aca="false">IF(A279="N/A"," ",IF(ISERROR(P279),B267*Pwresc,P279)*VLOOKUP(MONTH(A279),Curveadj,3))</f>
        <v> </v>
      </c>
      <c r="C279" s="436" t="str">
        <f aca="false">IF(A279="N/A"," ",IF(ISERROR(Q279),C267*Pwresc,Q279)*VLOOKUP(MONTH(A279),Curveadj,3))</f>
        <v> </v>
      </c>
      <c r="D279" s="437" t="str">
        <f aca="false">IF(A279="N/A"," ",IF(ISERROR(R279),D267*Pwresc,R279)*VLOOKUP(MONTH(A279),Curveadj,3))</f>
        <v> </v>
      </c>
      <c r="E279" s="438" t="str">
        <f aca="false">IF(A279="N/A"," ",IF(Scalers=1,(IF(AND(Dynamic=1,MONTH(A279)&gt;=6,MONTH(A279)&lt;=8,OR($O$37="REGION 2",$O$37="REGION 2A",$O$37="REGION 2B",$O$37="REGION 3",$O$37="REGION 3A",$O$37="REGION 3B",$O$37="REGION 3C",$O$37="REGION 4",$O$37="REGION 4B",$O$37="REGION 4C",$O$37="REGION 5",$O$37="REGION 5A")),((0.059228/(B279/100))-(0.4980013/(SQRT(B279/100)))+2.137988),HLOOKUP(MONTH(A279),ScalarTable,28))),1))</f>
        <v> </v>
      </c>
      <c r="F279" s="439" t="str">
        <f aca="false">IF(A279="N/A"," ",B279*E279)</f>
        <v> </v>
      </c>
      <c r="G279" s="439" t="str">
        <f aca="false">IF(A279="N/A"," ",C279*E279)</f>
        <v> </v>
      </c>
      <c r="H279" s="440" t="str">
        <f aca="false">IF(A279="N/A"," ",D279*E279)</f>
        <v> </v>
      </c>
      <c r="I279" s="402" t="str">
        <f aca="false">IF(A279="N/A"," ",2-E279)</f>
        <v> </v>
      </c>
      <c r="J279" s="439" t="str">
        <f aca="false">IF(A279="N/A"," ",B279*I279)</f>
        <v> </v>
      </c>
      <c r="K279" s="439" t="str">
        <f aca="false">IF(A279="N/A"," ",C279*I279)</f>
        <v> </v>
      </c>
      <c r="L279" s="440" t="str">
        <f aca="false">IF(A279="N/A"," ",D279*I279)</f>
        <v> </v>
      </c>
      <c r="M279" s="441" t="str">
        <f aca="false">IF(A279="N/A"," ",IF(ISERROR(S279),M267*Pwresc,S279))</f>
        <v> </v>
      </c>
      <c r="N279" s="442" t="str">
        <f aca="false">IF(A279="N/A"," ",SUM(T279:X279))</f>
        <v> </v>
      </c>
      <c r="O279" s="370"/>
      <c r="P279" s="436" t="str">
        <f aca="false">IF(A279="N/A"," ",VLOOKUP(A279,PeakPowerCurves,(IF(BMO=2,3,IF(BMO=1,2,4))),FALSE())+Inputs!N262)</f>
        <v> </v>
      </c>
      <c r="Q279" s="436" t="str">
        <f aca="false">IF(A279="N/A"," ",VLOOKUP(A279,SatSunPeakPwr,(IF(BMO=2,3,IF(BMO=1,2,4))),FALSE())+Inputs!$N$23)</f>
        <v> </v>
      </c>
      <c r="R279" s="436" t="str">
        <f aca="false">IF(A279="N/A"," ",VLOOKUP(A279,SatSunPeakPwr,(IF(BMO=2,7,IF(BMO=1,6,8))),FALSE())+Inputs!$N$23)</f>
        <v> </v>
      </c>
      <c r="S279" s="443" t="str">
        <f aca="false">IF(A279="N/A"," ",(VLOOKUP(A279,OPPowerPrices,(IF(BMO=2,7,IF(BMO=1,6,8))),FALSE())+Inputs!$N$23))</f>
        <v> </v>
      </c>
      <c r="T279" s="444" t="str">
        <f aca="false">IF(A279="N/A"," ",(VLOOKUP(A279,GasCurves,9,FALSE()))+IF(BMO=1,Gasbmo,IF(BMO=3,-Gasbmo,0)))</f>
        <v> </v>
      </c>
      <c r="U279" s="444" t="str">
        <f aca="false">IF(A279="N/A"," ",IF(Basischeck=TRUE(),(VLOOKUP(A279,GasCurves,IF(MONTH(A279)&gt;=4,IF(MONTH(A279)&lt;=10,11,12),12),FALSE())),0))</f>
        <v> </v>
      </c>
      <c r="V279" s="444" t="str">
        <f aca="false">IF(A279="N/A"," ",IF(Indexcheck=TRUE(),(IF(MONTH(A279)&gt;=4,IF(MONTH(A279)&lt;=10,VLOOKUP(A279,'Gas Curves'!B257:O617,13),VLOOKUP(A279,'Gas Curves'!B257:O617,14)),VLOOKUP(A279,'Gas Curves'!B257:O617,14))),0))</f>
        <v> </v>
      </c>
      <c r="W279" s="444" t="str">
        <f aca="false">IF(A279="N/A"," ",((SUM(T279:V279))/(1-Inputs!$S$11)-(SUM(T279:V279))))</f>
        <v> </v>
      </c>
      <c r="X279" s="444" t="str">
        <f aca="false">IF(A279="N/A"," ",(IF(MONTH(A279)&gt;=4,IF(MONTH(A279)&lt;=10,Inputs!$S$9,Inputs!$S$10),Inputs!$S$10)))</f>
        <v> </v>
      </c>
      <c r="Y279" s="445" t="str">
        <f aca="false">IF(A279="N/A"," ",(VLOOKUP($A279,InterestRatesTable,2)))</f>
        <v> </v>
      </c>
      <c r="AF279" s="386" t="n">
        <f aca="false">EOMONTH(AF278,0)+1</f>
        <v>44927</v>
      </c>
      <c r="AG279" s="376" t="n">
        <v>22</v>
      </c>
      <c r="AH279" s="376" t="n">
        <v>4</v>
      </c>
      <c r="AI279" s="376" t="n">
        <v>5</v>
      </c>
      <c r="AJ279" s="376" t="n">
        <v>1</v>
      </c>
      <c r="AK279" s="376" t="n">
        <v>31</v>
      </c>
    </row>
    <row r="280" customFormat="false" ht="12.75" hidden="false" customHeight="false" outlineLevel="0" collapsed="false">
      <c r="A280" s="434" t="str">
        <f aca="false">Calculations!A245</f>
        <v>N/A</v>
      </c>
      <c r="B280" s="435" t="str">
        <f aca="false">IF(A280="N/A"," ",IF(ISERROR(P280),B268*Pwresc,P280)*VLOOKUP(MONTH(A280),Curveadj,3))</f>
        <v> </v>
      </c>
      <c r="C280" s="436" t="str">
        <f aca="false">IF(A280="N/A"," ",IF(ISERROR(Q280),C268*Pwresc,Q280)*VLOOKUP(MONTH(A280),Curveadj,3))</f>
        <v> </v>
      </c>
      <c r="D280" s="437" t="str">
        <f aca="false">IF(A280="N/A"," ",IF(ISERROR(R280),D268*Pwresc,R280)*VLOOKUP(MONTH(A280),Curveadj,3))</f>
        <v> </v>
      </c>
      <c r="E280" s="438" t="str">
        <f aca="false">IF(A280="N/A"," ",IF(Scalers=1,(IF(AND(Dynamic=1,MONTH(A280)&gt;=6,MONTH(A280)&lt;=8,OR($O$37="REGION 2",$O$37="REGION 2A",$O$37="REGION 2B",$O$37="REGION 3",$O$37="REGION 3A",$O$37="REGION 3B",$O$37="REGION 3C",$O$37="REGION 4",$O$37="REGION 4B",$O$37="REGION 4C",$O$37="REGION 5",$O$37="REGION 5A")),((0.059228/(B280/100))-(0.4980013/(SQRT(B280/100)))+2.137988),HLOOKUP(MONTH(A280),ScalarTable,28))),1))</f>
        <v> </v>
      </c>
      <c r="F280" s="439" t="str">
        <f aca="false">IF(A280="N/A"," ",B280*E280)</f>
        <v> </v>
      </c>
      <c r="G280" s="439" t="str">
        <f aca="false">IF(A280="N/A"," ",C280*E280)</f>
        <v> </v>
      </c>
      <c r="H280" s="440" t="str">
        <f aca="false">IF(A280="N/A"," ",D280*E280)</f>
        <v> </v>
      </c>
      <c r="I280" s="402" t="str">
        <f aca="false">IF(A280="N/A"," ",2-E280)</f>
        <v> </v>
      </c>
      <c r="J280" s="439" t="str">
        <f aca="false">IF(A280="N/A"," ",B280*I280)</f>
        <v> </v>
      </c>
      <c r="K280" s="439" t="str">
        <f aca="false">IF(A280="N/A"," ",C280*I280)</f>
        <v> </v>
      </c>
      <c r="L280" s="440" t="str">
        <f aca="false">IF(A280="N/A"," ",D280*I280)</f>
        <v> </v>
      </c>
      <c r="M280" s="441" t="str">
        <f aca="false">IF(A280="N/A"," ",IF(ISERROR(S280),M268*Pwresc,S280))</f>
        <v> </v>
      </c>
      <c r="N280" s="442" t="str">
        <f aca="false">IF(A280="N/A"," ",SUM(T280:X280))</f>
        <v> </v>
      </c>
      <c r="O280" s="370"/>
      <c r="P280" s="436" t="str">
        <f aca="false">IF(A280="N/A"," ",VLOOKUP(A280,PeakPowerCurves,(IF(BMO=2,3,IF(BMO=1,2,4))),FALSE())+Inputs!N263)</f>
        <v> </v>
      </c>
      <c r="Q280" s="436" t="str">
        <f aca="false">IF(A280="N/A"," ",VLOOKUP(A280,SatSunPeakPwr,(IF(BMO=2,3,IF(BMO=1,2,4))),FALSE())+Inputs!$N$23)</f>
        <v> </v>
      </c>
      <c r="R280" s="436" t="str">
        <f aca="false">IF(A280="N/A"," ",VLOOKUP(A280,SatSunPeakPwr,(IF(BMO=2,7,IF(BMO=1,6,8))),FALSE())+Inputs!$N$23)</f>
        <v> </v>
      </c>
      <c r="S280" s="443" t="str">
        <f aca="false">IF(A280="N/A"," ",(VLOOKUP(A280,OPPowerPrices,(IF(BMO=2,7,IF(BMO=1,6,8))),FALSE())+Inputs!$N$23))</f>
        <v> </v>
      </c>
      <c r="T280" s="444" t="str">
        <f aca="false">IF(A280="N/A"," ",(VLOOKUP(A280,GasCurves,9,FALSE()))+IF(BMO=1,Gasbmo,IF(BMO=3,-Gasbmo,0)))</f>
        <v> </v>
      </c>
      <c r="U280" s="444" t="str">
        <f aca="false">IF(A280="N/A"," ",IF(Basischeck=TRUE(),(VLOOKUP(A280,GasCurves,IF(MONTH(A280)&gt;=4,IF(MONTH(A280)&lt;=10,11,12),12),FALSE())),0))</f>
        <v> </v>
      </c>
      <c r="V280" s="444" t="str">
        <f aca="false">IF(A280="N/A"," ",IF(Indexcheck=TRUE(),(IF(MONTH(A280)&gt;=4,IF(MONTH(A280)&lt;=10,VLOOKUP(A280,'Gas Curves'!B258:O618,13),VLOOKUP(A280,'Gas Curves'!B258:O618,14)),VLOOKUP(A280,'Gas Curves'!B258:O618,14))),0))</f>
        <v> </v>
      </c>
      <c r="W280" s="444" t="str">
        <f aca="false">IF(A280="N/A"," ",((SUM(T280:V280))/(1-Inputs!$S$11)-(SUM(T280:V280))))</f>
        <v> </v>
      </c>
      <c r="X280" s="444" t="str">
        <f aca="false">IF(A280="N/A"," ",(IF(MONTH(A280)&gt;=4,IF(MONTH(A280)&lt;=10,Inputs!$S$9,Inputs!$S$10),Inputs!$S$10)))</f>
        <v> </v>
      </c>
      <c r="Y280" s="445" t="str">
        <f aca="false">IF(A280="N/A"," ",(VLOOKUP($A280,InterestRatesTable,2)))</f>
        <v> </v>
      </c>
      <c r="AF280" s="386" t="n">
        <f aca="false">EOMONTH(AF279,0)+1</f>
        <v>44958</v>
      </c>
      <c r="AG280" s="376" t="n">
        <v>20</v>
      </c>
      <c r="AH280" s="376" t="n">
        <v>4</v>
      </c>
      <c r="AI280" s="376" t="n">
        <v>4</v>
      </c>
      <c r="AJ280" s="376" t="n">
        <v>0</v>
      </c>
      <c r="AK280" s="376" t="n">
        <v>28</v>
      </c>
    </row>
    <row r="281" customFormat="false" ht="12.75" hidden="false" customHeight="false" outlineLevel="0" collapsed="false">
      <c r="A281" s="434" t="str">
        <f aca="false">Calculations!A246</f>
        <v>N/A</v>
      </c>
      <c r="B281" s="435" t="str">
        <f aca="false">IF(A281="N/A"," ",IF(ISERROR(P281),B269*Pwresc,P281)*VLOOKUP(MONTH(A281),Curveadj,3))</f>
        <v> </v>
      </c>
      <c r="C281" s="436" t="str">
        <f aca="false">IF(A281="N/A"," ",IF(ISERROR(Q281),C269*Pwresc,Q281)*VLOOKUP(MONTH(A281),Curveadj,3))</f>
        <v> </v>
      </c>
      <c r="D281" s="437" t="str">
        <f aca="false">IF(A281="N/A"," ",IF(ISERROR(R281),D269*Pwresc,R281)*VLOOKUP(MONTH(A281),Curveadj,3))</f>
        <v> </v>
      </c>
      <c r="E281" s="438" t="str">
        <f aca="false">IF(A281="N/A"," ",IF(Scalers=1,(IF(AND(Dynamic=1,MONTH(A281)&gt;=6,MONTH(A281)&lt;=8,OR($O$37="REGION 2",$O$37="REGION 2A",$O$37="REGION 2B",$O$37="REGION 3",$O$37="REGION 3A",$O$37="REGION 3B",$O$37="REGION 3C",$O$37="REGION 4",$O$37="REGION 4B",$O$37="REGION 4C",$O$37="REGION 5",$O$37="REGION 5A")),((0.059228/(B281/100))-(0.4980013/(SQRT(B281/100)))+2.137988),HLOOKUP(MONTH(A281),ScalarTable,28))),1))</f>
        <v> </v>
      </c>
      <c r="F281" s="439" t="str">
        <f aca="false">IF(A281="N/A"," ",B281*E281)</f>
        <v> </v>
      </c>
      <c r="G281" s="439" t="str">
        <f aca="false">IF(A281="N/A"," ",C281*E281)</f>
        <v> </v>
      </c>
      <c r="H281" s="440" t="str">
        <f aca="false">IF(A281="N/A"," ",D281*E281)</f>
        <v> </v>
      </c>
      <c r="I281" s="402" t="str">
        <f aca="false">IF(A281="N/A"," ",2-E281)</f>
        <v> </v>
      </c>
      <c r="J281" s="439" t="str">
        <f aca="false">IF(A281="N/A"," ",B281*I281)</f>
        <v> </v>
      </c>
      <c r="K281" s="439" t="str">
        <f aca="false">IF(A281="N/A"," ",C281*I281)</f>
        <v> </v>
      </c>
      <c r="L281" s="440" t="str">
        <f aca="false">IF(A281="N/A"," ",D281*I281)</f>
        <v> </v>
      </c>
      <c r="M281" s="441" t="str">
        <f aca="false">IF(A281="N/A"," ",IF(ISERROR(S281),M269*Pwresc,S281))</f>
        <v> </v>
      </c>
      <c r="N281" s="442" t="str">
        <f aca="false">IF(A281="N/A"," ",SUM(T281:X281))</f>
        <v> </v>
      </c>
      <c r="O281" s="370"/>
      <c r="P281" s="436" t="str">
        <f aca="false">IF(A281="N/A"," ",VLOOKUP(A281,PeakPowerCurves,(IF(BMO=2,3,IF(BMO=1,2,4))),FALSE())+Inputs!N264)</f>
        <v> </v>
      </c>
      <c r="Q281" s="436" t="str">
        <f aca="false">IF(A281="N/A"," ",VLOOKUP(A281,SatSunPeakPwr,(IF(BMO=2,3,IF(BMO=1,2,4))),FALSE())+Inputs!$N$23)</f>
        <v> </v>
      </c>
      <c r="R281" s="436" t="str">
        <f aca="false">IF(A281="N/A"," ",VLOOKUP(A281,SatSunPeakPwr,(IF(BMO=2,7,IF(BMO=1,6,8))),FALSE())+Inputs!$N$23)</f>
        <v> </v>
      </c>
      <c r="S281" s="443" t="str">
        <f aca="false">IF(A281="N/A"," ",(VLOOKUP(A281,OPPowerPrices,(IF(BMO=2,7,IF(BMO=1,6,8))),FALSE())+Inputs!$N$23))</f>
        <v> </v>
      </c>
      <c r="T281" s="444" t="str">
        <f aca="false">IF(A281="N/A"," ",(VLOOKUP(A281,GasCurves,9,FALSE()))+IF(BMO=1,Gasbmo,IF(BMO=3,-Gasbmo,0)))</f>
        <v> </v>
      </c>
      <c r="U281" s="444" t="str">
        <f aca="false">IF(A281="N/A"," ",IF(Basischeck=TRUE(),(VLOOKUP(A281,GasCurves,IF(MONTH(A281)&gt;=4,IF(MONTH(A281)&lt;=10,11,12),12),FALSE())),0))</f>
        <v> </v>
      </c>
      <c r="V281" s="444" t="str">
        <f aca="false">IF(A281="N/A"," ",IF(Indexcheck=TRUE(),(IF(MONTH(A281)&gt;=4,IF(MONTH(A281)&lt;=10,VLOOKUP(A281,'Gas Curves'!B259:O619,13),VLOOKUP(A281,'Gas Curves'!B259:O619,14)),VLOOKUP(A281,'Gas Curves'!B259:O619,14))),0))</f>
        <v> </v>
      </c>
      <c r="W281" s="444" t="str">
        <f aca="false">IF(A281="N/A"," ",((SUM(T281:V281))/(1-Inputs!$S$11)-(SUM(T281:V281))))</f>
        <v> </v>
      </c>
      <c r="X281" s="444" t="str">
        <f aca="false">IF(A281="N/A"," ",(IF(MONTH(A281)&gt;=4,IF(MONTH(A281)&lt;=10,Inputs!$S$9,Inputs!$S$10),Inputs!$S$10)))</f>
        <v> </v>
      </c>
      <c r="Y281" s="445" t="str">
        <f aca="false">IF(A281="N/A"," ",(VLOOKUP($A281,InterestRatesTable,2)))</f>
        <v> </v>
      </c>
      <c r="AF281" s="386" t="n">
        <f aca="false">EOMONTH(AF280,0)+1</f>
        <v>44986</v>
      </c>
      <c r="AG281" s="376" t="n">
        <v>21</v>
      </c>
      <c r="AH281" s="376" t="n">
        <v>5</v>
      </c>
      <c r="AI281" s="376" t="n">
        <v>5</v>
      </c>
      <c r="AJ281" s="376" t="n">
        <v>0</v>
      </c>
      <c r="AK281" s="376" t="n">
        <v>31</v>
      </c>
    </row>
    <row r="282" customFormat="false" ht="12.75" hidden="false" customHeight="false" outlineLevel="0" collapsed="false">
      <c r="A282" s="434" t="str">
        <f aca="false">Calculations!A247</f>
        <v>N/A</v>
      </c>
      <c r="B282" s="435" t="str">
        <f aca="false">IF(A282="N/A"," ",IF(ISERROR(P282),B270*Pwresc,P282)*VLOOKUP(MONTH(A282),Curveadj,3))</f>
        <v> </v>
      </c>
      <c r="C282" s="436" t="str">
        <f aca="false">IF(A282="N/A"," ",IF(ISERROR(Q282),C270*Pwresc,Q282)*VLOOKUP(MONTH(A282),Curveadj,3))</f>
        <v> </v>
      </c>
      <c r="D282" s="437" t="str">
        <f aca="false">IF(A282="N/A"," ",IF(ISERROR(R282),D270*Pwresc,R282)*VLOOKUP(MONTH(A282),Curveadj,3))</f>
        <v> </v>
      </c>
      <c r="E282" s="438" t="str">
        <f aca="false">IF(A282="N/A"," ",IF(Scalers=1,(IF(AND(Dynamic=1,MONTH(A282)&gt;=6,MONTH(A282)&lt;=8,OR($O$37="REGION 2",$O$37="REGION 2A",$O$37="REGION 2B",$O$37="REGION 3",$O$37="REGION 3A",$O$37="REGION 3B",$O$37="REGION 3C",$O$37="REGION 4",$O$37="REGION 4B",$O$37="REGION 4C",$O$37="REGION 5",$O$37="REGION 5A")),((0.059228/(B282/100))-(0.4980013/(SQRT(B282/100)))+2.137988),HLOOKUP(MONTH(A282),ScalarTable,28))),1))</f>
        <v> </v>
      </c>
      <c r="F282" s="439" t="str">
        <f aca="false">IF(A282="N/A"," ",B282*E282)</f>
        <v> </v>
      </c>
      <c r="G282" s="439" t="str">
        <f aca="false">IF(A282="N/A"," ",C282*E282)</f>
        <v> </v>
      </c>
      <c r="H282" s="440" t="str">
        <f aca="false">IF(A282="N/A"," ",D282*E282)</f>
        <v> </v>
      </c>
      <c r="I282" s="402" t="str">
        <f aca="false">IF(A282="N/A"," ",2-E282)</f>
        <v> </v>
      </c>
      <c r="J282" s="439" t="str">
        <f aca="false">IF(A282="N/A"," ",B282*I282)</f>
        <v> </v>
      </c>
      <c r="K282" s="439" t="str">
        <f aca="false">IF(A282="N/A"," ",C282*I282)</f>
        <v> </v>
      </c>
      <c r="L282" s="440" t="str">
        <f aca="false">IF(A282="N/A"," ",D282*I282)</f>
        <v> </v>
      </c>
      <c r="M282" s="441" t="str">
        <f aca="false">IF(A282="N/A"," ",IF(ISERROR(S282),M270*Pwresc,S282))</f>
        <v> </v>
      </c>
      <c r="N282" s="442" t="str">
        <f aca="false">IF(A282="N/A"," ",SUM(T282:X282))</f>
        <v> </v>
      </c>
      <c r="O282" s="370"/>
      <c r="P282" s="436" t="str">
        <f aca="false">IF(A282="N/A"," ",VLOOKUP(A282,PeakPowerCurves,(IF(BMO=2,3,IF(BMO=1,2,4))),FALSE())+Inputs!N265)</f>
        <v> </v>
      </c>
      <c r="Q282" s="436" t="str">
        <f aca="false">IF(A282="N/A"," ",VLOOKUP(A282,SatSunPeakPwr,(IF(BMO=2,3,IF(BMO=1,2,4))),FALSE())+Inputs!$N$23)</f>
        <v> </v>
      </c>
      <c r="R282" s="436" t="str">
        <f aca="false">IF(A282="N/A"," ",VLOOKUP(A282,SatSunPeakPwr,(IF(BMO=2,7,IF(BMO=1,6,8))),FALSE())+Inputs!$N$23)</f>
        <v> </v>
      </c>
      <c r="S282" s="443" t="str">
        <f aca="false">IF(A282="N/A"," ",(VLOOKUP(A282,OPPowerPrices,(IF(BMO=2,7,IF(BMO=1,6,8))),FALSE())+Inputs!$N$23))</f>
        <v> </v>
      </c>
      <c r="T282" s="444" t="str">
        <f aca="false">IF(A282="N/A"," ",(VLOOKUP(A282,GasCurves,9,FALSE()))+IF(BMO=1,Gasbmo,IF(BMO=3,-Gasbmo,0)))</f>
        <v> </v>
      </c>
      <c r="U282" s="444" t="str">
        <f aca="false">IF(A282="N/A"," ",IF(Basischeck=TRUE(),(VLOOKUP(A282,GasCurves,IF(MONTH(A282)&gt;=4,IF(MONTH(A282)&lt;=10,11,12),12),FALSE())),0))</f>
        <v> </v>
      </c>
      <c r="V282" s="444" t="str">
        <f aca="false">IF(A282="N/A"," ",IF(Indexcheck=TRUE(),(IF(MONTH(A282)&gt;=4,IF(MONTH(A282)&lt;=10,VLOOKUP(A282,'Gas Curves'!B260:O620,13),VLOOKUP(A282,'Gas Curves'!B260:O620,14)),VLOOKUP(A282,'Gas Curves'!B260:O620,14))),0))</f>
        <v> </v>
      </c>
      <c r="W282" s="444" t="str">
        <f aca="false">IF(A282="N/A"," ",((SUM(T282:V282))/(1-Inputs!$S$11)-(SUM(T282:V282))))</f>
        <v> </v>
      </c>
      <c r="X282" s="444" t="str">
        <f aca="false">IF(A282="N/A"," ",(IF(MONTH(A282)&gt;=4,IF(MONTH(A282)&lt;=10,Inputs!$S$9,Inputs!$S$10),Inputs!$S$10)))</f>
        <v> </v>
      </c>
      <c r="Y282" s="445" t="str">
        <f aca="false">IF(A282="N/A"," ",(VLOOKUP($A282,InterestRatesTable,2)))</f>
        <v> </v>
      </c>
      <c r="AF282" s="386" t="n">
        <f aca="false">EOMONTH(AF281,0)+1</f>
        <v>45017</v>
      </c>
      <c r="AG282" s="376" t="n">
        <v>22</v>
      </c>
      <c r="AH282" s="376" t="n">
        <v>4</v>
      </c>
      <c r="AI282" s="376" t="n">
        <v>4</v>
      </c>
      <c r="AJ282" s="376" t="n">
        <v>0</v>
      </c>
      <c r="AK282" s="376" t="n">
        <v>30</v>
      </c>
    </row>
    <row r="283" customFormat="false" ht="12.75" hidden="false" customHeight="false" outlineLevel="0" collapsed="false">
      <c r="A283" s="434" t="str">
        <f aca="false">Calculations!A248</f>
        <v>N/A</v>
      </c>
      <c r="B283" s="435" t="str">
        <f aca="false">IF(A283="N/A"," ",IF(ISERROR(P283),B271*Pwresc,P283)*VLOOKUP(MONTH(A283),Curveadj,3))</f>
        <v> </v>
      </c>
      <c r="C283" s="436" t="str">
        <f aca="false">IF(A283="N/A"," ",IF(ISERROR(Q283),C271*Pwresc,Q283)*VLOOKUP(MONTH(A283),Curveadj,3))</f>
        <v> </v>
      </c>
      <c r="D283" s="437" t="str">
        <f aca="false">IF(A283="N/A"," ",IF(ISERROR(R283),D271*Pwresc,R283)*VLOOKUP(MONTH(A283),Curveadj,3))</f>
        <v> </v>
      </c>
      <c r="E283" s="438" t="str">
        <f aca="false">IF(A283="N/A"," ",IF(Scalers=1,(IF(AND(Dynamic=1,MONTH(A283)&gt;=6,MONTH(A283)&lt;=8,OR($O$37="REGION 2",$O$37="REGION 2A",$O$37="REGION 2B",$O$37="REGION 3",$O$37="REGION 3A",$O$37="REGION 3B",$O$37="REGION 3C",$O$37="REGION 4",$O$37="REGION 4B",$O$37="REGION 4C",$O$37="REGION 5",$O$37="REGION 5A")),((0.059228/(B283/100))-(0.4980013/(SQRT(B283/100)))+2.137988),HLOOKUP(MONTH(A283),ScalarTable,28))),1))</f>
        <v> </v>
      </c>
      <c r="F283" s="439" t="str">
        <f aca="false">IF(A283="N/A"," ",B283*E283)</f>
        <v> </v>
      </c>
      <c r="G283" s="439" t="str">
        <f aca="false">IF(A283="N/A"," ",C283*E283)</f>
        <v> </v>
      </c>
      <c r="H283" s="440" t="str">
        <f aca="false">IF(A283="N/A"," ",D283*E283)</f>
        <v> </v>
      </c>
      <c r="I283" s="402" t="str">
        <f aca="false">IF(A283="N/A"," ",2-E283)</f>
        <v> </v>
      </c>
      <c r="J283" s="439" t="str">
        <f aca="false">IF(A283="N/A"," ",B283*I283)</f>
        <v> </v>
      </c>
      <c r="K283" s="439" t="str">
        <f aca="false">IF(A283="N/A"," ",C283*I283)</f>
        <v> </v>
      </c>
      <c r="L283" s="440" t="str">
        <f aca="false">IF(A283="N/A"," ",D283*I283)</f>
        <v> </v>
      </c>
      <c r="M283" s="441" t="str">
        <f aca="false">IF(A283="N/A"," ",IF(ISERROR(S283),M271*Pwresc,S283))</f>
        <v> </v>
      </c>
      <c r="N283" s="442" t="str">
        <f aca="false">IF(A283="N/A"," ",SUM(T283:X283))</f>
        <v> </v>
      </c>
      <c r="O283" s="370"/>
      <c r="P283" s="436" t="str">
        <f aca="false">IF(A283="N/A"," ",VLOOKUP(A283,PeakPowerCurves,(IF(BMO=2,3,IF(BMO=1,2,4))),FALSE())+Inputs!N266)</f>
        <v> </v>
      </c>
      <c r="Q283" s="436" t="str">
        <f aca="false">IF(A283="N/A"," ",VLOOKUP(A283,SatSunPeakPwr,(IF(BMO=2,3,IF(BMO=1,2,4))),FALSE())+Inputs!$N$23)</f>
        <v> </v>
      </c>
      <c r="R283" s="436" t="str">
        <f aca="false">IF(A283="N/A"," ",VLOOKUP(A283,SatSunPeakPwr,(IF(BMO=2,7,IF(BMO=1,6,8))),FALSE())+Inputs!$N$23)</f>
        <v> </v>
      </c>
      <c r="S283" s="443" t="str">
        <f aca="false">IF(A283="N/A"," ",(VLOOKUP(A283,OPPowerPrices,(IF(BMO=2,7,IF(BMO=1,6,8))),FALSE())+Inputs!$N$23))</f>
        <v> </v>
      </c>
      <c r="T283" s="444" t="str">
        <f aca="false">IF(A283="N/A"," ",(VLOOKUP(A283,GasCurves,9,FALSE()))+IF(BMO=1,Gasbmo,IF(BMO=3,-Gasbmo,0)))</f>
        <v> </v>
      </c>
      <c r="U283" s="444" t="str">
        <f aca="false">IF(A283="N/A"," ",IF(Basischeck=TRUE(),(VLOOKUP(A283,GasCurves,IF(MONTH(A283)&gt;=4,IF(MONTH(A283)&lt;=10,11,12),12),FALSE())),0))</f>
        <v> </v>
      </c>
      <c r="V283" s="444" t="str">
        <f aca="false">IF(A283="N/A"," ",IF(Indexcheck=TRUE(),(IF(MONTH(A283)&gt;=4,IF(MONTH(A283)&lt;=10,VLOOKUP(A283,'Gas Curves'!B261:O621,13),VLOOKUP(A283,'Gas Curves'!B261:O621,14)),VLOOKUP(A283,'Gas Curves'!B261:O621,14))),0))</f>
        <v> </v>
      </c>
      <c r="W283" s="444" t="str">
        <f aca="false">IF(A283="N/A"," ",((SUM(T283:V283))/(1-Inputs!$S$11)-(SUM(T283:V283))))</f>
        <v> </v>
      </c>
      <c r="X283" s="444" t="str">
        <f aca="false">IF(A283="N/A"," ",(IF(MONTH(A283)&gt;=4,IF(MONTH(A283)&lt;=10,Inputs!$S$9,Inputs!$S$10),Inputs!$S$10)))</f>
        <v> </v>
      </c>
      <c r="Y283" s="445" t="str">
        <f aca="false">IF(A283="N/A"," ",(VLOOKUP($A283,InterestRatesTable,2)))</f>
        <v> </v>
      </c>
      <c r="AF283" s="386" t="n">
        <f aca="false">EOMONTH(AF282,0)+1</f>
        <v>45047</v>
      </c>
      <c r="AG283" s="376" t="n">
        <v>22</v>
      </c>
      <c r="AH283" s="376" t="n">
        <v>4</v>
      </c>
      <c r="AI283" s="376" t="n">
        <v>5</v>
      </c>
      <c r="AJ283" s="376" t="n">
        <v>1</v>
      </c>
      <c r="AK283" s="376" t="n">
        <v>31</v>
      </c>
    </row>
    <row r="284" customFormat="false" ht="12.75" hidden="false" customHeight="false" outlineLevel="0" collapsed="false">
      <c r="A284" s="434" t="str">
        <f aca="false">Calculations!A249</f>
        <v>N/A</v>
      </c>
      <c r="B284" s="435" t="str">
        <f aca="false">IF(A284="N/A"," ",IF(ISERROR(P284),B272*Pwresc,P284)*VLOOKUP(MONTH(A284),Curveadj,3))</f>
        <v> </v>
      </c>
      <c r="C284" s="436" t="str">
        <f aca="false">IF(A284="N/A"," ",IF(ISERROR(Q284),C272*Pwresc,Q284)*VLOOKUP(MONTH(A284),Curveadj,3))</f>
        <v> </v>
      </c>
      <c r="D284" s="437" t="str">
        <f aca="false">IF(A284="N/A"," ",IF(ISERROR(R284),D272*Pwresc,R284)*VLOOKUP(MONTH(A284),Curveadj,3))</f>
        <v> </v>
      </c>
      <c r="E284" s="438" t="str">
        <f aca="false">IF(A284="N/A"," ",IF(Scalers=1,(IF(AND(Dynamic=1,MONTH(A284)&gt;=6,MONTH(A284)&lt;=8,OR($O$37="REGION 2",$O$37="REGION 2A",$O$37="REGION 2B",$O$37="REGION 3",$O$37="REGION 3A",$O$37="REGION 3B",$O$37="REGION 3C",$O$37="REGION 4",$O$37="REGION 4B",$O$37="REGION 4C",$O$37="REGION 5",$O$37="REGION 5A")),((0.059228/(B284/100))-(0.4980013/(SQRT(B284/100)))+2.137988),HLOOKUP(MONTH(A284),ScalarTable,28))),1))</f>
        <v> </v>
      </c>
      <c r="F284" s="439" t="str">
        <f aca="false">IF(A284="N/A"," ",B284*E284)</f>
        <v> </v>
      </c>
      <c r="G284" s="439" t="str">
        <f aca="false">IF(A284="N/A"," ",C284*E284)</f>
        <v> </v>
      </c>
      <c r="H284" s="440" t="str">
        <f aca="false">IF(A284="N/A"," ",D284*E284)</f>
        <v> </v>
      </c>
      <c r="I284" s="402" t="str">
        <f aca="false">IF(A284="N/A"," ",2-E284)</f>
        <v> </v>
      </c>
      <c r="J284" s="439" t="str">
        <f aca="false">IF(A284="N/A"," ",B284*I284)</f>
        <v> </v>
      </c>
      <c r="K284" s="439" t="str">
        <f aca="false">IF(A284="N/A"," ",C284*I284)</f>
        <v> </v>
      </c>
      <c r="L284" s="440" t="str">
        <f aca="false">IF(A284="N/A"," ",D284*I284)</f>
        <v> </v>
      </c>
      <c r="M284" s="441" t="str">
        <f aca="false">IF(A284="N/A"," ",IF(ISERROR(S284),M272*Pwresc,S284))</f>
        <v> </v>
      </c>
      <c r="N284" s="442" t="str">
        <f aca="false">IF(A284="N/A"," ",SUM(T284:X284))</f>
        <v> </v>
      </c>
      <c r="O284" s="370"/>
      <c r="P284" s="436" t="str">
        <f aca="false">IF(A284="N/A"," ",VLOOKUP(A284,PeakPowerCurves,(IF(BMO=2,3,IF(BMO=1,2,4))),FALSE())+Inputs!N267)</f>
        <v> </v>
      </c>
      <c r="Q284" s="436" t="str">
        <f aca="false">IF(A284="N/A"," ",VLOOKUP(A284,SatSunPeakPwr,(IF(BMO=2,3,IF(BMO=1,2,4))),FALSE())+Inputs!$N$23)</f>
        <v> </v>
      </c>
      <c r="R284" s="436" t="str">
        <f aca="false">IF(A284="N/A"," ",VLOOKUP(A284,SatSunPeakPwr,(IF(BMO=2,7,IF(BMO=1,6,8))),FALSE())+Inputs!$N$23)</f>
        <v> </v>
      </c>
      <c r="S284" s="443" t="str">
        <f aca="false">IF(A284="N/A"," ",(VLOOKUP(A284,OPPowerPrices,(IF(BMO=2,7,IF(BMO=1,6,8))),FALSE())+Inputs!$N$23))</f>
        <v> </v>
      </c>
      <c r="T284" s="444" t="str">
        <f aca="false">IF(A284="N/A"," ",(VLOOKUP(A284,GasCurves,9,FALSE()))+IF(BMO=1,Gasbmo,IF(BMO=3,-Gasbmo,0)))</f>
        <v> </v>
      </c>
      <c r="U284" s="444" t="str">
        <f aca="false">IF(A284="N/A"," ",IF(Basischeck=TRUE(),(VLOOKUP(A284,GasCurves,IF(MONTH(A284)&gt;=4,IF(MONTH(A284)&lt;=10,11,12),12),FALSE())),0))</f>
        <v> </v>
      </c>
      <c r="V284" s="444" t="str">
        <f aca="false">IF(A284="N/A"," ",IF(Indexcheck=TRUE(),(IF(MONTH(A284)&gt;=4,IF(MONTH(A284)&lt;=10,VLOOKUP(A284,'Gas Curves'!B262:O622,13),VLOOKUP(A284,'Gas Curves'!B262:O622,14)),VLOOKUP(A284,'Gas Curves'!B262:O622,14))),0))</f>
        <v> </v>
      </c>
      <c r="W284" s="444" t="str">
        <f aca="false">IF(A284="N/A"," ",((SUM(T284:V284))/(1-Inputs!$S$11)-(SUM(T284:V284))))</f>
        <v> </v>
      </c>
      <c r="X284" s="444" t="str">
        <f aca="false">IF(A284="N/A"," ",(IF(MONTH(A284)&gt;=4,IF(MONTH(A284)&lt;=10,Inputs!$S$9,Inputs!$S$10),Inputs!$S$10)))</f>
        <v> </v>
      </c>
      <c r="Y284" s="445" t="str">
        <f aca="false">IF(A284="N/A"," ",(VLOOKUP($A284,InterestRatesTable,2)))</f>
        <v> </v>
      </c>
      <c r="AF284" s="386" t="n">
        <f aca="false">EOMONTH(AF283,0)+1</f>
        <v>45078</v>
      </c>
      <c r="AG284" s="376" t="n">
        <v>20</v>
      </c>
      <c r="AH284" s="376" t="n">
        <v>5</v>
      </c>
      <c r="AI284" s="376" t="n">
        <v>5</v>
      </c>
      <c r="AJ284" s="376" t="n">
        <v>0</v>
      </c>
      <c r="AK284" s="376" t="n">
        <v>30</v>
      </c>
    </row>
    <row r="285" customFormat="false" ht="12.75" hidden="false" customHeight="false" outlineLevel="0" collapsed="false">
      <c r="A285" s="434" t="str">
        <f aca="false">Calculations!A250</f>
        <v>N/A</v>
      </c>
      <c r="B285" s="435" t="str">
        <f aca="false">IF(A285="N/A"," ",IF(ISERROR(P285),B273*Pwresc,P285)*VLOOKUP(MONTH(A285),Curveadj,3))</f>
        <v> </v>
      </c>
      <c r="C285" s="436" t="str">
        <f aca="false">IF(A285="N/A"," ",IF(ISERROR(Q285),C273*Pwresc,Q285)*VLOOKUP(MONTH(A285),Curveadj,3))</f>
        <v> </v>
      </c>
      <c r="D285" s="437" t="str">
        <f aca="false">IF(A285="N/A"," ",IF(ISERROR(R285),D273*Pwresc,R285)*VLOOKUP(MONTH(A285),Curveadj,3))</f>
        <v> </v>
      </c>
      <c r="E285" s="438" t="str">
        <f aca="false">IF(A285="N/A"," ",IF(Scalers=1,(IF(AND(Dynamic=1,MONTH(A285)&gt;=6,MONTH(A285)&lt;=8,OR($O$37="REGION 2",$O$37="REGION 2A",$O$37="REGION 2B",$O$37="REGION 3",$O$37="REGION 3A",$O$37="REGION 3B",$O$37="REGION 3C",$O$37="REGION 4",$O$37="REGION 4B",$O$37="REGION 4C",$O$37="REGION 5",$O$37="REGION 5A")),((0.059228/(B285/100))-(0.4980013/(SQRT(B285/100)))+2.137988),HLOOKUP(MONTH(A285),ScalarTable,28))),1))</f>
        <v> </v>
      </c>
      <c r="F285" s="439" t="str">
        <f aca="false">IF(A285="N/A"," ",B285*E285)</f>
        <v> </v>
      </c>
      <c r="G285" s="439" t="str">
        <f aca="false">IF(A285="N/A"," ",C285*E285)</f>
        <v> </v>
      </c>
      <c r="H285" s="440" t="str">
        <f aca="false">IF(A285="N/A"," ",D285*E285)</f>
        <v> </v>
      </c>
      <c r="I285" s="402" t="str">
        <f aca="false">IF(A285="N/A"," ",2-E285)</f>
        <v> </v>
      </c>
      <c r="J285" s="439" t="str">
        <f aca="false">IF(A285="N/A"," ",B285*I285)</f>
        <v> </v>
      </c>
      <c r="K285" s="439" t="str">
        <f aca="false">IF(A285="N/A"," ",C285*I285)</f>
        <v> </v>
      </c>
      <c r="L285" s="440" t="str">
        <f aca="false">IF(A285="N/A"," ",D285*I285)</f>
        <v> </v>
      </c>
      <c r="M285" s="441" t="str">
        <f aca="false">IF(A285="N/A"," ",IF(ISERROR(S285),M273*Pwresc,S285))</f>
        <v> </v>
      </c>
      <c r="N285" s="442" t="str">
        <f aca="false">IF(A285="N/A"," ",SUM(T285:X285))</f>
        <v> </v>
      </c>
      <c r="O285" s="370"/>
      <c r="P285" s="436" t="str">
        <f aca="false">IF(A285="N/A"," ",VLOOKUP(A285,PeakPowerCurves,(IF(BMO=2,3,IF(BMO=1,2,4))),FALSE())+Inputs!N268)</f>
        <v> </v>
      </c>
      <c r="Q285" s="436" t="str">
        <f aca="false">IF(A285="N/A"," ",VLOOKUP(A285,SatSunPeakPwr,(IF(BMO=2,3,IF(BMO=1,2,4))),FALSE())+Inputs!$N$23)</f>
        <v> </v>
      </c>
      <c r="R285" s="436" t="str">
        <f aca="false">IF(A285="N/A"," ",VLOOKUP(A285,SatSunPeakPwr,(IF(BMO=2,7,IF(BMO=1,6,8))),FALSE())+Inputs!$N$23)</f>
        <v> </v>
      </c>
      <c r="S285" s="443" t="str">
        <f aca="false">IF(A285="N/A"," ",(VLOOKUP(A285,OPPowerPrices,(IF(BMO=2,7,IF(BMO=1,6,8))),FALSE())+Inputs!$N$23))</f>
        <v> </v>
      </c>
      <c r="T285" s="444" t="str">
        <f aca="false">IF(A285="N/A"," ",(VLOOKUP(A285,GasCurves,9,FALSE()))+IF(BMO=1,Gasbmo,IF(BMO=3,-Gasbmo,0)))</f>
        <v> </v>
      </c>
      <c r="U285" s="444" t="str">
        <f aca="false">IF(A285="N/A"," ",IF(Basischeck=TRUE(),(VLOOKUP(A285,GasCurves,IF(MONTH(A285)&gt;=4,IF(MONTH(A285)&lt;=10,11,12),12),FALSE())),0))</f>
        <v> </v>
      </c>
      <c r="V285" s="444" t="str">
        <f aca="false">IF(A285="N/A"," ",IF(Indexcheck=TRUE(),(IF(MONTH(A285)&gt;=4,IF(MONTH(A285)&lt;=10,VLOOKUP(A285,'Gas Curves'!B263:O623,13),VLOOKUP(A285,'Gas Curves'!B263:O623,14)),VLOOKUP(A285,'Gas Curves'!B263:O623,14))),0))</f>
        <v> </v>
      </c>
      <c r="W285" s="444" t="str">
        <f aca="false">IF(A285="N/A"," ",((SUM(T285:V285))/(1-Inputs!$S$11)-(SUM(T285:V285))))</f>
        <v> </v>
      </c>
      <c r="X285" s="444" t="str">
        <f aca="false">IF(A285="N/A"," ",(IF(MONTH(A285)&gt;=4,IF(MONTH(A285)&lt;=10,Inputs!$S$9,Inputs!$S$10),Inputs!$S$10)))</f>
        <v> </v>
      </c>
      <c r="Y285" s="445" t="str">
        <f aca="false">IF(A285="N/A"," ",(VLOOKUP($A285,InterestRatesTable,2)))</f>
        <v> </v>
      </c>
      <c r="AF285" s="386" t="n">
        <f aca="false">EOMONTH(AF284,0)+1</f>
        <v>45108</v>
      </c>
      <c r="AG285" s="376" t="n">
        <v>22</v>
      </c>
      <c r="AH285" s="376" t="n">
        <v>4</v>
      </c>
      <c r="AI285" s="376" t="n">
        <v>5</v>
      </c>
      <c r="AJ285" s="376" t="n">
        <v>1</v>
      </c>
      <c r="AK285" s="376" t="n">
        <v>31</v>
      </c>
    </row>
    <row r="286" customFormat="false" ht="12.75" hidden="false" customHeight="false" outlineLevel="0" collapsed="false">
      <c r="A286" s="434" t="str">
        <f aca="false">Calculations!A251</f>
        <v>N/A</v>
      </c>
      <c r="B286" s="435" t="str">
        <f aca="false">IF(A286="N/A"," ",IF(ISERROR(P286),B274*Pwresc,P286)*VLOOKUP(MONTH(A286),Curveadj,3))</f>
        <v> </v>
      </c>
      <c r="C286" s="436" t="str">
        <f aca="false">IF(A286="N/A"," ",IF(ISERROR(Q286),C274*Pwresc,Q286)*VLOOKUP(MONTH(A286),Curveadj,3))</f>
        <v> </v>
      </c>
      <c r="D286" s="437" t="str">
        <f aca="false">IF(A286="N/A"," ",IF(ISERROR(R286),D274*Pwresc,R286)*VLOOKUP(MONTH(A286),Curveadj,3))</f>
        <v> </v>
      </c>
      <c r="E286" s="438" t="str">
        <f aca="false">IF(A286="N/A"," ",IF(Scalers=1,(IF(AND(Dynamic=1,MONTH(A286)&gt;=6,MONTH(A286)&lt;=8,OR($O$37="REGION 2",$O$37="REGION 2A",$O$37="REGION 2B",$O$37="REGION 3",$O$37="REGION 3A",$O$37="REGION 3B",$O$37="REGION 3C",$O$37="REGION 4",$O$37="REGION 4B",$O$37="REGION 4C",$O$37="REGION 5",$O$37="REGION 5A")),((0.059228/(B286/100))-(0.4980013/(SQRT(B286/100)))+2.137988),HLOOKUP(MONTH(A286),ScalarTable,28))),1))</f>
        <v> </v>
      </c>
      <c r="F286" s="439" t="str">
        <f aca="false">IF(A286="N/A"," ",B286*E286)</f>
        <v> </v>
      </c>
      <c r="G286" s="439" t="str">
        <f aca="false">IF(A286="N/A"," ",C286*E286)</f>
        <v> </v>
      </c>
      <c r="H286" s="440" t="str">
        <f aca="false">IF(A286="N/A"," ",D286*E286)</f>
        <v> </v>
      </c>
      <c r="I286" s="402" t="str">
        <f aca="false">IF(A286="N/A"," ",2-E286)</f>
        <v> </v>
      </c>
      <c r="J286" s="439" t="str">
        <f aca="false">IF(A286="N/A"," ",B286*I286)</f>
        <v> </v>
      </c>
      <c r="K286" s="439" t="str">
        <f aca="false">IF(A286="N/A"," ",C286*I286)</f>
        <v> </v>
      </c>
      <c r="L286" s="440" t="str">
        <f aca="false">IF(A286="N/A"," ",D286*I286)</f>
        <v> </v>
      </c>
      <c r="M286" s="441" t="str">
        <f aca="false">IF(A286="N/A"," ",IF(ISERROR(S286),M274*Pwresc,S286))</f>
        <v> </v>
      </c>
      <c r="N286" s="442" t="str">
        <f aca="false">IF(A286="N/A"," ",SUM(T286:X286))</f>
        <v> </v>
      </c>
      <c r="O286" s="370"/>
      <c r="P286" s="436" t="str">
        <f aca="false">IF(A286="N/A"," ",VLOOKUP(A286,PeakPowerCurves,(IF(BMO=2,3,IF(BMO=1,2,4))),FALSE())+Inputs!N269)</f>
        <v> </v>
      </c>
      <c r="Q286" s="436" t="str">
        <f aca="false">IF(A286="N/A"," ",VLOOKUP(A286,SatSunPeakPwr,(IF(BMO=2,3,IF(BMO=1,2,4))),FALSE())+Inputs!$N$23)</f>
        <v> </v>
      </c>
      <c r="R286" s="436" t="str">
        <f aca="false">IF(A286="N/A"," ",VLOOKUP(A286,SatSunPeakPwr,(IF(BMO=2,7,IF(BMO=1,6,8))),FALSE())+Inputs!$N$23)</f>
        <v> </v>
      </c>
      <c r="S286" s="443" t="str">
        <f aca="false">IF(A286="N/A"," ",(VLOOKUP(A286,OPPowerPrices,(IF(BMO=2,7,IF(BMO=1,6,8))),FALSE())+Inputs!$N$23))</f>
        <v> </v>
      </c>
      <c r="T286" s="444" t="str">
        <f aca="false">IF(A286="N/A"," ",(VLOOKUP(A286,GasCurves,9,FALSE()))+IF(BMO=1,Gasbmo,IF(BMO=3,-Gasbmo,0)))</f>
        <v> </v>
      </c>
      <c r="U286" s="444" t="str">
        <f aca="false">IF(A286="N/A"," ",IF(Basischeck=TRUE(),(VLOOKUP(A286,GasCurves,IF(MONTH(A286)&gt;=4,IF(MONTH(A286)&lt;=10,11,12),12),FALSE())),0))</f>
        <v> </v>
      </c>
      <c r="V286" s="444" t="str">
        <f aca="false">IF(A286="N/A"," ",IF(Indexcheck=TRUE(),(IF(MONTH(A286)&gt;=4,IF(MONTH(A286)&lt;=10,VLOOKUP(A286,'Gas Curves'!B264:O624,13),VLOOKUP(A286,'Gas Curves'!B264:O624,14)),VLOOKUP(A286,'Gas Curves'!B264:O624,14))),0))</f>
        <v> </v>
      </c>
      <c r="W286" s="444" t="str">
        <f aca="false">IF(A286="N/A"," ",((SUM(T286:V286))/(1-Inputs!$S$11)-(SUM(T286:V286))))</f>
        <v> </v>
      </c>
      <c r="X286" s="444" t="str">
        <f aca="false">IF(A286="N/A"," ",(IF(MONTH(A286)&gt;=4,IF(MONTH(A286)&lt;=10,Inputs!$S$9,Inputs!$S$10),Inputs!$S$10)))</f>
        <v> </v>
      </c>
      <c r="Y286" s="445" t="str">
        <f aca="false">IF(A286="N/A"," ",(VLOOKUP($A286,InterestRatesTable,2)))</f>
        <v> </v>
      </c>
      <c r="AF286" s="386" t="n">
        <f aca="false">EOMONTH(AF285,0)+1</f>
        <v>45139</v>
      </c>
      <c r="AG286" s="376" t="n">
        <v>22</v>
      </c>
      <c r="AH286" s="376" t="n">
        <v>5</v>
      </c>
      <c r="AI286" s="376" t="n">
        <v>4</v>
      </c>
      <c r="AJ286" s="376" t="n">
        <v>0</v>
      </c>
      <c r="AK286" s="376" t="n">
        <v>31</v>
      </c>
    </row>
    <row r="287" customFormat="false" ht="12.75" hidden="false" customHeight="false" outlineLevel="0" collapsed="false">
      <c r="A287" s="434" t="str">
        <f aca="false">Calculations!A252</f>
        <v>N/A</v>
      </c>
      <c r="B287" s="435" t="str">
        <f aca="false">IF(A287="N/A"," ",IF(ISERROR(P287),B275*Pwresc,P287)*VLOOKUP(MONTH(A287),Curveadj,3))</f>
        <v> </v>
      </c>
      <c r="C287" s="436" t="str">
        <f aca="false">IF(A287="N/A"," ",IF(ISERROR(Q287),C275*Pwresc,Q287)*VLOOKUP(MONTH(A287),Curveadj,3))</f>
        <v> </v>
      </c>
      <c r="D287" s="437" t="str">
        <f aca="false">IF(A287="N/A"," ",IF(ISERROR(R287),D275*Pwresc,R287)*VLOOKUP(MONTH(A287),Curveadj,3))</f>
        <v> </v>
      </c>
      <c r="E287" s="438" t="str">
        <f aca="false">IF(A287="N/A"," ",IF(Scalers=1,(IF(AND(Dynamic=1,MONTH(A287)&gt;=6,MONTH(A287)&lt;=8,OR($O$37="REGION 2",$O$37="REGION 2A",$O$37="REGION 2B",$O$37="REGION 3",$O$37="REGION 3A",$O$37="REGION 3B",$O$37="REGION 3C",$O$37="REGION 4",$O$37="REGION 4B",$O$37="REGION 4C",$O$37="REGION 5",$O$37="REGION 5A")),((0.059228/(B287/100))-(0.4980013/(SQRT(B287/100)))+2.137988),HLOOKUP(MONTH(A287),ScalarTable,28))),1))</f>
        <v> </v>
      </c>
      <c r="F287" s="439" t="str">
        <f aca="false">IF(A287="N/A"," ",B287*E287)</f>
        <v> </v>
      </c>
      <c r="G287" s="439" t="str">
        <f aca="false">IF(A287="N/A"," ",C287*E287)</f>
        <v> </v>
      </c>
      <c r="H287" s="440" t="str">
        <f aca="false">IF(A287="N/A"," ",D287*E287)</f>
        <v> </v>
      </c>
      <c r="I287" s="402" t="str">
        <f aca="false">IF(A287="N/A"," ",2-E287)</f>
        <v> </v>
      </c>
      <c r="J287" s="439" t="str">
        <f aca="false">IF(A287="N/A"," ",B287*I287)</f>
        <v> </v>
      </c>
      <c r="K287" s="439" t="str">
        <f aca="false">IF(A287="N/A"," ",C287*I287)</f>
        <v> </v>
      </c>
      <c r="L287" s="440" t="str">
        <f aca="false">IF(A287="N/A"," ",D287*I287)</f>
        <v> </v>
      </c>
      <c r="M287" s="441" t="str">
        <f aca="false">IF(A287="N/A"," ",IF(ISERROR(S287),M275*Pwresc,S287))</f>
        <v> </v>
      </c>
      <c r="N287" s="442" t="str">
        <f aca="false">IF(A287="N/A"," ",SUM(T287:X287))</f>
        <v> </v>
      </c>
      <c r="O287" s="370"/>
      <c r="P287" s="436" t="str">
        <f aca="false">IF(A287="N/A"," ",VLOOKUP(A287,PeakPowerCurves,(IF(BMO=2,3,IF(BMO=1,2,4))),FALSE())+Inputs!N270)</f>
        <v> </v>
      </c>
      <c r="Q287" s="436" t="str">
        <f aca="false">IF(A287="N/A"," ",VLOOKUP(A287,SatSunPeakPwr,(IF(BMO=2,3,IF(BMO=1,2,4))),FALSE())+Inputs!$N$23)</f>
        <v> </v>
      </c>
      <c r="R287" s="436" t="str">
        <f aca="false">IF(A287="N/A"," ",VLOOKUP(A287,SatSunPeakPwr,(IF(BMO=2,7,IF(BMO=1,6,8))),FALSE())+Inputs!$N$23)</f>
        <v> </v>
      </c>
      <c r="S287" s="443" t="str">
        <f aca="false">IF(A287="N/A"," ",(VLOOKUP(A287,OPPowerPrices,(IF(BMO=2,7,IF(BMO=1,6,8))),FALSE())+Inputs!$N$23))</f>
        <v> </v>
      </c>
      <c r="T287" s="444" t="str">
        <f aca="false">IF(A287="N/A"," ",(VLOOKUP(A287,GasCurves,9,FALSE()))+IF(BMO=1,Gasbmo,IF(BMO=3,-Gasbmo,0)))</f>
        <v> </v>
      </c>
      <c r="U287" s="444" t="str">
        <f aca="false">IF(A287="N/A"," ",IF(Basischeck=TRUE(),(VLOOKUP(A287,GasCurves,IF(MONTH(A287)&gt;=4,IF(MONTH(A287)&lt;=10,11,12),12),FALSE())),0))</f>
        <v> </v>
      </c>
      <c r="V287" s="444" t="str">
        <f aca="false">IF(A287="N/A"," ",IF(Indexcheck=TRUE(),(IF(MONTH(A287)&gt;=4,IF(MONTH(A287)&lt;=10,VLOOKUP(A287,'Gas Curves'!B265:O625,13),VLOOKUP(A287,'Gas Curves'!B265:O625,14)),VLOOKUP(A287,'Gas Curves'!B265:O625,14))),0))</f>
        <v> </v>
      </c>
      <c r="W287" s="444" t="str">
        <f aca="false">IF(A287="N/A"," ",((SUM(T287:V287))/(1-Inputs!$S$11)-(SUM(T287:V287))))</f>
        <v> </v>
      </c>
      <c r="X287" s="444" t="str">
        <f aca="false">IF(A287="N/A"," ",(IF(MONTH(A287)&gt;=4,IF(MONTH(A287)&lt;=10,Inputs!$S$9,Inputs!$S$10),Inputs!$S$10)))</f>
        <v> </v>
      </c>
      <c r="Y287" s="445" t="str">
        <f aca="false">IF(A287="N/A"," ",(VLOOKUP($A287,InterestRatesTable,2)))</f>
        <v> </v>
      </c>
      <c r="AF287" s="386" t="n">
        <f aca="false">EOMONTH(AF286,0)+1</f>
        <v>45170</v>
      </c>
      <c r="AG287" s="376" t="n">
        <v>20</v>
      </c>
      <c r="AH287" s="376" t="n">
        <v>4</v>
      </c>
      <c r="AI287" s="376" t="n">
        <v>6</v>
      </c>
      <c r="AJ287" s="376" t="n">
        <v>1</v>
      </c>
      <c r="AK287" s="376" t="n">
        <v>30</v>
      </c>
    </row>
    <row r="288" customFormat="false" ht="12.75" hidden="false" customHeight="false" outlineLevel="0" collapsed="false">
      <c r="A288" s="434" t="str">
        <f aca="false">Calculations!A253</f>
        <v>N/A</v>
      </c>
      <c r="B288" s="435" t="str">
        <f aca="false">IF(A288="N/A"," ",IF(ISERROR(P288),B276*Pwresc,P288)*VLOOKUP(MONTH(A288),Curveadj,3))</f>
        <v> </v>
      </c>
      <c r="C288" s="436" t="str">
        <f aca="false">IF(A288="N/A"," ",IF(ISERROR(Q288),C276*Pwresc,Q288)*VLOOKUP(MONTH(A288),Curveadj,3))</f>
        <v> </v>
      </c>
      <c r="D288" s="437" t="str">
        <f aca="false">IF(A288="N/A"," ",IF(ISERROR(R288),D276*Pwresc,R288)*VLOOKUP(MONTH(A288),Curveadj,3))</f>
        <v> </v>
      </c>
      <c r="E288" s="438" t="str">
        <f aca="false">IF(A288="N/A"," ",IF(Scalers=1,(IF(AND(Dynamic=1,MONTH(A288)&gt;=6,MONTH(A288)&lt;=8,OR($O$37="REGION 2",$O$37="REGION 2A",$O$37="REGION 2B",$O$37="REGION 3",$O$37="REGION 3A",$O$37="REGION 3B",$O$37="REGION 3C",$O$37="REGION 4",$O$37="REGION 4B",$O$37="REGION 4C",$O$37="REGION 5",$O$37="REGION 5A")),((0.059228/(B288/100))-(0.4980013/(SQRT(B288/100)))+2.137988),HLOOKUP(MONTH(A288),ScalarTable,28))),1))</f>
        <v> </v>
      </c>
      <c r="F288" s="439" t="str">
        <f aca="false">IF(A288="N/A"," ",B288*E288)</f>
        <v> </v>
      </c>
      <c r="G288" s="439" t="str">
        <f aca="false">IF(A288="N/A"," ",C288*E288)</f>
        <v> </v>
      </c>
      <c r="H288" s="440" t="str">
        <f aca="false">IF(A288="N/A"," ",D288*E288)</f>
        <v> </v>
      </c>
      <c r="I288" s="402" t="str">
        <f aca="false">IF(A288="N/A"," ",2-E288)</f>
        <v> </v>
      </c>
      <c r="J288" s="439" t="str">
        <f aca="false">IF(A288="N/A"," ",B288*I288)</f>
        <v> </v>
      </c>
      <c r="K288" s="439" t="str">
        <f aca="false">IF(A288="N/A"," ",C288*I288)</f>
        <v> </v>
      </c>
      <c r="L288" s="440" t="str">
        <f aca="false">IF(A288="N/A"," ",D288*I288)</f>
        <v> </v>
      </c>
      <c r="M288" s="441" t="str">
        <f aca="false">IF(A288="N/A"," ",IF(ISERROR(S288),M276*Pwresc,S288))</f>
        <v> </v>
      </c>
      <c r="N288" s="442" t="str">
        <f aca="false">IF(A288="N/A"," ",SUM(T288:X288))</f>
        <v> </v>
      </c>
      <c r="O288" s="370"/>
      <c r="P288" s="436" t="str">
        <f aca="false">IF(A288="N/A"," ",VLOOKUP(A288,PeakPowerCurves,(IF(BMO=2,3,IF(BMO=1,2,4))),FALSE())+Inputs!N271)</f>
        <v> </v>
      </c>
      <c r="Q288" s="436" t="str">
        <f aca="false">IF(A288="N/A"," ",VLOOKUP(A288,SatSunPeakPwr,(IF(BMO=2,3,IF(BMO=1,2,4))),FALSE())+Inputs!$N$23)</f>
        <v> </v>
      </c>
      <c r="R288" s="436" t="str">
        <f aca="false">IF(A288="N/A"," ",VLOOKUP(A288,SatSunPeakPwr,(IF(BMO=2,7,IF(BMO=1,6,8))),FALSE())+Inputs!$N$23)</f>
        <v> </v>
      </c>
      <c r="S288" s="443" t="str">
        <f aca="false">IF(A288="N/A"," ",(VLOOKUP(A288,OPPowerPrices,(IF(BMO=2,7,IF(BMO=1,6,8))),FALSE())+Inputs!$N$23))</f>
        <v> </v>
      </c>
      <c r="T288" s="444" t="str">
        <f aca="false">IF(A288="N/A"," ",(VLOOKUP(A288,GasCurves,9,FALSE()))+IF(BMO=1,Gasbmo,IF(BMO=3,-Gasbmo,0)))</f>
        <v> </v>
      </c>
      <c r="U288" s="444" t="str">
        <f aca="false">IF(A288="N/A"," ",IF(Basischeck=TRUE(),(VLOOKUP(A288,GasCurves,IF(MONTH(A288)&gt;=4,IF(MONTH(A288)&lt;=10,11,12),12),FALSE())),0))</f>
        <v> </v>
      </c>
      <c r="V288" s="444" t="str">
        <f aca="false">IF(A288="N/A"," ",IF(Indexcheck=TRUE(),(IF(MONTH(A288)&gt;=4,IF(MONTH(A288)&lt;=10,VLOOKUP(A288,'Gas Curves'!B266:O626,13),VLOOKUP(A288,'Gas Curves'!B266:O626,14)),VLOOKUP(A288,'Gas Curves'!B266:O626,14))),0))</f>
        <v> </v>
      </c>
      <c r="W288" s="444" t="str">
        <f aca="false">IF(A288="N/A"," ",((SUM(T288:V288))/(1-Inputs!$S$11)-(SUM(T288:V288))))</f>
        <v> </v>
      </c>
      <c r="X288" s="444" t="str">
        <f aca="false">IF(A288="N/A"," ",(IF(MONTH(A288)&gt;=4,IF(MONTH(A288)&lt;=10,Inputs!$S$9,Inputs!$S$10),Inputs!$S$10)))</f>
        <v> </v>
      </c>
      <c r="Y288" s="445" t="str">
        <f aca="false">IF(A288="N/A"," ",(VLOOKUP($A288,InterestRatesTable,2)))</f>
        <v> </v>
      </c>
      <c r="AF288" s="386" t="n">
        <f aca="false">EOMONTH(AF287,0)+1</f>
        <v>45200</v>
      </c>
      <c r="AG288" s="376" t="n">
        <v>23</v>
      </c>
      <c r="AH288" s="376" t="n">
        <v>4</v>
      </c>
      <c r="AI288" s="376" t="n">
        <v>4</v>
      </c>
      <c r="AJ288" s="376" t="n">
        <v>0</v>
      </c>
      <c r="AK288" s="376" t="n">
        <v>31</v>
      </c>
    </row>
    <row r="289" customFormat="false" ht="12.75" hidden="false" customHeight="false" outlineLevel="0" collapsed="false">
      <c r="A289" s="434" t="str">
        <f aca="false">Calculations!A254</f>
        <v>N/A</v>
      </c>
      <c r="B289" s="435" t="str">
        <f aca="false">IF(A289="N/A"," ",IF(ISERROR(P289),B277*Pwresc,P289)*VLOOKUP(MONTH(A289),Curveadj,3))</f>
        <v> </v>
      </c>
      <c r="C289" s="436" t="str">
        <f aca="false">IF(A289="N/A"," ",IF(ISERROR(Q289),C277*Pwresc,Q289)*VLOOKUP(MONTH(A289),Curveadj,3))</f>
        <v> </v>
      </c>
      <c r="D289" s="437" t="str">
        <f aca="false">IF(A289="N/A"," ",IF(ISERROR(R289),D277*Pwresc,R289)*VLOOKUP(MONTH(A289),Curveadj,3))</f>
        <v> </v>
      </c>
      <c r="E289" s="438" t="str">
        <f aca="false">IF(A289="N/A"," ",IF(Scalers=1,(IF(AND(Dynamic=1,MONTH(A289)&gt;=6,MONTH(A289)&lt;=8,OR($O$37="REGION 2",$O$37="REGION 2A",$O$37="REGION 2B",$O$37="REGION 3",$O$37="REGION 3A",$O$37="REGION 3B",$O$37="REGION 3C",$O$37="REGION 4",$O$37="REGION 4B",$O$37="REGION 4C",$O$37="REGION 5",$O$37="REGION 5A")),((0.059228/(B289/100))-(0.4980013/(SQRT(B289/100)))+2.137988),HLOOKUP(MONTH(A289),ScalarTable,28))),1))</f>
        <v> </v>
      </c>
      <c r="F289" s="439" t="str">
        <f aca="false">IF(A289="N/A"," ",B289*E289)</f>
        <v> </v>
      </c>
      <c r="G289" s="439" t="str">
        <f aca="false">IF(A289="N/A"," ",C289*E289)</f>
        <v> </v>
      </c>
      <c r="H289" s="440" t="str">
        <f aca="false">IF(A289="N/A"," ",D289*E289)</f>
        <v> </v>
      </c>
      <c r="I289" s="402" t="str">
        <f aca="false">IF(A289="N/A"," ",2-E289)</f>
        <v> </v>
      </c>
      <c r="J289" s="439" t="str">
        <f aca="false">IF(A289="N/A"," ",B289*I289)</f>
        <v> </v>
      </c>
      <c r="K289" s="439" t="str">
        <f aca="false">IF(A289="N/A"," ",C289*I289)</f>
        <v> </v>
      </c>
      <c r="L289" s="440" t="str">
        <f aca="false">IF(A289="N/A"," ",D289*I289)</f>
        <v> </v>
      </c>
      <c r="M289" s="441" t="str">
        <f aca="false">IF(A289="N/A"," ",IF(ISERROR(S289),M277*Pwresc,S289))</f>
        <v> </v>
      </c>
      <c r="N289" s="442" t="str">
        <f aca="false">IF(A289="N/A"," ",SUM(T289:X289))</f>
        <v> </v>
      </c>
      <c r="O289" s="370"/>
      <c r="P289" s="436" t="str">
        <f aca="false">IF(A289="N/A"," ",VLOOKUP(A289,PeakPowerCurves,(IF(BMO=2,3,IF(BMO=1,2,4))),FALSE())+Inputs!N272)</f>
        <v> </v>
      </c>
      <c r="Q289" s="436" t="str">
        <f aca="false">IF(A289="N/A"," ",VLOOKUP(A289,SatSunPeakPwr,(IF(BMO=2,3,IF(BMO=1,2,4))),FALSE())+Inputs!$N$23)</f>
        <v> </v>
      </c>
      <c r="R289" s="436" t="str">
        <f aca="false">IF(A289="N/A"," ",VLOOKUP(A289,SatSunPeakPwr,(IF(BMO=2,7,IF(BMO=1,6,8))),FALSE())+Inputs!$N$23)</f>
        <v> </v>
      </c>
      <c r="S289" s="443" t="str">
        <f aca="false">IF(A289="N/A"," ",(VLOOKUP(A289,OPPowerPrices,(IF(BMO=2,7,IF(BMO=1,6,8))),FALSE())+Inputs!$N$23))</f>
        <v> </v>
      </c>
      <c r="T289" s="444" t="str">
        <f aca="false">IF(A289="N/A"," ",(VLOOKUP(A289,GasCurves,9,FALSE()))+IF(BMO=1,Gasbmo,IF(BMO=3,-Gasbmo,0)))</f>
        <v> </v>
      </c>
      <c r="U289" s="444" t="str">
        <f aca="false">IF(A289="N/A"," ",IF(Basischeck=TRUE(),(VLOOKUP(A289,GasCurves,IF(MONTH(A289)&gt;=4,IF(MONTH(A289)&lt;=10,11,12),12),FALSE())),0))</f>
        <v> </v>
      </c>
      <c r="V289" s="444" t="str">
        <f aca="false">IF(A289="N/A"," ",IF(Indexcheck=TRUE(),(IF(MONTH(A289)&gt;=4,IF(MONTH(A289)&lt;=10,VLOOKUP(A289,'Gas Curves'!B267:O627,13),VLOOKUP(A289,'Gas Curves'!B267:O627,14)),VLOOKUP(A289,'Gas Curves'!B267:O627,14))),0))</f>
        <v> </v>
      </c>
      <c r="W289" s="444" t="str">
        <f aca="false">IF(A289="N/A"," ",((SUM(T289:V289))/(1-Inputs!$S$11)-(SUM(T289:V289))))</f>
        <v> </v>
      </c>
      <c r="X289" s="444" t="str">
        <f aca="false">IF(A289="N/A"," ",(IF(MONTH(A289)&gt;=4,IF(MONTH(A289)&lt;=10,Inputs!$S$9,Inputs!$S$10),Inputs!$S$10)))</f>
        <v> </v>
      </c>
      <c r="Y289" s="445" t="str">
        <f aca="false">IF(A289="N/A"," ",(VLOOKUP($A289,InterestRatesTable,2)))</f>
        <v> </v>
      </c>
      <c r="AF289" s="386" t="n">
        <f aca="false">EOMONTH(AF288,0)+1</f>
        <v>45231</v>
      </c>
      <c r="AG289" s="376" t="n">
        <v>20</v>
      </c>
      <c r="AH289" s="376" t="n">
        <v>5</v>
      </c>
      <c r="AI289" s="376" t="n">
        <v>5</v>
      </c>
      <c r="AJ289" s="376" t="n">
        <v>1</v>
      </c>
      <c r="AK289" s="376" t="n">
        <v>30</v>
      </c>
    </row>
    <row r="290" customFormat="false" ht="12.75" hidden="false" customHeight="false" outlineLevel="0" collapsed="false">
      <c r="A290" s="434" t="str">
        <f aca="false">Calculations!A255</f>
        <v>N/A</v>
      </c>
      <c r="B290" s="446" t="str">
        <f aca="false">IF(A290="N/A"," ",IF(ISERROR(P290),B278*Pwresc,P290)*VLOOKUP(MONTH(A290),Curveadj,3))</f>
        <v> </v>
      </c>
      <c r="C290" s="447" t="str">
        <f aca="false">IF(A290="N/A"," ",IF(ISERROR(Q290),C278*Pwresc,Q290)*VLOOKUP(MONTH(A290),Curveadj,3))</f>
        <v> </v>
      </c>
      <c r="D290" s="448" t="str">
        <f aca="false">IF(A290="N/A"," ",IF(ISERROR(R290),D278*Pwresc,R290)*VLOOKUP(MONTH(A290),Curveadj,3))</f>
        <v> </v>
      </c>
      <c r="E290" s="438" t="str">
        <f aca="false">IF(A290="N/A"," ",IF(Scalers=1,(IF(AND(Dynamic=1,MONTH(A290)&gt;=6,MONTH(A290)&lt;=8,OR($O$37="REGION 2",$O$37="REGION 2A",$O$37="REGION 2B",$O$37="REGION 3",$O$37="REGION 3A",$O$37="REGION 3B",$O$37="REGION 3C",$O$37="REGION 4",$O$37="REGION 4B",$O$37="REGION 4C",$O$37="REGION 5",$O$37="REGION 5A")),((0.059228/(B290/100))-(0.4980013/(SQRT(B290/100)))+2.137988),HLOOKUP(MONTH(A290),ScalarTable,28))),1))</f>
        <v> </v>
      </c>
      <c r="F290" s="449" t="str">
        <f aca="false">IF(A290="N/A"," ",B290*E290)</f>
        <v> </v>
      </c>
      <c r="G290" s="449" t="str">
        <f aca="false">IF(A290="N/A"," ",C290*E290)</f>
        <v> </v>
      </c>
      <c r="H290" s="450" t="str">
        <f aca="false">IF(A290="N/A"," ",D290*E290)</f>
        <v> </v>
      </c>
      <c r="I290" s="451" t="str">
        <f aca="false">IF(A290="N/A"," ",2-E290)</f>
        <v> </v>
      </c>
      <c r="J290" s="449" t="str">
        <f aca="false">IF(A290="N/A"," ",B290*I290)</f>
        <v> </v>
      </c>
      <c r="K290" s="449" t="str">
        <f aca="false">IF(A290="N/A"," ",C290*I290)</f>
        <v> </v>
      </c>
      <c r="L290" s="450" t="str">
        <f aca="false">IF(A290="N/A"," ",D290*I290)</f>
        <v> </v>
      </c>
      <c r="M290" s="452" t="str">
        <f aca="false">IF(A290="N/A"," ",IF(ISERROR(S290),M278*Pwresc,S290))</f>
        <v> </v>
      </c>
      <c r="N290" s="453" t="str">
        <f aca="false">IF(A290="N/A"," ",SUM(T290:X290))</f>
        <v> </v>
      </c>
      <c r="O290" s="370"/>
      <c r="P290" s="436" t="str">
        <f aca="false">IF(A290="N/A"," ",VLOOKUP(A290,PeakPowerCurves,(IF(BMO=2,3,IF(BMO=1,2,4))),FALSE())+Inputs!N273)</f>
        <v> </v>
      </c>
      <c r="Q290" s="436" t="str">
        <f aca="false">IF(A290="N/A"," ",VLOOKUP(A290,SatSunPeakPwr,(IF(BMO=2,3,IF(BMO=1,2,4))),FALSE())+Inputs!$N$23)</f>
        <v> </v>
      </c>
      <c r="R290" s="436" t="str">
        <f aca="false">IF(A290="N/A"," ",VLOOKUP(A290,SatSunPeakPwr,(IF(BMO=2,7,IF(BMO=1,6,8))),FALSE())+Inputs!$N$23)</f>
        <v> </v>
      </c>
      <c r="S290" s="443" t="str">
        <f aca="false">IF(A290="N/A"," ",(VLOOKUP(A290,OPPowerPrices,(IF(BMO=2,7,IF(BMO=1,6,8))),FALSE())+Inputs!$N$23))</f>
        <v> </v>
      </c>
      <c r="T290" s="444" t="str">
        <f aca="false">IF(A290="N/A"," ",(VLOOKUP(A290,GasCurves,9,FALSE()))+IF(BMO=1,Gasbmo,IF(BMO=3,-Gasbmo,0)))</f>
        <v> </v>
      </c>
      <c r="U290" s="444" t="str">
        <f aca="false">IF(A290="N/A"," ",IF(Basischeck=TRUE(),(VLOOKUP(A290,GasCurves,IF(MONTH(A290)&gt;=4,IF(MONTH(A290)&lt;=10,11,12),12),FALSE())),0))</f>
        <v> </v>
      </c>
      <c r="V290" s="444" t="str">
        <f aca="false">IF(A290="N/A"," ",IF(Indexcheck=TRUE(),(IF(MONTH(A290)&gt;=4,IF(MONTH(A290)&lt;=10,VLOOKUP(A290,'Gas Curves'!B268:O628,13),VLOOKUP(A290,'Gas Curves'!B268:O628,14)),VLOOKUP(A290,'Gas Curves'!B268:O628,14))),0))</f>
        <v> </v>
      </c>
      <c r="W290" s="444" t="str">
        <f aca="false">IF(A290="N/A"," ",((SUM(T290:V290))/(1-Inputs!$S$11)-(SUM(T290:V290))))</f>
        <v> </v>
      </c>
      <c r="X290" s="444" t="str">
        <f aca="false">IF(A290="N/A"," ",(IF(MONTH(A290)&gt;=4,IF(MONTH(A290)&lt;=10,Inputs!$S$9,Inputs!$S$10),Inputs!$S$10)))</f>
        <v> </v>
      </c>
      <c r="Y290" s="445" t="str">
        <f aca="false">IF(A290="N/A"," ",(VLOOKUP($A290,InterestRatesTable,2)))</f>
        <v> </v>
      </c>
      <c r="AF290" s="386" t="n">
        <f aca="false">EOMONTH(AF289,0)+1</f>
        <v>45261</v>
      </c>
      <c r="AG290" s="376" t="n">
        <v>21</v>
      </c>
      <c r="AH290" s="376" t="n">
        <v>4</v>
      </c>
      <c r="AI290" s="376" t="n">
        <v>6</v>
      </c>
      <c r="AJ290" s="376" t="n">
        <v>1</v>
      </c>
      <c r="AK290" s="376" t="n">
        <v>31</v>
      </c>
    </row>
    <row r="291" customFormat="false" ht="12.75" hidden="false" customHeight="false" outlineLevel="0" collapsed="false">
      <c r="A291" s="454"/>
      <c r="B291" s="436"/>
      <c r="C291" s="455"/>
      <c r="D291" s="443"/>
      <c r="E291" s="436"/>
      <c r="F291" s="443"/>
      <c r="G291" s="436"/>
      <c r="H291" s="443"/>
      <c r="I291" s="443"/>
      <c r="J291" s="444"/>
      <c r="K291" s="456"/>
      <c r="L291" s="456"/>
      <c r="N291" s="436"/>
      <c r="O291" s="436"/>
      <c r="P291" s="436"/>
      <c r="Q291" s="443"/>
      <c r="R291" s="444"/>
      <c r="S291" s="444"/>
      <c r="T291" s="444"/>
      <c r="AF291" s="386" t="n">
        <f aca="false">EOMONTH(AF290,0)+1</f>
        <v>45292</v>
      </c>
      <c r="AG291" s="376" t="n">
        <v>22</v>
      </c>
      <c r="AH291" s="376" t="n">
        <v>4</v>
      </c>
      <c r="AI291" s="376" t="n">
        <v>5</v>
      </c>
      <c r="AJ291" s="376" t="n">
        <v>1</v>
      </c>
      <c r="AK291" s="376" t="n">
        <v>31</v>
      </c>
    </row>
    <row r="292" customFormat="false" ht="12.75" hidden="false" customHeight="false" outlineLevel="0" collapsed="false">
      <c r="A292" s="454"/>
      <c r="B292" s="436"/>
      <c r="C292" s="455"/>
      <c r="D292" s="443"/>
      <c r="E292" s="436"/>
      <c r="F292" s="443"/>
      <c r="G292" s="436"/>
      <c r="H292" s="443"/>
      <c r="I292" s="443"/>
      <c r="J292" s="444"/>
      <c r="K292" s="456"/>
      <c r="L292" s="456"/>
      <c r="N292" s="436"/>
      <c r="O292" s="436"/>
      <c r="P292" s="436"/>
      <c r="Q292" s="443"/>
      <c r="R292" s="444"/>
      <c r="S292" s="444"/>
      <c r="T292" s="444"/>
      <c r="AF292" s="386" t="n">
        <f aca="false">EOMONTH(AF291,0)+1</f>
        <v>45323</v>
      </c>
      <c r="AG292" s="376" t="n">
        <v>20</v>
      </c>
      <c r="AH292" s="376" t="n">
        <v>5</v>
      </c>
      <c r="AI292" s="376" t="n">
        <v>4</v>
      </c>
      <c r="AJ292" s="376" t="n">
        <v>0</v>
      </c>
      <c r="AK292" s="376" t="n">
        <v>29</v>
      </c>
    </row>
    <row r="293" customFormat="false" ht="12.75" hidden="false" customHeight="false" outlineLevel="0" collapsed="false">
      <c r="A293" s="454"/>
      <c r="B293" s="436"/>
      <c r="C293" s="455"/>
      <c r="D293" s="443"/>
      <c r="E293" s="436"/>
      <c r="F293" s="443"/>
      <c r="G293" s="436"/>
      <c r="H293" s="443"/>
      <c r="I293" s="443"/>
      <c r="J293" s="444"/>
      <c r="K293" s="456"/>
      <c r="L293" s="456"/>
      <c r="N293" s="436"/>
      <c r="O293" s="436"/>
      <c r="P293" s="436"/>
      <c r="Q293" s="443"/>
      <c r="R293" s="444"/>
      <c r="S293" s="444"/>
      <c r="T293" s="444"/>
      <c r="AF293" s="386" t="n">
        <f aca="false">EOMONTH(AF292,0)+1</f>
        <v>45352</v>
      </c>
      <c r="AG293" s="376" t="n">
        <v>22</v>
      </c>
      <c r="AH293" s="376" t="n">
        <v>4</v>
      </c>
      <c r="AI293" s="376" t="n">
        <v>5</v>
      </c>
      <c r="AJ293" s="376" t="n">
        <v>0</v>
      </c>
      <c r="AK293" s="376" t="n">
        <v>31</v>
      </c>
    </row>
    <row r="294" customFormat="false" ht="12.75" hidden="false" customHeight="false" outlineLevel="0" collapsed="false">
      <c r="A294" s="454"/>
      <c r="B294" s="436"/>
      <c r="C294" s="455"/>
      <c r="D294" s="443"/>
      <c r="E294" s="436"/>
      <c r="F294" s="443"/>
      <c r="G294" s="436"/>
      <c r="H294" s="443"/>
      <c r="I294" s="443"/>
      <c r="J294" s="444"/>
      <c r="K294" s="456"/>
      <c r="L294" s="456"/>
      <c r="N294" s="436"/>
      <c r="O294" s="436"/>
      <c r="P294" s="436"/>
      <c r="Q294" s="443"/>
      <c r="R294" s="444"/>
      <c r="S294" s="444"/>
      <c r="T294" s="444"/>
      <c r="AF294" s="386" t="n">
        <f aca="false">EOMONTH(AF293,0)+1</f>
        <v>45383</v>
      </c>
      <c r="AG294" s="376" t="n">
        <v>22</v>
      </c>
      <c r="AH294" s="376" t="n">
        <v>4</v>
      </c>
      <c r="AI294" s="376" t="n">
        <v>4</v>
      </c>
      <c r="AJ294" s="376" t="n">
        <v>0</v>
      </c>
      <c r="AK294" s="376" t="n">
        <v>30</v>
      </c>
    </row>
    <row r="295" customFormat="false" ht="12.75" hidden="false" customHeight="false" outlineLevel="0" collapsed="false">
      <c r="A295" s="454"/>
      <c r="B295" s="436"/>
      <c r="C295" s="455"/>
      <c r="D295" s="443"/>
      <c r="E295" s="436"/>
      <c r="F295" s="443"/>
      <c r="G295" s="436"/>
      <c r="H295" s="443"/>
      <c r="I295" s="443"/>
      <c r="J295" s="444"/>
      <c r="K295" s="456"/>
      <c r="L295" s="456"/>
      <c r="N295" s="436"/>
      <c r="O295" s="436"/>
      <c r="P295" s="436"/>
      <c r="Q295" s="443"/>
      <c r="R295" s="444"/>
      <c r="S295" s="444"/>
      <c r="T295" s="444"/>
      <c r="AF295" s="386" t="n">
        <f aca="false">EOMONTH(AF294,0)+1</f>
        <v>45413</v>
      </c>
      <c r="AG295" s="376" t="n">
        <v>20</v>
      </c>
      <c r="AH295" s="376" t="n">
        <v>5</v>
      </c>
      <c r="AI295" s="376" t="n">
        <v>6</v>
      </c>
      <c r="AJ295" s="376" t="n">
        <v>1</v>
      </c>
      <c r="AK295" s="376" t="n">
        <v>31</v>
      </c>
    </row>
    <row r="296" customFormat="false" ht="12.75" hidden="false" customHeight="false" outlineLevel="0" collapsed="false">
      <c r="A296" s="454"/>
      <c r="B296" s="436"/>
      <c r="C296" s="455"/>
      <c r="D296" s="443"/>
      <c r="E296" s="436"/>
      <c r="F296" s="443"/>
      <c r="G296" s="436"/>
      <c r="H296" s="443"/>
      <c r="I296" s="443"/>
      <c r="J296" s="444"/>
      <c r="K296" s="456"/>
      <c r="L296" s="456"/>
      <c r="N296" s="436"/>
      <c r="O296" s="436"/>
      <c r="P296" s="436"/>
      <c r="Q296" s="443"/>
      <c r="R296" s="444"/>
      <c r="S296" s="444"/>
      <c r="T296" s="444"/>
      <c r="AF296" s="386" t="n">
        <f aca="false">EOMONTH(AF295,0)+1</f>
        <v>45444</v>
      </c>
      <c r="AG296" s="376" t="n">
        <v>22</v>
      </c>
      <c r="AH296" s="376" t="n">
        <v>4</v>
      </c>
      <c r="AI296" s="376" t="n">
        <v>4</v>
      </c>
      <c r="AJ296" s="376" t="n">
        <v>0</v>
      </c>
      <c r="AK296" s="376" t="n">
        <v>30</v>
      </c>
    </row>
    <row r="297" customFormat="false" ht="12.75" hidden="false" customHeight="false" outlineLevel="0" collapsed="false">
      <c r="A297" s="454"/>
      <c r="B297" s="436"/>
      <c r="C297" s="455"/>
      <c r="D297" s="443"/>
      <c r="E297" s="436"/>
      <c r="F297" s="443"/>
      <c r="G297" s="436"/>
      <c r="H297" s="443"/>
      <c r="I297" s="443"/>
      <c r="J297" s="444"/>
      <c r="K297" s="456"/>
      <c r="L297" s="456"/>
      <c r="N297" s="436"/>
      <c r="O297" s="436"/>
      <c r="P297" s="436"/>
      <c r="Q297" s="443"/>
      <c r="R297" s="444"/>
      <c r="S297" s="444"/>
      <c r="T297" s="444"/>
      <c r="AF297" s="386" t="n">
        <f aca="false">EOMONTH(AF296,0)+1</f>
        <v>45474</v>
      </c>
      <c r="AG297" s="376" t="n">
        <v>23</v>
      </c>
      <c r="AH297" s="376" t="n">
        <v>3</v>
      </c>
      <c r="AI297" s="376" t="n">
        <v>5</v>
      </c>
      <c r="AJ297" s="376" t="n">
        <v>1</v>
      </c>
      <c r="AK297" s="376" t="n">
        <v>31</v>
      </c>
    </row>
    <row r="298" customFormat="false" ht="12.75" hidden="false" customHeight="false" outlineLevel="0" collapsed="false">
      <c r="A298" s="454"/>
      <c r="B298" s="436"/>
      <c r="C298" s="455"/>
      <c r="D298" s="443"/>
      <c r="E298" s="436"/>
      <c r="F298" s="443"/>
      <c r="G298" s="436"/>
      <c r="H298" s="443"/>
      <c r="I298" s="443"/>
      <c r="J298" s="444"/>
      <c r="K298" s="456"/>
      <c r="L298" s="456"/>
      <c r="N298" s="436"/>
      <c r="O298" s="436"/>
      <c r="P298" s="436"/>
      <c r="Q298" s="443"/>
      <c r="R298" s="444"/>
      <c r="S298" s="444"/>
      <c r="T298" s="444"/>
      <c r="AF298" s="386" t="n">
        <f aca="false">EOMONTH(AF297,0)+1</f>
        <v>45505</v>
      </c>
      <c r="AG298" s="376" t="n">
        <v>21</v>
      </c>
      <c r="AH298" s="376" t="n">
        <v>5</v>
      </c>
      <c r="AI298" s="376" t="n">
        <v>5</v>
      </c>
      <c r="AJ298" s="376" t="n">
        <v>0</v>
      </c>
      <c r="AK298" s="376" t="n">
        <v>31</v>
      </c>
    </row>
    <row r="299" customFormat="false" ht="12.75" hidden="false" customHeight="false" outlineLevel="0" collapsed="false">
      <c r="A299" s="454"/>
      <c r="B299" s="436"/>
      <c r="C299" s="455"/>
      <c r="D299" s="443"/>
      <c r="E299" s="436"/>
      <c r="F299" s="443"/>
      <c r="G299" s="436"/>
      <c r="H299" s="443"/>
      <c r="I299" s="443"/>
      <c r="J299" s="444"/>
      <c r="K299" s="456"/>
      <c r="L299" s="456"/>
      <c r="N299" s="436"/>
      <c r="O299" s="436"/>
      <c r="P299" s="436"/>
      <c r="Q299" s="443"/>
      <c r="R299" s="444"/>
      <c r="S299" s="444"/>
      <c r="T299" s="444"/>
      <c r="AF299" s="386" t="n">
        <f aca="false">EOMONTH(AF298,0)+1</f>
        <v>45536</v>
      </c>
      <c r="AG299" s="376" t="n">
        <v>21</v>
      </c>
      <c r="AH299" s="376" t="n">
        <v>4</v>
      </c>
      <c r="AI299" s="376" t="n">
        <v>5</v>
      </c>
      <c r="AJ299" s="376" t="n">
        <v>1</v>
      </c>
      <c r="AK299" s="376" t="n">
        <v>30</v>
      </c>
    </row>
    <row r="300" customFormat="false" ht="12.75" hidden="false" customHeight="false" outlineLevel="0" collapsed="false">
      <c r="A300" s="454"/>
      <c r="B300" s="436"/>
      <c r="C300" s="455"/>
      <c r="D300" s="443"/>
      <c r="E300" s="436"/>
      <c r="F300" s="443"/>
      <c r="G300" s="436"/>
      <c r="H300" s="443"/>
      <c r="I300" s="443"/>
      <c r="J300" s="444"/>
      <c r="K300" s="456"/>
      <c r="L300" s="456"/>
      <c r="N300" s="436"/>
      <c r="O300" s="436"/>
      <c r="P300" s="436"/>
      <c r="Q300" s="443"/>
      <c r="R300" s="444"/>
      <c r="S300" s="444"/>
      <c r="T300" s="444"/>
      <c r="AF300" s="386" t="n">
        <f aca="false">EOMONTH(AF299,0)+1</f>
        <v>45566</v>
      </c>
      <c r="AG300" s="376" t="n">
        <v>22</v>
      </c>
      <c r="AH300" s="376" t="n">
        <v>5</v>
      </c>
      <c r="AI300" s="376" t="n">
        <v>4</v>
      </c>
      <c r="AJ300" s="376" t="n">
        <v>0</v>
      </c>
      <c r="AK300" s="376" t="n">
        <v>31</v>
      </c>
    </row>
    <row r="301" customFormat="false" ht="12.75" hidden="false" customHeight="false" outlineLevel="0" collapsed="false">
      <c r="A301" s="454"/>
      <c r="B301" s="436"/>
      <c r="C301" s="455"/>
      <c r="D301" s="443"/>
      <c r="E301" s="436"/>
      <c r="F301" s="443"/>
      <c r="G301" s="436"/>
      <c r="H301" s="443"/>
      <c r="I301" s="443"/>
      <c r="J301" s="444"/>
      <c r="K301" s="456"/>
      <c r="L301" s="456"/>
      <c r="N301" s="436"/>
      <c r="O301" s="436"/>
      <c r="P301" s="436"/>
      <c r="Q301" s="443"/>
      <c r="R301" s="444"/>
      <c r="S301" s="444"/>
      <c r="T301" s="444"/>
      <c r="AF301" s="386" t="n">
        <f aca="false">EOMONTH(AF300,0)+1</f>
        <v>45597</v>
      </c>
      <c r="AG301" s="376" t="n">
        <v>20</v>
      </c>
      <c r="AH301" s="376" t="n">
        <v>4</v>
      </c>
      <c r="AI301" s="376" t="n">
        <v>6</v>
      </c>
      <c r="AJ301" s="376" t="n">
        <v>1</v>
      </c>
      <c r="AK301" s="376" t="n">
        <v>30</v>
      </c>
    </row>
    <row r="302" customFormat="false" ht="12.75" hidden="false" customHeight="false" outlineLevel="0" collapsed="false">
      <c r="A302" s="454"/>
      <c r="B302" s="436"/>
      <c r="C302" s="455"/>
      <c r="D302" s="443"/>
      <c r="E302" s="436"/>
      <c r="F302" s="443"/>
      <c r="G302" s="436"/>
      <c r="H302" s="443"/>
      <c r="I302" s="443"/>
      <c r="J302" s="444"/>
      <c r="K302" s="456"/>
      <c r="L302" s="456"/>
      <c r="N302" s="436"/>
      <c r="O302" s="436"/>
      <c r="P302" s="436"/>
      <c r="Q302" s="443"/>
      <c r="R302" s="444"/>
      <c r="S302" s="444"/>
      <c r="T302" s="444"/>
      <c r="AF302" s="386" t="n">
        <f aca="false">EOMONTH(AF301,0)+1</f>
        <v>45627</v>
      </c>
      <c r="AG302" s="376" t="n">
        <v>22</v>
      </c>
      <c r="AH302" s="376" t="n">
        <v>4</v>
      </c>
      <c r="AI302" s="376" t="n">
        <v>5</v>
      </c>
      <c r="AJ302" s="376" t="n">
        <v>1</v>
      </c>
      <c r="AK302" s="376" t="n">
        <v>31</v>
      </c>
    </row>
    <row r="303" customFormat="false" ht="12.75" hidden="false" customHeight="false" outlineLevel="0" collapsed="false">
      <c r="A303" s="454"/>
      <c r="B303" s="436"/>
      <c r="C303" s="455"/>
      <c r="D303" s="443"/>
      <c r="E303" s="436"/>
      <c r="F303" s="443"/>
      <c r="G303" s="436"/>
      <c r="H303" s="443"/>
      <c r="I303" s="443"/>
      <c r="J303" s="444"/>
      <c r="K303" s="456"/>
      <c r="L303" s="456"/>
      <c r="N303" s="436"/>
      <c r="O303" s="436"/>
      <c r="P303" s="436"/>
      <c r="Q303" s="443"/>
      <c r="R303" s="444"/>
      <c r="S303" s="444"/>
      <c r="T303" s="444"/>
      <c r="AF303" s="386" t="n">
        <f aca="false">EOMONTH(AF302,0)+1</f>
        <v>45658</v>
      </c>
      <c r="AG303" s="376" t="n">
        <v>22</v>
      </c>
      <c r="AH303" s="376" t="n">
        <v>4</v>
      </c>
      <c r="AI303" s="376" t="n">
        <v>5</v>
      </c>
      <c r="AJ303" s="376" t="n">
        <v>1</v>
      </c>
      <c r="AK303" s="376" t="n">
        <v>31</v>
      </c>
    </row>
    <row r="304" customFormat="false" ht="12.75" hidden="false" customHeight="false" outlineLevel="0" collapsed="false">
      <c r="A304" s="454"/>
      <c r="B304" s="436"/>
      <c r="C304" s="455"/>
      <c r="D304" s="443"/>
      <c r="E304" s="436"/>
      <c r="F304" s="443"/>
      <c r="G304" s="436"/>
      <c r="H304" s="443"/>
      <c r="I304" s="443"/>
      <c r="J304" s="444"/>
      <c r="K304" s="456"/>
      <c r="L304" s="456"/>
      <c r="N304" s="436"/>
      <c r="O304" s="436"/>
      <c r="P304" s="436"/>
      <c r="Q304" s="443"/>
      <c r="R304" s="444"/>
      <c r="S304" s="444"/>
      <c r="T304" s="444"/>
      <c r="AF304" s="386" t="n">
        <f aca="false">EOMONTH(AF303,0)+1</f>
        <v>45689</v>
      </c>
      <c r="AG304" s="376" t="n">
        <v>20</v>
      </c>
      <c r="AH304" s="376" t="n">
        <v>4</v>
      </c>
      <c r="AI304" s="376" t="n">
        <v>4</v>
      </c>
      <c r="AJ304" s="376" t="n">
        <v>0</v>
      </c>
      <c r="AK304" s="376" t="n">
        <v>28</v>
      </c>
    </row>
    <row r="305" customFormat="false" ht="12.75" hidden="false" customHeight="false" outlineLevel="0" collapsed="false">
      <c r="A305" s="454"/>
      <c r="B305" s="436"/>
      <c r="C305" s="455"/>
      <c r="D305" s="443"/>
      <c r="E305" s="436"/>
      <c r="F305" s="443"/>
      <c r="G305" s="436"/>
      <c r="H305" s="443"/>
      <c r="I305" s="443"/>
      <c r="J305" s="444"/>
      <c r="K305" s="456"/>
      <c r="L305" s="456"/>
      <c r="N305" s="436"/>
      <c r="O305" s="436"/>
      <c r="P305" s="436"/>
      <c r="Q305" s="443"/>
      <c r="R305" s="444"/>
      <c r="S305" s="444"/>
      <c r="T305" s="444"/>
      <c r="AF305" s="386" t="n">
        <f aca="false">EOMONTH(AF304,0)+1</f>
        <v>45717</v>
      </c>
      <c r="AG305" s="376" t="n">
        <v>21</v>
      </c>
      <c r="AH305" s="376" t="n">
        <v>5</v>
      </c>
      <c r="AI305" s="376" t="n">
        <v>5</v>
      </c>
      <c r="AJ305" s="376" t="n">
        <v>0</v>
      </c>
      <c r="AK305" s="376" t="n">
        <v>31</v>
      </c>
    </row>
    <row r="306" customFormat="false" ht="12.75" hidden="false" customHeight="false" outlineLevel="0" collapsed="false">
      <c r="A306" s="454"/>
      <c r="B306" s="436"/>
      <c r="C306" s="455"/>
      <c r="D306" s="443"/>
      <c r="E306" s="436"/>
      <c r="F306" s="443"/>
      <c r="G306" s="436"/>
      <c r="H306" s="443"/>
      <c r="I306" s="443"/>
      <c r="J306" s="444"/>
      <c r="K306" s="456"/>
      <c r="L306" s="456"/>
      <c r="N306" s="436"/>
      <c r="O306" s="436"/>
      <c r="P306" s="436"/>
      <c r="Q306" s="443"/>
      <c r="R306" s="444"/>
      <c r="S306" s="444"/>
      <c r="T306" s="444"/>
      <c r="AF306" s="386" t="n">
        <f aca="false">EOMONTH(AF305,0)+1</f>
        <v>45748</v>
      </c>
      <c r="AG306" s="376" t="n">
        <v>22</v>
      </c>
      <c r="AH306" s="376" t="n">
        <v>4</v>
      </c>
      <c r="AI306" s="376" t="n">
        <v>4</v>
      </c>
      <c r="AJ306" s="376" t="n">
        <v>0</v>
      </c>
      <c r="AK306" s="376" t="n">
        <v>30</v>
      </c>
    </row>
    <row r="307" customFormat="false" ht="12.75" hidden="false" customHeight="false" outlineLevel="0" collapsed="false">
      <c r="A307" s="454"/>
      <c r="B307" s="436"/>
      <c r="C307" s="455"/>
      <c r="D307" s="443"/>
      <c r="E307" s="436"/>
      <c r="F307" s="443"/>
      <c r="G307" s="436"/>
      <c r="H307" s="443"/>
      <c r="I307" s="443"/>
      <c r="J307" s="444"/>
      <c r="K307" s="456"/>
      <c r="L307" s="456"/>
      <c r="N307" s="436"/>
      <c r="O307" s="436"/>
      <c r="P307" s="436"/>
      <c r="Q307" s="443"/>
      <c r="R307" s="444"/>
      <c r="S307" s="444"/>
      <c r="T307" s="444"/>
      <c r="AF307" s="386" t="n">
        <f aca="false">EOMONTH(AF306,0)+1</f>
        <v>45778</v>
      </c>
      <c r="AG307" s="376" t="n">
        <v>22</v>
      </c>
      <c r="AH307" s="376" t="n">
        <v>4</v>
      </c>
      <c r="AI307" s="376" t="n">
        <v>5</v>
      </c>
      <c r="AJ307" s="376" t="n">
        <v>1</v>
      </c>
      <c r="AK307" s="376" t="n">
        <v>31</v>
      </c>
    </row>
    <row r="308" customFormat="false" ht="12.75" hidden="false" customHeight="false" outlineLevel="0" collapsed="false">
      <c r="A308" s="454"/>
      <c r="B308" s="436"/>
      <c r="C308" s="455"/>
      <c r="D308" s="443"/>
      <c r="E308" s="436"/>
      <c r="F308" s="443"/>
      <c r="G308" s="436"/>
      <c r="H308" s="443"/>
      <c r="I308" s="443"/>
      <c r="J308" s="444"/>
      <c r="K308" s="456"/>
      <c r="L308" s="456"/>
      <c r="N308" s="436"/>
      <c r="O308" s="436"/>
      <c r="P308" s="436"/>
      <c r="Q308" s="443"/>
      <c r="R308" s="444"/>
      <c r="S308" s="444"/>
      <c r="T308" s="444"/>
      <c r="AF308" s="386" t="n">
        <f aca="false">EOMONTH(AF307,0)+1</f>
        <v>45809</v>
      </c>
      <c r="AG308" s="376" t="n">
        <v>20</v>
      </c>
      <c r="AH308" s="376" t="n">
        <v>5</v>
      </c>
      <c r="AI308" s="376" t="n">
        <v>5</v>
      </c>
      <c r="AJ308" s="376" t="n">
        <v>0</v>
      </c>
      <c r="AK308" s="376" t="n">
        <v>30</v>
      </c>
    </row>
    <row r="309" customFormat="false" ht="12.75" hidden="false" customHeight="false" outlineLevel="0" collapsed="false">
      <c r="A309" s="454"/>
      <c r="B309" s="436"/>
      <c r="C309" s="455"/>
      <c r="D309" s="443"/>
      <c r="E309" s="436"/>
      <c r="F309" s="443"/>
      <c r="G309" s="436"/>
      <c r="H309" s="443"/>
      <c r="I309" s="443"/>
      <c r="J309" s="444"/>
      <c r="K309" s="456"/>
      <c r="L309" s="456"/>
      <c r="N309" s="436"/>
      <c r="O309" s="436"/>
      <c r="P309" s="436"/>
      <c r="Q309" s="443"/>
      <c r="R309" s="444"/>
      <c r="S309" s="444"/>
      <c r="T309" s="444"/>
      <c r="AF309" s="386" t="n">
        <f aca="false">EOMONTH(AF308,0)+1</f>
        <v>45839</v>
      </c>
      <c r="AG309" s="376" t="n">
        <v>22</v>
      </c>
      <c r="AH309" s="376" t="n">
        <v>4</v>
      </c>
      <c r="AI309" s="376" t="n">
        <v>5</v>
      </c>
      <c r="AJ309" s="376" t="n">
        <v>1</v>
      </c>
      <c r="AK309" s="376" t="n">
        <v>31</v>
      </c>
    </row>
    <row r="310" customFormat="false" ht="12.75" hidden="false" customHeight="false" outlineLevel="0" collapsed="false">
      <c r="A310" s="454"/>
      <c r="B310" s="436"/>
      <c r="C310" s="455"/>
      <c r="D310" s="443"/>
      <c r="E310" s="436"/>
      <c r="F310" s="443"/>
      <c r="G310" s="436"/>
      <c r="H310" s="443"/>
      <c r="I310" s="443"/>
      <c r="J310" s="444"/>
      <c r="K310" s="456"/>
      <c r="L310" s="456"/>
      <c r="N310" s="436"/>
      <c r="O310" s="436"/>
      <c r="P310" s="436"/>
      <c r="Q310" s="443"/>
      <c r="R310" s="444"/>
      <c r="S310" s="444"/>
      <c r="T310" s="444"/>
      <c r="AF310" s="386" t="n">
        <f aca="false">EOMONTH(AF309,0)+1</f>
        <v>45870</v>
      </c>
      <c r="AG310" s="376" t="n">
        <v>22</v>
      </c>
      <c r="AH310" s="376" t="n">
        <v>5</v>
      </c>
      <c r="AI310" s="376" t="n">
        <v>4</v>
      </c>
      <c r="AJ310" s="376" t="n">
        <v>0</v>
      </c>
      <c r="AK310" s="376" t="n">
        <v>31</v>
      </c>
    </row>
    <row r="311" customFormat="false" ht="12.75" hidden="false" customHeight="false" outlineLevel="0" collapsed="false">
      <c r="A311" s="454"/>
      <c r="B311" s="436"/>
      <c r="C311" s="455"/>
      <c r="D311" s="443"/>
      <c r="E311" s="436"/>
      <c r="F311" s="443"/>
      <c r="G311" s="436"/>
      <c r="H311" s="443"/>
      <c r="I311" s="443"/>
      <c r="J311" s="444"/>
      <c r="K311" s="456"/>
      <c r="L311" s="456"/>
      <c r="N311" s="436"/>
      <c r="O311" s="436"/>
      <c r="P311" s="436"/>
      <c r="Q311" s="443"/>
      <c r="R311" s="444"/>
      <c r="S311" s="444"/>
      <c r="T311" s="444"/>
      <c r="AF311" s="386" t="n">
        <f aca="false">EOMONTH(AF310,0)+1</f>
        <v>45901</v>
      </c>
      <c r="AG311" s="376" t="n">
        <v>20</v>
      </c>
      <c r="AH311" s="376" t="n">
        <v>4</v>
      </c>
      <c r="AI311" s="376" t="n">
        <v>6</v>
      </c>
      <c r="AJ311" s="376" t="n">
        <v>1</v>
      </c>
      <c r="AK311" s="376" t="n">
        <v>30</v>
      </c>
    </row>
    <row r="312" customFormat="false" ht="12.75" hidden="false" customHeight="false" outlineLevel="0" collapsed="false">
      <c r="A312" s="454"/>
      <c r="B312" s="436"/>
      <c r="C312" s="455"/>
      <c r="D312" s="443"/>
      <c r="E312" s="436"/>
      <c r="F312" s="443"/>
      <c r="G312" s="436"/>
      <c r="H312" s="443"/>
      <c r="I312" s="443"/>
      <c r="J312" s="444"/>
      <c r="K312" s="456"/>
      <c r="L312" s="456"/>
      <c r="N312" s="436"/>
      <c r="O312" s="436"/>
      <c r="P312" s="436"/>
      <c r="Q312" s="443"/>
      <c r="R312" s="444"/>
      <c r="S312" s="444"/>
      <c r="T312" s="444"/>
      <c r="AF312" s="386" t="n">
        <f aca="false">EOMONTH(AF311,0)+1</f>
        <v>45931</v>
      </c>
      <c r="AG312" s="376" t="n">
        <v>23</v>
      </c>
      <c r="AH312" s="376" t="n">
        <v>4</v>
      </c>
      <c r="AI312" s="376" t="n">
        <v>4</v>
      </c>
      <c r="AJ312" s="376" t="n">
        <v>0</v>
      </c>
      <c r="AK312" s="376" t="n">
        <v>31</v>
      </c>
    </row>
    <row r="313" customFormat="false" ht="12.75" hidden="false" customHeight="false" outlineLevel="0" collapsed="false">
      <c r="A313" s="454"/>
      <c r="B313" s="436"/>
      <c r="C313" s="455"/>
      <c r="D313" s="443"/>
      <c r="E313" s="436"/>
      <c r="F313" s="443"/>
      <c r="G313" s="436"/>
      <c r="H313" s="443"/>
      <c r="I313" s="443"/>
      <c r="J313" s="444"/>
      <c r="K313" s="456"/>
      <c r="L313" s="456"/>
      <c r="N313" s="436"/>
      <c r="O313" s="436"/>
      <c r="P313" s="436"/>
      <c r="Q313" s="443"/>
      <c r="R313" s="444"/>
      <c r="S313" s="444"/>
      <c r="T313" s="444"/>
      <c r="AF313" s="386" t="n">
        <f aca="false">EOMONTH(AF312,0)+1</f>
        <v>45962</v>
      </c>
      <c r="AG313" s="376" t="n">
        <v>20</v>
      </c>
      <c r="AH313" s="376" t="n">
        <v>5</v>
      </c>
      <c r="AI313" s="376" t="n">
        <v>5</v>
      </c>
      <c r="AJ313" s="376" t="n">
        <v>1</v>
      </c>
      <c r="AK313" s="376" t="n">
        <v>30</v>
      </c>
    </row>
    <row r="314" customFormat="false" ht="12.75" hidden="false" customHeight="false" outlineLevel="0" collapsed="false">
      <c r="A314" s="454"/>
      <c r="B314" s="436"/>
      <c r="C314" s="455"/>
      <c r="D314" s="443"/>
      <c r="E314" s="436"/>
      <c r="F314" s="443"/>
      <c r="G314" s="436"/>
      <c r="H314" s="443"/>
      <c r="I314" s="443"/>
      <c r="J314" s="444"/>
      <c r="K314" s="456"/>
      <c r="L314" s="456"/>
      <c r="N314" s="436"/>
      <c r="O314" s="436"/>
      <c r="P314" s="436"/>
      <c r="Q314" s="443"/>
      <c r="R314" s="444"/>
      <c r="S314" s="444"/>
      <c r="T314" s="444"/>
      <c r="AF314" s="386" t="n">
        <f aca="false">EOMONTH(AF313,0)+1</f>
        <v>45992</v>
      </c>
      <c r="AG314" s="376" t="n">
        <v>21</v>
      </c>
      <c r="AH314" s="376" t="n">
        <v>4</v>
      </c>
      <c r="AI314" s="376" t="n">
        <v>6</v>
      </c>
      <c r="AJ314" s="376" t="n">
        <v>1</v>
      </c>
      <c r="AK314" s="376" t="n">
        <v>31</v>
      </c>
    </row>
    <row r="315" customFormat="false" ht="12.75" hidden="false" customHeight="false" outlineLevel="0" collapsed="false">
      <c r="A315" s="454"/>
      <c r="B315" s="436"/>
      <c r="C315" s="455"/>
      <c r="D315" s="443"/>
      <c r="E315" s="436"/>
      <c r="F315" s="443"/>
      <c r="G315" s="436"/>
      <c r="H315" s="443"/>
      <c r="I315" s="443"/>
      <c r="J315" s="444"/>
      <c r="K315" s="456"/>
      <c r="L315" s="456"/>
      <c r="N315" s="436"/>
      <c r="O315" s="436"/>
      <c r="P315" s="436"/>
      <c r="Q315" s="443"/>
      <c r="R315" s="444"/>
      <c r="S315" s="444"/>
      <c r="T315" s="444"/>
      <c r="AF315" s="386" t="n">
        <f aca="false">EOMONTH(AF314,0)+1</f>
        <v>46023</v>
      </c>
      <c r="AG315" s="376" t="n">
        <v>22</v>
      </c>
      <c r="AH315" s="376" t="n">
        <v>4</v>
      </c>
      <c r="AI315" s="376" t="n">
        <v>5</v>
      </c>
      <c r="AJ315" s="376" t="n">
        <v>1</v>
      </c>
      <c r="AK315" s="376" t="n">
        <v>31</v>
      </c>
    </row>
    <row r="316" customFormat="false" ht="12.75" hidden="false" customHeight="false" outlineLevel="0" collapsed="false">
      <c r="A316" s="454"/>
      <c r="B316" s="436"/>
      <c r="C316" s="455"/>
      <c r="D316" s="443"/>
      <c r="E316" s="436"/>
      <c r="F316" s="443"/>
      <c r="G316" s="436"/>
      <c r="H316" s="443"/>
      <c r="I316" s="443"/>
      <c r="J316" s="444"/>
      <c r="K316" s="456"/>
      <c r="L316" s="456"/>
      <c r="N316" s="436"/>
      <c r="O316" s="436"/>
      <c r="P316" s="436"/>
      <c r="Q316" s="443"/>
      <c r="R316" s="444"/>
      <c r="S316" s="444"/>
      <c r="T316" s="444"/>
      <c r="AF316" s="386" t="n">
        <f aca="false">EOMONTH(AF315,0)+1</f>
        <v>46054</v>
      </c>
      <c r="AG316" s="376" t="n">
        <v>20</v>
      </c>
      <c r="AH316" s="376" t="n">
        <v>4</v>
      </c>
      <c r="AI316" s="376" t="n">
        <v>4</v>
      </c>
      <c r="AJ316" s="376" t="n">
        <v>0</v>
      </c>
      <c r="AK316" s="376" t="n">
        <v>28</v>
      </c>
    </row>
    <row r="317" customFormat="false" ht="12.75" hidden="false" customHeight="false" outlineLevel="0" collapsed="false">
      <c r="A317" s="454"/>
      <c r="B317" s="436"/>
      <c r="C317" s="455"/>
      <c r="D317" s="443"/>
      <c r="E317" s="436"/>
      <c r="F317" s="443"/>
      <c r="G317" s="436"/>
      <c r="H317" s="443"/>
      <c r="I317" s="443"/>
      <c r="J317" s="444"/>
      <c r="K317" s="456"/>
      <c r="L317" s="456"/>
      <c r="N317" s="436"/>
      <c r="O317" s="436"/>
      <c r="P317" s="436"/>
      <c r="Q317" s="443"/>
      <c r="R317" s="444"/>
      <c r="S317" s="444"/>
      <c r="T317" s="444"/>
      <c r="AF317" s="386" t="n">
        <f aca="false">EOMONTH(AF316,0)+1</f>
        <v>46082</v>
      </c>
      <c r="AG317" s="376" t="n">
        <v>21</v>
      </c>
      <c r="AH317" s="376" t="n">
        <v>5</v>
      </c>
      <c r="AI317" s="376" t="n">
        <v>5</v>
      </c>
      <c r="AJ317" s="376" t="n">
        <v>0</v>
      </c>
      <c r="AK317" s="376" t="n">
        <v>31</v>
      </c>
    </row>
    <row r="318" customFormat="false" ht="12.75" hidden="false" customHeight="false" outlineLevel="0" collapsed="false">
      <c r="A318" s="454"/>
      <c r="B318" s="436"/>
      <c r="C318" s="455"/>
      <c r="D318" s="443"/>
      <c r="E318" s="436"/>
      <c r="F318" s="443"/>
      <c r="G318" s="436"/>
      <c r="H318" s="443"/>
      <c r="I318" s="443"/>
      <c r="J318" s="444"/>
      <c r="K318" s="456"/>
      <c r="L318" s="456"/>
      <c r="N318" s="436"/>
      <c r="O318" s="436"/>
      <c r="P318" s="436"/>
      <c r="Q318" s="443"/>
      <c r="R318" s="444"/>
      <c r="S318" s="444"/>
      <c r="T318" s="444"/>
      <c r="AF318" s="386" t="n">
        <f aca="false">EOMONTH(AF317,0)+1</f>
        <v>46113</v>
      </c>
      <c r="AG318" s="376" t="n">
        <v>22</v>
      </c>
      <c r="AH318" s="376" t="n">
        <v>4</v>
      </c>
      <c r="AI318" s="376" t="n">
        <v>4</v>
      </c>
      <c r="AJ318" s="376" t="n">
        <v>0</v>
      </c>
      <c r="AK318" s="376" t="n">
        <v>30</v>
      </c>
    </row>
    <row r="319" customFormat="false" ht="12.75" hidden="false" customHeight="false" outlineLevel="0" collapsed="false">
      <c r="A319" s="454"/>
      <c r="B319" s="436"/>
      <c r="C319" s="455"/>
      <c r="D319" s="443"/>
      <c r="E319" s="436"/>
      <c r="F319" s="443"/>
      <c r="G319" s="436"/>
      <c r="H319" s="443"/>
      <c r="I319" s="443"/>
      <c r="J319" s="444"/>
      <c r="K319" s="456"/>
      <c r="L319" s="456"/>
      <c r="N319" s="436"/>
      <c r="O319" s="436"/>
      <c r="P319" s="436"/>
      <c r="Q319" s="443"/>
      <c r="R319" s="444"/>
      <c r="S319" s="444"/>
      <c r="T319" s="444"/>
      <c r="AF319" s="386" t="n">
        <f aca="false">EOMONTH(AF318,0)+1</f>
        <v>46143</v>
      </c>
      <c r="AG319" s="376" t="n">
        <v>22</v>
      </c>
      <c r="AH319" s="376" t="n">
        <v>4</v>
      </c>
      <c r="AI319" s="376" t="n">
        <v>5</v>
      </c>
      <c r="AJ319" s="376" t="n">
        <v>1</v>
      </c>
      <c r="AK319" s="376" t="n">
        <v>31</v>
      </c>
    </row>
    <row r="320" customFormat="false" ht="12.75" hidden="false" customHeight="false" outlineLevel="0" collapsed="false">
      <c r="A320" s="454"/>
      <c r="B320" s="436"/>
      <c r="C320" s="455"/>
      <c r="D320" s="443"/>
      <c r="E320" s="436"/>
      <c r="F320" s="443"/>
      <c r="G320" s="436"/>
      <c r="H320" s="443"/>
      <c r="I320" s="443"/>
      <c r="J320" s="444"/>
      <c r="K320" s="456"/>
      <c r="L320" s="456"/>
      <c r="N320" s="436"/>
      <c r="O320" s="436"/>
      <c r="P320" s="436"/>
      <c r="Q320" s="443"/>
      <c r="R320" s="444"/>
      <c r="S320" s="444"/>
      <c r="T320" s="444"/>
      <c r="AF320" s="386" t="n">
        <f aca="false">EOMONTH(AF319,0)+1</f>
        <v>46174</v>
      </c>
      <c r="AG320" s="376" t="n">
        <v>20</v>
      </c>
      <c r="AH320" s="376" t="n">
        <v>5</v>
      </c>
      <c r="AI320" s="376" t="n">
        <v>5</v>
      </c>
      <c r="AJ320" s="376" t="n">
        <v>0</v>
      </c>
      <c r="AK320" s="376" t="n">
        <v>30</v>
      </c>
    </row>
    <row r="321" customFormat="false" ht="12.75" hidden="false" customHeight="false" outlineLevel="0" collapsed="false">
      <c r="A321" s="454"/>
      <c r="B321" s="436"/>
      <c r="C321" s="455"/>
      <c r="D321" s="443"/>
      <c r="E321" s="436"/>
      <c r="F321" s="443"/>
      <c r="G321" s="436"/>
      <c r="H321" s="443"/>
      <c r="I321" s="443"/>
      <c r="J321" s="444"/>
      <c r="K321" s="456"/>
      <c r="L321" s="456"/>
      <c r="N321" s="436"/>
      <c r="O321" s="436"/>
      <c r="P321" s="436"/>
      <c r="Q321" s="443"/>
      <c r="R321" s="444"/>
      <c r="S321" s="444"/>
      <c r="T321" s="444"/>
      <c r="AF321" s="386" t="n">
        <f aca="false">EOMONTH(AF320,0)+1</f>
        <v>46204</v>
      </c>
      <c r="AG321" s="376" t="n">
        <v>22</v>
      </c>
      <c r="AH321" s="376" t="n">
        <v>4</v>
      </c>
      <c r="AI321" s="376" t="n">
        <v>5</v>
      </c>
      <c r="AJ321" s="376" t="n">
        <v>1</v>
      </c>
      <c r="AK321" s="376" t="n">
        <v>31</v>
      </c>
    </row>
    <row r="322" customFormat="false" ht="12.75" hidden="false" customHeight="false" outlineLevel="0" collapsed="false">
      <c r="A322" s="454"/>
      <c r="B322" s="436"/>
      <c r="C322" s="455"/>
      <c r="D322" s="443"/>
      <c r="E322" s="436"/>
      <c r="F322" s="443"/>
      <c r="G322" s="436"/>
      <c r="H322" s="443"/>
      <c r="I322" s="443"/>
      <c r="J322" s="444"/>
      <c r="K322" s="456"/>
      <c r="L322" s="456"/>
      <c r="N322" s="436"/>
      <c r="O322" s="436"/>
      <c r="P322" s="436"/>
      <c r="Q322" s="443"/>
      <c r="R322" s="444"/>
      <c r="S322" s="444"/>
      <c r="T322" s="444"/>
      <c r="AF322" s="386" t="n">
        <f aca="false">EOMONTH(AF321,0)+1</f>
        <v>46235</v>
      </c>
      <c r="AG322" s="376" t="n">
        <v>22</v>
      </c>
      <c r="AH322" s="376" t="n">
        <v>5</v>
      </c>
      <c r="AI322" s="376" t="n">
        <v>4</v>
      </c>
      <c r="AJ322" s="376" t="n">
        <v>0</v>
      </c>
      <c r="AK322" s="376" t="n">
        <v>31</v>
      </c>
    </row>
    <row r="323" customFormat="false" ht="12.75" hidden="false" customHeight="false" outlineLevel="0" collapsed="false">
      <c r="A323" s="454"/>
      <c r="B323" s="436"/>
      <c r="C323" s="455"/>
      <c r="D323" s="443"/>
      <c r="E323" s="436"/>
      <c r="F323" s="443"/>
      <c r="G323" s="436"/>
      <c r="H323" s="443"/>
      <c r="I323" s="443"/>
      <c r="J323" s="444"/>
      <c r="K323" s="456"/>
      <c r="L323" s="456"/>
      <c r="N323" s="436"/>
      <c r="O323" s="436"/>
      <c r="P323" s="436"/>
      <c r="Q323" s="443"/>
      <c r="R323" s="444"/>
      <c r="S323" s="444"/>
      <c r="T323" s="444"/>
      <c r="AF323" s="386" t="n">
        <f aca="false">EOMONTH(AF322,0)+1</f>
        <v>46266</v>
      </c>
      <c r="AG323" s="376" t="n">
        <v>20</v>
      </c>
      <c r="AH323" s="376" t="n">
        <v>4</v>
      </c>
      <c r="AI323" s="376" t="n">
        <v>6</v>
      </c>
      <c r="AJ323" s="376" t="n">
        <v>1</v>
      </c>
      <c r="AK323" s="376" t="n">
        <v>30</v>
      </c>
    </row>
    <row r="324" customFormat="false" ht="12.75" hidden="false" customHeight="false" outlineLevel="0" collapsed="false">
      <c r="A324" s="454"/>
      <c r="B324" s="436"/>
      <c r="C324" s="455"/>
      <c r="D324" s="443"/>
      <c r="E324" s="436"/>
      <c r="F324" s="443"/>
      <c r="G324" s="436"/>
      <c r="H324" s="443"/>
      <c r="I324" s="443"/>
      <c r="J324" s="444"/>
      <c r="K324" s="456"/>
      <c r="L324" s="456"/>
      <c r="N324" s="436"/>
      <c r="O324" s="436"/>
      <c r="P324" s="436"/>
      <c r="Q324" s="443"/>
      <c r="R324" s="444"/>
      <c r="S324" s="444"/>
      <c r="T324" s="444"/>
      <c r="AF324" s="386" t="n">
        <f aca="false">EOMONTH(AF323,0)+1</f>
        <v>46296</v>
      </c>
      <c r="AG324" s="376" t="n">
        <v>23</v>
      </c>
      <c r="AH324" s="376" t="n">
        <v>4</v>
      </c>
      <c r="AI324" s="376" t="n">
        <v>4</v>
      </c>
      <c r="AJ324" s="376" t="n">
        <v>0</v>
      </c>
      <c r="AK324" s="376" t="n">
        <v>31</v>
      </c>
    </row>
    <row r="325" customFormat="false" ht="12.75" hidden="false" customHeight="false" outlineLevel="0" collapsed="false">
      <c r="A325" s="454"/>
      <c r="B325" s="436"/>
      <c r="C325" s="455"/>
      <c r="D325" s="443"/>
      <c r="E325" s="436"/>
      <c r="F325" s="443"/>
      <c r="G325" s="436"/>
      <c r="H325" s="443"/>
      <c r="I325" s="443"/>
      <c r="J325" s="444"/>
      <c r="K325" s="456"/>
      <c r="L325" s="456"/>
      <c r="N325" s="436"/>
      <c r="O325" s="436"/>
      <c r="P325" s="436"/>
      <c r="Q325" s="443"/>
      <c r="R325" s="444"/>
      <c r="S325" s="444"/>
      <c r="T325" s="444"/>
      <c r="AF325" s="386" t="n">
        <f aca="false">EOMONTH(AF324,0)+1</f>
        <v>46327</v>
      </c>
      <c r="AG325" s="376" t="n">
        <v>20</v>
      </c>
      <c r="AH325" s="376" t="n">
        <v>5</v>
      </c>
      <c r="AI325" s="376" t="n">
        <v>5</v>
      </c>
      <c r="AJ325" s="376" t="n">
        <v>1</v>
      </c>
      <c r="AK325" s="376" t="n">
        <v>30</v>
      </c>
    </row>
    <row r="326" customFormat="false" ht="12.75" hidden="false" customHeight="false" outlineLevel="0" collapsed="false">
      <c r="A326" s="454"/>
      <c r="B326" s="436"/>
      <c r="C326" s="455"/>
      <c r="D326" s="443"/>
      <c r="E326" s="436"/>
      <c r="F326" s="443"/>
      <c r="G326" s="436"/>
      <c r="H326" s="443"/>
      <c r="I326" s="443"/>
      <c r="J326" s="444"/>
      <c r="K326" s="456"/>
      <c r="L326" s="456"/>
      <c r="N326" s="436"/>
      <c r="O326" s="436"/>
      <c r="P326" s="436"/>
      <c r="Q326" s="443"/>
      <c r="R326" s="444"/>
      <c r="S326" s="444"/>
      <c r="T326" s="444"/>
      <c r="AF326" s="386" t="n">
        <f aca="false">EOMONTH(AF325,0)+1</f>
        <v>46357</v>
      </c>
      <c r="AG326" s="376" t="n">
        <v>21</v>
      </c>
      <c r="AH326" s="376" t="n">
        <v>4</v>
      </c>
      <c r="AI326" s="376" t="n">
        <v>6</v>
      </c>
      <c r="AJ326" s="376" t="n">
        <v>1</v>
      </c>
      <c r="AK326" s="376" t="n">
        <v>31</v>
      </c>
    </row>
    <row r="327" customFormat="false" ht="12.75" hidden="false" customHeight="false" outlineLevel="0" collapsed="false">
      <c r="A327" s="454"/>
      <c r="B327" s="436"/>
      <c r="C327" s="455"/>
      <c r="D327" s="443"/>
      <c r="E327" s="436"/>
      <c r="F327" s="443"/>
      <c r="G327" s="436"/>
      <c r="H327" s="443"/>
      <c r="I327" s="443"/>
      <c r="J327" s="444"/>
      <c r="K327" s="456"/>
      <c r="L327" s="456"/>
      <c r="N327" s="436"/>
      <c r="O327" s="436"/>
      <c r="P327" s="436"/>
      <c r="Q327" s="443"/>
      <c r="R327" s="444"/>
      <c r="S327" s="444"/>
      <c r="T327" s="444"/>
      <c r="AF327" s="386" t="n">
        <f aca="false">EOMONTH(AF326,0)+1</f>
        <v>46388</v>
      </c>
      <c r="AG327" s="376" t="n">
        <v>22</v>
      </c>
      <c r="AH327" s="376" t="n">
        <v>4</v>
      </c>
      <c r="AI327" s="376" t="n">
        <v>5</v>
      </c>
      <c r="AJ327" s="376" t="n">
        <v>1</v>
      </c>
      <c r="AK327" s="376" t="n">
        <v>31</v>
      </c>
    </row>
    <row r="328" customFormat="false" ht="12.75" hidden="false" customHeight="false" outlineLevel="0" collapsed="false">
      <c r="A328" s="454"/>
      <c r="B328" s="436"/>
      <c r="C328" s="455"/>
      <c r="D328" s="443"/>
      <c r="E328" s="436"/>
      <c r="F328" s="443"/>
      <c r="G328" s="436"/>
      <c r="H328" s="443"/>
      <c r="I328" s="443"/>
      <c r="J328" s="444"/>
      <c r="K328" s="456"/>
      <c r="L328" s="456"/>
      <c r="N328" s="436"/>
      <c r="O328" s="436"/>
      <c r="P328" s="436"/>
      <c r="Q328" s="443"/>
      <c r="R328" s="444"/>
      <c r="S328" s="444"/>
      <c r="T328" s="444"/>
      <c r="AF328" s="386" t="n">
        <f aca="false">EOMONTH(AF327,0)+1</f>
        <v>46419</v>
      </c>
      <c r="AG328" s="376" t="n">
        <v>20</v>
      </c>
      <c r="AH328" s="376" t="n">
        <v>4</v>
      </c>
      <c r="AI328" s="376" t="n">
        <v>4</v>
      </c>
      <c r="AJ328" s="376" t="n">
        <v>0</v>
      </c>
      <c r="AK328" s="376" t="n">
        <v>28</v>
      </c>
    </row>
    <row r="329" customFormat="false" ht="12.75" hidden="false" customHeight="false" outlineLevel="0" collapsed="false">
      <c r="A329" s="454"/>
      <c r="B329" s="436"/>
      <c r="C329" s="455"/>
      <c r="D329" s="443"/>
      <c r="E329" s="436"/>
      <c r="F329" s="443"/>
      <c r="G329" s="436"/>
      <c r="H329" s="443"/>
      <c r="I329" s="443"/>
      <c r="J329" s="444"/>
      <c r="K329" s="456"/>
      <c r="L329" s="456"/>
      <c r="N329" s="436"/>
      <c r="O329" s="436"/>
      <c r="P329" s="436"/>
      <c r="Q329" s="443"/>
      <c r="R329" s="444"/>
      <c r="S329" s="444"/>
      <c r="T329" s="444"/>
      <c r="AF329" s="386" t="n">
        <f aca="false">EOMONTH(AF328,0)+1</f>
        <v>46447</v>
      </c>
      <c r="AG329" s="376" t="n">
        <v>21</v>
      </c>
      <c r="AH329" s="376" t="n">
        <v>5</v>
      </c>
      <c r="AI329" s="376" t="n">
        <v>5</v>
      </c>
      <c r="AJ329" s="376" t="n">
        <v>0</v>
      </c>
      <c r="AK329" s="376" t="n">
        <v>31</v>
      </c>
    </row>
    <row r="330" customFormat="false" ht="12.75" hidden="false" customHeight="false" outlineLevel="0" collapsed="false">
      <c r="A330" s="454"/>
      <c r="B330" s="436"/>
      <c r="C330" s="455"/>
      <c r="D330" s="443"/>
      <c r="E330" s="436"/>
      <c r="F330" s="443"/>
      <c r="G330" s="436"/>
      <c r="H330" s="443"/>
      <c r="I330" s="443"/>
      <c r="J330" s="444"/>
      <c r="K330" s="456"/>
      <c r="L330" s="456"/>
      <c r="N330" s="436"/>
      <c r="O330" s="436"/>
      <c r="P330" s="436"/>
      <c r="Q330" s="443"/>
      <c r="R330" s="444"/>
      <c r="S330" s="444"/>
      <c r="T330" s="444"/>
      <c r="AF330" s="386" t="n">
        <f aca="false">EOMONTH(AF329,0)+1</f>
        <v>46478</v>
      </c>
      <c r="AG330" s="376" t="n">
        <v>22</v>
      </c>
      <c r="AH330" s="376" t="n">
        <v>4</v>
      </c>
      <c r="AI330" s="376" t="n">
        <v>4</v>
      </c>
      <c r="AJ330" s="376" t="n">
        <v>0</v>
      </c>
      <c r="AK330" s="376" t="n">
        <v>30</v>
      </c>
    </row>
    <row r="331" customFormat="false" ht="12.75" hidden="false" customHeight="false" outlineLevel="0" collapsed="false">
      <c r="A331" s="454"/>
      <c r="B331" s="436"/>
      <c r="C331" s="455"/>
      <c r="D331" s="443"/>
      <c r="E331" s="436"/>
      <c r="F331" s="443"/>
      <c r="G331" s="436"/>
      <c r="H331" s="443"/>
      <c r="I331" s="443"/>
      <c r="J331" s="444"/>
      <c r="K331" s="456"/>
      <c r="L331" s="456"/>
      <c r="N331" s="436"/>
      <c r="O331" s="436"/>
      <c r="P331" s="436"/>
      <c r="Q331" s="443"/>
      <c r="R331" s="444"/>
      <c r="S331" s="444"/>
      <c r="T331" s="444"/>
      <c r="AF331" s="386" t="n">
        <f aca="false">EOMONTH(AF330,0)+1</f>
        <v>46508</v>
      </c>
      <c r="AG331" s="376" t="n">
        <v>22</v>
      </c>
      <c r="AH331" s="376" t="n">
        <v>4</v>
      </c>
      <c r="AI331" s="376" t="n">
        <v>5</v>
      </c>
      <c r="AJ331" s="376" t="n">
        <v>1</v>
      </c>
      <c r="AK331" s="376" t="n">
        <v>31</v>
      </c>
    </row>
    <row r="332" customFormat="false" ht="12.75" hidden="false" customHeight="false" outlineLevel="0" collapsed="false">
      <c r="A332" s="454"/>
      <c r="B332" s="436"/>
      <c r="C332" s="455"/>
      <c r="D332" s="443"/>
      <c r="E332" s="436"/>
      <c r="F332" s="443"/>
      <c r="G332" s="436"/>
      <c r="H332" s="443"/>
      <c r="I332" s="443"/>
      <c r="J332" s="444"/>
      <c r="K332" s="456"/>
      <c r="L332" s="456"/>
      <c r="N332" s="436"/>
      <c r="O332" s="436"/>
      <c r="P332" s="436"/>
      <c r="Q332" s="443"/>
      <c r="R332" s="444"/>
      <c r="S332" s="444"/>
      <c r="T332" s="444"/>
      <c r="AF332" s="386" t="n">
        <f aca="false">EOMONTH(AF331,0)+1</f>
        <v>46539</v>
      </c>
      <c r="AG332" s="376" t="n">
        <v>20</v>
      </c>
      <c r="AH332" s="376" t="n">
        <v>5</v>
      </c>
      <c r="AI332" s="376" t="n">
        <v>5</v>
      </c>
      <c r="AJ332" s="376" t="n">
        <v>0</v>
      </c>
      <c r="AK332" s="376" t="n">
        <v>30</v>
      </c>
    </row>
    <row r="333" customFormat="false" ht="12.75" hidden="false" customHeight="false" outlineLevel="0" collapsed="false">
      <c r="A333" s="454"/>
      <c r="B333" s="436"/>
      <c r="C333" s="455"/>
      <c r="D333" s="443"/>
      <c r="E333" s="436"/>
      <c r="F333" s="443"/>
      <c r="G333" s="436"/>
      <c r="H333" s="443"/>
      <c r="I333" s="443"/>
      <c r="J333" s="444"/>
      <c r="K333" s="456"/>
      <c r="L333" s="456"/>
      <c r="N333" s="436"/>
      <c r="O333" s="436"/>
      <c r="P333" s="436"/>
      <c r="Q333" s="443"/>
      <c r="R333" s="444"/>
      <c r="S333" s="444"/>
      <c r="T333" s="444"/>
      <c r="AF333" s="386" t="n">
        <f aca="false">EOMONTH(AF332,0)+1</f>
        <v>46569</v>
      </c>
      <c r="AG333" s="376" t="n">
        <v>22</v>
      </c>
      <c r="AH333" s="376" t="n">
        <v>4</v>
      </c>
      <c r="AI333" s="376" t="n">
        <v>5</v>
      </c>
      <c r="AJ333" s="376" t="n">
        <v>1</v>
      </c>
      <c r="AK333" s="376" t="n">
        <v>31</v>
      </c>
    </row>
    <row r="334" customFormat="false" ht="12.75" hidden="false" customHeight="false" outlineLevel="0" collapsed="false">
      <c r="A334" s="454"/>
      <c r="B334" s="436"/>
      <c r="C334" s="455"/>
      <c r="D334" s="443"/>
      <c r="E334" s="436"/>
      <c r="F334" s="443"/>
      <c r="G334" s="436"/>
      <c r="H334" s="443"/>
      <c r="I334" s="443"/>
      <c r="J334" s="444"/>
      <c r="K334" s="456"/>
      <c r="L334" s="456"/>
      <c r="N334" s="436"/>
      <c r="O334" s="436"/>
      <c r="P334" s="436"/>
      <c r="Q334" s="443"/>
      <c r="R334" s="444"/>
      <c r="S334" s="444"/>
      <c r="T334" s="444"/>
      <c r="AF334" s="386" t="n">
        <f aca="false">EOMONTH(AF333,0)+1</f>
        <v>46600</v>
      </c>
      <c r="AG334" s="376" t="n">
        <v>22</v>
      </c>
      <c r="AH334" s="376" t="n">
        <v>5</v>
      </c>
      <c r="AI334" s="376" t="n">
        <v>4</v>
      </c>
      <c r="AJ334" s="376" t="n">
        <v>0</v>
      </c>
      <c r="AK334" s="376" t="n">
        <v>31</v>
      </c>
    </row>
    <row r="335" customFormat="false" ht="12.75" hidden="false" customHeight="false" outlineLevel="0" collapsed="false">
      <c r="A335" s="454"/>
      <c r="B335" s="436"/>
      <c r="C335" s="455"/>
      <c r="D335" s="443"/>
      <c r="E335" s="436"/>
      <c r="F335" s="443"/>
      <c r="G335" s="436"/>
      <c r="H335" s="443"/>
      <c r="I335" s="443"/>
      <c r="J335" s="444"/>
      <c r="K335" s="456"/>
      <c r="L335" s="456"/>
      <c r="N335" s="436"/>
      <c r="O335" s="436"/>
      <c r="P335" s="436"/>
      <c r="Q335" s="443"/>
      <c r="R335" s="444"/>
      <c r="S335" s="444"/>
      <c r="T335" s="444"/>
      <c r="AF335" s="386" t="n">
        <f aca="false">EOMONTH(AF334,0)+1</f>
        <v>46631</v>
      </c>
      <c r="AG335" s="376" t="n">
        <v>20</v>
      </c>
      <c r="AH335" s="376" t="n">
        <v>4</v>
      </c>
      <c r="AI335" s="376" t="n">
        <v>6</v>
      </c>
      <c r="AJ335" s="376" t="n">
        <v>1</v>
      </c>
      <c r="AK335" s="376" t="n">
        <v>30</v>
      </c>
    </row>
    <row r="336" customFormat="false" ht="12.75" hidden="false" customHeight="false" outlineLevel="0" collapsed="false">
      <c r="A336" s="454"/>
      <c r="B336" s="436"/>
      <c r="C336" s="455"/>
      <c r="D336" s="443"/>
      <c r="E336" s="436"/>
      <c r="F336" s="443"/>
      <c r="G336" s="436"/>
      <c r="H336" s="443"/>
      <c r="I336" s="443"/>
      <c r="J336" s="444"/>
      <c r="K336" s="456"/>
      <c r="L336" s="456"/>
      <c r="N336" s="436"/>
      <c r="O336" s="436"/>
      <c r="P336" s="436"/>
      <c r="Q336" s="443"/>
      <c r="R336" s="444"/>
      <c r="S336" s="444"/>
      <c r="T336" s="444"/>
      <c r="AF336" s="386" t="n">
        <f aca="false">EOMONTH(AF335,0)+1</f>
        <v>46661</v>
      </c>
      <c r="AG336" s="376" t="n">
        <v>23</v>
      </c>
      <c r="AH336" s="376" t="n">
        <v>4</v>
      </c>
      <c r="AI336" s="376" t="n">
        <v>4</v>
      </c>
      <c r="AJ336" s="376" t="n">
        <v>0</v>
      </c>
      <c r="AK336" s="376" t="n">
        <v>31</v>
      </c>
    </row>
    <row r="337" customFormat="false" ht="12.75" hidden="false" customHeight="false" outlineLevel="0" collapsed="false">
      <c r="A337" s="454"/>
      <c r="B337" s="436"/>
      <c r="C337" s="455"/>
      <c r="D337" s="443"/>
      <c r="E337" s="436"/>
      <c r="F337" s="443"/>
      <c r="G337" s="436"/>
      <c r="H337" s="443"/>
      <c r="I337" s="443"/>
      <c r="J337" s="444"/>
      <c r="K337" s="456"/>
      <c r="L337" s="456"/>
      <c r="N337" s="436"/>
      <c r="O337" s="436"/>
      <c r="P337" s="436"/>
      <c r="Q337" s="443"/>
      <c r="R337" s="444"/>
      <c r="S337" s="444"/>
      <c r="T337" s="444"/>
      <c r="AF337" s="386" t="n">
        <f aca="false">EOMONTH(AF336,0)+1</f>
        <v>46692</v>
      </c>
      <c r="AG337" s="376" t="n">
        <v>20</v>
      </c>
      <c r="AH337" s="376" t="n">
        <v>5</v>
      </c>
      <c r="AI337" s="376" t="n">
        <v>5</v>
      </c>
      <c r="AJ337" s="376" t="n">
        <v>1</v>
      </c>
      <c r="AK337" s="376" t="n">
        <v>30</v>
      </c>
    </row>
    <row r="338" customFormat="false" ht="12.75" hidden="false" customHeight="false" outlineLevel="0" collapsed="false">
      <c r="A338" s="454"/>
      <c r="B338" s="436"/>
      <c r="C338" s="455"/>
      <c r="D338" s="443"/>
      <c r="E338" s="436"/>
      <c r="F338" s="443"/>
      <c r="G338" s="436"/>
      <c r="H338" s="443"/>
      <c r="I338" s="443"/>
      <c r="J338" s="444"/>
      <c r="K338" s="456"/>
      <c r="L338" s="456"/>
      <c r="N338" s="436"/>
      <c r="O338" s="436"/>
      <c r="P338" s="436"/>
      <c r="Q338" s="443"/>
      <c r="R338" s="444"/>
      <c r="S338" s="444"/>
      <c r="T338" s="444"/>
      <c r="AF338" s="386" t="n">
        <f aca="false">EOMONTH(AF337,0)+1</f>
        <v>46722</v>
      </c>
      <c r="AG338" s="376" t="n">
        <v>21</v>
      </c>
      <c r="AH338" s="376" t="n">
        <v>4</v>
      </c>
      <c r="AI338" s="376" t="n">
        <v>6</v>
      </c>
      <c r="AJ338" s="376" t="n">
        <v>1</v>
      </c>
      <c r="AK338" s="376" t="n">
        <v>31</v>
      </c>
    </row>
    <row r="339" customFormat="false" ht="12.75" hidden="false" customHeight="false" outlineLevel="0" collapsed="false">
      <c r="A339" s="454"/>
      <c r="B339" s="436"/>
      <c r="C339" s="455"/>
      <c r="D339" s="443"/>
      <c r="E339" s="436"/>
      <c r="F339" s="443"/>
      <c r="G339" s="436"/>
      <c r="H339" s="443"/>
      <c r="I339" s="443"/>
      <c r="J339" s="444"/>
      <c r="K339" s="456"/>
      <c r="L339" s="456"/>
      <c r="N339" s="436"/>
      <c r="O339" s="436"/>
      <c r="P339" s="436"/>
      <c r="Q339" s="443"/>
      <c r="R339" s="444"/>
      <c r="S339" s="444"/>
      <c r="T339" s="444"/>
      <c r="AF339" s="386" t="n">
        <f aca="false">EOMONTH(AF338,0)+1</f>
        <v>46753</v>
      </c>
      <c r="AG339" s="376" t="n">
        <v>22</v>
      </c>
      <c r="AH339" s="376" t="n">
        <v>4</v>
      </c>
      <c r="AI339" s="376" t="n">
        <v>5</v>
      </c>
      <c r="AJ339" s="376" t="n">
        <v>1</v>
      </c>
      <c r="AK339" s="376" t="n">
        <v>31</v>
      </c>
    </row>
    <row r="340" customFormat="false" ht="12.75" hidden="false" customHeight="false" outlineLevel="0" collapsed="false">
      <c r="A340" s="454"/>
      <c r="B340" s="436"/>
      <c r="C340" s="455"/>
      <c r="D340" s="443"/>
      <c r="E340" s="436"/>
      <c r="F340" s="443"/>
      <c r="G340" s="436"/>
      <c r="H340" s="443"/>
      <c r="I340" s="443"/>
      <c r="J340" s="444"/>
      <c r="K340" s="456"/>
      <c r="L340" s="456"/>
      <c r="N340" s="436"/>
      <c r="O340" s="436"/>
      <c r="P340" s="436"/>
      <c r="Q340" s="443"/>
      <c r="R340" s="444"/>
      <c r="S340" s="444"/>
      <c r="T340" s="444"/>
      <c r="AF340" s="386" t="n">
        <f aca="false">EOMONTH(AF339,0)+1</f>
        <v>46784</v>
      </c>
      <c r="AG340" s="376" t="n">
        <v>20</v>
      </c>
      <c r="AH340" s="376" t="n">
        <v>5</v>
      </c>
      <c r="AI340" s="376" t="n">
        <v>4</v>
      </c>
      <c r="AJ340" s="376" t="n">
        <v>0</v>
      </c>
      <c r="AK340" s="376" t="n">
        <v>29</v>
      </c>
    </row>
    <row r="341" customFormat="false" ht="12.75" hidden="false" customHeight="false" outlineLevel="0" collapsed="false">
      <c r="A341" s="454"/>
      <c r="B341" s="436"/>
      <c r="C341" s="455"/>
      <c r="D341" s="443"/>
      <c r="E341" s="436"/>
      <c r="F341" s="443"/>
      <c r="G341" s="436"/>
      <c r="H341" s="443"/>
      <c r="I341" s="443"/>
      <c r="J341" s="444"/>
      <c r="K341" s="456"/>
      <c r="L341" s="456"/>
      <c r="N341" s="436"/>
      <c r="O341" s="436"/>
      <c r="P341" s="436"/>
      <c r="Q341" s="443"/>
      <c r="R341" s="444"/>
      <c r="S341" s="444"/>
      <c r="T341" s="444"/>
      <c r="AF341" s="386" t="n">
        <f aca="false">EOMONTH(AF340,0)+1</f>
        <v>46813</v>
      </c>
      <c r="AG341" s="376" t="n">
        <v>22</v>
      </c>
      <c r="AH341" s="376" t="n">
        <v>4</v>
      </c>
      <c r="AI341" s="376" t="n">
        <v>5</v>
      </c>
      <c r="AJ341" s="376" t="n">
        <v>0</v>
      </c>
      <c r="AK341" s="376" t="n">
        <v>31</v>
      </c>
    </row>
    <row r="342" customFormat="false" ht="12.75" hidden="false" customHeight="false" outlineLevel="0" collapsed="false">
      <c r="A342" s="454"/>
      <c r="B342" s="436"/>
      <c r="C342" s="455"/>
      <c r="D342" s="443"/>
      <c r="E342" s="436"/>
      <c r="F342" s="443"/>
      <c r="G342" s="436"/>
      <c r="H342" s="443"/>
      <c r="I342" s="443"/>
      <c r="J342" s="444"/>
      <c r="K342" s="456"/>
      <c r="L342" s="456"/>
      <c r="N342" s="436"/>
      <c r="O342" s="436"/>
      <c r="P342" s="436"/>
      <c r="Q342" s="443"/>
      <c r="R342" s="444"/>
      <c r="S342" s="444"/>
      <c r="T342" s="444"/>
      <c r="AF342" s="386" t="n">
        <f aca="false">EOMONTH(AF341,0)+1</f>
        <v>46844</v>
      </c>
      <c r="AG342" s="376" t="n">
        <v>22</v>
      </c>
      <c r="AH342" s="376" t="n">
        <v>4</v>
      </c>
      <c r="AI342" s="376" t="n">
        <v>4</v>
      </c>
      <c r="AJ342" s="376" t="n">
        <v>0</v>
      </c>
      <c r="AK342" s="376" t="n">
        <v>30</v>
      </c>
    </row>
    <row r="343" customFormat="false" ht="12.75" hidden="false" customHeight="false" outlineLevel="0" collapsed="false">
      <c r="A343" s="454"/>
      <c r="B343" s="436"/>
      <c r="C343" s="455"/>
      <c r="D343" s="443"/>
      <c r="E343" s="436"/>
      <c r="F343" s="443"/>
      <c r="G343" s="436"/>
      <c r="H343" s="443"/>
      <c r="I343" s="443"/>
      <c r="J343" s="444"/>
      <c r="K343" s="456"/>
      <c r="L343" s="456"/>
      <c r="N343" s="436"/>
      <c r="O343" s="436"/>
      <c r="P343" s="436"/>
      <c r="Q343" s="443"/>
      <c r="R343" s="444"/>
      <c r="S343" s="444"/>
      <c r="T343" s="444"/>
      <c r="AF343" s="386" t="n">
        <f aca="false">EOMONTH(AF342,0)+1</f>
        <v>46874</v>
      </c>
      <c r="AG343" s="376" t="n">
        <v>20</v>
      </c>
      <c r="AH343" s="376" t="n">
        <v>5</v>
      </c>
      <c r="AI343" s="376" t="n">
        <v>6</v>
      </c>
      <c r="AJ343" s="376" t="n">
        <v>1</v>
      </c>
      <c r="AK343" s="376" t="n">
        <v>31</v>
      </c>
    </row>
    <row r="344" customFormat="false" ht="12.75" hidden="false" customHeight="false" outlineLevel="0" collapsed="false">
      <c r="A344" s="454"/>
      <c r="B344" s="436"/>
      <c r="C344" s="455"/>
      <c r="D344" s="443"/>
      <c r="E344" s="436"/>
      <c r="F344" s="443"/>
      <c r="G344" s="436"/>
      <c r="H344" s="443"/>
      <c r="I344" s="443"/>
      <c r="J344" s="444"/>
      <c r="K344" s="456"/>
      <c r="L344" s="456"/>
      <c r="N344" s="436"/>
      <c r="O344" s="436"/>
      <c r="P344" s="436"/>
      <c r="Q344" s="443"/>
      <c r="R344" s="444"/>
      <c r="S344" s="444"/>
      <c r="T344" s="444"/>
      <c r="AF344" s="386" t="n">
        <f aca="false">EOMONTH(AF343,0)+1</f>
        <v>46905</v>
      </c>
      <c r="AG344" s="376" t="n">
        <v>22</v>
      </c>
      <c r="AH344" s="376" t="n">
        <v>4</v>
      </c>
      <c r="AI344" s="376" t="n">
        <v>4</v>
      </c>
      <c r="AJ344" s="376" t="n">
        <v>0</v>
      </c>
      <c r="AK344" s="376" t="n">
        <v>30</v>
      </c>
    </row>
    <row r="345" customFormat="false" ht="12.75" hidden="false" customHeight="false" outlineLevel="0" collapsed="false">
      <c r="A345" s="454"/>
      <c r="B345" s="436"/>
      <c r="C345" s="455"/>
      <c r="D345" s="443"/>
      <c r="E345" s="436"/>
      <c r="F345" s="443"/>
      <c r="G345" s="436"/>
      <c r="H345" s="443"/>
      <c r="I345" s="443"/>
      <c r="J345" s="444"/>
      <c r="K345" s="456"/>
      <c r="L345" s="456"/>
      <c r="N345" s="436"/>
      <c r="O345" s="436"/>
      <c r="P345" s="436"/>
      <c r="Q345" s="443"/>
      <c r="R345" s="444"/>
      <c r="S345" s="444"/>
      <c r="T345" s="444"/>
      <c r="AF345" s="386" t="n">
        <f aca="false">EOMONTH(AF344,0)+1</f>
        <v>46935</v>
      </c>
      <c r="AG345" s="376" t="n">
        <v>23</v>
      </c>
      <c r="AH345" s="376" t="n">
        <v>3</v>
      </c>
      <c r="AI345" s="376" t="n">
        <v>5</v>
      </c>
      <c r="AJ345" s="376" t="n">
        <v>1</v>
      </c>
      <c r="AK345" s="376" t="n">
        <v>31</v>
      </c>
    </row>
    <row r="346" customFormat="false" ht="12.75" hidden="false" customHeight="false" outlineLevel="0" collapsed="false">
      <c r="A346" s="454"/>
      <c r="B346" s="436"/>
      <c r="C346" s="455"/>
      <c r="D346" s="443"/>
      <c r="E346" s="436"/>
      <c r="F346" s="443"/>
      <c r="G346" s="436"/>
      <c r="H346" s="443"/>
      <c r="I346" s="443"/>
      <c r="J346" s="444"/>
      <c r="K346" s="456"/>
      <c r="L346" s="456"/>
      <c r="N346" s="436"/>
      <c r="O346" s="436"/>
      <c r="P346" s="436"/>
      <c r="Q346" s="443"/>
      <c r="R346" s="444"/>
      <c r="S346" s="444"/>
      <c r="T346" s="444"/>
      <c r="AF346" s="386" t="n">
        <f aca="false">EOMONTH(AF345,0)+1</f>
        <v>46966</v>
      </c>
      <c r="AG346" s="376" t="n">
        <v>21</v>
      </c>
      <c r="AH346" s="376" t="n">
        <v>5</v>
      </c>
      <c r="AI346" s="376" t="n">
        <v>5</v>
      </c>
      <c r="AJ346" s="376" t="n">
        <v>0</v>
      </c>
      <c r="AK346" s="376" t="n">
        <v>31</v>
      </c>
    </row>
    <row r="347" customFormat="false" ht="12.75" hidden="false" customHeight="false" outlineLevel="0" collapsed="false">
      <c r="A347" s="454"/>
      <c r="B347" s="436"/>
      <c r="C347" s="455"/>
      <c r="D347" s="443"/>
      <c r="E347" s="436"/>
      <c r="F347" s="443"/>
      <c r="G347" s="436"/>
      <c r="H347" s="443"/>
      <c r="I347" s="443"/>
      <c r="J347" s="444"/>
      <c r="K347" s="456"/>
      <c r="L347" s="456"/>
      <c r="N347" s="436"/>
      <c r="O347" s="436"/>
      <c r="P347" s="436"/>
      <c r="Q347" s="443"/>
      <c r="R347" s="444"/>
      <c r="S347" s="444"/>
      <c r="T347" s="444"/>
      <c r="AF347" s="386" t="n">
        <f aca="false">EOMONTH(AF346,0)+1</f>
        <v>46997</v>
      </c>
      <c r="AG347" s="376" t="n">
        <v>21</v>
      </c>
      <c r="AH347" s="376" t="n">
        <v>4</v>
      </c>
      <c r="AI347" s="376" t="n">
        <v>5</v>
      </c>
      <c r="AJ347" s="376" t="n">
        <v>1</v>
      </c>
      <c r="AK347" s="376" t="n">
        <v>30</v>
      </c>
    </row>
    <row r="348" customFormat="false" ht="12.75" hidden="false" customHeight="false" outlineLevel="0" collapsed="false">
      <c r="A348" s="454"/>
      <c r="B348" s="436"/>
      <c r="C348" s="455"/>
      <c r="D348" s="443"/>
      <c r="E348" s="436"/>
      <c r="F348" s="443"/>
      <c r="G348" s="436"/>
      <c r="H348" s="443"/>
      <c r="I348" s="443"/>
      <c r="J348" s="444"/>
      <c r="K348" s="456"/>
      <c r="L348" s="456"/>
      <c r="N348" s="436"/>
      <c r="O348" s="436"/>
      <c r="P348" s="436"/>
      <c r="Q348" s="443"/>
      <c r="R348" s="444"/>
      <c r="S348" s="444"/>
      <c r="T348" s="444"/>
      <c r="AF348" s="386" t="n">
        <f aca="false">EOMONTH(AF347,0)+1</f>
        <v>47027</v>
      </c>
      <c r="AG348" s="376" t="n">
        <v>22</v>
      </c>
      <c r="AH348" s="376" t="n">
        <v>5</v>
      </c>
      <c r="AI348" s="376" t="n">
        <v>4</v>
      </c>
      <c r="AJ348" s="376" t="n">
        <v>0</v>
      </c>
      <c r="AK348" s="376" t="n">
        <v>31</v>
      </c>
    </row>
    <row r="349" customFormat="false" ht="12.75" hidden="false" customHeight="false" outlineLevel="0" collapsed="false">
      <c r="A349" s="454"/>
      <c r="B349" s="436"/>
      <c r="C349" s="455"/>
      <c r="D349" s="443"/>
      <c r="E349" s="436"/>
      <c r="F349" s="443"/>
      <c r="G349" s="436"/>
      <c r="H349" s="443"/>
      <c r="I349" s="443"/>
      <c r="J349" s="444"/>
      <c r="K349" s="456"/>
      <c r="L349" s="456"/>
      <c r="N349" s="436"/>
      <c r="O349" s="436"/>
      <c r="P349" s="436"/>
      <c r="Q349" s="443"/>
      <c r="R349" s="444"/>
      <c r="S349" s="444"/>
      <c r="T349" s="444"/>
      <c r="AF349" s="386" t="n">
        <f aca="false">EOMONTH(AF348,0)+1</f>
        <v>47058</v>
      </c>
      <c r="AG349" s="376" t="n">
        <v>20</v>
      </c>
      <c r="AH349" s="376" t="n">
        <v>4</v>
      </c>
      <c r="AI349" s="376" t="n">
        <v>6</v>
      </c>
      <c r="AJ349" s="376" t="n">
        <v>1</v>
      </c>
      <c r="AK349" s="376" t="n">
        <v>30</v>
      </c>
    </row>
    <row r="350" customFormat="false" ht="12.75" hidden="false" customHeight="false" outlineLevel="0" collapsed="false">
      <c r="A350" s="454"/>
      <c r="B350" s="436"/>
      <c r="C350" s="455"/>
      <c r="D350" s="443"/>
      <c r="E350" s="436"/>
      <c r="F350" s="443"/>
      <c r="G350" s="436"/>
      <c r="H350" s="443"/>
      <c r="I350" s="443"/>
      <c r="J350" s="444"/>
      <c r="K350" s="456"/>
      <c r="L350" s="456"/>
      <c r="N350" s="436"/>
      <c r="O350" s="436"/>
      <c r="P350" s="436"/>
      <c r="Q350" s="443"/>
      <c r="R350" s="444"/>
      <c r="S350" s="444"/>
      <c r="T350" s="444"/>
      <c r="AF350" s="386" t="n">
        <f aca="false">EOMONTH(AF349,0)+1</f>
        <v>47088</v>
      </c>
      <c r="AG350" s="376" t="n">
        <v>22</v>
      </c>
      <c r="AH350" s="376" t="n">
        <v>4</v>
      </c>
      <c r="AI350" s="376" t="n">
        <v>5</v>
      </c>
      <c r="AJ350" s="376" t="n">
        <v>1</v>
      </c>
      <c r="AK350" s="376" t="n">
        <v>31</v>
      </c>
    </row>
    <row r="351" customFormat="false" ht="12.75" hidden="false" customHeight="false" outlineLevel="0" collapsed="false">
      <c r="A351" s="454"/>
      <c r="B351" s="436"/>
      <c r="C351" s="455"/>
      <c r="D351" s="443"/>
      <c r="E351" s="436"/>
      <c r="F351" s="443"/>
      <c r="G351" s="436"/>
      <c r="H351" s="443"/>
      <c r="I351" s="443"/>
      <c r="J351" s="444"/>
      <c r="K351" s="456"/>
      <c r="L351" s="456"/>
      <c r="N351" s="436"/>
      <c r="O351" s="436"/>
      <c r="P351" s="436"/>
      <c r="Q351" s="443"/>
      <c r="R351" s="444"/>
      <c r="S351" s="444"/>
      <c r="T351" s="444"/>
      <c r="AF351" s="386" t="n">
        <f aca="false">EOMONTH(AF350,0)+1</f>
        <v>47119</v>
      </c>
      <c r="AG351" s="376" t="n">
        <v>22</v>
      </c>
      <c r="AH351" s="376" t="n">
        <v>4</v>
      </c>
      <c r="AI351" s="376" t="n">
        <v>5</v>
      </c>
      <c r="AJ351" s="376" t="n">
        <v>1</v>
      </c>
      <c r="AK351" s="376" t="n">
        <v>31</v>
      </c>
    </row>
    <row r="352" customFormat="false" ht="12.75" hidden="false" customHeight="false" outlineLevel="0" collapsed="false">
      <c r="A352" s="454"/>
      <c r="B352" s="436"/>
      <c r="C352" s="455"/>
      <c r="D352" s="443"/>
      <c r="E352" s="436"/>
      <c r="F352" s="443"/>
      <c r="G352" s="436"/>
      <c r="H352" s="443"/>
      <c r="I352" s="443"/>
      <c r="J352" s="444"/>
      <c r="K352" s="456"/>
      <c r="L352" s="456"/>
      <c r="N352" s="436"/>
      <c r="O352" s="436"/>
      <c r="P352" s="436"/>
      <c r="Q352" s="443"/>
      <c r="R352" s="444"/>
      <c r="S352" s="444"/>
      <c r="T352" s="444"/>
      <c r="AF352" s="386" t="n">
        <f aca="false">EOMONTH(AF351,0)+1</f>
        <v>47150</v>
      </c>
      <c r="AG352" s="376" t="n">
        <v>20</v>
      </c>
      <c r="AH352" s="376" t="n">
        <v>4</v>
      </c>
      <c r="AI352" s="376" t="n">
        <v>4</v>
      </c>
      <c r="AJ352" s="376" t="n">
        <v>0</v>
      </c>
      <c r="AK352" s="376" t="n">
        <v>28</v>
      </c>
    </row>
    <row r="353" customFormat="false" ht="12.75" hidden="false" customHeight="false" outlineLevel="0" collapsed="false">
      <c r="A353" s="454"/>
      <c r="B353" s="436"/>
      <c r="C353" s="455"/>
      <c r="D353" s="443"/>
      <c r="E353" s="436"/>
      <c r="F353" s="443"/>
      <c r="G353" s="436"/>
      <c r="H353" s="443"/>
      <c r="I353" s="443"/>
      <c r="J353" s="444"/>
      <c r="K353" s="456"/>
      <c r="L353" s="456"/>
      <c r="N353" s="436"/>
      <c r="O353" s="436"/>
      <c r="P353" s="436"/>
      <c r="Q353" s="443"/>
      <c r="R353" s="444"/>
      <c r="S353" s="444"/>
      <c r="T353" s="444"/>
      <c r="AF353" s="386" t="n">
        <f aca="false">EOMONTH(AF352,0)+1</f>
        <v>47178</v>
      </c>
      <c r="AG353" s="376" t="n">
        <v>21</v>
      </c>
      <c r="AH353" s="376" t="n">
        <v>5</v>
      </c>
      <c r="AI353" s="376" t="n">
        <v>5</v>
      </c>
      <c r="AJ353" s="376" t="n">
        <v>0</v>
      </c>
      <c r="AK353" s="376" t="n">
        <v>31</v>
      </c>
    </row>
    <row r="354" customFormat="false" ht="12.75" hidden="false" customHeight="false" outlineLevel="0" collapsed="false">
      <c r="A354" s="454"/>
      <c r="B354" s="436"/>
      <c r="C354" s="455"/>
      <c r="D354" s="443"/>
      <c r="E354" s="436"/>
      <c r="F354" s="443"/>
      <c r="G354" s="436"/>
      <c r="H354" s="443"/>
      <c r="I354" s="443"/>
      <c r="J354" s="444"/>
      <c r="K354" s="456"/>
      <c r="L354" s="456"/>
      <c r="N354" s="436"/>
      <c r="O354" s="436"/>
      <c r="P354" s="436"/>
      <c r="Q354" s="443"/>
      <c r="R354" s="444"/>
      <c r="S354" s="444"/>
      <c r="T354" s="444"/>
      <c r="AF354" s="386" t="n">
        <f aca="false">EOMONTH(AF353,0)+1</f>
        <v>47209</v>
      </c>
      <c r="AG354" s="376" t="n">
        <v>22</v>
      </c>
      <c r="AH354" s="376" t="n">
        <v>4</v>
      </c>
      <c r="AI354" s="376" t="n">
        <v>4</v>
      </c>
      <c r="AJ354" s="376" t="n">
        <v>0</v>
      </c>
      <c r="AK354" s="376" t="n">
        <v>30</v>
      </c>
    </row>
    <row r="355" customFormat="false" ht="12.75" hidden="false" customHeight="false" outlineLevel="0" collapsed="false">
      <c r="A355" s="454"/>
      <c r="B355" s="436"/>
      <c r="C355" s="455"/>
      <c r="D355" s="443"/>
      <c r="E355" s="436"/>
      <c r="F355" s="443"/>
      <c r="G355" s="436"/>
      <c r="H355" s="443"/>
      <c r="I355" s="443"/>
      <c r="J355" s="444"/>
      <c r="K355" s="456"/>
      <c r="L355" s="456"/>
      <c r="N355" s="436"/>
      <c r="O355" s="436"/>
      <c r="P355" s="436"/>
      <c r="Q355" s="443"/>
      <c r="R355" s="444"/>
      <c r="S355" s="444"/>
      <c r="T355" s="444"/>
      <c r="AF355" s="386" t="n">
        <f aca="false">EOMONTH(AF354,0)+1</f>
        <v>47239</v>
      </c>
      <c r="AG355" s="376" t="n">
        <v>22</v>
      </c>
      <c r="AH355" s="376" t="n">
        <v>4</v>
      </c>
      <c r="AI355" s="376" t="n">
        <v>5</v>
      </c>
      <c r="AJ355" s="376" t="n">
        <v>1</v>
      </c>
      <c r="AK355" s="376" t="n">
        <v>31</v>
      </c>
    </row>
    <row r="356" customFormat="false" ht="12.75" hidden="false" customHeight="false" outlineLevel="0" collapsed="false">
      <c r="A356" s="454"/>
      <c r="B356" s="436"/>
      <c r="C356" s="455"/>
      <c r="D356" s="443"/>
      <c r="E356" s="436"/>
      <c r="F356" s="443"/>
      <c r="G356" s="436"/>
      <c r="H356" s="443"/>
      <c r="I356" s="443"/>
      <c r="J356" s="444"/>
      <c r="K356" s="456"/>
      <c r="L356" s="456"/>
      <c r="N356" s="436"/>
      <c r="O356" s="436"/>
      <c r="P356" s="436"/>
      <c r="Q356" s="443"/>
      <c r="R356" s="444"/>
      <c r="S356" s="444"/>
      <c r="T356" s="444"/>
      <c r="AF356" s="386" t="n">
        <f aca="false">EOMONTH(AF355,0)+1</f>
        <v>47270</v>
      </c>
      <c r="AG356" s="376" t="n">
        <v>20</v>
      </c>
      <c r="AH356" s="376" t="n">
        <v>5</v>
      </c>
      <c r="AI356" s="376" t="n">
        <v>5</v>
      </c>
      <c r="AJ356" s="376" t="n">
        <v>0</v>
      </c>
      <c r="AK356" s="376" t="n">
        <v>30</v>
      </c>
    </row>
    <row r="357" customFormat="false" ht="12.75" hidden="false" customHeight="false" outlineLevel="0" collapsed="false">
      <c r="A357" s="454"/>
      <c r="B357" s="436"/>
      <c r="C357" s="455"/>
      <c r="D357" s="443"/>
      <c r="E357" s="436"/>
      <c r="F357" s="443"/>
      <c r="G357" s="436"/>
      <c r="H357" s="443"/>
      <c r="I357" s="443"/>
      <c r="J357" s="444"/>
      <c r="K357" s="456"/>
      <c r="L357" s="456"/>
      <c r="N357" s="436"/>
      <c r="O357" s="436"/>
      <c r="P357" s="436"/>
      <c r="Q357" s="443"/>
      <c r="R357" s="444"/>
      <c r="S357" s="444"/>
      <c r="T357" s="444"/>
      <c r="AF357" s="386" t="n">
        <f aca="false">EOMONTH(AF356,0)+1</f>
        <v>47300</v>
      </c>
      <c r="AG357" s="376" t="n">
        <v>22</v>
      </c>
      <c r="AH357" s="376" t="n">
        <v>4</v>
      </c>
      <c r="AI357" s="376" t="n">
        <v>5</v>
      </c>
      <c r="AJ357" s="376" t="n">
        <v>1</v>
      </c>
      <c r="AK357" s="376" t="n">
        <v>31</v>
      </c>
    </row>
    <row r="358" customFormat="false" ht="12.75" hidden="false" customHeight="false" outlineLevel="0" collapsed="false">
      <c r="A358" s="454"/>
      <c r="B358" s="436"/>
      <c r="C358" s="455"/>
      <c r="D358" s="443"/>
      <c r="E358" s="436"/>
      <c r="F358" s="443"/>
      <c r="G358" s="436"/>
      <c r="H358" s="443"/>
      <c r="I358" s="443"/>
      <c r="J358" s="444"/>
      <c r="K358" s="456"/>
      <c r="L358" s="456"/>
      <c r="N358" s="436"/>
      <c r="O358" s="436"/>
      <c r="P358" s="436"/>
      <c r="Q358" s="443"/>
      <c r="R358" s="444"/>
      <c r="S358" s="444"/>
      <c r="T358" s="444"/>
      <c r="AF358" s="386" t="n">
        <f aca="false">EOMONTH(AF357,0)+1</f>
        <v>47331</v>
      </c>
      <c r="AG358" s="376" t="n">
        <v>22</v>
      </c>
      <c r="AH358" s="376" t="n">
        <v>5</v>
      </c>
      <c r="AI358" s="376" t="n">
        <v>4</v>
      </c>
      <c r="AJ358" s="376" t="n">
        <v>0</v>
      </c>
      <c r="AK358" s="376" t="n">
        <v>31</v>
      </c>
    </row>
    <row r="359" customFormat="false" ht="12.75" hidden="false" customHeight="false" outlineLevel="0" collapsed="false">
      <c r="A359" s="454"/>
      <c r="B359" s="436"/>
      <c r="C359" s="455"/>
      <c r="D359" s="443"/>
      <c r="E359" s="436"/>
      <c r="F359" s="443"/>
      <c r="G359" s="436"/>
      <c r="H359" s="443"/>
      <c r="I359" s="443"/>
      <c r="J359" s="444"/>
      <c r="K359" s="456"/>
      <c r="L359" s="456"/>
      <c r="N359" s="436"/>
      <c r="O359" s="436"/>
      <c r="P359" s="436"/>
      <c r="Q359" s="443"/>
      <c r="R359" s="444"/>
      <c r="S359" s="444"/>
      <c r="T359" s="444"/>
      <c r="AF359" s="386" t="n">
        <f aca="false">EOMONTH(AF358,0)+1</f>
        <v>47362</v>
      </c>
      <c r="AG359" s="376" t="n">
        <v>20</v>
      </c>
      <c r="AH359" s="376" t="n">
        <v>4</v>
      </c>
      <c r="AI359" s="376" t="n">
        <v>6</v>
      </c>
      <c r="AJ359" s="376" t="n">
        <v>1</v>
      </c>
      <c r="AK359" s="376" t="n">
        <v>30</v>
      </c>
    </row>
    <row r="360" customFormat="false" ht="12.75" hidden="false" customHeight="false" outlineLevel="0" collapsed="false">
      <c r="A360" s="454"/>
      <c r="B360" s="436"/>
      <c r="C360" s="455"/>
      <c r="D360" s="443"/>
      <c r="E360" s="436"/>
      <c r="F360" s="443"/>
      <c r="G360" s="436"/>
      <c r="H360" s="443"/>
      <c r="I360" s="443"/>
      <c r="J360" s="444"/>
      <c r="K360" s="456"/>
      <c r="L360" s="456"/>
      <c r="N360" s="436"/>
      <c r="O360" s="436"/>
      <c r="P360" s="436"/>
      <c r="Q360" s="443"/>
      <c r="R360" s="444"/>
      <c r="S360" s="444"/>
      <c r="T360" s="444"/>
      <c r="AF360" s="386" t="n">
        <f aca="false">EOMONTH(AF359,0)+1</f>
        <v>47392</v>
      </c>
      <c r="AG360" s="376" t="n">
        <v>23</v>
      </c>
      <c r="AH360" s="376" t="n">
        <v>4</v>
      </c>
      <c r="AI360" s="376" t="n">
        <v>4</v>
      </c>
      <c r="AJ360" s="376" t="n">
        <v>0</v>
      </c>
      <c r="AK360" s="376" t="n">
        <v>31</v>
      </c>
    </row>
    <row r="361" customFormat="false" ht="12.75" hidden="false" customHeight="false" outlineLevel="0" collapsed="false">
      <c r="A361" s="454"/>
      <c r="B361" s="436"/>
      <c r="C361" s="455"/>
      <c r="D361" s="443"/>
      <c r="E361" s="436"/>
      <c r="F361" s="443"/>
      <c r="G361" s="436"/>
      <c r="H361" s="443"/>
      <c r="I361" s="443"/>
      <c r="J361" s="444"/>
      <c r="K361" s="456"/>
      <c r="L361" s="456"/>
      <c r="N361" s="436"/>
      <c r="O361" s="436"/>
      <c r="P361" s="436"/>
      <c r="Q361" s="443"/>
      <c r="R361" s="444"/>
      <c r="S361" s="444"/>
      <c r="T361" s="444"/>
      <c r="AF361" s="386" t="n">
        <f aca="false">EOMONTH(AF360,0)+1</f>
        <v>47423</v>
      </c>
      <c r="AG361" s="376" t="n">
        <v>20</v>
      </c>
      <c r="AH361" s="376" t="n">
        <v>5</v>
      </c>
      <c r="AI361" s="376" t="n">
        <v>5</v>
      </c>
      <c r="AJ361" s="376" t="n">
        <v>1</v>
      </c>
      <c r="AK361" s="376" t="n">
        <v>30</v>
      </c>
    </row>
    <row r="362" customFormat="false" ht="12.75" hidden="false" customHeight="false" outlineLevel="0" collapsed="false">
      <c r="A362" s="454"/>
      <c r="B362" s="436"/>
      <c r="C362" s="455"/>
      <c r="D362" s="443"/>
      <c r="E362" s="436"/>
      <c r="F362" s="443"/>
      <c r="G362" s="436"/>
      <c r="H362" s="443"/>
      <c r="I362" s="443"/>
      <c r="J362" s="444"/>
      <c r="K362" s="456"/>
      <c r="L362" s="456"/>
      <c r="N362" s="436"/>
      <c r="O362" s="436"/>
      <c r="P362" s="436"/>
      <c r="Q362" s="443"/>
      <c r="R362" s="444"/>
      <c r="S362" s="444"/>
      <c r="T362" s="444"/>
      <c r="AF362" s="386" t="n">
        <f aca="false">EOMONTH(AF361,0)+1</f>
        <v>47453</v>
      </c>
      <c r="AG362" s="376" t="n">
        <v>21</v>
      </c>
      <c r="AH362" s="376" t="n">
        <v>4</v>
      </c>
      <c r="AI362" s="376" t="n">
        <v>6</v>
      </c>
      <c r="AJ362" s="376" t="n">
        <v>1</v>
      </c>
      <c r="AK362" s="376" t="n">
        <v>31</v>
      </c>
    </row>
    <row r="363" customFormat="false" ht="12.75" hidden="false" customHeight="false" outlineLevel="0" collapsed="false">
      <c r="A363" s="454"/>
      <c r="B363" s="436"/>
      <c r="C363" s="455"/>
      <c r="D363" s="443"/>
      <c r="E363" s="436"/>
      <c r="F363" s="443"/>
      <c r="G363" s="436"/>
      <c r="H363" s="443"/>
      <c r="I363" s="443"/>
      <c r="J363" s="444"/>
      <c r="K363" s="456"/>
      <c r="L363" s="456"/>
      <c r="N363" s="436"/>
      <c r="O363" s="436"/>
      <c r="P363" s="436"/>
      <c r="Q363" s="443"/>
      <c r="R363" s="444"/>
      <c r="S363" s="444"/>
      <c r="T363" s="444"/>
      <c r="AF363" s="386" t="n">
        <f aca="false">EOMONTH(AF362,0)+1</f>
        <v>47484</v>
      </c>
      <c r="AG363" s="376" t="n">
        <v>22</v>
      </c>
      <c r="AH363" s="376" t="n">
        <v>4</v>
      </c>
      <c r="AI363" s="376" t="n">
        <v>5</v>
      </c>
      <c r="AJ363" s="376" t="n">
        <v>1</v>
      </c>
      <c r="AK363" s="376" t="n">
        <v>31</v>
      </c>
    </row>
    <row r="364" customFormat="false" ht="12.75" hidden="false" customHeight="false" outlineLevel="0" collapsed="false">
      <c r="A364" s="454"/>
      <c r="B364" s="436"/>
      <c r="C364" s="455"/>
      <c r="D364" s="443"/>
      <c r="E364" s="436"/>
      <c r="F364" s="443"/>
      <c r="G364" s="436"/>
      <c r="H364" s="443"/>
      <c r="I364" s="443"/>
      <c r="J364" s="444"/>
      <c r="K364" s="456"/>
      <c r="L364" s="456"/>
      <c r="N364" s="436"/>
      <c r="O364" s="436"/>
      <c r="P364" s="436"/>
      <c r="Q364" s="443"/>
      <c r="R364" s="444"/>
      <c r="S364" s="444"/>
      <c r="T364" s="444"/>
      <c r="AF364" s="386" t="n">
        <f aca="false">EOMONTH(AF363,0)+1</f>
        <v>47515</v>
      </c>
      <c r="AG364" s="376" t="n">
        <v>20</v>
      </c>
      <c r="AH364" s="376" t="n">
        <v>4</v>
      </c>
      <c r="AI364" s="376" t="n">
        <v>4</v>
      </c>
      <c r="AJ364" s="376" t="n">
        <v>0</v>
      </c>
      <c r="AK364" s="376" t="n">
        <v>28</v>
      </c>
    </row>
    <row r="365" customFormat="false" ht="12.75" hidden="false" customHeight="false" outlineLevel="0" collapsed="false">
      <c r="A365" s="454"/>
      <c r="B365" s="436"/>
      <c r="C365" s="455"/>
      <c r="D365" s="443"/>
      <c r="E365" s="436"/>
      <c r="F365" s="443"/>
      <c r="G365" s="436"/>
      <c r="H365" s="443"/>
      <c r="I365" s="443"/>
      <c r="J365" s="444"/>
      <c r="K365" s="456"/>
      <c r="L365" s="456"/>
      <c r="N365" s="436"/>
      <c r="O365" s="436"/>
      <c r="P365" s="436"/>
      <c r="Q365" s="443"/>
      <c r="R365" s="444"/>
      <c r="S365" s="444"/>
      <c r="T365" s="444"/>
      <c r="AF365" s="386" t="n">
        <f aca="false">EOMONTH(AF364,0)+1</f>
        <v>47543</v>
      </c>
      <c r="AG365" s="376" t="n">
        <v>21</v>
      </c>
      <c r="AH365" s="376" t="n">
        <v>5</v>
      </c>
      <c r="AI365" s="376" t="n">
        <v>5</v>
      </c>
      <c r="AJ365" s="376" t="n">
        <v>0</v>
      </c>
      <c r="AK365" s="376" t="n">
        <v>31</v>
      </c>
    </row>
    <row r="366" customFormat="false" ht="12.75" hidden="false" customHeight="false" outlineLevel="0" collapsed="false">
      <c r="A366" s="454"/>
      <c r="B366" s="436"/>
      <c r="C366" s="455"/>
      <c r="D366" s="443"/>
      <c r="E366" s="436"/>
      <c r="F366" s="443"/>
      <c r="G366" s="436"/>
      <c r="H366" s="443"/>
      <c r="I366" s="443"/>
      <c r="J366" s="444"/>
      <c r="K366" s="456"/>
      <c r="L366" s="456"/>
      <c r="N366" s="436"/>
      <c r="O366" s="436"/>
      <c r="P366" s="436"/>
      <c r="Q366" s="443"/>
      <c r="R366" s="444"/>
      <c r="S366" s="444"/>
      <c r="T366" s="444"/>
      <c r="AF366" s="386" t="n">
        <f aca="false">EOMONTH(AF365,0)+1</f>
        <v>47574</v>
      </c>
      <c r="AG366" s="376" t="n">
        <v>22</v>
      </c>
      <c r="AH366" s="376" t="n">
        <v>4</v>
      </c>
      <c r="AI366" s="376" t="n">
        <v>4</v>
      </c>
      <c r="AJ366" s="376" t="n">
        <v>0</v>
      </c>
      <c r="AK366" s="376" t="n">
        <v>30</v>
      </c>
    </row>
    <row r="367" customFormat="false" ht="12.75" hidden="false" customHeight="false" outlineLevel="0" collapsed="false">
      <c r="A367" s="454"/>
      <c r="B367" s="436"/>
      <c r="C367" s="455"/>
      <c r="D367" s="443"/>
      <c r="E367" s="436"/>
      <c r="F367" s="443"/>
      <c r="G367" s="436"/>
      <c r="H367" s="443"/>
      <c r="I367" s="443"/>
      <c r="J367" s="444"/>
      <c r="K367" s="456"/>
      <c r="L367" s="456"/>
      <c r="N367" s="436"/>
      <c r="O367" s="436"/>
      <c r="P367" s="436"/>
      <c r="Q367" s="443"/>
      <c r="R367" s="444"/>
      <c r="S367" s="444"/>
      <c r="T367" s="444"/>
      <c r="AF367" s="386" t="n">
        <f aca="false">EOMONTH(AF366,0)+1</f>
        <v>47604</v>
      </c>
      <c r="AG367" s="376" t="n">
        <v>22</v>
      </c>
      <c r="AH367" s="376" t="n">
        <v>4</v>
      </c>
      <c r="AI367" s="376" t="n">
        <v>5</v>
      </c>
      <c r="AJ367" s="376" t="n">
        <v>1</v>
      </c>
      <c r="AK367" s="376" t="n">
        <v>31</v>
      </c>
    </row>
    <row r="368" customFormat="false" ht="12.75" hidden="false" customHeight="false" outlineLevel="0" collapsed="false">
      <c r="A368" s="454"/>
      <c r="B368" s="436"/>
      <c r="C368" s="455"/>
      <c r="D368" s="443"/>
      <c r="E368" s="436"/>
      <c r="F368" s="443"/>
      <c r="G368" s="436"/>
      <c r="H368" s="443"/>
      <c r="I368" s="443"/>
      <c r="J368" s="444"/>
      <c r="K368" s="456"/>
      <c r="L368" s="456"/>
      <c r="N368" s="436"/>
      <c r="O368" s="436"/>
      <c r="P368" s="436"/>
      <c r="Q368" s="443"/>
      <c r="R368" s="444"/>
      <c r="S368" s="444"/>
      <c r="T368" s="444"/>
      <c r="AF368" s="386" t="n">
        <f aca="false">EOMONTH(AF367,0)+1</f>
        <v>47635</v>
      </c>
      <c r="AG368" s="376" t="n">
        <v>20</v>
      </c>
      <c r="AH368" s="376" t="n">
        <v>5</v>
      </c>
      <c r="AI368" s="376" t="n">
        <v>5</v>
      </c>
      <c r="AJ368" s="376" t="n">
        <v>0</v>
      </c>
      <c r="AK368" s="376" t="n">
        <v>30</v>
      </c>
    </row>
    <row r="369" customFormat="false" ht="12.75" hidden="false" customHeight="false" outlineLevel="0" collapsed="false">
      <c r="A369" s="454"/>
      <c r="B369" s="436"/>
      <c r="C369" s="455"/>
      <c r="D369" s="443"/>
      <c r="E369" s="436"/>
      <c r="F369" s="443"/>
      <c r="G369" s="436"/>
      <c r="H369" s="443"/>
      <c r="I369" s="443"/>
      <c r="J369" s="444"/>
      <c r="K369" s="456"/>
      <c r="L369" s="456"/>
      <c r="N369" s="436"/>
      <c r="O369" s="436"/>
      <c r="P369" s="436"/>
      <c r="Q369" s="443"/>
      <c r="R369" s="444"/>
      <c r="S369" s="444"/>
      <c r="T369" s="444"/>
      <c r="AF369" s="386" t="n">
        <f aca="false">EOMONTH(AF368,0)+1</f>
        <v>47665</v>
      </c>
      <c r="AG369" s="376" t="n">
        <v>22</v>
      </c>
      <c r="AH369" s="376" t="n">
        <v>4</v>
      </c>
      <c r="AI369" s="376" t="n">
        <v>5</v>
      </c>
      <c r="AJ369" s="376" t="n">
        <v>1</v>
      </c>
      <c r="AK369" s="376" t="n">
        <v>31</v>
      </c>
    </row>
    <row r="370" customFormat="false" ht="12.75" hidden="false" customHeight="false" outlineLevel="0" collapsed="false">
      <c r="A370" s="454"/>
      <c r="B370" s="436"/>
      <c r="C370" s="455"/>
      <c r="D370" s="443"/>
      <c r="E370" s="436"/>
      <c r="F370" s="443"/>
      <c r="G370" s="436"/>
      <c r="H370" s="443"/>
      <c r="I370" s="443"/>
      <c r="J370" s="444"/>
      <c r="K370" s="456"/>
      <c r="L370" s="456"/>
      <c r="N370" s="436"/>
      <c r="O370" s="436"/>
      <c r="P370" s="436"/>
      <c r="Q370" s="443"/>
      <c r="R370" s="444"/>
      <c r="S370" s="444"/>
      <c r="T370" s="444"/>
      <c r="AF370" s="386" t="n">
        <f aca="false">EOMONTH(AF369,0)+1</f>
        <v>47696</v>
      </c>
      <c r="AG370" s="376" t="n">
        <v>22</v>
      </c>
      <c r="AH370" s="376" t="n">
        <v>5</v>
      </c>
      <c r="AI370" s="376" t="n">
        <v>4</v>
      </c>
      <c r="AJ370" s="376" t="n">
        <v>0</v>
      </c>
      <c r="AK370" s="376" t="n">
        <v>31</v>
      </c>
    </row>
    <row r="371" customFormat="false" ht="12.75" hidden="false" customHeight="false" outlineLevel="0" collapsed="false">
      <c r="A371" s="454"/>
      <c r="B371" s="436"/>
      <c r="C371" s="455"/>
      <c r="D371" s="443"/>
      <c r="E371" s="436"/>
      <c r="F371" s="443"/>
      <c r="G371" s="436"/>
      <c r="H371" s="443"/>
      <c r="I371" s="443"/>
      <c r="J371" s="444"/>
      <c r="K371" s="456"/>
      <c r="L371" s="456"/>
      <c r="N371" s="436"/>
      <c r="O371" s="436"/>
      <c r="P371" s="436"/>
      <c r="Q371" s="443"/>
      <c r="R371" s="444"/>
      <c r="S371" s="444"/>
      <c r="T371" s="444"/>
      <c r="AF371" s="386" t="n">
        <f aca="false">EOMONTH(AF370,0)+1</f>
        <v>47727</v>
      </c>
      <c r="AG371" s="376" t="n">
        <v>20</v>
      </c>
      <c r="AH371" s="376" t="n">
        <v>4</v>
      </c>
      <c r="AI371" s="376" t="n">
        <v>6</v>
      </c>
      <c r="AJ371" s="376" t="n">
        <v>1</v>
      </c>
      <c r="AK371" s="376" t="n">
        <v>30</v>
      </c>
    </row>
    <row r="372" customFormat="false" ht="12.75" hidden="false" customHeight="false" outlineLevel="0" collapsed="false">
      <c r="A372" s="454"/>
      <c r="B372" s="436"/>
      <c r="C372" s="455"/>
      <c r="D372" s="443"/>
      <c r="E372" s="436"/>
      <c r="F372" s="443"/>
      <c r="G372" s="436"/>
      <c r="H372" s="443"/>
      <c r="I372" s="443"/>
      <c r="J372" s="444"/>
      <c r="K372" s="456"/>
      <c r="L372" s="456"/>
      <c r="N372" s="436"/>
      <c r="O372" s="436"/>
      <c r="P372" s="436"/>
      <c r="Q372" s="443"/>
      <c r="R372" s="444"/>
      <c r="S372" s="444"/>
      <c r="T372" s="444"/>
      <c r="AF372" s="386" t="n">
        <f aca="false">EOMONTH(AF371,0)+1</f>
        <v>47757</v>
      </c>
      <c r="AG372" s="376" t="n">
        <v>23</v>
      </c>
      <c r="AH372" s="376" t="n">
        <v>4</v>
      </c>
      <c r="AI372" s="376" t="n">
        <v>4</v>
      </c>
      <c r="AJ372" s="376" t="n">
        <v>0</v>
      </c>
      <c r="AK372" s="376" t="n">
        <v>31</v>
      </c>
    </row>
    <row r="373" customFormat="false" ht="12.75" hidden="false" customHeight="false" outlineLevel="0" collapsed="false">
      <c r="A373" s="454"/>
      <c r="B373" s="436"/>
      <c r="C373" s="455"/>
      <c r="D373" s="443"/>
      <c r="E373" s="436"/>
      <c r="F373" s="443"/>
      <c r="G373" s="436"/>
      <c r="H373" s="443"/>
      <c r="I373" s="443"/>
      <c r="J373" s="444"/>
      <c r="K373" s="456"/>
      <c r="L373" s="456"/>
      <c r="N373" s="436"/>
      <c r="O373" s="436"/>
      <c r="P373" s="436"/>
      <c r="Q373" s="443"/>
      <c r="R373" s="444"/>
      <c r="S373" s="444"/>
      <c r="T373" s="444"/>
      <c r="AF373" s="386" t="n">
        <f aca="false">EOMONTH(AF372,0)+1</f>
        <v>47788</v>
      </c>
      <c r="AG373" s="376" t="n">
        <v>20</v>
      </c>
      <c r="AH373" s="376" t="n">
        <v>5</v>
      </c>
      <c r="AI373" s="376" t="n">
        <v>5</v>
      </c>
      <c r="AJ373" s="376" t="n">
        <v>1</v>
      </c>
      <c r="AK373" s="376" t="n">
        <v>30</v>
      </c>
    </row>
    <row r="374" customFormat="false" ht="12.75" hidden="false" customHeight="false" outlineLevel="0" collapsed="false">
      <c r="A374" s="454"/>
      <c r="B374" s="436"/>
      <c r="C374" s="455"/>
      <c r="D374" s="443"/>
      <c r="E374" s="436"/>
      <c r="F374" s="443"/>
      <c r="G374" s="436"/>
      <c r="H374" s="443"/>
      <c r="I374" s="443"/>
      <c r="J374" s="444"/>
      <c r="K374" s="456"/>
      <c r="L374" s="456"/>
      <c r="N374" s="436"/>
      <c r="O374" s="436"/>
      <c r="P374" s="436"/>
      <c r="Q374" s="443"/>
      <c r="R374" s="444"/>
      <c r="S374" s="444"/>
      <c r="T374" s="444"/>
      <c r="AF374" s="386" t="n">
        <f aca="false">EOMONTH(AF373,0)+1</f>
        <v>47818</v>
      </c>
      <c r="AG374" s="376" t="n">
        <v>21</v>
      </c>
      <c r="AH374" s="376" t="n">
        <v>4</v>
      </c>
      <c r="AI374" s="376" t="n">
        <v>6</v>
      </c>
      <c r="AJ374" s="376" t="n">
        <v>1</v>
      </c>
      <c r="AK374" s="376" t="n">
        <v>31</v>
      </c>
    </row>
    <row r="375" customFormat="false" ht="12.75" hidden="false" customHeight="false" outlineLevel="0" collapsed="false">
      <c r="A375" s="454"/>
      <c r="B375" s="436"/>
      <c r="C375" s="455"/>
      <c r="D375" s="443"/>
      <c r="E375" s="436"/>
      <c r="F375" s="443"/>
      <c r="G375" s="436"/>
      <c r="H375" s="443"/>
      <c r="I375" s="443"/>
      <c r="J375" s="444"/>
      <c r="K375" s="456"/>
      <c r="L375" s="456"/>
      <c r="N375" s="436"/>
      <c r="O375" s="436"/>
      <c r="P375" s="436"/>
      <c r="Q375" s="443"/>
      <c r="R375" s="444"/>
      <c r="S375" s="444"/>
      <c r="T375" s="444"/>
      <c r="AF375" s="386" t="n">
        <f aca="false">EOMONTH(AF374,0)+1</f>
        <v>47849</v>
      </c>
      <c r="AG375" s="376" t="n">
        <v>22</v>
      </c>
      <c r="AH375" s="376" t="n">
        <v>4</v>
      </c>
      <c r="AI375" s="376" t="n">
        <v>5</v>
      </c>
      <c r="AJ375" s="376" t="n">
        <v>1</v>
      </c>
      <c r="AK375" s="376" t="n">
        <v>31</v>
      </c>
    </row>
    <row r="376" customFormat="false" ht="12.75" hidden="false" customHeight="false" outlineLevel="0" collapsed="false">
      <c r="A376" s="454"/>
      <c r="B376" s="436"/>
      <c r="C376" s="455"/>
      <c r="D376" s="443"/>
      <c r="E376" s="436"/>
      <c r="F376" s="443"/>
      <c r="G376" s="436"/>
      <c r="H376" s="443"/>
      <c r="I376" s="443"/>
      <c r="J376" s="444"/>
      <c r="K376" s="456"/>
      <c r="L376" s="456"/>
      <c r="N376" s="436"/>
      <c r="O376" s="436"/>
      <c r="P376" s="436"/>
      <c r="Q376" s="443"/>
      <c r="R376" s="444"/>
      <c r="S376" s="444"/>
      <c r="T376" s="444"/>
      <c r="AF376" s="386" t="n">
        <f aca="false">EOMONTH(AF375,0)+1</f>
        <v>47880</v>
      </c>
      <c r="AG376" s="376" t="n">
        <v>20</v>
      </c>
      <c r="AH376" s="376" t="n">
        <v>4</v>
      </c>
      <c r="AI376" s="376" t="n">
        <v>4</v>
      </c>
      <c r="AJ376" s="376" t="n">
        <v>0</v>
      </c>
      <c r="AK376" s="376" t="n">
        <v>28</v>
      </c>
    </row>
    <row r="377" customFormat="false" ht="12.75" hidden="false" customHeight="false" outlineLevel="0" collapsed="false">
      <c r="A377" s="454"/>
      <c r="B377" s="436"/>
      <c r="C377" s="455"/>
      <c r="D377" s="443"/>
      <c r="E377" s="436"/>
      <c r="F377" s="443"/>
      <c r="G377" s="436"/>
      <c r="H377" s="443"/>
      <c r="I377" s="443"/>
      <c r="J377" s="444"/>
      <c r="K377" s="456"/>
      <c r="L377" s="456"/>
      <c r="N377" s="436"/>
      <c r="O377" s="436"/>
      <c r="P377" s="436"/>
      <c r="Q377" s="443"/>
      <c r="R377" s="444"/>
      <c r="S377" s="444"/>
      <c r="T377" s="444"/>
      <c r="AF377" s="386" t="n">
        <f aca="false">EOMONTH(AF376,0)+1</f>
        <v>47908</v>
      </c>
      <c r="AG377" s="376" t="n">
        <v>21</v>
      </c>
      <c r="AH377" s="376" t="n">
        <v>5</v>
      </c>
      <c r="AI377" s="376" t="n">
        <v>5</v>
      </c>
      <c r="AJ377" s="376" t="n">
        <v>0</v>
      </c>
      <c r="AK377" s="376" t="n">
        <v>31</v>
      </c>
    </row>
    <row r="378" customFormat="false" ht="12.75" hidden="false" customHeight="false" outlineLevel="0" collapsed="false">
      <c r="A378" s="454"/>
      <c r="B378" s="436"/>
      <c r="C378" s="455"/>
      <c r="D378" s="443"/>
      <c r="E378" s="436"/>
      <c r="F378" s="443"/>
      <c r="G378" s="436"/>
      <c r="H378" s="443"/>
      <c r="I378" s="443"/>
      <c r="J378" s="444"/>
      <c r="K378" s="456"/>
      <c r="L378" s="456"/>
      <c r="N378" s="436"/>
      <c r="O378" s="436"/>
      <c r="P378" s="436"/>
      <c r="Q378" s="443"/>
      <c r="R378" s="444"/>
      <c r="S378" s="444"/>
      <c r="T378" s="444"/>
      <c r="AF378" s="386" t="n">
        <f aca="false">EOMONTH(AF377,0)+1</f>
        <v>47939</v>
      </c>
      <c r="AG378" s="376" t="n">
        <v>22</v>
      </c>
      <c r="AH378" s="376" t="n">
        <v>4</v>
      </c>
      <c r="AI378" s="376" t="n">
        <v>4</v>
      </c>
      <c r="AJ378" s="376" t="n">
        <v>0</v>
      </c>
      <c r="AK378" s="376" t="n">
        <v>30</v>
      </c>
    </row>
    <row r="379" customFormat="false" ht="12.75" hidden="false" customHeight="false" outlineLevel="0" collapsed="false">
      <c r="A379" s="454"/>
      <c r="B379" s="436"/>
      <c r="C379" s="455"/>
      <c r="D379" s="443"/>
      <c r="E379" s="436"/>
      <c r="F379" s="443"/>
      <c r="G379" s="436"/>
      <c r="H379" s="443"/>
      <c r="I379" s="443"/>
      <c r="J379" s="444"/>
      <c r="K379" s="456"/>
      <c r="L379" s="456"/>
      <c r="N379" s="436"/>
      <c r="O379" s="436"/>
      <c r="P379" s="436"/>
      <c r="Q379" s="443"/>
      <c r="R379" s="444"/>
      <c r="S379" s="444"/>
      <c r="T379" s="444"/>
      <c r="AF379" s="386" t="n">
        <f aca="false">EOMONTH(AF378,0)+1</f>
        <v>47969</v>
      </c>
      <c r="AG379" s="376" t="n">
        <v>22</v>
      </c>
      <c r="AH379" s="376" t="n">
        <v>4</v>
      </c>
      <c r="AI379" s="376" t="n">
        <v>5</v>
      </c>
      <c r="AJ379" s="376" t="n">
        <v>1</v>
      </c>
      <c r="AK379" s="376" t="n">
        <v>31</v>
      </c>
    </row>
    <row r="380" customFormat="false" ht="12.75" hidden="false" customHeight="false" outlineLevel="0" collapsed="false">
      <c r="A380" s="454"/>
      <c r="B380" s="436"/>
      <c r="C380" s="455"/>
      <c r="D380" s="443"/>
      <c r="E380" s="436"/>
      <c r="F380" s="443"/>
      <c r="G380" s="436"/>
      <c r="H380" s="443"/>
      <c r="I380" s="443"/>
      <c r="J380" s="444"/>
      <c r="K380" s="456"/>
      <c r="L380" s="456"/>
      <c r="N380" s="436"/>
      <c r="O380" s="436"/>
      <c r="P380" s="436"/>
      <c r="Q380" s="443"/>
      <c r="R380" s="444"/>
      <c r="S380" s="444"/>
      <c r="T380" s="444"/>
      <c r="AF380" s="386" t="n">
        <f aca="false">EOMONTH(AF379,0)+1</f>
        <v>48000</v>
      </c>
      <c r="AG380" s="376" t="n">
        <v>20</v>
      </c>
      <c r="AH380" s="376" t="n">
        <v>5</v>
      </c>
      <c r="AI380" s="376" t="n">
        <v>5</v>
      </c>
      <c r="AJ380" s="376" t="n">
        <v>0</v>
      </c>
      <c r="AK380" s="376" t="n">
        <v>30</v>
      </c>
    </row>
    <row r="381" customFormat="false" ht="12.75" hidden="false" customHeight="false" outlineLevel="0" collapsed="false">
      <c r="A381" s="454"/>
      <c r="B381" s="436"/>
      <c r="C381" s="455"/>
      <c r="D381" s="443"/>
      <c r="E381" s="436"/>
      <c r="F381" s="443"/>
      <c r="G381" s="436"/>
      <c r="H381" s="443"/>
      <c r="I381" s="443"/>
      <c r="J381" s="444"/>
      <c r="K381" s="456"/>
      <c r="L381" s="456"/>
      <c r="N381" s="436"/>
      <c r="O381" s="436"/>
      <c r="P381" s="436"/>
      <c r="Q381" s="443"/>
      <c r="R381" s="444"/>
      <c r="S381" s="444"/>
      <c r="T381" s="444"/>
      <c r="AF381" s="386" t="n">
        <f aca="false">EOMONTH(AF380,0)+1</f>
        <v>48030</v>
      </c>
      <c r="AG381" s="376" t="n">
        <v>22</v>
      </c>
      <c r="AH381" s="376" t="n">
        <v>4</v>
      </c>
      <c r="AI381" s="376" t="n">
        <v>5</v>
      </c>
      <c r="AJ381" s="376" t="n">
        <v>1</v>
      </c>
      <c r="AK381" s="376" t="n">
        <v>31</v>
      </c>
    </row>
    <row r="382" customFormat="false" ht="12.75" hidden="false" customHeight="false" outlineLevel="0" collapsed="false">
      <c r="A382" s="454"/>
      <c r="B382" s="436"/>
      <c r="C382" s="455"/>
      <c r="D382" s="443"/>
      <c r="E382" s="436"/>
      <c r="F382" s="443"/>
      <c r="G382" s="436"/>
      <c r="H382" s="443"/>
      <c r="I382" s="443"/>
      <c r="J382" s="444"/>
      <c r="K382" s="456"/>
      <c r="L382" s="456"/>
      <c r="N382" s="436"/>
      <c r="O382" s="436"/>
      <c r="P382" s="436"/>
      <c r="Q382" s="443"/>
      <c r="R382" s="444"/>
      <c r="S382" s="444"/>
      <c r="T382" s="444"/>
      <c r="AF382" s="386" t="n">
        <f aca="false">EOMONTH(AF381,0)+1</f>
        <v>48061</v>
      </c>
      <c r="AG382" s="376" t="n">
        <v>22</v>
      </c>
      <c r="AH382" s="376" t="n">
        <v>5</v>
      </c>
      <c r="AI382" s="376" t="n">
        <v>4</v>
      </c>
      <c r="AJ382" s="376" t="n">
        <v>0</v>
      </c>
      <c r="AK382" s="376" t="n">
        <v>31</v>
      </c>
    </row>
    <row r="383" customFormat="false" ht="12.75" hidden="false" customHeight="false" outlineLevel="0" collapsed="false">
      <c r="A383" s="454"/>
      <c r="B383" s="436"/>
      <c r="C383" s="455"/>
      <c r="D383" s="443"/>
      <c r="E383" s="436"/>
      <c r="F383" s="443"/>
      <c r="G383" s="436"/>
      <c r="H383" s="443"/>
      <c r="I383" s="443"/>
      <c r="J383" s="444"/>
      <c r="K383" s="456"/>
      <c r="L383" s="456"/>
      <c r="N383" s="436"/>
      <c r="O383" s="436"/>
      <c r="P383" s="436"/>
      <c r="Q383" s="443"/>
      <c r="R383" s="444"/>
      <c r="S383" s="444"/>
      <c r="T383" s="444"/>
      <c r="AF383" s="386" t="n">
        <f aca="false">EOMONTH(AF382,0)+1</f>
        <v>48092</v>
      </c>
      <c r="AG383" s="376" t="n">
        <v>20</v>
      </c>
      <c r="AH383" s="376" t="n">
        <v>4</v>
      </c>
      <c r="AI383" s="376" t="n">
        <v>6</v>
      </c>
      <c r="AJ383" s="376" t="n">
        <v>1</v>
      </c>
      <c r="AK383" s="376" t="n">
        <v>30</v>
      </c>
    </row>
    <row r="384" customFormat="false" ht="12.75" hidden="false" customHeight="false" outlineLevel="0" collapsed="false">
      <c r="A384" s="454"/>
      <c r="B384" s="436"/>
      <c r="C384" s="455"/>
      <c r="D384" s="443"/>
      <c r="E384" s="436"/>
      <c r="F384" s="443"/>
      <c r="G384" s="436"/>
      <c r="H384" s="443"/>
      <c r="I384" s="443"/>
      <c r="J384" s="444"/>
      <c r="K384" s="456"/>
      <c r="L384" s="456"/>
      <c r="N384" s="436"/>
      <c r="O384" s="436"/>
      <c r="P384" s="436"/>
      <c r="Q384" s="443"/>
      <c r="R384" s="444"/>
      <c r="S384" s="444"/>
      <c r="T384" s="444"/>
      <c r="AF384" s="386" t="n">
        <f aca="false">EOMONTH(AF383,0)+1</f>
        <v>48122</v>
      </c>
      <c r="AG384" s="376" t="n">
        <v>23</v>
      </c>
      <c r="AH384" s="376" t="n">
        <v>4</v>
      </c>
      <c r="AI384" s="376" t="n">
        <v>4</v>
      </c>
      <c r="AJ384" s="376" t="n">
        <v>0</v>
      </c>
      <c r="AK384" s="376" t="n">
        <v>31</v>
      </c>
    </row>
    <row r="385" customFormat="false" ht="12.75" hidden="false" customHeight="false" outlineLevel="0" collapsed="false">
      <c r="A385" s="454"/>
      <c r="B385" s="436"/>
      <c r="C385" s="455"/>
      <c r="D385" s="443"/>
      <c r="E385" s="436"/>
      <c r="F385" s="443"/>
      <c r="G385" s="436"/>
      <c r="H385" s="443"/>
      <c r="I385" s="443"/>
      <c r="J385" s="444"/>
      <c r="K385" s="456"/>
      <c r="L385" s="456"/>
      <c r="N385" s="436"/>
      <c r="O385" s="436"/>
      <c r="P385" s="436"/>
      <c r="Q385" s="443"/>
      <c r="R385" s="444"/>
      <c r="S385" s="444"/>
      <c r="T385" s="444"/>
      <c r="AF385" s="386" t="n">
        <f aca="false">EOMONTH(AF384,0)+1</f>
        <v>48153</v>
      </c>
      <c r="AG385" s="376" t="n">
        <v>20</v>
      </c>
      <c r="AH385" s="376" t="n">
        <v>5</v>
      </c>
      <c r="AI385" s="376" t="n">
        <v>5</v>
      </c>
      <c r="AJ385" s="376" t="n">
        <v>1</v>
      </c>
      <c r="AK385" s="376" t="n">
        <v>30</v>
      </c>
    </row>
    <row r="386" customFormat="false" ht="12.75" hidden="false" customHeight="false" outlineLevel="0" collapsed="false">
      <c r="A386" s="454"/>
      <c r="B386" s="436"/>
      <c r="C386" s="455"/>
      <c r="D386" s="443"/>
      <c r="E386" s="436"/>
      <c r="F386" s="443"/>
      <c r="G386" s="436"/>
      <c r="H386" s="443"/>
      <c r="I386" s="443"/>
      <c r="J386" s="444"/>
      <c r="K386" s="456"/>
      <c r="L386" s="456"/>
      <c r="N386" s="436"/>
      <c r="O386" s="436"/>
      <c r="P386" s="436"/>
      <c r="Q386" s="443"/>
      <c r="R386" s="444"/>
      <c r="S386" s="444"/>
      <c r="T386" s="444"/>
      <c r="AF386" s="386" t="n">
        <f aca="false">EOMONTH(AF385,0)+1</f>
        <v>48183</v>
      </c>
      <c r="AG386" s="376" t="n">
        <v>21</v>
      </c>
      <c r="AH386" s="376" t="n">
        <v>4</v>
      </c>
      <c r="AI386" s="376" t="n">
        <v>6</v>
      </c>
      <c r="AJ386" s="376" t="n">
        <v>1</v>
      </c>
      <c r="AK386" s="376" t="n">
        <v>31</v>
      </c>
    </row>
    <row r="387" customFormat="false" ht="12.75" hidden="false" customHeight="false" outlineLevel="0" collapsed="false">
      <c r="A387" s="454"/>
      <c r="B387" s="436"/>
      <c r="C387" s="455"/>
      <c r="D387" s="443"/>
      <c r="E387" s="436"/>
      <c r="F387" s="443"/>
      <c r="G387" s="436"/>
      <c r="H387" s="443"/>
      <c r="I387" s="443"/>
      <c r="J387" s="444"/>
      <c r="K387" s="456"/>
      <c r="L387" s="456"/>
      <c r="N387" s="436"/>
      <c r="O387" s="436"/>
      <c r="P387" s="436"/>
      <c r="Q387" s="443"/>
      <c r="R387" s="444"/>
      <c r="S387" s="444"/>
      <c r="T387" s="444"/>
      <c r="AF387" s="386" t="n">
        <f aca="false">EOMONTH(AF386,0)+1</f>
        <v>48214</v>
      </c>
      <c r="AG387" s="376" t="n">
        <v>22</v>
      </c>
      <c r="AH387" s="376" t="n">
        <v>4</v>
      </c>
      <c r="AI387" s="376" t="n">
        <v>5</v>
      </c>
      <c r="AJ387" s="376" t="n">
        <v>1</v>
      </c>
      <c r="AK387" s="376" t="n">
        <v>31</v>
      </c>
    </row>
    <row r="388" customFormat="false" ht="12.75" hidden="false" customHeight="false" outlineLevel="0" collapsed="false">
      <c r="A388" s="454"/>
      <c r="B388" s="436"/>
      <c r="C388" s="455"/>
      <c r="D388" s="443"/>
      <c r="E388" s="436"/>
      <c r="F388" s="443"/>
      <c r="G388" s="436"/>
      <c r="H388" s="443"/>
      <c r="I388" s="443"/>
      <c r="J388" s="444"/>
      <c r="K388" s="456"/>
      <c r="L388" s="456"/>
      <c r="N388" s="436"/>
      <c r="O388" s="436"/>
      <c r="P388" s="436"/>
      <c r="Q388" s="443"/>
      <c r="R388" s="444"/>
      <c r="S388" s="444"/>
      <c r="T388" s="444"/>
      <c r="AF388" s="386" t="n">
        <f aca="false">EOMONTH(AF387,0)+1</f>
        <v>48245</v>
      </c>
      <c r="AG388" s="376" t="n">
        <v>20</v>
      </c>
      <c r="AH388" s="376" t="n">
        <v>5</v>
      </c>
      <c r="AI388" s="376" t="n">
        <v>4</v>
      </c>
      <c r="AJ388" s="376" t="n">
        <v>0</v>
      </c>
      <c r="AK388" s="376" t="n">
        <v>29</v>
      </c>
    </row>
    <row r="389" customFormat="false" ht="12.75" hidden="false" customHeight="false" outlineLevel="0" collapsed="false">
      <c r="A389" s="454"/>
      <c r="B389" s="436"/>
      <c r="C389" s="455"/>
      <c r="D389" s="443"/>
      <c r="E389" s="436"/>
      <c r="F389" s="443"/>
      <c r="G389" s="436"/>
      <c r="H389" s="443"/>
      <c r="I389" s="443"/>
      <c r="J389" s="444"/>
      <c r="K389" s="456"/>
      <c r="L389" s="456"/>
      <c r="N389" s="436"/>
      <c r="O389" s="436"/>
      <c r="P389" s="436"/>
      <c r="Q389" s="443"/>
      <c r="R389" s="444"/>
      <c r="S389" s="444"/>
      <c r="T389" s="444"/>
      <c r="AF389" s="386" t="n">
        <f aca="false">EOMONTH(AF388,0)+1</f>
        <v>48274</v>
      </c>
      <c r="AG389" s="376" t="n">
        <v>22</v>
      </c>
      <c r="AH389" s="376" t="n">
        <v>4</v>
      </c>
      <c r="AI389" s="376" t="n">
        <v>5</v>
      </c>
      <c r="AJ389" s="376" t="n">
        <v>0</v>
      </c>
      <c r="AK389" s="376" t="n">
        <v>31</v>
      </c>
    </row>
    <row r="390" customFormat="false" ht="12.75" hidden="false" customHeight="false" outlineLevel="0" collapsed="false">
      <c r="A390" s="454"/>
      <c r="B390" s="436"/>
      <c r="C390" s="455"/>
      <c r="D390" s="443"/>
      <c r="E390" s="436"/>
      <c r="F390" s="443"/>
      <c r="G390" s="436"/>
      <c r="H390" s="443"/>
      <c r="I390" s="443"/>
      <c r="J390" s="444"/>
      <c r="K390" s="456"/>
      <c r="L390" s="456"/>
      <c r="N390" s="436"/>
      <c r="O390" s="436"/>
      <c r="P390" s="436"/>
      <c r="Q390" s="443"/>
      <c r="R390" s="444"/>
      <c r="S390" s="444"/>
      <c r="T390" s="444"/>
      <c r="AF390" s="386" t="n">
        <f aca="false">EOMONTH(AF389,0)+1</f>
        <v>48305</v>
      </c>
      <c r="AG390" s="376" t="n">
        <v>22</v>
      </c>
      <c r="AH390" s="376" t="n">
        <v>4</v>
      </c>
      <c r="AI390" s="376" t="n">
        <v>4</v>
      </c>
      <c r="AJ390" s="376" t="n">
        <v>0</v>
      </c>
      <c r="AK390" s="376" t="n">
        <v>30</v>
      </c>
    </row>
    <row r="391" customFormat="false" ht="12.75" hidden="false" customHeight="false" outlineLevel="0" collapsed="false">
      <c r="A391" s="454"/>
      <c r="B391" s="436"/>
      <c r="C391" s="455"/>
      <c r="D391" s="443"/>
      <c r="E391" s="436"/>
      <c r="F391" s="443"/>
      <c r="G391" s="436"/>
      <c r="H391" s="443"/>
      <c r="I391" s="443"/>
      <c r="J391" s="444"/>
      <c r="K391" s="456"/>
      <c r="L391" s="456"/>
      <c r="N391" s="436"/>
      <c r="O391" s="436"/>
      <c r="P391" s="436"/>
      <c r="Q391" s="443"/>
      <c r="R391" s="444"/>
      <c r="S391" s="444"/>
      <c r="T391" s="444"/>
      <c r="AF391" s="386" t="n">
        <f aca="false">EOMONTH(AF390,0)+1</f>
        <v>48335</v>
      </c>
      <c r="AG391" s="376" t="n">
        <v>20</v>
      </c>
      <c r="AH391" s="376" t="n">
        <v>5</v>
      </c>
      <c r="AI391" s="376" t="n">
        <v>6</v>
      </c>
      <c r="AJ391" s="376" t="n">
        <v>1</v>
      </c>
      <c r="AK391" s="376" t="n">
        <v>31</v>
      </c>
    </row>
    <row r="392" customFormat="false" ht="12.75" hidden="false" customHeight="false" outlineLevel="0" collapsed="false">
      <c r="A392" s="454"/>
      <c r="B392" s="436"/>
      <c r="C392" s="455"/>
      <c r="D392" s="443"/>
      <c r="E392" s="436"/>
      <c r="F392" s="443"/>
      <c r="G392" s="436"/>
      <c r="H392" s="443"/>
      <c r="I392" s="443"/>
      <c r="J392" s="444"/>
      <c r="K392" s="456"/>
      <c r="L392" s="456"/>
      <c r="N392" s="436"/>
      <c r="O392" s="436"/>
      <c r="P392" s="436"/>
      <c r="Q392" s="443"/>
      <c r="R392" s="444"/>
      <c r="S392" s="444"/>
      <c r="T392" s="444"/>
      <c r="AF392" s="386" t="n">
        <f aca="false">EOMONTH(AF391,0)+1</f>
        <v>48366</v>
      </c>
      <c r="AG392" s="376" t="n">
        <v>22</v>
      </c>
      <c r="AH392" s="376" t="n">
        <v>4</v>
      </c>
      <c r="AI392" s="376" t="n">
        <v>4</v>
      </c>
      <c r="AJ392" s="376" t="n">
        <v>0</v>
      </c>
      <c r="AK392" s="376" t="n">
        <v>30</v>
      </c>
    </row>
    <row r="393" customFormat="false" ht="12.75" hidden="false" customHeight="false" outlineLevel="0" collapsed="false">
      <c r="A393" s="454"/>
      <c r="B393" s="436"/>
      <c r="C393" s="455"/>
      <c r="D393" s="443"/>
      <c r="E393" s="436"/>
      <c r="F393" s="443"/>
      <c r="G393" s="436"/>
      <c r="H393" s="443"/>
      <c r="I393" s="443"/>
      <c r="J393" s="444"/>
      <c r="K393" s="456"/>
      <c r="L393" s="456"/>
      <c r="N393" s="436"/>
      <c r="O393" s="436"/>
      <c r="P393" s="436"/>
      <c r="Q393" s="443"/>
      <c r="R393" s="444"/>
      <c r="S393" s="444"/>
      <c r="T393" s="444"/>
      <c r="AF393" s="386" t="n">
        <f aca="false">EOMONTH(AF392,0)+1</f>
        <v>48396</v>
      </c>
      <c r="AG393" s="376" t="n">
        <v>23</v>
      </c>
      <c r="AH393" s="376" t="n">
        <v>3</v>
      </c>
      <c r="AI393" s="376" t="n">
        <v>5</v>
      </c>
      <c r="AJ393" s="376" t="n">
        <v>1</v>
      </c>
      <c r="AK393" s="376" t="n">
        <v>31</v>
      </c>
    </row>
    <row r="394" customFormat="false" ht="12.75" hidden="false" customHeight="false" outlineLevel="0" collapsed="false">
      <c r="A394" s="454"/>
      <c r="B394" s="436"/>
      <c r="C394" s="455"/>
      <c r="D394" s="443"/>
      <c r="E394" s="436"/>
      <c r="F394" s="443"/>
      <c r="G394" s="436"/>
      <c r="H394" s="443"/>
      <c r="I394" s="443"/>
      <c r="J394" s="444"/>
      <c r="K394" s="456"/>
      <c r="L394" s="456"/>
      <c r="N394" s="436"/>
      <c r="O394" s="436"/>
      <c r="P394" s="436"/>
      <c r="Q394" s="443"/>
      <c r="R394" s="444"/>
      <c r="S394" s="444"/>
      <c r="T394" s="444"/>
      <c r="AF394" s="386" t="n">
        <f aca="false">EOMONTH(AF393,0)+1</f>
        <v>48427</v>
      </c>
      <c r="AG394" s="376" t="n">
        <v>21</v>
      </c>
      <c r="AH394" s="376" t="n">
        <v>5</v>
      </c>
      <c r="AI394" s="376" t="n">
        <v>5</v>
      </c>
      <c r="AJ394" s="376" t="n">
        <v>0</v>
      </c>
      <c r="AK394" s="376" t="n">
        <v>31</v>
      </c>
    </row>
    <row r="395" customFormat="false" ht="12.75" hidden="false" customHeight="false" outlineLevel="0" collapsed="false">
      <c r="A395" s="454"/>
      <c r="B395" s="436"/>
      <c r="C395" s="455"/>
      <c r="D395" s="443"/>
      <c r="E395" s="436"/>
      <c r="F395" s="443"/>
      <c r="G395" s="436"/>
      <c r="H395" s="443"/>
      <c r="I395" s="443"/>
      <c r="J395" s="444"/>
      <c r="K395" s="456"/>
      <c r="L395" s="456"/>
      <c r="N395" s="436"/>
      <c r="O395" s="436"/>
      <c r="P395" s="436"/>
      <c r="Q395" s="443"/>
      <c r="R395" s="444"/>
      <c r="S395" s="444"/>
      <c r="T395" s="444"/>
      <c r="AF395" s="386" t="n">
        <f aca="false">EOMONTH(AF394,0)+1</f>
        <v>48458</v>
      </c>
      <c r="AG395" s="376" t="n">
        <v>21</v>
      </c>
      <c r="AH395" s="376" t="n">
        <v>4</v>
      </c>
      <c r="AI395" s="376" t="n">
        <v>5</v>
      </c>
      <c r="AJ395" s="376" t="n">
        <v>1</v>
      </c>
      <c r="AK395" s="376" t="n">
        <v>30</v>
      </c>
    </row>
    <row r="396" customFormat="false" ht="12.75" hidden="false" customHeight="false" outlineLevel="0" collapsed="false">
      <c r="A396" s="454"/>
      <c r="B396" s="436"/>
      <c r="C396" s="455"/>
      <c r="D396" s="443"/>
      <c r="E396" s="436"/>
      <c r="F396" s="443"/>
      <c r="G396" s="436"/>
      <c r="H396" s="443"/>
      <c r="I396" s="443"/>
      <c r="J396" s="444"/>
      <c r="K396" s="456"/>
      <c r="L396" s="456"/>
      <c r="N396" s="436"/>
      <c r="O396" s="436"/>
      <c r="P396" s="436"/>
      <c r="Q396" s="443"/>
      <c r="R396" s="444"/>
      <c r="S396" s="444"/>
      <c r="T396" s="444"/>
      <c r="AF396" s="386" t="n">
        <f aca="false">EOMONTH(AF395,0)+1</f>
        <v>48488</v>
      </c>
      <c r="AG396" s="376" t="n">
        <v>22</v>
      </c>
      <c r="AH396" s="376" t="n">
        <v>5</v>
      </c>
      <c r="AI396" s="376" t="n">
        <v>4</v>
      </c>
      <c r="AJ396" s="376" t="n">
        <v>0</v>
      </c>
      <c r="AK396" s="376" t="n">
        <v>31</v>
      </c>
    </row>
    <row r="397" customFormat="false" ht="12.75" hidden="false" customHeight="false" outlineLevel="0" collapsed="false">
      <c r="A397" s="454"/>
      <c r="B397" s="436"/>
      <c r="C397" s="455"/>
      <c r="D397" s="443"/>
      <c r="E397" s="436"/>
      <c r="F397" s="443"/>
      <c r="G397" s="436"/>
      <c r="H397" s="443"/>
      <c r="I397" s="443"/>
      <c r="J397" s="444"/>
      <c r="K397" s="456"/>
      <c r="L397" s="456"/>
      <c r="N397" s="436"/>
      <c r="O397" s="436"/>
      <c r="P397" s="436"/>
      <c r="Q397" s="443"/>
      <c r="R397" s="444"/>
      <c r="S397" s="444"/>
      <c r="T397" s="444"/>
      <c r="AF397" s="386" t="n">
        <f aca="false">EOMONTH(AF396,0)+1</f>
        <v>48519</v>
      </c>
      <c r="AG397" s="376" t="n">
        <v>20</v>
      </c>
      <c r="AH397" s="376" t="n">
        <v>4</v>
      </c>
      <c r="AI397" s="376" t="n">
        <v>6</v>
      </c>
      <c r="AJ397" s="376" t="n">
        <v>1</v>
      </c>
      <c r="AK397" s="376" t="n">
        <v>30</v>
      </c>
    </row>
    <row r="398" customFormat="false" ht="12.75" hidden="false" customHeight="false" outlineLevel="0" collapsed="false">
      <c r="A398" s="454"/>
      <c r="B398" s="436"/>
      <c r="C398" s="455"/>
      <c r="D398" s="443"/>
      <c r="E398" s="436"/>
      <c r="F398" s="443"/>
      <c r="G398" s="436"/>
      <c r="H398" s="443"/>
      <c r="I398" s="443"/>
      <c r="J398" s="444"/>
      <c r="K398" s="456"/>
      <c r="L398" s="456"/>
      <c r="N398" s="436"/>
      <c r="O398" s="436"/>
      <c r="P398" s="436"/>
      <c r="Q398" s="443"/>
      <c r="R398" s="444"/>
      <c r="S398" s="444"/>
      <c r="T398" s="444"/>
      <c r="AF398" s="386" t="n">
        <f aca="false">EOMONTH(AF397,0)+1</f>
        <v>48549</v>
      </c>
      <c r="AG398" s="376" t="n">
        <v>22</v>
      </c>
      <c r="AH398" s="376" t="n">
        <v>4</v>
      </c>
      <c r="AI398" s="376" t="n">
        <v>5</v>
      </c>
      <c r="AJ398" s="376" t="n">
        <v>1</v>
      </c>
      <c r="AK398" s="376" t="n">
        <v>31</v>
      </c>
    </row>
    <row r="399" customFormat="false" ht="12.75" hidden="false" customHeight="false" outlineLevel="0" collapsed="false">
      <c r="A399" s="454"/>
      <c r="B399" s="436"/>
      <c r="C399" s="455"/>
      <c r="D399" s="443"/>
      <c r="E399" s="436"/>
      <c r="F399" s="443"/>
      <c r="G399" s="436"/>
      <c r="H399" s="443"/>
      <c r="I399" s="443"/>
      <c r="J399" s="444"/>
      <c r="K399" s="456"/>
      <c r="L399" s="456"/>
      <c r="N399" s="436"/>
      <c r="O399" s="436"/>
      <c r="P399" s="436"/>
      <c r="Q399" s="443"/>
      <c r="R399" s="444"/>
      <c r="S399" s="444"/>
      <c r="T399" s="444"/>
      <c r="AF399" s="386" t="n">
        <f aca="false">EOMONTH(AF398,0)+1</f>
        <v>48580</v>
      </c>
      <c r="AG399" s="376" t="n">
        <v>22</v>
      </c>
      <c r="AH399" s="376" t="n">
        <v>4</v>
      </c>
      <c r="AI399" s="376" t="n">
        <v>5</v>
      </c>
      <c r="AJ399" s="376" t="n">
        <v>1</v>
      </c>
      <c r="AK399" s="376" t="n">
        <v>31</v>
      </c>
    </row>
    <row r="400" customFormat="false" ht="12.75" hidden="false" customHeight="false" outlineLevel="0" collapsed="false">
      <c r="A400" s="454"/>
      <c r="B400" s="436"/>
      <c r="C400" s="455"/>
      <c r="D400" s="443"/>
      <c r="E400" s="436"/>
      <c r="F400" s="443"/>
      <c r="G400" s="436"/>
      <c r="H400" s="443"/>
      <c r="I400" s="443"/>
      <c r="J400" s="444"/>
      <c r="K400" s="456"/>
      <c r="L400" s="456"/>
      <c r="N400" s="436"/>
      <c r="O400" s="436"/>
      <c r="P400" s="436"/>
      <c r="Q400" s="443"/>
      <c r="R400" s="444"/>
      <c r="S400" s="444"/>
      <c r="T400" s="444"/>
      <c r="AF400" s="386" t="n">
        <f aca="false">EOMONTH(AF399,0)+1</f>
        <v>48611</v>
      </c>
      <c r="AG400" s="376" t="n">
        <v>20</v>
      </c>
      <c r="AH400" s="376" t="n">
        <v>4</v>
      </c>
      <c r="AI400" s="376" t="n">
        <v>4</v>
      </c>
      <c r="AJ400" s="376" t="n">
        <v>0</v>
      </c>
      <c r="AK400" s="376" t="n">
        <v>28</v>
      </c>
    </row>
    <row r="401" customFormat="false" ht="12.75" hidden="false" customHeight="false" outlineLevel="0" collapsed="false">
      <c r="A401" s="454"/>
      <c r="B401" s="436"/>
      <c r="C401" s="455"/>
      <c r="D401" s="443"/>
      <c r="E401" s="436"/>
      <c r="F401" s="443"/>
      <c r="G401" s="436"/>
      <c r="H401" s="443"/>
      <c r="I401" s="443"/>
      <c r="J401" s="444"/>
      <c r="K401" s="456"/>
      <c r="L401" s="456"/>
      <c r="N401" s="436"/>
      <c r="O401" s="436"/>
      <c r="P401" s="436"/>
      <c r="Q401" s="443"/>
      <c r="R401" s="444"/>
      <c r="S401" s="444"/>
      <c r="T401" s="444"/>
      <c r="AF401" s="386" t="n">
        <f aca="false">EOMONTH(AF400,0)+1</f>
        <v>48639</v>
      </c>
      <c r="AG401" s="376" t="n">
        <v>21</v>
      </c>
      <c r="AH401" s="376" t="n">
        <v>5</v>
      </c>
      <c r="AI401" s="376" t="n">
        <v>5</v>
      </c>
      <c r="AJ401" s="376" t="n">
        <v>0</v>
      </c>
      <c r="AK401" s="376" t="n">
        <v>31</v>
      </c>
    </row>
    <row r="402" customFormat="false" ht="12.75" hidden="false" customHeight="false" outlineLevel="0" collapsed="false">
      <c r="A402" s="454"/>
      <c r="B402" s="436"/>
      <c r="C402" s="455"/>
      <c r="D402" s="443"/>
      <c r="E402" s="436"/>
      <c r="F402" s="443"/>
      <c r="G402" s="436"/>
      <c r="H402" s="443"/>
      <c r="I402" s="443"/>
      <c r="J402" s="444"/>
      <c r="K402" s="456"/>
      <c r="L402" s="456"/>
      <c r="N402" s="436"/>
      <c r="O402" s="436"/>
      <c r="P402" s="436"/>
      <c r="Q402" s="443"/>
      <c r="R402" s="444"/>
      <c r="S402" s="444"/>
      <c r="T402" s="444"/>
      <c r="AF402" s="386" t="n">
        <f aca="false">EOMONTH(AF401,0)+1</f>
        <v>48670</v>
      </c>
      <c r="AG402" s="376" t="n">
        <v>22</v>
      </c>
      <c r="AH402" s="376" t="n">
        <v>4</v>
      </c>
      <c r="AI402" s="376" t="n">
        <v>4</v>
      </c>
      <c r="AJ402" s="376" t="n">
        <v>0</v>
      </c>
      <c r="AK402" s="376" t="n">
        <v>30</v>
      </c>
    </row>
    <row r="403" customFormat="false" ht="12.75" hidden="false" customHeight="false" outlineLevel="0" collapsed="false">
      <c r="A403" s="454"/>
      <c r="B403" s="436"/>
      <c r="C403" s="455"/>
      <c r="D403" s="443"/>
      <c r="E403" s="436"/>
      <c r="F403" s="443"/>
      <c r="G403" s="436"/>
      <c r="H403" s="443"/>
      <c r="I403" s="443"/>
      <c r="J403" s="444"/>
      <c r="K403" s="456"/>
      <c r="L403" s="456"/>
      <c r="N403" s="436"/>
      <c r="O403" s="436"/>
      <c r="P403" s="436"/>
      <c r="Q403" s="443"/>
      <c r="R403" s="444"/>
      <c r="S403" s="444"/>
      <c r="T403" s="444"/>
      <c r="AF403" s="386" t="n">
        <f aca="false">EOMONTH(AF402,0)+1</f>
        <v>48700</v>
      </c>
      <c r="AG403" s="376" t="n">
        <v>22</v>
      </c>
      <c r="AH403" s="376" t="n">
        <v>4</v>
      </c>
      <c r="AI403" s="376" t="n">
        <v>5</v>
      </c>
      <c r="AJ403" s="376" t="n">
        <v>1</v>
      </c>
      <c r="AK403" s="376" t="n">
        <v>31</v>
      </c>
    </row>
    <row r="404" customFormat="false" ht="12.75" hidden="false" customHeight="false" outlineLevel="0" collapsed="false">
      <c r="A404" s="454"/>
      <c r="B404" s="436"/>
      <c r="C404" s="455"/>
      <c r="D404" s="443"/>
      <c r="E404" s="436"/>
      <c r="F404" s="443"/>
      <c r="G404" s="436"/>
      <c r="H404" s="443"/>
      <c r="I404" s="443"/>
      <c r="J404" s="444"/>
      <c r="K404" s="456"/>
      <c r="L404" s="456"/>
      <c r="N404" s="436"/>
      <c r="O404" s="436"/>
      <c r="P404" s="436"/>
      <c r="Q404" s="443"/>
      <c r="R404" s="444"/>
      <c r="S404" s="444"/>
      <c r="T404" s="444"/>
      <c r="AF404" s="386" t="n">
        <f aca="false">EOMONTH(AF403,0)+1</f>
        <v>48731</v>
      </c>
      <c r="AG404" s="376" t="n">
        <v>20</v>
      </c>
      <c r="AH404" s="376" t="n">
        <v>5</v>
      </c>
      <c r="AI404" s="376" t="n">
        <v>5</v>
      </c>
      <c r="AJ404" s="376" t="n">
        <v>0</v>
      </c>
      <c r="AK404" s="376" t="n">
        <v>30</v>
      </c>
    </row>
    <row r="405" customFormat="false" ht="12.75" hidden="false" customHeight="false" outlineLevel="0" collapsed="false">
      <c r="A405" s="454"/>
      <c r="B405" s="436"/>
      <c r="C405" s="455"/>
      <c r="D405" s="443"/>
      <c r="E405" s="436"/>
      <c r="F405" s="443"/>
      <c r="G405" s="436"/>
      <c r="H405" s="443"/>
      <c r="I405" s="443"/>
      <c r="J405" s="444"/>
      <c r="K405" s="456"/>
      <c r="L405" s="456"/>
      <c r="N405" s="436"/>
      <c r="O405" s="436"/>
      <c r="P405" s="436"/>
      <c r="Q405" s="443"/>
      <c r="R405" s="444"/>
      <c r="S405" s="444"/>
      <c r="T405" s="444"/>
      <c r="AF405" s="386" t="n">
        <f aca="false">EOMONTH(AF404,0)+1</f>
        <v>48761</v>
      </c>
      <c r="AG405" s="376" t="n">
        <v>22</v>
      </c>
      <c r="AH405" s="376" t="n">
        <v>4</v>
      </c>
      <c r="AI405" s="376" t="n">
        <v>5</v>
      </c>
      <c r="AJ405" s="376" t="n">
        <v>1</v>
      </c>
      <c r="AK405" s="376" t="n">
        <v>31</v>
      </c>
    </row>
    <row r="406" customFormat="false" ht="12.75" hidden="false" customHeight="false" outlineLevel="0" collapsed="false">
      <c r="A406" s="454"/>
      <c r="B406" s="436"/>
      <c r="C406" s="455"/>
      <c r="D406" s="443"/>
      <c r="E406" s="436"/>
      <c r="F406" s="443"/>
      <c r="G406" s="436"/>
      <c r="H406" s="443"/>
      <c r="I406" s="443"/>
      <c r="J406" s="444"/>
      <c r="K406" s="456"/>
      <c r="L406" s="456"/>
      <c r="N406" s="436"/>
      <c r="O406" s="436"/>
      <c r="P406" s="436"/>
      <c r="Q406" s="443"/>
      <c r="R406" s="444"/>
      <c r="S406" s="444"/>
      <c r="T406" s="444"/>
      <c r="AF406" s="386" t="n">
        <f aca="false">EOMONTH(AF405,0)+1</f>
        <v>48792</v>
      </c>
      <c r="AG406" s="376" t="n">
        <v>22</v>
      </c>
      <c r="AH406" s="376" t="n">
        <v>5</v>
      </c>
      <c r="AI406" s="376" t="n">
        <v>4</v>
      </c>
      <c r="AJ406" s="376" t="n">
        <v>0</v>
      </c>
      <c r="AK406" s="376" t="n">
        <v>31</v>
      </c>
    </row>
    <row r="407" customFormat="false" ht="12.75" hidden="false" customHeight="false" outlineLevel="0" collapsed="false">
      <c r="A407" s="454"/>
      <c r="B407" s="436"/>
      <c r="C407" s="455"/>
      <c r="D407" s="443"/>
      <c r="E407" s="436"/>
      <c r="F407" s="443"/>
      <c r="G407" s="436"/>
      <c r="H407" s="443"/>
      <c r="I407" s="443"/>
      <c r="J407" s="444"/>
      <c r="K407" s="456"/>
      <c r="L407" s="456"/>
      <c r="N407" s="436"/>
      <c r="O407" s="436"/>
      <c r="P407" s="436"/>
      <c r="Q407" s="443"/>
      <c r="R407" s="444"/>
      <c r="S407" s="444"/>
      <c r="T407" s="444"/>
      <c r="AF407" s="386" t="n">
        <f aca="false">EOMONTH(AF406,0)+1</f>
        <v>48823</v>
      </c>
      <c r="AG407" s="376" t="n">
        <v>20</v>
      </c>
      <c r="AH407" s="376" t="n">
        <v>4</v>
      </c>
      <c r="AI407" s="376" t="n">
        <v>6</v>
      </c>
      <c r="AJ407" s="376" t="n">
        <v>1</v>
      </c>
      <c r="AK407" s="376" t="n">
        <v>30</v>
      </c>
    </row>
    <row r="408" customFormat="false" ht="12.75" hidden="false" customHeight="false" outlineLevel="0" collapsed="false">
      <c r="A408" s="454"/>
      <c r="B408" s="436"/>
      <c r="C408" s="455"/>
      <c r="D408" s="443"/>
      <c r="E408" s="436"/>
      <c r="F408" s="443"/>
      <c r="G408" s="436"/>
      <c r="H408" s="443"/>
      <c r="I408" s="443"/>
      <c r="J408" s="444"/>
      <c r="K408" s="456"/>
      <c r="L408" s="456"/>
      <c r="N408" s="436"/>
      <c r="O408" s="436"/>
      <c r="P408" s="436"/>
      <c r="Q408" s="443"/>
      <c r="R408" s="444"/>
      <c r="S408" s="444"/>
      <c r="T408" s="444"/>
      <c r="AF408" s="386" t="n">
        <f aca="false">EOMONTH(AF407,0)+1</f>
        <v>48853</v>
      </c>
      <c r="AG408" s="376" t="n">
        <v>23</v>
      </c>
      <c r="AH408" s="376" t="n">
        <v>4</v>
      </c>
      <c r="AI408" s="376" t="n">
        <v>4</v>
      </c>
      <c r="AJ408" s="376" t="n">
        <v>0</v>
      </c>
      <c r="AK408" s="376" t="n">
        <v>31</v>
      </c>
    </row>
    <row r="409" customFormat="false" ht="12.75" hidden="false" customHeight="false" outlineLevel="0" collapsed="false">
      <c r="A409" s="454"/>
      <c r="B409" s="436"/>
      <c r="C409" s="455"/>
      <c r="D409" s="443"/>
      <c r="E409" s="436"/>
      <c r="F409" s="443"/>
      <c r="G409" s="436"/>
      <c r="H409" s="443"/>
      <c r="I409" s="443"/>
      <c r="J409" s="444"/>
      <c r="K409" s="456"/>
      <c r="L409" s="456"/>
      <c r="N409" s="436"/>
      <c r="O409" s="436"/>
      <c r="P409" s="436"/>
      <c r="Q409" s="443"/>
      <c r="R409" s="444"/>
      <c r="S409" s="444"/>
      <c r="T409" s="444"/>
      <c r="AF409" s="386" t="n">
        <f aca="false">EOMONTH(AF408,0)+1</f>
        <v>48884</v>
      </c>
      <c r="AG409" s="376" t="n">
        <v>20</v>
      </c>
      <c r="AH409" s="376" t="n">
        <v>5</v>
      </c>
      <c r="AI409" s="376" t="n">
        <v>5</v>
      </c>
      <c r="AJ409" s="376" t="n">
        <v>1</v>
      </c>
      <c r="AK409" s="376" t="n">
        <v>30</v>
      </c>
    </row>
    <row r="410" customFormat="false" ht="12.75" hidden="false" customHeight="false" outlineLevel="0" collapsed="false">
      <c r="A410" s="454"/>
      <c r="B410" s="436"/>
      <c r="C410" s="455"/>
      <c r="D410" s="443"/>
      <c r="E410" s="436"/>
      <c r="F410" s="443"/>
      <c r="G410" s="436"/>
      <c r="H410" s="443"/>
      <c r="I410" s="443"/>
      <c r="J410" s="444"/>
      <c r="K410" s="456"/>
      <c r="L410" s="456"/>
      <c r="N410" s="436"/>
      <c r="O410" s="436"/>
      <c r="P410" s="436"/>
      <c r="Q410" s="443"/>
      <c r="R410" s="444"/>
      <c r="S410" s="444"/>
      <c r="T410" s="444"/>
      <c r="AF410" s="386" t="n">
        <f aca="false">EOMONTH(AF409,0)+1</f>
        <v>48914</v>
      </c>
      <c r="AG410" s="376" t="n">
        <v>21</v>
      </c>
      <c r="AH410" s="376" t="n">
        <v>4</v>
      </c>
      <c r="AI410" s="376" t="n">
        <v>6</v>
      </c>
      <c r="AJ410" s="376" t="n">
        <v>1</v>
      </c>
      <c r="AK410" s="376" t="n">
        <v>31</v>
      </c>
    </row>
    <row r="411" customFormat="false" ht="12.75" hidden="false" customHeight="false" outlineLevel="0" collapsed="false">
      <c r="A411" s="454"/>
      <c r="B411" s="436"/>
      <c r="C411" s="455"/>
      <c r="D411" s="443"/>
      <c r="E411" s="436"/>
      <c r="F411" s="443"/>
      <c r="G411" s="436"/>
      <c r="H411" s="443"/>
      <c r="I411" s="443"/>
      <c r="J411" s="444"/>
      <c r="K411" s="456"/>
      <c r="L411" s="456"/>
      <c r="N411" s="436"/>
      <c r="O411" s="436"/>
      <c r="P411" s="436"/>
      <c r="Q411" s="443"/>
      <c r="R411" s="444"/>
      <c r="S411" s="444"/>
      <c r="T411" s="444"/>
      <c r="AF411" s="386" t="n">
        <f aca="false">EOMONTH(AF410,0)+1</f>
        <v>48945</v>
      </c>
      <c r="AG411" s="376" t="n">
        <v>22</v>
      </c>
      <c r="AH411" s="376" t="n">
        <v>4</v>
      </c>
      <c r="AI411" s="376" t="n">
        <v>5</v>
      </c>
      <c r="AJ411" s="376" t="n">
        <v>1</v>
      </c>
      <c r="AK411" s="376" t="n">
        <v>31</v>
      </c>
    </row>
    <row r="412" customFormat="false" ht="12.75" hidden="false" customHeight="false" outlineLevel="0" collapsed="false">
      <c r="A412" s="454"/>
      <c r="B412" s="436"/>
      <c r="C412" s="455"/>
      <c r="D412" s="443"/>
      <c r="E412" s="436"/>
      <c r="F412" s="443"/>
      <c r="G412" s="436"/>
      <c r="H412" s="443"/>
      <c r="I412" s="443"/>
      <c r="J412" s="444"/>
      <c r="K412" s="456"/>
      <c r="L412" s="456"/>
      <c r="N412" s="436"/>
      <c r="O412" s="436"/>
      <c r="P412" s="436"/>
      <c r="Q412" s="443"/>
      <c r="R412" s="444"/>
      <c r="S412" s="444"/>
      <c r="T412" s="444"/>
      <c r="AF412" s="386" t="n">
        <f aca="false">EOMONTH(AF411,0)+1</f>
        <v>48976</v>
      </c>
      <c r="AG412" s="376" t="n">
        <v>20</v>
      </c>
      <c r="AH412" s="376" t="n">
        <v>4</v>
      </c>
      <c r="AI412" s="376" t="n">
        <v>4</v>
      </c>
      <c r="AJ412" s="376" t="n">
        <v>0</v>
      </c>
      <c r="AK412" s="376" t="n">
        <v>28</v>
      </c>
    </row>
    <row r="413" customFormat="false" ht="12.75" hidden="false" customHeight="false" outlineLevel="0" collapsed="false">
      <c r="A413" s="454"/>
      <c r="B413" s="436"/>
      <c r="C413" s="455"/>
      <c r="D413" s="443"/>
      <c r="E413" s="436"/>
      <c r="F413" s="443"/>
      <c r="G413" s="436"/>
      <c r="H413" s="443"/>
      <c r="I413" s="443"/>
      <c r="J413" s="444"/>
      <c r="K413" s="456"/>
      <c r="L413" s="456"/>
      <c r="N413" s="436"/>
      <c r="O413" s="436"/>
      <c r="P413" s="436"/>
      <c r="Q413" s="443"/>
      <c r="R413" s="444"/>
      <c r="S413" s="444"/>
      <c r="T413" s="444"/>
      <c r="AF413" s="386" t="n">
        <f aca="false">EOMONTH(AF412,0)+1</f>
        <v>49004</v>
      </c>
      <c r="AG413" s="376" t="n">
        <v>21</v>
      </c>
      <c r="AH413" s="376" t="n">
        <v>5</v>
      </c>
      <c r="AI413" s="376" t="n">
        <v>5</v>
      </c>
      <c r="AJ413" s="376" t="n">
        <v>0</v>
      </c>
      <c r="AK413" s="376" t="n">
        <v>31</v>
      </c>
    </row>
    <row r="414" customFormat="false" ht="12.75" hidden="false" customHeight="false" outlineLevel="0" collapsed="false">
      <c r="A414" s="454"/>
      <c r="B414" s="436"/>
      <c r="C414" s="455"/>
      <c r="D414" s="443"/>
      <c r="E414" s="436"/>
      <c r="F414" s="443"/>
      <c r="G414" s="436"/>
      <c r="H414" s="443"/>
      <c r="I414" s="443"/>
      <c r="J414" s="444"/>
      <c r="K414" s="456"/>
      <c r="L414" s="456"/>
      <c r="N414" s="436"/>
      <c r="O414" s="436"/>
      <c r="P414" s="436"/>
      <c r="Q414" s="443"/>
      <c r="R414" s="444"/>
      <c r="S414" s="444"/>
      <c r="T414" s="444"/>
      <c r="AF414" s="386" t="n">
        <f aca="false">EOMONTH(AF413,0)+1</f>
        <v>49035</v>
      </c>
      <c r="AG414" s="376" t="n">
        <v>22</v>
      </c>
      <c r="AH414" s="376" t="n">
        <v>4</v>
      </c>
      <c r="AI414" s="376" t="n">
        <v>4</v>
      </c>
      <c r="AJ414" s="376" t="n">
        <v>0</v>
      </c>
      <c r="AK414" s="376" t="n">
        <v>30</v>
      </c>
    </row>
    <row r="415" customFormat="false" ht="12.75" hidden="false" customHeight="false" outlineLevel="0" collapsed="false">
      <c r="A415" s="454"/>
      <c r="B415" s="436"/>
      <c r="C415" s="455"/>
      <c r="D415" s="443"/>
      <c r="E415" s="436"/>
      <c r="F415" s="443"/>
      <c r="G415" s="436"/>
      <c r="H415" s="443"/>
      <c r="I415" s="443"/>
      <c r="J415" s="444"/>
      <c r="K415" s="456"/>
      <c r="L415" s="456"/>
      <c r="N415" s="436"/>
      <c r="O415" s="436"/>
      <c r="P415" s="436"/>
      <c r="Q415" s="443"/>
      <c r="R415" s="444"/>
      <c r="S415" s="444"/>
      <c r="T415" s="444"/>
      <c r="AF415" s="386" t="n">
        <f aca="false">EOMONTH(AF414,0)+1</f>
        <v>49065</v>
      </c>
      <c r="AG415" s="376" t="n">
        <v>22</v>
      </c>
      <c r="AH415" s="376" t="n">
        <v>4</v>
      </c>
      <c r="AI415" s="376" t="n">
        <v>5</v>
      </c>
      <c r="AJ415" s="376" t="n">
        <v>1</v>
      </c>
      <c r="AK415" s="376" t="n">
        <v>31</v>
      </c>
    </row>
    <row r="416" customFormat="false" ht="12.75" hidden="false" customHeight="false" outlineLevel="0" collapsed="false">
      <c r="A416" s="454"/>
      <c r="B416" s="436"/>
      <c r="C416" s="455"/>
      <c r="D416" s="443"/>
      <c r="E416" s="436"/>
      <c r="F416" s="443"/>
      <c r="G416" s="436"/>
      <c r="H416" s="443"/>
      <c r="I416" s="443"/>
      <c r="J416" s="444"/>
      <c r="K416" s="456"/>
      <c r="L416" s="456"/>
      <c r="N416" s="436"/>
      <c r="O416" s="436"/>
      <c r="P416" s="436"/>
      <c r="Q416" s="443"/>
      <c r="R416" s="444"/>
      <c r="S416" s="444"/>
      <c r="T416" s="444"/>
      <c r="AF416" s="386" t="n">
        <f aca="false">EOMONTH(AF415,0)+1</f>
        <v>49096</v>
      </c>
      <c r="AG416" s="376" t="n">
        <v>20</v>
      </c>
      <c r="AH416" s="376" t="n">
        <v>5</v>
      </c>
      <c r="AI416" s="376" t="n">
        <v>5</v>
      </c>
      <c r="AJ416" s="376" t="n">
        <v>0</v>
      </c>
      <c r="AK416" s="376" t="n">
        <v>30</v>
      </c>
    </row>
    <row r="417" customFormat="false" ht="12.75" hidden="false" customHeight="false" outlineLevel="0" collapsed="false">
      <c r="A417" s="454"/>
      <c r="B417" s="436"/>
      <c r="C417" s="455"/>
      <c r="D417" s="443"/>
      <c r="E417" s="436"/>
      <c r="F417" s="443"/>
      <c r="G417" s="436"/>
      <c r="H417" s="443"/>
      <c r="I417" s="443"/>
      <c r="J417" s="444"/>
      <c r="K417" s="456"/>
      <c r="L417" s="456"/>
      <c r="N417" s="436"/>
      <c r="O417" s="436"/>
      <c r="P417" s="436"/>
      <c r="Q417" s="443"/>
      <c r="R417" s="444"/>
      <c r="S417" s="444"/>
      <c r="T417" s="444"/>
      <c r="AF417" s="386" t="n">
        <f aca="false">EOMONTH(AF416,0)+1</f>
        <v>49126</v>
      </c>
      <c r="AG417" s="376" t="n">
        <v>22</v>
      </c>
      <c r="AH417" s="376" t="n">
        <v>4</v>
      </c>
      <c r="AI417" s="376" t="n">
        <v>5</v>
      </c>
      <c r="AJ417" s="376" t="n">
        <v>1</v>
      </c>
      <c r="AK417" s="376" t="n">
        <v>31</v>
      </c>
    </row>
    <row r="418" customFormat="false" ht="12.75" hidden="false" customHeight="false" outlineLevel="0" collapsed="false">
      <c r="A418" s="454"/>
      <c r="B418" s="436"/>
      <c r="C418" s="455"/>
      <c r="D418" s="443"/>
      <c r="E418" s="436"/>
      <c r="F418" s="443"/>
      <c r="G418" s="436"/>
      <c r="H418" s="443"/>
      <c r="I418" s="443"/>
      <c r="J418" s="444"/>
      <c r="K418" s="456"/>
      <c r="L418" s="456"/>
      <c r="N418" s="436"/>
      <c r="O418" s="436"/>
      <c r="P418" s="436"/>
      <c r="Q418" s="443"/>
      <c r="R418" s="444"/>
      <c r="S418" s="444"/>
      <c r="T418" s="444"/>
      <c r="AF418" s="386" t="n">
        <f aca="false">EOMONTH(AF417,0)+1</f>
        <v>49157</v>
      </c>
      <c r="AG418" s="376" t="n">
        <v>22</v>
      </c>
      <c r="AH418" s="376" t="n">
        <v>5</v>
      </c>
      <c r="AI418" s="376" t="n">
        <v>4</v>
      </c>
      <c r="AJ418" s="376" t="n">
        <v>0</v>
      </c>
      <c r="AK418" s="376" t="n">
        <v>31</v>
      </c>
    </row>
    <row r="419" customFormat="false" ht="12.75" hidden="false" customHeight="false" outlineLevel="0" collapsed="false">
      <c r="A419" s="454"/>
      <c r="B419" s="436"/>
      <c r="C419" s="455"/>
      <c r="D419" s="443"/>
      <c r="E419" s="436"/>
      <c r="F419" s="443"/>
      <c r="G419" s="436"/>
      <c r="H419" s="443"/>
      <c r="I419" s="443"/>
      <c r="J419" s="444"/>
      <c r="K419" s="456"/>
      <c r="L419" s="456"/>
      <c r="N419" s="436"/>
      <c r="O419" s="436"/>
      <c r="P419" s="436"/>
      <c r="Q419" s="443"/>
      <c r="R419" s="444"/>
      <c r="S419" s="444"/>
      <c r="T419" s="444"/>
      <c r="AF419" s="386" t="n">
        <f aca="false">EOMONTH(AF418,0)+1</f>
        <v>49188</v>
      </c>
      <c r="AG419" s="376" t="n">
        <v>20</v>
      </c>
      <c r="AH419" s="376" t="n">
        <v>4</v>
      </c>
      <c r="AI419" s="376" t="n">
        <v>6</v>
      </c>
      <c r="AJ419" s="376" t="n">
        <v>1</v>
      </c>
      <c r="AK419" s="376" t="n">
        <v>30</v>
      </c>
    </row>
    <row r="420" customFormat="false" ht="12.75" hidden="false" customHeight="false" outlineLevel="0" collapsed="false">
      <c r="A420" s="454"/>
      <c r="B420" s="436"/>
      <c r="C420" s="455"/>
      <c r="D420" s="443"/>
      <c r="E420" s="436"/>
      <c r="F420" s="443"/>
      <c r="G420" s="436"/>
      <c r="H420" s="443"/>
      <c r="I420" s="443"/>
      <c r="J420" s="444"/>
      <c r="K420" s="456"/>
      <c r="L420" s="456"/>
      <c r="N420" s="436"/>
      <c r="O420" s="436"/>
      <c r="P420" s="436"/>
      <c r="Q420" s="443"/>
      <c r="R420" s="444"/>
      <c r="S420" s="444"/>
      <c r="T420" s="444"/>
      <c r="AF420" s="386" t="n">
        <f aca="false">EOMONTH(AF419,0)+1</f>
        <v>49218</v>
      </c>
      <c r="AG420" s="376" t="n">
        <v>23</v>
      </c>
      <c r="AH420" s="376" t="n">
        <v>4</v>
      </c>
      <c r="AI420" s="376" t="n">
        <v>4</v>
      </c>
      <c r="AJ420" s="376" t="n">
        <v>0</v>
      </c>
      <c r="AK420" s="376" t="n">
        <v>31</v>
      </c>
    </row>
    <row r="421" customFormat="false" ht="12.75" hidden="false" customHeight="false" outlineLevel="0" collapsed="false">
      <c r="A421" s="454"/>
      <c r="B421" s="436"/>
      <c r="C421" s="455"/>
      <c r="D421" s="443"/>
      <c r="E421" s="436"/>
      <c r="F421" s="443"/>
      <c r="G421" s="436"/>
      <c r="H421" s="443"/>
      <c r="I421" s="443"/>
      <c r="J421" s="444"/>
      <c r="K421" s="456"/>
      <c r="L421" s="456"/>
      <c r="N421" s="436"/>
      <c r="O421" s="436"/>
      <c r="P421" s="436"/>
      <c r="Q421" s="443"/>
      <c r="R421" s="444"/>
      <c r="S421" s="444"/>
      <c r="T421" s="444"/>
      <c r="AF421" s="386" t="n">
        <f aca="false">EOMONTH(AF420,0)+1</f>
        <v>49249</v>
      </c>
      <c r="AG421" s="376" t="n">
        <v>20</v>
      </c>
      <c r="AH421" s="376" t="n">
        <v>5</v>
      </c>
      <c r="AI421" s="376" t="n">
        <v>5</v>
      </c>
      <c r="AJ421" s="376" t="n">
        <v>1</v>
      </c>
      <c r="AK421" s="376" t="n">
        <v>30</v>
      </c>
    </row>
    <row r="422" customFormat="false" ht="12.75" hidden="false" customHeight="false" outlineLevel="0" collapsed="false">
      <c r="A422" s="454"/>
      <c r="B422" s="436"/>
      <c r="C422" s="455"/>
      <c r="D422" s="443"/>
      <c r="E422" s="436"/>
      <c r="F422" s="443"/>
      <c r="G422" s="436"/>
      <c r="H422" s="443"/>
      <c r="I422" s="443"/>
      <c r="J422" s="444"/>
      <c r="K422" s="456"/>
      <c r="L422" s="456"/>
      <c r="N422" s="436"/>
      <c r="O422" s="436"/>
      <c r="P422" s="436"/>
      <c r="Q422" s="443"/>
      <c r="R422" s="444"/>
      <c r="S422" s="444"/>
      <c r="T422" s="444"/>
      <c r="AF422" s="386" t="n">
        <f aca="false">EOMONTH(AF421,0)+1</f>
        <v>49279</v>
      </c>
      <c r="AG422" s="376" t="n">
        <v>21</v>
      </c>
      <c r="AH422" s="376" t="n">
        <v>4</v>
      </c>
      <c r="AI422" s="376" t="n">
        <v>6</v>
      </c>
      <c r="AJ422" s="376" t="n">
        <v>1</v>
      </c>
      <c r="AK422" s="376" t="n">
        <v>31</v>
      </c>
    </row>
    <row r="423" customFormat="false" ht="12.75" hidden="false" customHeight="false" outlineLevel="0" collapsed="false">
      <c r="A423" s="454"/>
      <c r="B423" s="371"/>
      <c r="C423" s="371"/>
      <c r="D423" s="371"/>
      <c r="E423" s="371"/>
      <c r="F423" s="371"/>
      <c r="G423" s="371"/>
      <c r="H423" s="371"/>
      <c r="I423" s="371"/>
      <c r="J423" s="371"/>
      <c r="K423" s="371"/>
      <c r="L423" s="371"/>
      <c r="AF423" s="386" t="n">
        <f aca="false">EOMONTH(AF422,0)+1</f>
        <v>49310</v>
      </c>
      <c r="AG423" s="376" t="n">
        <v>22</v>
      </c>
      <c r="AH423" s="376" t="n">
        <v>4</v>
      </c>
      <c r="AI423" s="376" t="n">
        <v>5</v>
      </c>
      <c r="AJ423" s="376" t="n">
        <v>1</v>
      </c>
      <c r="AK423" s="376" t="n">
        <v>31</v>
      </c>
    </row>
    <row r="424" customFormat="false" ht="12.75" hidden="false" customHeight="false" outlineLevel="0" collapsed="false">
      <c r="A424" s="454"/>
      <c r="B424" s="371"/>
      <c r="C424" s="371"/>
      <c r="D424" s="371"/>
      <c r="E424" s="371"/>
      <c r="F424" s="371"/>
      <c r="G424" s="371"/>
      <c r="H424" s="371"/>
      <c r="I424" s="371"/>
      <c r="J424" s="371"/>
      <c r="K424" s="371"/>
      <c r="L424" s="371"/>
      <c r="AF424" s="386" t="n">
        <f aca="false">EOMONTH(AF423,0)+1</f>
        <v>49341</v>
      </c>
      <c r="AG424" s="376" t="n">
        <v>20</v>
      </c>
      <c r="AH424" s="376" t="n">
        <v>4</v>
      </c>
      <c r="AI424" s="376" t="n">
        <v>4</v>
      </c>
      <c r="AJ424" s="376" t="n">
        <v>0</v>
      </c>
      <c r="AK424" s="376" t="n">
        <v>28</v>
      </c>
    </row>
    <row r="425" customFormat="false" ht="12.75" hidden="false" customHeight="false" outlineLevel="0" collapsed="false">
      <c r="A425" s="454"/>
      <c r="B425" s="371"/>
      <c r="C425" s="371"/>
      <c r="D425" s="371"/>
      <c r="E425" s="371"/>
      <c r="F425" s="371"/>
      <c r="G425" s="371"/>
      <c r="H425" s="371"/>
      <c r="I425" s="371"/>
      <c r="J425" s="371"/>
      <c r="K425" s="371"/>
      <c r="L425" s="371"/>
      <c r="AF425" s="386" t="n">
        <f aca="false">EOMONTH(AF424,0)+1</f>
        <v>49369</v>
      </c>
      <c r="AG425" s="376" t="n">
        <v>21</v>
      </c>
      <c r="AH425" s="376" t="n">
        <v>5</v>
      </c>
      <c r="AI425" s="376" t="n">
        <v>5</v>
      </c>
      <c r="AJ425" s="376" t="n">
        <v>0</v>
      </c>
      <c r="AK425" s="376" t="n">
        <v>31</v>
      </c>
    </row>
    <row r="426" customFormat="false" ht="12.75" hidden="false" customHeight="false" outlineLevel="0" collapsed="false">
      <c r="A426" s="454"/>
      <c r="B426" s="371"/>
      <c r="C426" s="371"/>
      <c r="D426" s="371"/>
      <c r="E426" s="371"/>
      <c r="F426" s="371"/>
      <c r="G426" s="371"/>
      <c r="H426" s="371"/>
      <c r="I426" s="371"/>
      <c r="J426" s="371"/>
      <c r="K426" s="371"/>
      <c r="L426" s="371"/>
      <c r="AF426" s="386" t="n">
        <f aca="false">EOMONTH(AF425,0)+1</f>
        <v>49400</v>
      </c>
      <c r="AG426" s="376" t="n">
        <v>22</v>
      </c>
      <c r="AH426" s="376" t="n">
        <v>4</v>
      </c>
      <c r="AI426" s="376" t="n">
        <v>4</v>
      </c>
      <c r="AJ426" s="376" t="n">
        <v>0</v>
      </c>
      <c r="AK426" s="376" t="n">
        <v>30</v>
      </c>
    </row>
    <row r="427" customFormat="false" ht="12.75" hidden="false" customHeight="false" outlineLevel="0" collapsed="false">
      <c r="A427" s="454"/>
      <c r="B427" s="371"/>
      <c r="C427" s="371"/>
      <c r="D427" s="371"/>
      <c r="E427" s="371"/>
      <c r="F427" s="371"/>
      <c r="G427" s="371"/>
      <c r="H427" s="371"/>
      <c r="I427" s="371"/>
      <c r="J427" s="371"/>
      <c r="K427" s="371"/>
      <c r="L427" s="371"/>
      <c r="AF427" s="386" t="n">
        <f aca="false">EOMONTH(AF426,0)+1</f>
        <v>49430</v>
      </c>
      <c r="AG427" s="376" t="n">
        <v>22</v>
      </c>
      <c r="AH427" s="376" t="n">
        <v>4</v>
      </c>
      <c r="AI427" s="376" t="n">
        <v>5</v>
      </c>
      <c r="AJ427" s="376" t="n">
        <v>1</v>
      </c>
      <c r="AK427" s="376" t="n">
        <v>31</v>
      </c>
    </row>
    <row r="428" customFormat="false" ht="12.75" hidden="false" customHeight="false" outlineLevel="0" collapsed="false">
      <c r="A428" s="454"/>
      <c r="B428" s="371"/>
      <c r="C428" s="371"/>
      <c r="D428" s="371"/>
      <c r="E428" s="371"/>
      <c r="F428" s="371"/>
      <c r="G428" s="371"/>
      <c r="H428" s="371"/>
      <c r="I428" s="371"/>
      <c r="J428" s="371"/>
      <c r="K428" s="371"/>
      <c r="L428" s="371"/>
      <c r="AF428" s="386" t="n">
        <f aca="false">EOMONTH(AF427,0)+1</f>
        <v>49461</v>
      </c>
      <c r="AG428" s="376" t="n">
        <v>20</v>
      </c>
      <c r="AH428" s="376" t="n">
        <v>5</v>
      </c>
      <c r="AI428" s="376" t="n">
        <v>5</v>
      </c>
      <c r="AJ428" s="376" t="n">
        <v>0</v>
      </c>
      <c r="AK428" s="376" t="n">
        <v>30</v>
      </c>
    </row>
    <row r="429" customFormat="false" ht="12.75" hidden="false" customHeight="false" outlineLevel="0" collapsed="false">
      <c r="A429" s="454"/>
      <c r="B429" s="371"/>
      <c r="C429" s="371"/>
      <c r="D429" s="371"/>
      <c r="E429" s="371"/>
      <c r="F429" s="371"/>
      <c r="G429" s="371"/>
      <c r="H429" s="371"/>
      <c r="I429" s="371"/>
      <c r="J429" s="371"/>
      <c r="K429" s="371"/>
      <c r="L429" s="371"/>
      <c r="AF429" s="386" t="n">
        <f aca="false">EOMONTH(AF428,0)+1</f>
        <v>49491</v>
      </c>
      <c r="AG429" s="376" t="n">
        <v>22</v>
      </c>
      <c r="AH429" s="376" t="n">
        <v>4</v>
      </c>
      <c r="AI429" s="376" t="n">
        <v>5</v>
      </c>
      <c r="AJ429" s="376" t="n">
        <v>1</v>
      </c>
      <c r="AK429" s="376" t="n">
        <v>31</v>
      </c>
    </row>
    <row r="430" customFormat="false" ht="12.75" hidden="false" customHeight="false" outlineLevel="0" collapsed="false">
      <c r="A430" s="457"/>
      <c r="AF430" s="386" t="n">
        <f aca="false">EOMONTH(AF429,0)+1</f>
        <v>49522</v>
      </c>
      <c r="AG430" s="376" t="n">
        <v>22</v>
      </c>
      <c r="AH430" s="376" t="n">
        <v>5</v>
      </c>
      <c r="AI430" s="376" t="n">
        <v>4</v>
      </c>
      <c r="AJ430" s="376" t="n">
        <v>0</v>
      </c>
      <c r="AK430" s="376" t="n">
        <v>31</v>
      </c>
    </row>
    <row r="431" customFormat="false" ht="12.75" hidden="false" customHeight="false" outlineLevel="0" collapsed="false">
      <c r="A431" s="457"/>
      <c r="AF431" s="386" t="n">
        <f aca="false">EOMONTH(AF430,0)+1</f>
        <v>49553</v>
      </c>
      <c r="AG431" s="376" t="n">
        <v>20</v>
      </c>
      <c r="AH431" s="376" t="n">
        <v>4</v>
      </c>
      <c r="AI431" s="376" t="n">
        <v>6</v>
      </c>
      <c r="AJ431" s="376" t="n">
        <v>1</v>
      </c>
      <c r="AK431" s="376" t="n">
        <v>30</v>
      </c>
    </row>
    <row r="432" customFormat="false" ht="12.75" hidden="false" customHeight="false" outlineLevel="0" collapsed="false">
      <c r="A432" s="457"/>
      <c r="AF432" s="386" t="n">
        <f aca="false">EOMONTH(AF431,0)+1</f>
        <v>49583</v>
      </c>
      <c r="AG432" s="376" t="n">
        <v>23</v>
      </c>
      <c r="AH432" s="376" t="n">
        <v>4</v>
      </c>
      <c r="AI432" s="376" t="n">
        <v>4</v>
      </c>
      <c r="AJ432" s="376" t="n">
        <v>0</v>
      </c>
      <c r="AK432" s="376" t="n">
        <v>31</v>
      </c>
    </row>
    <row r="433" customFormat="false" ht="12.75" hidden="false" customHeight="false" outlineLevel="0" collapsed="false">
      <c r="A433" s="457"/>
      <c r="AF433" s="386" t="n">
        <f aca="false">EOMONTH(AF432,0)+1</f>
        <v>49614</v>
      </c>
      <c r="AG433" s="376" t="n">
        <v>20</v>
      </c>
      <c r="AH433" s="376" t="n">
        <v>5</v>
      </c>
      <c r="AI433" s="376" t="n">
        <v>5</v>
      </c>
      <c r="AJ433" s="376" t="n">
        <v>1</v>
      </c>
      <c r="AK433" s="376" t="n">
        <v>30</v>
      </c>
    </row>
    <row r="434" customFormat="false" ht="12.75" hidden="false" customHeight="false" outlineLevel="0" collapsed="false">
      <c r="A434" s="458"/>
      <c r="AF434" s="386" t="n">
        <f aca="false">EOMONTH(AF433,0)+1</f>
        <v>49644</v>
      </c>
      <c r="AG434" s="376" t="n">
        <v>21</v>
      </c>
      <c r="AH434" s="376" t="n">
        <v>4</v>
      </c>
      <c r="AI434" s="376" t="n">
        <v>6</v>
      </c>
      <c r="AJ434" s="376" t="n">
        <v>1</v>
      </c>
      <c r="AK434" s="376" t="n">
        <v>31</v>
      </c>
    </row>
    <row r="435" customFormat="false" ht="12.75" hidden="false" customHeight="false" outlineLevel="0" collapsed="false">
      <c r="A435" s="458"/>
      <c r="AF435" s="386" t="n">
        <f aca="false">EOMONTH(AF434,0)+1</f>
        <v>49675</v>
      </c>
      <c r="AG435" s="376" t="n">
        <v>22</v>
      </c>
      <c r="AH435" s="376" t="n">
        <v>4</v>
      </c>
      <c r="AI435" s="376" t="n">
        <v>5</v>
      </c>
      <c r="AJ435" s="376" t="n">
        <v>1</v>
      </c>
      <c r="AK435" s="376" t="n">
        <v>31</v>
      </c>
    </row>
    <row r="436" customFormat="false" ht="12.75" hidden="false" customHeight="false" outlineLevel="0" collapsed="false">
      <c r="A436" s="458"/>
      <c r="AF436" s="386" t="n">
        <f aca="false">EOMONTH(AF435,0)+1</f>
        <v>49706</v>
      </c>
      <c r="AG436" s="376" t="n">
        <v>20</v>
      </c>
      <c r="AH436" s="376" t="n">
        <v>5</v>
      </c>
      <c r="AI436" s="376" t="n">
        <v>4</v>
      </c>
      <c r="AJ436" s="376" t="n">
        <v>0</v>
      </c>
      <c r="AK436" s="376" t="n">
        <v>29</v>
      </c>
    </row>
    <row r="437" customFormat="false" ht="12.75" hidden="false" customHeight="false" outlineLevel="0" collapsed="false">
      <c r="A437" s="458"/>
      <c r="AF437" s="386" t="n">
        <f aca="false">EOMONTH(AF436,0)+1</f>
        <v>49735</v>
      </c>
      <c r="AG437" s="376" t="n">
        <v>22</v>
      </c>
      <c r="AH437" s="376" t="n">
        <v>4</v>
      </c>
      <c r="AI437" s="376" t="n">
        <v>5</v>
      </c>
      <c r="AJ437" s="376" t="n">
        <v>0</v>
      </c>
      <c r="AK437" s="376" t="n">
        <v>31</v>
      </c>
    </row>
    <row r="438" customFormat="false" ht="12.75" hidden="false" customHeight="false" outlineLevel="0" collapsed="false">
      <c r="A438" s="458"/>
      <c r="AF438" s="386" t="n">
        <f aca="false">EOMONTH(AF437,0)+1</f>
        <v>49766</v>
      </c>
      <c r="AG438" s="376" t="n">
        <v>22</v>
      </c>
      <c r="AH438" s="376" t="n">
        <v>4</v>
      </c>
      <c r="AI438" s="376" t="n">
        <v>4</v>
      </c>
      <c r="AJ438" s="376" t="n">
        <v>0</v>
      </c>
      <c r="AK438" s="376" t="n">
        <v>30</v>
      </c>
    </row>
    <row r="439" customFormat="false" ht="12.75" hidden="false" customHeight="false" outlineLevel="0" collapsed="false">
      <c r="A439" s="458"/>
      <c r="AF439" s="386" t="n">
        <f aca="false">EOMONTH(AF438,0)+1</f>
        <v>49796</v>
      </c>
      <c r="AG439" s="376" t="n">
        <v>20</v>
      </c>
      <c r="AH439" s="376" t="n">
        <v>5</v>
      </c>
      <c r="AI439" s="376" t="n">
        <v>6</v>
      </c>
      <c r="AJ439" s="376" t="n">
        <v>1</v>
      </c>
      <c r="AK439" s="376" t="n">
        <v>31</v>
      </c>
    </row>
    <row r="440" customFormat="false" ht="12.75" hidden="false" customHeight="false" outlineLevel="0" collapsed="false">
      <c r="A440" s="458"/>
      <c r="AF440" s="386" t="n">
        <f aca="false">EOMONTH(AF439,0)+1</f>
        <v>49827</v>
      </c>
      <c r="AG440" s="376" t="n">
        <v>22</v>
      </c>
      <c r="AH440" s="376" t="n">
        <v>4</v>
      </c>
      <c r="AI440" s="376" t="n">
        <v>4</v>
      </c>
      <c r="AJ440" s="376" t="n">
        <v>0</v>
      </c>
      <c r="AK440" s="376" t="n">
        <v>30</v>
      </c>
    </row>
    <row r="441" customFormat="false" ht="12.75" hidden="false" customHeight="false" outlineLevel="0" collapsed="false">
      <c r="A441" s="458"/>
      <c r="AF441" s="386" t="n">
        <f aca="false">EOMONTH(AF440,0)+1</f>
        <v>49857</v>
      </c>
      <c r="AG441" s="376" t="n">
        <v>23</v>
      </c>
      <c r="AH441" s="376" t="n">
        <v>3</v>
      </c>
      <c r="AI441" s="376" t="n">
        <v>5</v>
      </c>
      <c r="AJ441" s="376" t="n">
        <v>1</v>
      </c>
      <c r="AK441" s="376" t="n">
        <v>31</v>
      </c>
    </row>
    <row r="442" customFormat="false" ht="12.75" hidden="false" customHeight="false" outlineLevel="0" collapsed="false">
      <c r="A442" s="458"/>
      <c r="AF442" s="386" t="n">
        <f aca="false">EOMONTH(AF441,0)+1</f>
        <v>49888</v>
      </c>
      <c r="AG442" s="376" t="n">
        <v>21</v>
      </c>
      <c r="AH442" s="376" t="n">
        <v>5</v>
      </c>
      <c r="AI442" s="376" t="n">
        <v>5</v>
      </c>
      <c r="AJ442" s="376" t="n">
        <v>0</v>
      </c>
      <c r="AK442" s="376" t="n">
        <v>31</v>
      </c>
    </row>
    <row r="443" customFormat="false" ht="12.75" hidden="false" customHeight="false" outlineLevel="0" collapsed="false">
      <c r="A443" s="458"/>
      <c r="AF443" s="386" t="n">
        <f aca="false">EOMONTH(AF442,0)+1</f>
        <v>49919</v>
      </c>
      <c r="AG443" s="376" t="n">
        <v>21</v>
      </c>
      <c r="AH443" s="376" t="n">
        <v>4</v>
      </c>
      <c r="AI443" s="376" t="n">
        <v>5</v>
      </c>
      <c r="AJ443" s="376" t="n">
        <v>1</v>
      </c>
      <c r="AK443" s="376" t="n">
        <v>30</v>
      </c>
    </row>
    <row r="444" customFormat="false" ht="12.75" hidden="false" customHeight="false" outlineLevel="0" collapsed="false">
      <c r="A444" s="458"/>
      <c r="AF444" s="386" t="n">
        <f aca="false">EOMONTH(AF443,0)+1</f>
        <v>49949</v>
      </c>
      <c r="AG444" s="376" t="n">
        <v>22</v>
      </c>
      <c r="AH444" s="376" t="n">
        <v>5</v>
      </c>
      <c r="AI444" s="376" t="n">
        <v>4</v>
      </c>
      <c r="AJ444" s="376" t="n">
        <v>0</v>
      </c>
      <c r="AK444" s="376" t="n">
        <v>31</v>
      </c>
    </row>
    <row r="445" customFormat="false" ht="12.75" hidden="false" customHeight="false" outlineLevel="0" collapsed="false">
      <c r="A445" s="458"/>
      <c r="AF445" s="386" t="n">
        <f aca="false">EOMONTH(AF444,0)+1</f>
        <v>49980</v>
      </c>
      <c r="AG445" s="376" t="n">
        <v>20</v>
      </c>
      <c r="AH445" s="376" t="n">
        <v>4</v>
      </c>
      <c r="AI445" s="376" t="n">
        <v>6</v>
      </c>
      <c r="AJ445" s="376" t="n">
        <v>1</v>
      </c>
      <c r="AK445" s="376" t="n">
        <v>30</v>
      </c>
    </row>
    <row r="446" customFormat="false" ht="12.75" hidden="false" customHeight="false" outlineLevel="0" collapsed="false">
      <c r="A446" s="458"/>
      <c r="AF446" s="386" t="n">
        <f aca="false">EOMONTH(AF445,0)+1</f>
        <v>50010</v>
      </c>
      <c r="AG446" s="376" t="n">
        <v>22</v>
      </c>
      <c r="AH446" s="376" t="n">
        <v>4</v>
      </c>
      <c r="AI446" s="376" t="n">
        <v>5</v>
      </c>
      <c r="AJ446" s="376" t="n">
        <v>1</v>
      </c>
      <c r="AK446" s="376" t="n">
        <v>31</v>
      </c>
    </row>
    <row r="447" customFormat="false" ht="12.75" hidden="false" customHeight="false" outlineLevel="0" collapsed="false">
      <c r="A447" s="458"/>
    </row>
    <row r="448" customFormat="false" ht="12.75" hidden="false" customHeight="false" outlineLevel="0" collapsed="false">
      <c r="A448" s="458"/>
    </row>
    <row r="449" customFormat="false" ht="12.75" hidden="false" customHeight="false" outlineLevel="0" collapsed="false">
      <c r="A449" s="458"/>
    </row>
    <row r="450" customFormat="false" ht="12.75" hidden="false" customHeight="false" outlineLevel="0" collapsed="false">
      <c r="A450" s="458"/>
    </row>
    <row r="451" customFormat="false" ht="12.75" hidden="false" customHeight="false" outlineLevel="0" collapsed="false">
      <c r="A451" s="458"/>
    </row>
    <row r="452" customFormat="false" ht="12.75" hidden="false" customHeight="false" outlineLevel="0" collapsed="false">
      <c r="A452" s="458"/>
    </row>
    <row r="453" customFormat="false" ht="12.75" hidden="false" customHeight="false" outlineLevel="0" collapsed="false">
      <c r="A453" s="458"/>
    </row>
    <row r="454" customFormat="false" ht="12.75" hidden="false" customHeight="false" outlineLevel="0" collapsed="false">
      <c r="A454" s="458"/>
    </row>
    <row r="455" customFormat="false" ht="12.75" hidden="false" customHeight="false" outlineLevel="0" collapsed="false">
      <c r="A455" s="458"/>
    </row>
    <row r="456" customFormat="false" ht="12.75" hidden="false" customHeight="false" outlineLevel="0" collapsed="false">
      <c r="A456" s="458"/>
    </row>
    <row r="457" customFormat="false" ht="12.75" hidden="false" customHeight="false" outlineLevel="0" collapsed="false">
      <c r="A457" s="458"/>
    </row>
    <row r="458" customFormat="false" ht="12.75" hidden="false" customHeight="false" outlineLevel="0" collapsed="false">
      <c r="A458" s="458"/>
    </row>
    <row r="459" customFormat="false" ht="12.75" hidden="false" customHeight="false" outlineLevel="0" collapsed="false">
      <c r="A459" s="458"/>
    </row>
    <row r="460" customFormat="false" ht="12.75" hidden="false" customHeight="false" outlineLevel="0" collapsed="false">
      <c r="A460" s="458"/>
    </row>
    <row r="461" customFormat="false" ht="12.75" hidden="false" customHeight="false" outlineLevel="0" collapsed="false">
      <c r="A461" s="458"/>
    </row>
    <row r="462" customFormat="false" ht="12.75" hidden="false" customHeight="false" outlineLevel="0" collapsed="false">
      <c r="A462" s="458"/>
    </row>
    <row r="463" customFormat="false" ht="12.75" hidden="false" customHeight="false" outlineLevel="0" collapsed="false">
      <c r="A463" s="458"/>
    </row>
    <row r="464" customFormat="false" ht="12.75" hidden="false" customHeight="false" outlineLevel="0" collapsed="false">
      <c r="A464" s="458"/>
    </row>
    <row r="465" customFormat="false" ht="12.75" hidden="false" customHeight="false" outlineLevel="0" collapsed="false">
      <c r="A465" s="458"/>
    </row>
    <row r="466" customFormat="false" ht="12.75" hidden="false" customHeight="false" outlineLevel="0" collapsed="false">
      <c r="A466" s="458"/>
    </row>
    <row r="467" customFormat="false" ht="12.75" hidden="false" customHeight="false" outlineLevel="0" collapsed="false">
      <c r="A467" s="458"/>
    </row>
    <row r="468" customFormat="false" ht="12.75" hidden="false" customHeight="false" outlineLevel="0" collapsed="false">
      <c r="A468" s="458"/>
    </row>
    <row r="469" customFormat="false" ht="12.75" hidden="false" customHeight="false" outlineLevel="0" collapsed="false">
      <c r="A469" s="458"/>
    </row>
    <row r="470" customFormat="false" ht="12.75" hidden="false" customHeight="false" outlineLevel="0" collapsed="false">
      <c r="A470" s="458"/>
    </row>
    <row r="471" customFormat="false" ht="12.75" hidden="false" customHeight="false" outlineLevel="0" collapsed="false">
      <c r="A471" s="458"/>
    </row>
    <row r="472" customFormat="false" ht="12.75" hidden="false" customHeight="false" outlineLevel="0" collapsed="false">
      <c r="A472" s="458"/>
    </row>
    <row r="473" customFormat="false" ht="12.75" hidden="false" customHeight="false" outlineLevel="0" collapsed="false">
      <c r="A473" s="458"/>
    </row>
    <row r="474" customFormat="false" ht="12.75" hidden="false" customHeight="false" outlineLevel="0" collapsed="false">
      <c r="A474" s="458"/>
    </row>
    <row r="475" customFormat="false" ht="12.75" hidden="false" customHeight="false" outlineLevel="0" collapsed="false">
      <c r="A475" s="458"/>
    </row>
    <row r="476" customFormat="false" ht="12.75" hidden="false" customHeight="false" outlineLevel="0" collapsed="false">
      <c r="A476" s="458"/>
    </row>
    <row r="477" customFormat="false" ht="12.75" hidden="false" customHeight="false" outlineLevel="0" collapsed="false">
      <c r="A477" s="458"/>
    </row>
    <row r="478" customFormat="false" ht="12.75" hidden="false" customHeight="false" outlineLevel="0" collapsed="false">
      <c r="A478" s="458"/>
    </row>
    <row r="479" customFormat="false" ht="12.75" hidden="false" customHeight="false" outlineLevel="0" collapsed="false">
      <c r="A479" s="458"/>
    </row>
    <row r="480" customFormat="false" ht="12.75" hidden="false" customHeight="false" outlineLevel="0" collapsed="false">
      <c r="A480" s="458"/>
    </row>
    <row r="481" customFormat="false" ht="12.75" hidden="false" customHeight="false" outlineLevel="0" collapsed="false">
      <c r="A481" s="458"/>
    </row>
    <row r="482" customFormat="false" ht="12.75" hidden="false" customHeight="false" outlineLevel="0" collapsed="false">
      <c r="A482" s="458"/>
    </row>
    <row r="483" customFormat="false" ht="12.75" hidden="false" customHeight="false" outlineLevel="0" collapsed="false">
      <c r="A483" s="458"/>
    </row>
    <row r="484" customFormat="false" ht="12.75" hidden="false" customHeight="false" outlineLevel="0" collapsed="false">
      <c r="A484" s="458"/>
    </row>
    <row r="485" customFormat="false" ht="12.75" hidden="false" customHeight="false" outlineLevel="0" collapsed="false">
      <c r="A485" s="458"/>
    </row>
    <row r="486" customFormat="false" ht="12.75" hidden="false" customHeight="false" outlineLevel="0" collapsed="false">
      <c r="A486" s="458"/>
    </row>
    <row r="487" customFormat="false" ht="12.75" hidden="false" customHeight="false" outlineLevel="0" collapsed="false">
      <c r="A487" s="458"/>
    </row>
    <row r="488" customFormat="false" ht="12.75" hidden="false" customHeight="false" outlineLevel="0" collapsed="false">
      <c r="A488" s="458"/>
    </row>
    <row r="489" customFormat="false" ht="12.75" hidden="false" customHeight="false" outlineLevel="0" collapsed="false">
      <c r="A489" s="458"/>
    </row>
    <row r="490" customFormat="false" ht="12.75" hidden="false" customHeight="false" outlineLevel="0" collapsed="false">
      <c r="A490" s="458"/>
    </row>
    <row r="491" customFormat="false" ht="12.75" hidden="false" customHeight="false" outlineLevel="0" collapsed="false">
      <c r="A491" s="458"/>
    </row>
    <row r="492" customFormat="false" ht="12.75" hidden="false" customHeight="false" outlineLevel="0" collapsed="false">
      <c r="A492" s="458"/>
    </row>
    <row r="493" customFormat="false" ht="12.75" hidden="false" customHeight="false" outlineLevel="0" collapsed="false">
      <c r="A493" s="458"/>
    </row>
    <row r="494" customFormat="false" ht="12.75" hidden="false" customHeight="false" outlineLevel="0" collapsed="false">
      <c r="A494" s="458"/>
    </row>
    <row r="495" customFormat="false" ht="12.75" hidden="false" customHeight="false" outlineLevel="0" collapsed="false">
      <c r="A495" s="458"/>
    </row>
    <row r="496" customFormat="false" ht="12.75" hidden="false" customHeight="false" outlineLevel="0" collapsed="false">
      <c r="A496" s="458"/>
    </row>
    <row r="497" customFormat="false" ht="12.75" hidden="false" customHeight="false" outlineLevel="0" collapsed="false">
      <c r="A497" s="458"/>
    </row>
    <row r="498" customFormat="false" ht="12.75" hidden="false" customHeight="false" outlineLevel="0" collapsed="false">
      <c r="A498" s="458"/>
    </row>
    <row r="499" customFormat="false" ht="12.75" hidden="false" customHeight="false" outlineLevel="0" collapsed="false">
      <c r="A499" s="458"/>
    </row>
    <row r="500" customFormat="false" ht="12.75" hidden="false" customHeight="false" outlineLevel="0" collapsed="false">
      <c r="A500" s="458"/>
    </row>
    <row r="501" customFormat="false" ht="12.75" hidden="false" customHeight="false" outlineLevel="0" collapsed="false">
      <c r="A501" s="458"/>
    </row>
    <row r="502" customFormat="false" ht="12.75" hidden="false" customHeight="false" outlineLevel="0" collapsed="false">
      <c r="A502" s="458"/>
    </row>
    <row r="503" customFormat="false" ht="12.75" hidden="false" customHeight="false" outlineLevel="0" collapsed="false">
      <c r="A503" s="458"/>
    </row>
    <row r="504" customFormat="false" ht="12.75" hidden="false" customHeight="false" outlineLevel="0" collapsed="false">
      <c r="A504" s="458"/>
    </row>
    <row r="505" customFormat="false" ht="12.75" hidden="false" customHeight="false" outlineLevel="0" collapsed="false">
      <c r="A505" s="458"/>
    </row>
    <row r="506" customFormat="false" ht="12.75" hidden="false" customHeight="false" outlineLevel="0" collapsed="false">
      <c r="A506" s="458"/>
    </row>
    <row r="507" customFormat="false" ht="12.75" hidden="false" customHeight="false" outlineLevel="0" collapsed="false">
      <c r="A507" s="458"/>
    </row>
    <row r="508" customFormat="false" ht="12.75" hidden="false" customHeight="false" outlineLevel="0" collapsed="false">
      <c r="A508" s="458"/>
    </row>
    <row r="509" customFormat="false" ht="12.75" hidden="false" customHeight="false" outlineLevel="0" collapsed="false">
      <c r="A509" s="458"/>
    </row>
    <row r="510" customFormat="false" ht="12.75" hidden="false" customHeight="false" outlineLevel="0" collapsed="false">
      <c r="A510" s="458"/>
    </row>
    <row r="511" customFormat="false" ht="12.75" hidden="false" customHeight="false" outlineLevel="0" collapsed="false">
      <c r="A511" s="458"/>
    </row>
    <row r="512" customFormat="false" ht="12.75" hidden="false" customHeight="false" outlineLevel="0" collapsed="false">
      <c r="A512" s="458"/>
    </row>
    <row r="513" customFormat="false" ht="12.75" hidden="false" customHeight="false" outlineLevel="0" collapsed="false">
      <c r="A513" s="458"/>
    </row>
    <row r="514" customFormat="false" ht="12.75" hidden="false" customHeight="false" outlineLevel="0" collapsed="false">
      <c r="A514" s="458"/>
    </row>
    <row r="515" customFormat="false" ht="12.75" hidden="false" customHeight="false" outlineLevel="0" collapsed="false">
      <c r="A515" s="458"/>
    </row>
    <row r="516" customFormat="false" ht="12.75" hidden="false" customHeight="false" outlineLevel="0" collapsed="false">
      <c r="A516" s="458"/>
    </row>
    <row r="517" customFormat="false" ht="12.75" hidden="false" customHeight="false" outlineLevel="0" collapsed="false">
      <c r="A517" s="458"/>
    </row>
    <row r="518" customFormat="false" ht="12.75" hidden="false" customHeight="false" outlineLevel="0" collapsed="false">
      <c r="A518" s="458"/>
    </row>
    <row r="519" customFormat="false" ht="12.75" hidden="false" customHeight="false" outlineLevel="0" collapsed="false">
      <c r="A519" s="458"/>
    </row>
    <row r="520" customFormat="false" ht="12.75" hidden="false" customHeight="false" outlineLevel="0" collapsed="false">
      <c r="A520" s="458"/>
    </row>
    <row r="521" customFormat="false" ht="12.75" hidden="false" customHeight="false" outlineLevel="0" collapsed="false">
      <c r="A521" s="458"/>
    </row>
    <row r="522" customFormat="false" ht="12.75" hidden="false" customHeight="false" outlineLevel="0" collapsed="false">
      <c r="A522" s="458"/>
    </row>
    <row r="523" customFormat="false" ht="12.75" hidden="false" customHeight="false" outlineLevel="0" collapsed="false">
      <c r="A523" s="458"/>
    </row>
    <row r="524" customFormat="false" ht="12.75" hidden="false" customHeight="false" outlineLevel="0" collapsed="false">
      <c r="A524" s="458"/>
    </row>
    <row r="525" customFormat="false" ht="12.75" hidden="false" customHeight="false" outlineLevel="0" collapsed="false">
      <c r="A525" s="458"/>
    </row>
    <row r="526" customFormat="false" ht="12.75" hidden="false" customHeight="false" outlineLevel="0" collapsed="false">
      <c r="A526" s="458"/>
    </row>
    <row r="527" customFormat="false" ht="12.75" hidden="false" customHeight="false" outlineLevel="0" collapsed="false">
      <c r="A527" s="458"/>
    </row>
    <row r="528" customFormat="false" ht="12.75" hidden="false" customHeight="false" outlineLevel="0" collapsed="false">
      <c r="A528" s="458"/>
    </row>
    <row r="529" customFormat="false" ht="12.75" hidden="false" customHeight="false" outlineLevel="0" collapsed="false">
      <c r="A529" s="458"/>
    </row>
    <row r="530" customFormat="false" ht="12.75" hidden="false" customHeight="false" outlineLevel="0" collapsed="false">
      <c r="A530" s="458"/>
    </row>
    <row r="531" customFormat="false" ht="12.75" hidden="false" customHeight="false" outlineLevel="0" collapsed="false">
      <c r="A531" s="458"/>
    </row>
    <row r="532" customFormat="false" ht="12.75" hidden="false" customHeight="false" outlineLevel="0" collapsed="false">
      <c r="A532" s="458"/>
    </row>
    <row r="533" customFormat="false" ht="12.75" hidden="false" customHeight="false" outlineLevel="0" collapsed="false">
      <c r="A533" s="458"/>
    </row>
    <row r="534" customFormat="false" ht="12.75" hidden="false" customHeight="false" outlineLevel="0" collapsed="false">
      <c r="A534" s="458"/>
    </row>
    <row r="535" customFormat="false" ht="12.75" hidden="false" customHeight="false" outlineLevel="0" collapsed="false">
      <c r="A535" s="458"/>
    </row>
    <row r="536" customFormat="false" ht="12.75" hidden="false" customHeight="false" outlineLevel="0" collapsed="false">
      <c r="A536" s="458"/>
    </row>
    <row r="537" customFormat="false" ht="12.75" hidden="false" customHeight="false" outlineLevel="0" collapsed="false">
      <c r="A537" s="458"/>
    </row>
    <row r="538" customFormat="false" ht="12.75" hidden="false" customHeight="false" outlineLevel="0" collapsed="false">
      <c r="A538" s="458"/>
    </row>
    <row r="539" customFormat="false" ht="12.75" hidden="false" customHeight="false" outlineLevel="0" collapsed="false">
      <c r="A539" s="458"/>
    </row>
    <row r="540" customFormat="false" ht="12.75" hidden="false" customHeight="false" outlineLevel="0" collapsed="false">
      <c r="A540" s="458"/>
    </row>
    <row r="541" customFormat="false" ht="12.75" hidden="false" customHeight="false" outlineLevel="0" collapsed="false">
      <c r="A541" s="458"/>
    </row>
    <row r="542" customFormat="false" ht="12.75" hidden="false" customHeight="false" outlineLevel="0" collapsed="false">
      <c r="A542" s="458"/>
    </row>
    <row r="543" customFormat="false" ht="12.75" hidden="false" customHeight="false" outlineLevel="0" collapsed="false">
      <c r="A543" s="458"/>
    </row>
    <row r="544" customFormat="false" ht="12.75" hidden="false" customHeight="false" outlineLevel="0" collapsed="false">
      <c r="A544" s="458"/>
    </row>
    <row r="545" customFormat="false" ht="12.75" hidden="false" customHeight="false" outlineLevel="0" collapsed="false">
      <c r="A545" s="458"/>
    </row>
    <row r="546" customFormat="false" ht="12.75" hidden="false" customHeight="false" outlineLevel="0" collapsed="false">
      <c r="A546" s="458"/>
    </row>
    <row r="547" customFormat="false" ht="12.75" hidden="false" customHeight="false" outlineLevel="0" collapsed="false">
      <c r="A547" s="458"/>
    </row>
    <row r="548" customFormat="false" ht="12.75" hidden="false" customHeight="false" outlineLevel="0" collapsed="false">
      <c r="A548" s="458"/>
    </row>
    <row r="549" customFormat="false" ht="12.75" hidden="false" customHeight="false" outlineLevel="0" collapsed="false">
      <c r="A549" s="458"/>
    </row>
    <row r="550" customFormat="false" ht="12.75" hidden="false" customHeight="false" outlineLevel="0" collapsed="false">
      <c r="A550" s="458"/>
    </row>
    <row r="551" customFormat="false" ht="12.75" hidden="false" customHeight="false" outlineLevel="0" collapsed="false">
      <c r="A551" s="458"/>
    </row>
    <row r="552" customFormat="false" ht="12.75" hidden="false" customHeight="false" outlineLevel="0" collapsed="false">
      <c r="A552" s="458"/>
    </row>
    <row r="553" customFormat="false" ht="12.75" hidden="false" customHeight="false" outlineLevel="0" collapsed="false">
      <c r="A553" s="458"/>
    </row>
    <row r="554" customFormat="false" ht="12.75" hidden="false" customHeight="false" outlineLevel="0" collapsed="false">
      <c r="A554" s="458"/>
    </row>
    <row r="555" customFormat="false" ht="12.75" hidden="false" customHeight="false" outlineLevel="0" collapsed="false">
      <c r="A555" s="458"/>
    </row>
    <row r="556" customFormat="false" ht="12.75" hidden="false" customHeight="false" outlineLevel="0" collapsed="false">
      <c r="A556" s="458"/>
    </row>
    <row r="557" customFormat="false" ht="12.75" hidden="false" customHeight="false" outlineLevel="0" collapsed="false">
      <c r="A557" s="458"/>
    </row>
    <row r="558" customFormat="false" ht="12.75" hidden="false" customHeight="false" outlineLevel="0" collapsed="false">
      <c r="A558" s="458"/>
    </row>
    <row r="559" customFormat="false" ht="12.75" hidden="false" customHeight="false" outlineLevel="0" collapsed="false">
      <c r="A559" s="458"/>
    </row>
    <row r="560" customFormat="false" ht="12.75" hidden="false" customHeight="false" outlineLevel="0" collapsed="false">
      <c r="A560" s="458"/>
    </row>
    <row r="561" customFormat="false" ht="12.75" hidden="false" customHeight="false" outlineLevel="0" collapsed="false">
      <c r="A561" s="458"/>
    </row>
    <row r="562" customFormat="false" ht="12.75" hidden="false" customHeight="false" outlineLevel="0" collapsed="false">
      <c r="A562" s="458"/>
    </row>
    <row r="563" customFormat="false" ht="12.75" hidden="false" customHeight="false" outlineLevel="0" collapsed="false">
      <c r="A563" s="458"/>
    </row>
    <row r="564" customFormat="false" ht="12.75" hidden="false" customHeight="false" outlineLevel="0" collapsed="false">
      <c r="A564" s="458"/>
    </row>
    <row r="565" customFormat="false" ht="12.75" hidden="false" customHeight="false" outlineLevel="0" collapsed="false">
      <c r="A565" s="458"/>
    </row>
    <row r="566" customFormat="false" ht="12.75" hidden="false" customHeight="false" outlineLevel="0" collapsed="false">
      <c r="A566" s="458"/>
    </row>
    <row r="567" customFormat="false" ht="12.75" hidden="false" customHeight="false" outlineLevel="0" collapsed="false">
      <c r="A567" s="458"/>
    </row>
    <row r="568" customFormat="false" ht="12.75" hidden="false" customHeight="false" outlineLevel="0" collapsed="false">
      <c r="A568" s="458"/>
    </row>
    <row r="569" customFormat="false" ht="12.75" hidden="false" customHeight="false" outlineLevel="0" collapsed="false">
      <c r="A569" s="458"/>
    </row>
    <row r="570" customFormat="false" ht="12.75" hidden="false" customHeight="false" outlineLevel="0" collapsed="false">
      <c r="A570" s="458"/>
    </row>
    <row r="571" customFormat="false" ht="12.75" hidden="false" customHeight="false" outlineLevel="0" collapsed="false">
      <c r="A571" s="458"/>
    </row>
    <row r="572" customFormat="false" ht="12.75" hidden="false" customHeight="false" outlineLevel="0" collapsed="false">
      <c r="A572" s="458"/>
    </row>
    <row r="573" customFormat="false" ht="12.75" hidden="false" customHeight="false" outlineLevel="0" collapsed="false">
      <c r="A573" s="458"/>
    </row>
    <row r="574" customFormat="false" ht="12.75" hidden="false" customHeight="false" outlineLevel="0" collapsed="false">
      <c r="A574" s="458"/>
    </row>
    <row r="575" customFormat="false" ht="12.75" hidden="false" customHeight="false" outlineLevel="0" collapsed="false">
      <c r="A575" s="458"/>
    </row>
    <row r="576" customFormat="false" ht="12.75" hidden="false" customHeight="false" outlineLevel="0" collapsed="false">
      <c r="A576" s="458"/>
    </row>
    <row r="577" customFormat="false" ht="12.75" hidden="false" customHeight="false" outlineLevel="0" collapsed="false">
      <c r="A577" s="458"/>
    </row>
    <row r="578" customFormat="false" ht="12.75" hidden="false" customHeight="false" outlineLevel="0" collapsed="false">
      <c r="A578" s="458"/>
    </row>
    <row r="579" customFormat="false" ht="12.75" hidden="false" customHeight="false" outlineLevel="0" collapsed="false">
      <c r="A579" s="458"/>
    </row>
    <row r="580" customFormat="false" ht="12.75" hidden="false" customHeight="false" outlineLevel="0" collapsed="false">
      <c r="A580" s="458"/>
    </row>
    <row r="581" customFormat="false" ht="12.75" hidden="false" customHeight="false" outlineLevel="0" collapsed="false">
      <c r="A581" s="458"/>
    </row>
    <row r="582" customFormat="false" ht="12.75" hidden="false" customHeight="false" outlineLevel="0" collapsed="false">
      <c r="A582" s="458"/>
    </row>
    <row r="583" customFormat="false" ht="12.75" hidden="false" customHeight="false" outlineLevel="0" collapsed="false">
      <c r="A583" s="458"/>
    </row>
    <row r="584" customFormat="false" ht="12.75" hidden="false" customHeight="false" outlineLevel="0" collapsed="false">
      <c r="A584" s="458"/>
    </row>
    <row r="585" customFormat="false" ht="12.75" hidden="false" customHeight="false" outlineLevel="0" collapsed="false">
      <c r="A585" s="458"/>
    </row>
    <row r="586" customFormat="false" ht="12.75" hidden="false" customHeight="false" outlineLevel="0" collapsed="false">
      <c r="A586" s="458"/>
    </row>
    <row r="587" customFormat="false" ht="12.75" hidden="false" customHeight="false" outlineLevel="0" collapsed="false">
      <c r="A587" s="458"/>
    </row>
    <row r="588" customFormat="false" ht="12.75" hidden="false" customHeight="false" outlineLevel="0" collapsed="false">
      <c r="A588" s="458"/>
    </row>
    <row r="589" customFormat="false" ht="12.75" hidden="false" customHeight="false" outlineLevel="0" collapsed="false">
      <c r="A589" s="458"/>
    </row>
    <row r="590" customFormat="false" ht="12.75" hidden="false" customHeight="false" outlineLevel="0" collapsed="false">
      <c r="A590" s="458"/>
    </row>
    <row r="591" customFormat="false" ht="12.75" hidden="false" customHeight="false" outlineLevel="0" collapsed="false">
      <c r="A591" s="458"/>
    </row>
    <row r="592" customFormat="false" ht="12.75" hidden="false" customHeight="false" outlineLevel="0" collapsed="false">
      <c r="A592" s="458"/>
    </row>
    <row r="593" customFormat="false" ht="12.75" hidden="false" customHeight="false" outlineLevel="0" collapsed="false">
      <c r="A593" s="458"/>
    </row>
    <row r="594" customFormat="false" ht="12.75" hidden="false" customHeight="false" outlineLevel="0" collapsed="false">
      <c r="A594" s="458"/>
    </row>
    <row r="595" customFormat="false" ht="12.75" hidden="false" customHeight="false" outlineLevel="0" collapsed="false">
      <c r="A595" s="458"/>
    </row>
    <row r="596" customFormat="false" ht="12.75" hidden="false" customHeight="false" outlineLevel="0" collapsed="false">
      <c r="A596" s="458"/>
    </row>
    <row r="597" customFormat="false" ht="12.75" hidden="false" customHeight="false" outlineLevel="0" collapsed="false">
      <c r="A597" s="458"/>
    </row>
    <row r="598" customFormat="false" ht="12.75" hidden="false" customHeight="false" outlineLevel="0" collapsed="false">
      <c r="A598" s="458"/>
    </row>
    <row r="599" customFormat="false" ht="12.75" hidden="false" customHeight="false" outlineLevel="0" collapsed="false">
      <c r="A599" s="458"/>
    </row>
    <row r="600" customFormat="false" ht="12.75" hidden="false" customHeight="false" outlineLevel="0" collapsed="false">
      <c r="A600" s="458"/>
    </row>
    <row r="601" customFormat="false" ht="12.75" hidden="false" customHeight="false" outlineLevel="0" collapsed="false">
      <c r="A601" s="458"/>
    </row>
    <row r="602" customFormat="false" ht="12.75" hidden="false" customHeight="false" outlineLevel="0" collapsed="false">
      <c r="A602" s="458"/>
    </row>
    <row r="603" customFormat="false" ht="12.75" hidden="false" customHeight="false" outlineLevel="0" collapsed="false">
      <c r="A603" s="458"/>
    </row>
    <row r="604" customFormat="false" ht="12.75" hidden="false" customHeight="false" outlineLevel="0" collapsed="false">
      <c r="A604" s="458"/>
    </row>
    <row r="605" customFormat="false" ht="12.75" hidden="false" customHeight="false" outlineLevel="0" collapsed="false">
      <c r="A605" s="458"/>
    </row>
    <row r="606" customFormat="false" ht="12.75" hidden="false" customHeight="false" outlineLevel="0" collapsed="false">
      <c r="A606" s="458"/>
    </row>
    <row r="607" customFormat="false" ht="12.75" hidden="false" customHeight="false" outlineLevel="0" collapsed="false">
      <c r="A607" s="458"/>
    </row>
    <row r="608" customFormat="false" ht="12.75" hidden="false" customHeight="false" outlineLevel="0" collapsed="false">
      <c r="A608" s="458"/>
    </row>
    <row r="609" customFormat="false" ht="12.75" hidden="false" customHeight="false" outlineLevel="0" collapsed="false">
      <c r="A609" s="458"/>
    </row>
    <row r="610" customFormat="false" ht="12.75" hidden="false" customHeight="false" outlineLevel="0" collapsed="false">
      <c r="A610" s="458"/>
    </row>
    <row r="611" customFormat="false" ht="12.75" hidden="false" customHeight="false" outlineLevel="0" collapsed="false">
      <c r="A611" s="458"/>
    </row>
    <row r="612" customFormat="false" ht="12.75" hidden="false" customHeight="false" outlineLevel="0" collapsed="false">
      <c r="A612" s="458"/>
    </row>
    <row r="613" customFormat="false" ht="12.75" hidden="false" customHeight="false" outlineLevel="0" collapsed="false">
      <c r="A613" s="458"/>
    </row>
    <row r="614" customFormat="false" ht="12.75" hidden="false" customHeight="false" outlineLevel="0" collapsed="false">
      <c r="A614" s="458"/>
    </row>
    <row r="615" customFormat="false" ht="12.75" hidden="false" customHeight="false" outlineLevel="0" collapsed="false">
      <c r="A615" s="458"/>
    </row>
    <row r="616" customFormat="false" ht="12.75" hidden="false" customHeight="false" outlineLevel="0" collapsed="false">
      <c r="A616" s="458"/>
    </row>
    <row r="617" customFormat="false" ht="12.75" hidden="false" customHeight="false" outlineLevel="0" collapsed="false">
      <c r="A617" s="458"/>
    </row>
    <row r="618" customFormat="false" ht="12.75" hidden="false" customHeight="false" outlineLevel="0" collapsed="false">
      <c r="A618" s="458"/>
    </row>
    <row r="619" customFormat="false" ht="12.75" hidden="false" customHeight="false" outlineLevel="0" collapsed="false">
      <c r="A619" s="458"/>
    </row>
    <row r="620" customFormat="false" ht="12.75" hidden="false" customHeight="false" outlineLevel="0" collapsed="false">
      <c r="A620" s="458"/>
    </row>
    <row r="621" customFormat="false" ht="12.75" hidden="false" customHeight="false" outlineLevel="0" collapsed="false">
      <c r="A621" s="458"/>
    </row>
    <row r="622" customFormat="false" ht="12.75" hidden="false" customHeight="false" outlineLevel="0" collapsed="false">
      <c r="A622" s="458"/>
    </row>
    <row r="623" customFormat="false" ht="12.75" hidden="false" customHeight="false" outlineLevel="0" collapsed="false">
      <c r="A623" s="458"/>
    </row>
    <row r="624" customFormat="false" ht="12.75" hidden="false" customHeight="false" outlineLevel="0" collapsed="false">
      <c r="A624" s="458"/>
    </row>
    <row r="625" customFormat="false" ht="12.75" hidden="false" customHeight="false" outlineLevel="0" collapsed="false">
      <c r="A625" s="458"/>
    </row>
    <row r="626" customFormat="false" ht="12.75" hidden="false" customHeight="false" outlineLevel="0" collapsed="false">
      <c r="A626" s="458"/>
    </row>
    <row r="627" customFormat="false" ht="12.75" hidden="false" customHeight="false" outlineLevel="0" collapsed="false">
      <c r="A627" s="458"/>
    </row>
    <row r="628" customFormat="false" ht="12.75" hidden="false" customHeight="false" outlineLevel="0" collapsed="false">
      <c r="A628" s="458"/>
    </row>
    <row r="629" customFormat="false" ht="12.75" hidden="false" customHeight="false" outlineLevel="0" collapsed="false">
      <c r="A629" s="458"/>
    </row>
    <row r="630" customFormat="false" ht="12.75" hidden="false" customHeight="false" outlineLevel="0" collapsed="false">
      <c r="A630" s="458"/>
    </row>
    <row r="631" customFormat="false" ht="12.75" hidden="false" customHeight="false" outlineLevel="0" collapsed="false">
      <c r="A631" s="458"/>
    </row>
    <row r="632" customFormat="false" ht="12.75" hidden="false" customHeight="false" outlineLevel="0" collapsed="false">
      <c r="A632" s="458"/>
    </row>
    <row r="633" customFormat="false" ht="12.75" hidden="false" customHeight="false" outlineLevel="0" collapsed="false">
      <c r="A633" s="458"/>
    </row>
    <row r="634" customFormat="false" ht="12.75" hidden="false" customHeight="false" outlineLevel="0" collapsed="false">
      <c r="A634" s="458"/>
    </row>
    <row r="635" customFormat="false" ht="12.75" hidden="false" customHeight="false" outlineLevel="0" collapsed="false">
      <c r="A635" s="458"/>
    </row>
    <row r="636" customFormat="false" ht="12.75" hidden="false" customHeight="false" outlineLevel="0" collapsed="false">
      <c r="A636" s="458"/>
    </row>
    <row r="637" customFormat="false" ht="12.75" hidden="false" customHeight="false" outlineLevel="0" collapsed="false">
      <c r="A637" s="458"/>
    </row>
    <row r="638" customFormat="false" ht="12.75" hidden="false" customHeight="false" outlineLevel="0" collapsed="false">
      <c r="A638" s="458"/>
    </row>
    <row r="639" customFormat="false" ht="12.75" hidden="false" customHeight="false" outlineLevel="0" collapsed="false">
      <c r="A639" s="458"/>
    </row>
    <row r="640" customFormat="false" ht="12.75" hidden="false" customHeight="false" outlineLevel="0" collapsed="false">
      <c r="A640" s="458"/>
    </row>
    <row r="641" customFormat="false" ht="12.75" hidden="false" customHeight="false" outlineLevel="0" collapsed="false">
      <c r="A641" s="458"/>
    </row>
    <row r="642" customFormat="false" ht="12.75" hidden="false" customHeight="false" outlineLevel="0" collapsed="false">
      <c r="A642" s="458"/>
    </row>
    <row r="643" customFormat="false" ht="12.75" hidden="false" customHeight="false" outlineLevel="0" collapsed="false">
      <c r="A643" s="458"/>
    </row>
    <row r="644" customFormat="false" ht="12.75" hidden="false" customHeight="false" outlineLevel="0" collapsed="false">
      <c r="A644" s="458"/>
    </row>
    <row r="645" customFormat="false" ht="12.75" hidden="false" customHeight="false" outlineLevel="0" collapsed="false">
      <c r="A645" s="458"/>
    </row>
    <row r="646" customFormat="false" ht="12.75" hidden="false" customHeight="false" outlineLevel="0" collapsed="false">
      <c r="A646" s="458"/>
    </row>
    <row r="647" customFormat="false" ht="12.75" hidden="false" customHeight="false" outlineLevel="0" collapsed="false">
      <c r="A647" s="458"/>
    </row>
    <row r="648" customFormat="false" ht="12.75" hidden="false" customHeight="false" outlineLevel="0" collapsed="false">
      <c r="A648" s="458"/>
    </row>
    <row r="649" customFormat="false" ht="12.75" hidden="false" customHeight="false" outlineLevel="0" collapsed="false">
      <c r="A649" s="458"/>
    </row>
    <row r="650" customFormat="false" ht="12.75" hidden="false" customHeight="false" outlineLevel="0" collapsed="false">
      <c r="A650" s="458"/>
    </row>
    <row r="651" customFormat="false" ht="12.75" hidden="false" customHeight="false" outlineLevel="0" collapsed="false">
      <c r="A651" s="458"/>
    </row>
    <row r="652" customFormat="false" ht="12.75" hidden="false" customHeight="false" outlineLevel="0" collapsed="false">
      <c r="A652" s="458"/>
    </row>
    <row r="653" customFormat="false" ht="12.75" hidden="false" customHeight="false" outlineLevel="0" collapsed="false">
      <c r="A653" s="458"/>
    </row>
    <row r="654" customFormat="false" ht="12.75" hidden="false" customHeight="false" outlineLevel="0" collapsed="false">
      <c r="A654" s="458"/>
    </row>
    <row r="655" customFormat="false" ht="12.75" hidden="false" customHeight="false" outlineLevel="0" collapsed="false">
      <c r="A655" s="458"/>
    </row>
    <row r="656" customFormat="false" ht="12.75" hidden="false" customHeight="false" outlineLevel="0" collapsed="false">
      <c r="A656" s="458"/>
    </row>
    <row r="657" customFormat="false" ht="12.75" hidden="false" customHeight="false" outlineLevel="0" collapsed="false">
      <c r="A657" s="458"/>
    </row>
    <row r="658" customFormat="false" ht="12.75" hidden="false" customHeight="false" outlineLevel="0" collapsed="false">
      <c r="A658" s="458"/>
    </row>
    <row r="659" customFormat="false" ht="12.75" hidden="false" customHeight="false" outlineLevel="0" collapsed="false">
      <c r="A659" s="458"/>
    </row>
    <row r="660" customFormat="false" ht="12.75" hidden="false" customHeight="false" outlineLevel="0" collapsed="false">
      <c r="A660" s="458"/>
    </row>
    <row r="661" customFormat="false" ht="12.75" hidden="false" customHeight="false" outlineLevel="0" collapsed="false">
      <c r="A661" s="458"/>
    </row>
    <row r="662" customFormat="false" ht="12.75" hidden="false" customHeight="false" outlineLevel="0" collapsed="false">
      <c r="A662" s="458"/>
    </row>
    <row r="663" customFormat="false" ht="12.75" hidden="false" customHeight="false" outlineLevel="0" collapsed="false">
      <c r="A663" s="458"/>
    </row>
    <row r="664" customFormat="false" ht="12.75" hidden="false" customHeight="false" outlineLevel="0" collapsed="false">
      <c r="A664" s="458"/>
    </row>
    <row r="665" customFormat="false" ht="12.75" hidden="false" customHeight="false" outlineLevel="0" collapsed="false">
      <c r="A665" s="458"/>
    </row>
    <row r="666" customFormat="false" ht="12.75" hidden="false" customHeight="false" outlineLevel="0" collapsed="false">
      <c r="A666" s="458"/>
    </row>
    <row r="667" customFormat="false" ht="12.75" hidden="false" customHeight="false" outlineLevel="0" collapsed="false">
      <c r="A667" s="458"/>
    </row>
    <row r="668" customFormat="false" ht="12.75" hidden="false" customHeight="false" outlineLevel="0" collapsed="false">
      <c r="A668" s="458"/>
    </row>
    <row r="669" customFormat="false" ht="12.75" hidden="false" customHeight="false" outlineLevel="0" collapsed="false">
      <c r="A669" s="458"/>
    </row>
    <row r="670" customFormat="false" ht="12.75" hidden="false" customHeight="false" outlineLevel="0" collapsed="false">
      <c r="A670" s="458"/>
    </row>
    <row r="671" customFormat="false" ht="12.75" hidden="false" customHeight="false" outlineLevel="0" collapsed="false">
      <c r="A671" s="458"/>
    </row>
    <row r="672" customFormat="false" ht="12.75" hidden="false" customHeight="false" outlineLevel="0" collapsed="false">
      <c r="A672" s="458"/>
    </row>
    <row r="673" customFormat="false" ht="12.75" hidden="false" customHeight="false" outlineLevel="0" collapsed="false">
      <c r="A673" s="458"/>
    </row>
    <row r="674" customFormat="false" ht="12.75" hidden="false" customHeight="false" outlineLevel="0" collapsed="false">
      <c r="A674" s="458"/>
    </row>
    <row r="675" customFormat="false" ht="12.75" hidden="false" customHeight="false" outlineLevel="0" collapsed="false">
      <c r="A675" s="458"/>
    </row>
    <row r="676" customFormat="false" ht="12.75" hidden="false" customHeight="false" outlineLevel="0" collapsed="false">
      <c r="A676" s="458"/>
    </row>
    <row r="677" customFormat="false" ht="12.75" hidden="false" customHeight="false" outlineLevel="0" collapsed="false">
      <c r="A677" s="458"/>
    </row>
    <row r="678" customFormat="false" ht="12.75" hidden="false" customHeight="false" outlineLevel="0" collapsed="false">
      <c r="A678" s="458"/>
    </row>
    <row r="679" customFormat="false" ht="12.75" hidden="false" customHeight="false" outlineLevel="0" collapsed="false">
      <c r="A679" s="458"/>
    </row>
    <row r="680" customFormat="false" ht="12.75" hidden="false" customHeight="false" outlineLevel="0" collapsed="false">
      <c r="A680" s="458"/>
    </row>
    <row r="681" customFormat="false" ht="12.75" hidden="false" customHeight="false" outlineLevel="0" collapsed="false">
      <c r="A681" s="458"/>
    </row>
    <row r="682" customFormat="false" ht="12.75" hidden="false" customHeight="false" outlineLevel="0" collapsed="false">
      <c r="A682" s="458"/>
    </row>
    <row r="683" customFormat="false" ht="12.75" hidden="false" customHeight="false" outlineLevel="0" collapsed="false">
      <c r="A683" s="458"/>
    </row>
    <row r="684" customFormat="false" ht="12.75" hidden="false" customHeight="false" outlineLevel="0" collapsed="false">
      <c r="A684" s="458"/>
    </row>
    <row r="685" customFormat="false" ht="12.75" hidden="false" customHeight="false" outlineLevel="0" collapsed="false">
      <c r="A685" s="458"/>
    </row>
    <row r="686" customFormat="false" ht="12.75" hidden="false" customHeight="false" outlineLevel="0" collapsed="false">
      <c r="A686" s="458"/>
    </row>
    <row r="687" customFormat="false" ht="12.75" hidden="false" customHeight="false" outlineLevel="0" collapsed="false">
      <c r="A687" s="458"/>
    </row>
    <row r="688" customFormat="false" ht="12.75" hidden="false" customHeight="false" outlineLevel="0" collapsed="false">
      <c r="A688" s="458"/>
    </row>
    <row r="689" customFormat="false" ht="12.75" hidden="false" customHeight="false" outlineLevel="0" collapsed="false">
      <c r="A689" s="458"/>
    </row>
    <row r="690" customFormat="false" ht="12.75" hidden="false" customHeight="false" outlineLevel="0" collapsed="false">
      <c r="A690" s="458"/>
    </row>
    <row r="691" customFormat="false" ht="12.75" hidden="false" customHeight="false" outlineLevel="0" collapsed="false">
      <c r="A691" s="458"/>
    </row>
    <row r="692" customFormat="false" ht="12.75" hidden="false" customHeight="false" outlineLevel="0" collapsed="false">
      <c r="A692" s="458"/>
    </row>
    <row r="693" customFormat="false" ht="12.75" hidden="false" customHeight="false" outlineLevel="0" collapsed="false">
      <c r="A693" s="458"/>
    </row>
    <row r="694" customFormat="false" ht="12.75" hidden="false" customHeight="false" outlineLevel="0" collapsed="false">
      <c r="A694" s="458"/>
    </row>
    <row r="695" customFormat="false" ht="12.75" hidden="false" customHeight="false" outlineLevel="0" collapsed="false">
      <c r="A695" s="458"/>
    </row>
    <row r="696" customFormat="false" ht="12.75" hidden="false" customHeight="false" outlineLevel="0" collapsed="false">
      <c r="A696" s="458"/>
    </row>
    <row r="697" customFormat="false" ht="12.75" hidden="false" customHeight="false" outlineLevel="0" collapsed="false">
      <c r="A697" s="458"/>
    </row>
    <row r="698" customFormat="false" ht="12.75" hidden="false" customHeight="false" outlineLevel="0" collapsed="false">
      <c r="A698" s="458"/>
    </row>
    <row r="699" customFormat="false" ht="12.75" hidden="false" customHeight="false" outlineLevel="0" collapsed="false">
      <c r="A699" s="458"/>
    </row>
    <row r="700" customFormat="false" ht="12.75" hidden="false" customHeight="false" outlineLevel="0" collapsed="false">
      <c r="A700" s="458"/>
    </row>
    <row r="701" customFormat="false" ht="12.75" hidden="false" customHeight="false" outlineLevel="0" collapsed="false">
      <c r="A701" s="458"/>
    </row>
    <row r="702" customFormat="false" ht="12.75" hidden="false" customHeight="false" outlineLevel="0" collapsed="false">
      <c r="A702" s="458"/>
    </row>
    <row r="703" customFormat="false" ht="12.75" hidden="false" customHeight="false" outlineLevel="0" collapsed="false">
      <c r="A703" s="458"/>
    </row>
    <row r="704" customFormat="false" ht="12.75" hidden="false" customHeight="false" outlineLevel="0" collapsed="false">
      <c r="A704" s="458"/>
    </row>
    <row r="705" customFormat="false" ht="12.75" hidden="false" customHeight="false" outlineLevel="0" collapsed="false">
      <c r="A705" s="458"/>
    </row>
    <row r="706" customFormat="false" ht="12.75" hidden="false" customHeight="false" outlineLevel="0" collapsed="false">
      <c r="A706" s="458"/>
    </row>
    <row r="707" customFormat="false" ht="12.75" hidden="false" customHeight="false" outlineLevel="0" collapsed="false">
      <c r="A707" s="458"/>
    </row>
    <row r="708" customFormat="false" ht="12.75" hidden="false" customHeight="false" outlineLevel="0" collapsed="false">
      <c r="A708" s="458"/>
    </row>
    <row r="709" customFormat="false" ht="12.75" hidden="false" customHeight="false" outlineLevel="0" collapsed="false">
      <c r="A709" s="458"/>
    </row>
    <row r="710" customFormat="false" ht="12.75" hidden="false" customHeight="false" outlineLevel="0" collapsed="false">
      <c r="A710" s="458"/>
    </row>
    <row r="711" customFormat="false" ht="12.75" hidden="false" customHeight="false" outlineLevel="0" collapsed="false">
      <c r="A711" s="458"/>
    </row>
    <row r="712" customFormat="false" ht="12.75" hidden="false" customHeight="false" outlineLevel="0" collapsed="false">
      <c r="A712" s="458"/>
    </row>
    <row r="713" customFormat="false" ht="12.75" hidden="false" customHeight="false" outlineLevel="0" collapsed="false">
      <c r="A713" s="458"/>
    </row>
    <row r="714" customFormat="false" ht="12.75" hidden="false" customHeight="false" outlineLevel="0" collapsed="false">
      <c r="A714" s="458"/>
    </row>
    <row r="715" customFormat="false" ht="12.75" hidden="false" customHeight="false" outlineLevel="0" collapsed="false">
      <c r="A715" s="458"/>
    </row>
    <row r="716" customFormat="false" ht="12.75" hidden="false" customHeight="false" outlineLevel="0" collapsed="false">
      <c r="A716" s="458"/>
    </row>
    <row r="717" customFormat="false" ht="12.75" hidden="false" customHeight="false" outlineLevel="0" collapsed="false">
      <c r="A717" s="458"/>
    </row>
    <row r="718" customFormat="false" ht="12.75" hidden="false" customHeight="false" outlineLevel="0" collapsed="false">
      <c r="A718" s="458"/>
    </row>
    <row r="719" customFormat="false" ht="12.75" hidden="false" customHeight="false" outlineLevel="0" collapsed="false">
      <c r="A719" s="458"/>
    </row>
    <row r="720" customFormat="false" ht="12.75" hidden="false" customHeight="false" outlineLevel="0" collapsed="false">
      <c r="A720" s="458"/>
    </row>
    <row r="721" customFormat="false" ht="12.75" hidden="false" customHeight="false" outlineLevel="0" collapsed="false">
      <c r="A721" s="458"/>
    </row>
    <row r="722" customFormat="false" ht="12.75" hidden="false" customHeight="false" outlineLevel="0" collapsed="false">
      <c r="A722" s="458"/>
    </row>
    <row r="723" customFormat="false" ht="12.75" hidden="false" customHeight="false" outlineLevel="0" collapsed="false">
      <c r="A723" s="458"/>
    </row>
    <row r="724" customFormat="false" ht="12.75" hidden="false" customHeight="false" outlineLevel="0" collapsed="false">
      <c r="A724" s="458"/>
    </row>
    <row r="725" customFormat="false" ht="12.75" hidden="false" customHeight="false" outlineLevel="0" collapsed="false">
      <c r="A725" s="458"/>
    </row>
    <row r="726" customFormat="false" ht="12.75" hidden="false" customHeight="false" outlineLevel="0" collapsed="false">
      <c r="A726" s="458"/>
    </row>
    <row r="727" customFormat="false" ht="12.75" hidden="false" customHeight="false" outlineLevel="0" collapsed="false">
      <c r="A727" s="458"/>
    </row>
    <row r="728" customFormat="false" ht="12.75" hidden="false" customHeight="false" outlineLevel="0" collapsed="false">
      <c r="A728" s="458"/>
    </row>
    <row r="729" customFormat="false" ht="12.75" hidden="false" customHeight="false" outlineLevel="0" collapsed="false">
      <c r="A729" s="458"/>
    </row>
    <row r="730" customFormat="false" ht="12.75" hidden="false" customHeight="false" outlineLevel="0" collapsed="false">
      <c r="A730" s="458"/>
    </row>
    <row r="731" customFormat="false" ht="12.75" hidden="false" customHeight="false" outlineLevel="0" collapsed="false">
      <c r="A731" s="458"/>
    </row>
    <row r="732" customFormat="false" ht="12.75" hidden="false" customHeight="false" outlineLevel="0" collapsed="false">
      <c r="A732" s="458"/>
    </row>
    <row r="733" customFormat="false" ht="12.75" hidden="false" customHeight="false" outlineLevel="0" collapsed="false">
      <c r="A733" s="458"/>
    </row>
    <row r="734" customFormat="false" ht="12.75" hidden="false" customHeight="false" outlineLevel="0" collapsed="false">
      <c r="A734" s="458"/>
    </row>
    <row r="735" customFormat="false" ht="12.75" hidden="false" customHeight="false" outlineLevel="0" collapsed="false">
      <c r="A735" s="458"/>
    </row>
    <row r="736" customFormat="false" ht="12.75" hidden="false" customHeight="false" outlineLevel="0" collapsed="false">
      <c r="A736" s="458"/>
    </row>
    <row r="737" customFormat="false" ht="12.75" hidden="false" customHeight="false" outlineLevel="0" collapsed="false">
      <c r="A737" s="458"/>
    </row>
    <row r="738" customFormat="false" ht="12.75" hidden="false" customHeight="false" outlineLevel="0" collapsed="false">
      <c r="A738" s="458"/>
    </row>
    <row r="739" customFormat="false" ht="12.75" hidden="false" customHeight="false" outlineLevel="0" collapsed="false">
      <c r="A739" s="458"/>
    </row>
    <row r="740" customFormat="false" ht="12.75" hidden="false" customHeight="false" outlineLevel="0" collapsed="false">
      <c r="A740" s="458"/>
    </row>
    <row r="741" customFormat="false" ht="12.75" hidden="false" customHeight="false" outlineLevel="0" collapsed="false">
      <c r="A741" s="458"/>
    </row>
    <row r="742" customFormat="false" ht="12.75" hidden="false" customHeight="false" outlineLevel="0" collapsed="false">
      <c r="A742" s="458"/>
    </row>
    <row r="743" customFormat="false" ht="12.75" hidden="false" customHeight="false" outlineLevel="0" collapsed="false">
      <c r="A743" s="458"/>
    </row>
    <row r="744" customFormat="false" ht="12.75" hidden="false" customHeight="false" outlineLevel="0" collapsed="false">
      <c r="A744" s="458"/>
    </row>
    <row r="745" customFormat="false" ht="12.75" hidden="false" customHeight="false" outlineLevel="0" collapsed="false">
      <c r="A745" s="458"/>
    </row>
    <row r="746" customFormat="false" ht="12.75" hidden="false" customHeight="false" outlineLevel="0" collapsed="false">
      <c r="A746" s="458"/>
    </row>
    <row r="747" customFormat="false" ht="12.75" hidden="false" customHeight="false" outlineLevel="0" collapsed="false">
      <c r="A747" s="458"/>
    </row>
    <row r="748" customFormat="false" ht="12.75" hidden="false" customHeight="false" outlineLevel="0" collapsed="false">
      <c r="A748" s="458"/>
    </row>
    <row r="749" customFormat="false" ht="12.75" hidden="false" customHeight="false" outlineLevel="0" collapsed="false">
      <c r="A749" s="458"/>
    </row>
    <row r="750" customFormat="false" ht="12.75" hidden="false" customHeight="false" outlineLevel="0" collapsed="false">
      <c r="A750" s="458"/>
    </row>
    <row r="751" customFormat="false" ht="12.75" hidden="false" customHeight="false" outlineLevel="0" collapsed="false">
      <c r="A751" s="458"/>
    </row>
    <row r="752" customFormat="false" ht="12.75" hidden="false" customHeight="false" outlineLevel="0" collapsed="false">
      <c r="A752" s="458"/>
    </row>
    <row r="753" customFormat="false" ht="12.75" hidden="false" customHeight="false" outlineLevel="0" collapsed="false">
      <c r="A753" s="458"/>
    </row>
    <row r="754" customFormat="false" ht="12.75" hidden="false" customHeight="false" outlineLevel="0" collapsed="false">
      <c r="A754" s="458"/>
    </row>
    <row r="755" customFormat="false" ht="12.75" hidden="false" customHeight="false" outlineLevel="0" collapsed="false">
      <c r="A755" s="458"/>
    </row>
    <row r="756" customFormat="false" ht="12.75" hidden="false" customHeight="false" outlineLevel="0" collapsed="false">
      <c r="A756" s="458"/>
    </row>
    <row r="757" customFormat="false" ht="12.75" hidden="false" customHeight="false" outlineLevel="0" collapsed="false">
      <c r="A757" s="458"/>
    </row>
    <row r="758" customFormat="false" ht="12.75" hidden="false" customHeight="false" outlineLevel="0" collapsed="false">
      <c r="A758" s="458"/>
    </row>
    <row r="759" customFormat="false" ht="12.75" hidden="false" customHeight="false" outlineLevel="0" collapsed="false">
      <c r="A759" s="458"/>
    </row>
    <row r="760" customFormat="false" ht="12.75" hidden="false" customHeight="false" outlineLevel="0" collapsed="false">
      <c r="A760" s="458"/>
    </row>
    <row r="761" customFormat="false" ht="12.75" hidden="false" customHeight="false" outlineLevel="0" collapsed="false">
      <c r="A761" s="458"/>
    </row>
    <row r="762" customFormat="false" ht="12.75" hidden="false" customHeight="false" outlineLevel="0" collapsed="false">
      <c r="A762" s="458"/>
    </row>
    <row r="763" customFormat="false" ht="12.75" hidden="false" customHeight="false" outlineLevel="0" collapsed="false">
      <c r="A763" s="458"/>
    </row>
    <row r="764" customFormat="false" ht="12.75" hidden="false" customHeight="false" outlineLevel="0" collapsed="false">
      <c r="A764" s="458"/>
    </row>
    <row r="765" customFormat="false" ht="12.75" hidden="false" customHeight="false" outlineLevel="0" collapsed="false">
      <c r="A765" s="458"/>
    </row>
    <row r="766" customFormat="false" ht="12.75" hidden="false" customHeight="false" outlineLevel="0" collapsed="false">
      <c r="A766" s="458"/>
    </row>
    <row r="767" customFormat="false" ht="12.75" hidden="false" customHeight="false" outlineLevel="0" collapsed="false">
      <c r="A767" s="458"/>
    </row>
    <row r="768" customFormat="false" ht="12.75" hidden="false" customHeight="false" outlineLevel="0" collapsed="false">
      <c r="A768" s="458"/>
    </row>
    <row r="769" customFormat="false" ht="12.75" hidden="false" customHeight="false" outlineLevel="0" collapsed="false">
      <c r="A769" s="458"/>
    </row>
    <row r="770" customFormat="false" ht="12.75" hidden="false" customHeight="false" outlineLevel="0" collapsed="false">
      <c r="A770" s="458"/>
    </row>
    <row r="771" customFormat="false" ht="12.75" hidden="false" customHeight="false" outlineLevel="0" collapsed="false">
      <c r="A771" s="458"/>
    </row>
    <row r="772" customFormat="false" ht="12.75" hidden="false" customHeight="false" outlineLevel="0" collapsed="false">
      <c r="A772" s="458"/>
    </row>
    <row r="773" customFormat="false" ht="12.75" hidden="false" customHeight="false" outlineLevel="0" collapsed="false">
      <c r="A773" s="458"/>
    </row>
    <row r="774" customFormat="false" ht="12.75" hidden="false" customHeight="false" outlineLevel="0" collapsed="false">
      <c r="A774" s="458"/>
    </row>
    <row r="775" customFormat="false" ht="12.75" hidden="false" customHeight="false" outlineLevel="0" collapsed="false">
      <c r="A775" s="458"/>
    </row>
    <row r="776" customFormat="false" ht="12.75" hidden="false" customHeight="false" outlineLevel="0" collapsed="false">
      <c r="A776" s="458"/>
    </row>
    <row r="777" customFormat="false" ht="12.75" hidden="false" customHeight="false" outlineLevel="0" collapsed="false">
      <c r="A777" s="458"/>
    </row>
    <row r="778" customFormat="false" ht="12.75" hidden="false" customHeight="false" outlineLevel="0" collapsed="false">
      <c r="A778" s="458"/>
    </row>
    <row r="779" customFormat="false" ht="12.75" hidden="false" customHeight="false" outlineLevel="0" collapsed="false">
      <c r="A779" s="458"/>
    </row>
    <row r="780" customFormat="false" ht="12.75" hidden="false" customHeight="false" outlineLevel="0" collapsed="false">
      <c r="A780" s="458"/>
    </row>
    <row r="781" customFormat="false" ht="12.75" hidden="false" customHeight="false" outlineLevel="0" collapsed="false">
      <c r="A781" s="458"/>
    </row>
    <row r="782" customFormat="false" ht="12.75" hidden="false" customHeight="false" outlineLevel="0" collapsed="false">
      <c r="A782" s="458"/>
    </row>
    <row r="783" customFormat="false" ht="12.75" hidden="false" customHeight="false" outlineLevel="0" collapsed="false">
      <c r="A783" s="458"/>
    </row>
    <row r="784" customFormat="false" ht="12.75" hidden="false" customHeight="false" outlineLevel="0" collapsed="false">
      <c r="A784" s="458"/>
    </row>
    <row r="785" customFormat="false" ht="12.75" hidden="false" customHeight="false" outlineLevel="0" collapsed="false">
      <c r="A785" s="458"/>
    </row>
    <row r="786" customFormat="false" ht="12.75" hidden="false" customHeight="false" outlineLevel="0" collapsed="false">
      <c r="A786" s="458"/>
    </row>
    <row r="787" customFormat="false" ht="12.75" hidden="false" customHeight="false" outlineLevel="0" collapsed="false">
      <c r="A787" s="458"/>
    </row>
    <row r="788" customFormat="false" ht="12.75" hidden="false" customHeight="false" outlineLevel="0" collapsed="false">
      <c r="A788" s="458"/>
    </row>
    <row r="789" customFormat="false" ht="12.75" hidden="false" customHeight="false" outlineLevel="0" collapsed="false">
      <c r="A789" s="458"/>
    </row>
    <row r="790" customFormat="false" ht="12.75" hidden="false" customHeight="false" outlineLevel="0" collapsed="false">
      <c r="A790" s="458"/>
    </row>
    <row r="791" customFormat="false" ht="12.75" hidden="false" customHeight="false" outlineLevel="0" collapsed="false">
      <c r="A791" s="458"/>
    </row>
    <row r="792" customFormat="false" ht="12.75" hidden="false" customHeight="false" outlineLevel="0" collapsed="false">
      <c r="A792" s="458"/>
    </row>
    <row r="793" customFormat="false" ht="12.75" hidden="false" customHeight="false" outlineLevel="0" collapsed="false">
      <c r="A793" s="458"/>
    </row>
    <row r="794" customFormat="false" ht="12.75" hidden="false" customHeight="false" outlineLevel="0" collapsed="false">
      <c r="A794" s="458"/>
    </row>
    <row r="795" customFormat="false" ht="12.75" hidden="false" customHeight="false" outlineLevel="0" collapsed="false">
      <c r="A795" s="458"/>
    </row>
    <row r="796" customFormat="false" ht="12.75" hidden="false" customHeight="false" outlineLevel="0" collapsed="false">
      <c r="A796" s="458"/>
    </row>
    <row r="797" customFormat="false" ht="12.75" hidden="false" customHeight="false" outlineLevel="0" collapsed="false">
      <c r="A797" s="458"/>
    </row>
    <row r="798" customFormat="false" ht="12.75" hidden="false" customHeight="false" outlineLevel="0" collapsed="false">
      <c r="A798" s="458"/>
    </row>
    <row r="799" customFormat="false" ht="12.75" hidden="false" customHeight="false" outlineLevel="0" collapsed="false">
      <c r="A799" s="458"/>
    </row>
    <row r="800" customFormat="false" ht="12.75" hidden="false" customHeight="false" outlineLevel="0" collapsed="false">
      <c r="A800" s="458"/>
    </row>
    <row r="801" customFormat="false" ht="12.75" hidden="false" customHeight="false" outlineLevel="0" collapsed="false">
      <c r="A801" s="458"/>
    </row>
    <row r="802" customFormat="false" ht="12.75" hidden="false" customHeight="false" outlineLevel="0" collapsed="false">
      <c r="A802" s="458"/>
    </row>
    <row r="803" customFormat="false" ht="12.75" hidden="false" customHeight="false" outlineLevel="0" collapsed="false">
      <c r="A803" s="458"/>
    </row>
    <row r="804" customFormat="false" ht="12.75" hidden="false" customHeight="false" outlineLevel="0" collapsed="false">
      <c r="A804" s="458"/>
    </row>
    <row r="805" customFormat="false" ht="12.75" hidden="false" customHeight="false" outlineLevel="0" collapsed="false">
      <c r="A805" s="458"/>
    </row>
    <row r="806" customFormat="false" ht="12.75" hidden="false" customHeight="false" outlineLevel="0" collapsed="false">
      <c r="A806" s="458"/>
    </row>
    <row r="807" customFormat="false" ht="12.75" hidden="false" customHeight="false" outlineLevel="0" collapsed="false">
      <c r="A807" s="458"/>
    </row>
    <row r="808" customFormat="false" ht="12.75" hidden="false" customHeight="false" outlineLevel="0" collapsed="false">
      <c r="A808" s="458"/>
    </row>
    <row r="809" customFormat="false" ht="12.75" hidden="false" customHeight="false" outlineLevel="0" collapsed="false">
      <c r="A809" s="458"/>
    </row>
    <row r="810" customFormat="false" ht="12.75" hidden="false" customHeight="false" outlineLevel="0" collapsed="false">
      <c r="A810" s="458"/>
    </row>
    <row r="811" customFormat="false" ht="12.75" hidden="false" customHeight="false" outlineLevel="0" collapsed="false">
      <c r="A811" s="458"/>
    </row>
    <row r="812" customFormat="false" ht="12.75" hidden="false" customHeight="false" outlineLevel="0" collapsed="false">
      <c r="A812" s="458"/>
    </row>
    <row r="813" customFormat="false" ht="12.75" hidden="false" customHeight="false" outlineLevel="0" collapsed="false">
      <c r="A813" s="458"/>
    </row>
    <row r="814" customFormat="false" ht="12.75" hidden="false" customHeight="false" outlineLevel="0" collapsed="false">
      <c r="A814" s="458"/>
    </row>
    <row r="815" customFormat="false" ht="12.75" hidden="false" customHeight="false" outlineLevel="0" collapsed="false">
      <c r="A815" s="458"/>
    </row>
    <row r="816" customFormat="false" ht="12.75" hidden="false" customHeight="false" outlineLevel="0" collapsed="false">
      <c r="A816" s="458"/>
    </row>
    <row r="817" customFormat="false" ht="12.75" hidden="false" customHeight="false" outlineLevel="0" collapsed="false">
      <c r="A817" s="458"/>
    </row>
    <row r="818" customFormat="false" ht="12.75" hidden="false" customHeight="false" outlineLevel="0" collapsed="false">
      <c r="A818" s="458"/>
    </row>
    <row r="819" customFormat="false" ht="12.75" hidden="false" customHeight="false" outlineLevel="0" collapsed="false">
      <c r="A819" s="458"/>
    </row>
    <row r="820" customFormat="false" ht="12.75" hidden="false" customHeight="false" outlineLevel="0" collapsed="false">
      <c r="A820" s="458"/>
    </row>
    <row r="821" customFormat="false" ht="12.75" hidden="false" customHeight="false" outlineLevel="0" collapsed="false">
      <c r="A821" s="458"/>
    </row>
    <row r="822" customFormat="false" ht="12.75" hidden="false" customHeight="false" outlineLevel="0" collapsed="false">
      <c r="A822" s="458"/>
    </row>
    <row r="823" customFormat="false" ht="12.75" hidden="false" customHeight="false" outlineLevel="0" collapsed="false">
      <c r="A823" s="458"/>
    </row>
    <row r="824" customFormat="false" ht="12.75" hidden="false" customHeight="false" outlineLevel="0" collapsed="false">
      <c r="A824" s="458"/>
    </row>
    <row r="825" customFormat="false" ht="12.75" hidden="false" customHeight="false" outlineLevel="0" collapsed="false">
      <c r="A825" s="458"/>
    </row>
    <row r="826" customFormat="false" ht="12.75" hidden="false" customHeight="false" outlineLevel="0" collapsed="false">
      <c r="A826" s="458"/>
    </row>
    <row r="827" customFormat="false" ht="12.75" hidden="false" customHeight="false" outlineLevel="0" collapsed="false">
      <c r="A827" s="458"/>
    </row>
    <row r="828" customFormat="false" ht="12.75" hidden="false" customHeight="false" outlineLevel="0" collapsed="false">
      <c r="A828" s="458"/>
    </row>
    <row r="829" customFormat="false" ht="12.75" hidden="false" customHeight="false" outlineLevel="0" collapsed="false">
      <c r="A829" s="458"/>
    </row>
    <row r="830" customFormat="false" ht="12.75" hidden="false" customHeight="false" outlineLevel="0" collapsed="false">
      <c r="A830" s="458"/>
    </row>
    <row r="831" customFormat="false" ht="12.75" hidden="false" customHeight="false" outlineLevel="0" collapsed="false">
      <c r="A831" s="458"/>
    </row>
    <row r="832" customFormat="false" ht="12.75" hidden="false" customHeight="false" outlineLevel="0" collapsed="false">
      <c r="A832" s="458"/>
    </row>
    <row r="833" customFormat="false" ht="12.75" hidden="false" customHeight="false" outlineLevel="0" collapsed="false">
      <c r="A833" s="458"/>
    </row>
    <row r="834" customFormat="false" ht="12.75" hidden="false" customHeight="false" outlineLevel="0" collapsed="false">
      <c r="A834" s="458"/>
    </row>
    <row r="835" customFormat="false" ht="12.75" hidden="false" customHeight="false" outlineLevel="0" collapsed="false">
      <c r="A835" s="458"/>
    </row>
    <row r="836" customFormat="false" ht="12.75" hidden="false" customHeight="false" outlineLevel="0" collapsed="false">
      <c r="A836" s="458"/>
    </row>
    <row r="837" customFormat="false" ht="12.75" hidden="false" customHeight="false" outlineLevel="0" collapsed="false">
      <c r="A837" s="458"/>
    </row>
    <row r="838" customFormat="false" ht="12.75" hidden="false" customHeight="false" outlineLevel="0" collapsed="false">
      <c r="A838" s="458"/>
    </row>
    <row r="839" customFormat="false" ht="12.75" hidden="false" customHeight="false" outlineLevel="0" collapsed="false">
      <c r="A839" s="458"/>
    </row>
    <row r="840" customFormat="false" ht="12.75" hidden="false" customHeight="false" outlineLevel="0" collapsed="false">
      <c r="A840" s="458"/>
    </row>
    <row r="841" customFormat="false" ht="12.75" hidden="false" customHeight="false" outlineLevel="0" collapsed="false">
      <c r="A841" s="458"/>
    </row>
    <row r="842" customFormat="false" ht="12.75" hidden="false" customHeight="false" outlineLevel="0" collapsed="false">
      <c r="A842" s="458"/>
    </row>
    <row r="843" customFormat="false" ht="12.75" hidden="false" customHeight="false" outlineLevel="0" collapsed="false">
      <c r="A843" s="458"/>
    </row>
    <row r="844" customFormat="false" ht="12.75" hidden="false" customHeight="false" outlineLevel="0" collapsed="false">
      <c r="A844" s="458"/>
    </row>
    <row r="845" customFormat="false" ht="12.75" hidden="false" customHeight="false" outlineLevel="0" collapsed="false">
      <c r="A845" s="458"/>
    </row>
    <row r="846" customFormat="false" ht="12.75" hidden="false" customHeight="false" outlineLevel="0" collapsed="false">
      <c r="A846" s="458"/>
    </row>
    <row r="847" customFormat="false" ht="12.75" hidden="false" customHeight="false" outlineLevel="0" collapsed="false">
      <c r="A847" s="458"/>
    </row>
    <row r="848" customFormat="false" ht="12.75" hidden="false" customHeight="false" outlineLevel="0" collapsed="false">
      <c r="A848" s="458"/>
    </row>
    <row r="849" customFormat="false" ht="12.75" hidden="false" customHeight="false" outlineLevel="0" collapsed="false">
      <c r="A849" s="458"/>
    </row>
    <row r="850" customFormat="false" ht="12.75" hidden="false" customHeight="false" outlineLevel="0" collapsed="false">
      <c r="A850" s="458"/>
    </row>
    <row r="851" customFormat="false" ht="12.75" hidden="false" customHeight="false" outlineLevel="0" collapsed="false">
      <c r="A851" s="458"/>
    </row>
    <row r="852" customFormat="false" ht="12.75" hidden="false" customHeight="false" outlineLevel="0" collapsed="false">
      <c r="A852" s="458"/>
    </row>
    <row r="853" customFormat="false" ht="12.75" hidden="false" customHeight="false" outlineLevel="0" collapsed="false">
      <c r="A853" s="458"/>
    </row>
    <row r="854" customFormat="false" ht="12.75" hidden="false" customHeight="false" outlineLevel="0" collapsed="false">
      <c r="A854" s="458"/>
    </row>
    <row r="855" customFormat="false" ht="12.75" hidden="false" customHeight="false" outlineLevel="0" collapsed="false">
      <c r="A855" s="458"/>
    </row>
    <row r="856" customFormat="false" ht="12.75" hidden="false" customHeight="false" outlineLevel="0" collapsed="false">
      <c r="A856" s="458"/>
    </row>
    <row r="857" customFormat="false" ht="12.75" hidden="false" customHeight="false" outlineLevel="0" collapsed="false">
      <c r="A857" s="458"/>
    </row>
    <row r="858" customFormat="false" ht="12.75" hidden="false" customHeight="false" outlineLevel="0" collapsed="false">
      <c r="A858" s="458"/>
    </row>
    <row r="859" customFormat="false" ht="12.75" hidden="false" customHeight="false" outlineLevel="0" collapsed="false">
      <c r="A859" s="458"/>
    </row>
    <row r="860" customFormat="false" ht="12.75" hidden="false" customHeight="false" outlineLevel="0" collapsed="false">
      <c r="A860" s="458"/>
    </row>
    <row r="861" customFormat="false" ht="12.75" hidden="false" customHeight="false" outlineLevel="0" collapsed="false">
      <c r="A861" s="458"/>
    </row>
    <row r="862" customFormat="false" ht="12.75" hidden="false" customHeight="false" outlineLevel="0" collapsed="false">
      <c r="A862" s="458"/>
    </row>
    <row r="863" customFormat="false" ht="12.75" hidden="false" customHeight="false" outlineLevel="0" collapsed="false">
      <c r="A863" s="458"/>
    </row>
    <row r="864" customFormat="false" ht="12.75" hidden="false" customHeight="false" outlineLevel="0" collapsed="false">
      <c r="A864" s="458"/>
    </row>
    <row r="865" customFormat="false" ht="12.75" hidden="false" customHeight="false" outlineLevel="0" collapsed="false">
      <c r="A865" s="458"/>
    </row>
    <row r="866" customFormat="false" ht="12.75" hidden="false" customHeight="false" outlineLevel="0" collapsed="false">
      <c r="A866" s="458"/>
    </row>
    <row r="867" customFormat="false" ht="12.75" hidden="false" customHeight="false" outlineLevel="0" collapsed="false">
      <c r="A867" s="458"/>
    </row>
    <row r="868" customFormat="false" ht="12.75" hidden="false" customHeight="false" outlineLevel="0" collapsed="false">
      <c r="A868" s="458"/>
    </row>
    <row r="869" customFormat="false" ht="12.75" hidden="false" customHeight="false" outlineLevel="0" collapsed="false">
      <c r="A869" s="458"/>
    </row>
    <row r="870" customFormat="false" ht="12.75" hidden="false" customHeight="false" outlineLevel="0" collapsed="false">
      <c r="A870" s="458"/>
    </row>
    <row r="871" customFormat="false" ht="12.75" hidden="false" customHeight="false" outlineLevel="0" collapsed="false">
      <c r="A871" s="458"/>
    </row>
    <row r="872" customFormat="false" ht="12.75" hidden="false" customHeight="false" outlineLevel="0" collapsed="false">
      <c r="A872" s="458"/>
    </row>
    <row r="873" customFormat="false" ht="12.75" hidden="false" customHeight="false" outlineLevel="0" collapsed="false">
      <c r="A873" s="458"/>
    </row>
    <row r="874" customFormat="false" ht="12.75" hidden="false" customHeight="false" outlineLevel="0" collapsed="false">
      <c r="A874" s="458"/>
    </row>
    <row r="875" customFormat="false" ht="12.75" hidden="false" customHeight="false" outlineLevel="0" collapsed="false">
      <c r="A875" s="458"/>
    </row>
    <row r="876" customFormat="false" ht="12.75" hidden="false" customHeight="false" outlineLevel="0" collapsed="false">
      <c r="A876" s="458"/>
    </row>
    <row r="877" customFormat="false" ht="12.75" hidden="false" customHeight="false" outlineLevel="0" collapsed="false">
      <c r="A877" s="458"/>
    </row>
    <row r="878" customFormat="false" ht="12.75" hidden="false" customHeight="false" outlineLevel="0" collapsed="false">
      <c r="A878" s="458"/>
    </row>
    <row r="879" customFormat="false" ht="12.75" hidden="false" customHeight="false" outlineLevel="0" collapsed="false">
      <c r="A879" s="458"/>
    </row>
    <row r="880" customFormat="false" ht="12.75" hidden="false" customHeight="false" outlineLevel="0" collapsed="false">
      <c r="A880" s="458"/>
    </row>
    <row r="881" customFormat="false" ht="12.75" hidden="false" customHeight="false" outlineLevel="0" collapsed="false">
      <c r="A881" s="458"/>
    </row>
    <row r="882" customFormat="false" ht="12.75" hidden="false" customHeight="false" outlineLevel="0" collapsed="false">
      <c r="A882" s="458"/>
    </row>
    <row r="883" customFormat="false" ht="12.75" hidden="false" customHeight="false" outlineLevel="0" collapsed="false">
      <c r="A883" s="458"/>
    </row>
    <row r="884" customFormat="false" ht="12.75" hidden="false" customHeight="false" outlineLevel="0" collapsed="false">
      <c r="A884" s="458"/>
    </row>
    <row r="885" customFormat="false" ht="12.75" hidden="false" customHeight="false" outlineLevel="0" collapsed="false">
      <c r="A885" s="458"/>
    </row>
    <row r="886" customFormat="false" ht="12.75" hidden="false" customHeight="false" outlineLevel="0" collapsed="false">
      <c r="A886" s="458"/>
    </row>
    <row r="887" customFormat="false" ht="12.75" hidden="false" customHeight="false" outlineLevel="0" collapsed="false">
      <c r="A887" s="458"/>
    </row>
    <row r="888" customFormat="false" ht="12.75" hidden="false" customHeight="false" outlineLevel="0" collapsed="false">
      <c r="A888" s="458"/>
    </row>
    <row r="889" customFormat="false" ht="12.75" hidden="false" customHeight="false" outlineLevel="0" collapsed="false">
      <c r="A889" s="458"/>
    </row>
    <row r="890" customFormat="false" ht="12.75" hidden="false" customHeight="false" outlineLevel="0" collapsed="false">
      <c r="A890" s="458"/>
    </row>
    <row r="891" customFormat="false" ht="12.75" hidden="false" customHeight="false" outlineLevel="0" collapsed="false">
      <c r="A891" s="458"/>
    </row>
    <row r="892" customFormat="false" ht="12.75" hidden="false" customHeight="false" outlineLevel="0" collapsed="false">
      <c r="A892" s="458"/>
    </row>
    <row r="893" customFormat="false" ht="12.75" hidden="false" customHeight="false" outlineLevel="0" collapsed="false">
      <c r="A893" s="458"/>
    </row>
    <row r="894" customFormat="false" ht="12.75" hidden="false" customHeight="false" outlineLevel="0" collapsed="false">
      <c r="A894" s="458"/>
    </row>
    <row r="895" customFormat="false" ht="12.75" hidden="false" customHeight="false" outlineLevel="0" collapsed="false">
      <c r="A895" s="458"/>
    </row>
    <row r="896" customFormat="false" ht="12.75" hidden="false" customHeight="false" outlineLevel="0" collapsed="false">
      <c r="A896" s="458"/>
    </row>
    <row r="897" customFormat="false" ht="12.75" hidden="false" customHeight="false" outlineLevel="0" collapsed="false">
      <c r="A897" s="458"/>
    </row>
    <row r="898" customFormat="false" ht="12.75" hidden="false" customHeight="false" outlineLevel="0" collapsed="false">
      <c r="A898" s="458"/>
    </row>
    <row r="899" customFormat="false" ht="12.75" hidden="false" customHeight="false" outlineLevel="0" collapsed="false">
      <c r="A899" s="458"/>
    </row>
    <row r="900" customFormat="false" ht="12.75" hidden="false" customHeight="false" outlineLevel="0" collapsed="false">
      <c r="A900" s="458"/>
    </row>
    <row r="901" customFormat="false" ht="12.75" hidden="false" customHeight="false" outlineLevel="0" collapsed="false">
      <c r="A901" s="458"/>
    </row>
    <row r="902" customFormat="false" ht="12.75" hidden="false" customHeight="false" outlineLevel="0" collapsed="false">
      <c r="A902" s="458"/>
    </row>
    <row r="903" customFormat="false" ht="12.75" hidden="false" customHeight="false" outlineLevel="0" collapsed="false">
      <c r="A903" s="458"/>
    </row>
    <row r="904" customFormat="false" ht="12.75" hidden="false" customHeight="false" outlineLevel="0" collapsed="false">
      <c r="A904" s="458"/>
    </row>
    <row r="905" customFormat="false" ht="12.75" hidden="false" customHeight="false" outlineLevel="0" collapsed="false">
      <c r="A905" s="458"/>
    </row>
    <row r="906" customFormat="false" ht="12.75" hidden="false" customHeight="false" outlineLevel="0" collapsed="false">
      <c r="A906" s="458"/>
    </row>
    <row r="907" customFormat="false" ht="12.75" hidden="false" customHeight="false" outlineLevel="0" collapsed="false">
      <c r="A907" s="458"/>
    </row>
    <row r="908" customFormat="false" ht="12.75" hidden="false" customHeight="false" outlineLevel="0" collapsed="false">
      <c r="A908" s="458"/>
    </row>
    <row r="909" customFormat="false" ht="12.75" hidden="false" customHeight="false" outlineLevel="0" collapsed="false">
      <c r="A909" s="458"/>
    </row>
    <row r="910" customFormat="false" ht="12.75" hidden="false" customHeight="false" outlineLevel="0" collapsed="false">
      <c r="A910" s="458"/>
    </row>
    <row r="911" customFormat="false" ht="12.75" hidden="false" customHeight="false" outlineLevel="0" collapsed="false">
      <c r="A911" s="458"/>
    </row>
    <row r="912" customFormat="false" ht="12.75" hidden="false" customHeight="false" outlineLevel="0" collapsed="false">
      <c r="A912" s="458"/>
    </row>
    <row r="913" customFormat="false" ht="12.75" hidden="false" customHeight="false" outlineLevel="0" collapsed="false">
      <c r="A913" s="458"/>
    </row>
    <row r="914" customFormat="false" ht="12.75" hidden="false" customHeight="false" outlineLevel="0" collapsed="false">
      <c r="A914" s="458"/>
    </row>
    <row r="915" customFormat="false" ht="12.75" hidden="false" customHeight="false" outlineLevel="0" collapsed="false">
      <c r="A915" s="458"/>
    </row>
    <row r="916" customFormat="false" ht="12.75" hidden="false" customHeight="false" outlineLevel="0" collapsed="false">
      <c r="A916" s="458"/>
    </row>
    <row r="917" customFormat="false" ht="12.75" hidden="false" customHeight="false" outlineLevel="0" collapsed="false">
      <c r="A917" s="458"/>
    </row>
    <row r="918" customFormat="false" ht="12.75" hidden="false" customHeight="false" outlineLevel="0" collapsed="false">
      <c r="A918" s="458"/>
    </row>
    <row r="919" customFormat="false" ht="12.75" hidden="false" customHeight="false" outlineLevel="0" collapsed="false">
      <c r="A919" s="458"/>
    </row>
    <row r="920" customFormat="false" ht="12.75" hidden="false" customHeight="false" outlineLevel="0" collapsed="false">
      <c r="A920" s="458"/>
    </row>
    <row r="921" customFormat="false" ht="12.75" hidden="false" customHeight="false" outlineLevel="0" collapsed="false">
      <c r="A921" s="458"/>
    </row>
    <row r="922" customFormat="false" ht="12.75" hidden="false" customHeight="false" outlineLevel="0" collapsed="false">
      <c r="A922" s="458"/>
    </row>
    <row r="923" customFormat="false" ht="12.75" hidden="false" customHeight="false" outlineLevel="0" collapsed="false">
      <c r="A923" s="458"/>
    </row>
    <row r="924" customFormat="false" ht="12.75" hidden="false" customHeight="false" outlineLevel="0" collapsed="false">
      <c r="A924" s="458"/>
    </row>
    <row r="925" customFormat="false" ht="12.75" hidden="false" customHeight="false" outlineLevel="0" collapsed="false">
      <c r="A925" s="458"/>
    </row>
    <row r="926" customFormat="false" ht="12.75" hidden="false" customHeight="false" outlineLevel="0" collapsed="false">
      <c r="A926" s="458"/>
    </row>
    <row r="927" customFormat="false" ht="12.75" hidden="false" customHeight="false" outlineLevel="0" collapsed="false">
      <c r="A927" s="458"/>
    </row>
    <row r="928" customFormat="false" ht="12.75" hidden="false" customHeight="false" outlineLevel="0" collapsed="false">
      <c r="A928" s="458"/>
    </row>
    <row r="929" customFormat="false" ht="12.75" hidden="false" customHeight="false" outlineLevel="0" collapsed="false">
      <c r="A929" s="458"/>
    </row>
    <row r="930" customFormat="false" ht="12.75" hidden="false" customHeight="false" outlineLevel="0" collapsed="false">
      <c r="A930" s="458"/>
    </row>
    <row r="931" customFormat="false" ht="12.75" hidden="false" customHeight="false" outlineLevel="0" collapsed="false">
      <c r="A931" s="458"/>
    </row>
    <row r="932" customFormat="false" ht="12.75" hidden="false" customHeight="false" outlineLevel="0" collapsed="false">
      <c r="A932" s="458"/>
    </row>
    <row r="933" customFormat="false" ht="12.75" hidden="false" customHeight="false" outlineLevel="0" collapsed="false">
      <c r="A933" s="458"/>
    </row>
    <row r="934" customFormat="false" ht="12.75" hidden="false" customHeight="false" outlineLevel="0" collapsed="false">
      <c r="A934" s="458"/>
    </row>
    <row r="935" customFormat="false" ht="12.75" hidden="false" customHeight="false" outlineLevel="0" collapsed="false">
      <c r="A935" s="458"/>
    </row>
    <row r="936" customFormat="false" ht="12.75" hidden="false" customHeight="false" outlineLevel="0" collapsed="false">
      <c r="A936" s="458"/>
    </row>
    <row r="937" customFormat="false" ht="12.75" hidden="false" customHeight="false" outlineLevel="0" collapsed="false">
      <c r="A937" s="458"/>
    </row>
    <row r="938" customFormat="false" ht="12.75" hidden="false" customHeight="false" outlineLevel="0" collapsed="false">
      <c r="A938" s="458"/>
    </row>
    <row r="939" customFormat="false" ht="12.75" hidden="false" customHeight="false" outlineLevel="0" collapsed="false">
      <c r="A939" s="458"/>
    </row>
    <row r="940" customFormat="false" ht="12.75" hidden="false" customHeight="false" outlineLevel="0" collapsed="false">
      <c r="A940" s="458"/>
    </row>
    <row r="941" customFormat="false" ht="12.75" hidden="false" customHeight="false" outlineLevel="0" collapsed="false">
      <c r="A941" s="458"/>
    </row>
    <row r="942" customFormat="false" ht="12.75" hidden="false" customHeight="false" outlineLevel="0" collapsed="false">
      <c r="A942" s="458"/>
    </row>
    <row r="943" customFormat="false" ht="12.75" hidden="false" customHeight="false" outlineLevel="0" collapsed="false">
      <c r="A943" s="458"/>
    </row>
    <row r="944" customFormat="false" ht="12.75" hidden="false" customHeight="false" outlineLevel="0" collapsed="false">
      <c r="A944" s="458"/>
    </row>
    <row r="945" customFormat="false" ht="12.75" hidden="false" customHeight="false" outlineLevel="0" collapsed="false">
      <c r="A945" s="458"/>
    </row>
    <row r="946" customFormat="false" ht="12.75" hidden="false" customHeight="false" outlineLevel="0" collapsed="false">
      <c r="A946" s="458"/>
    </row>
    <row r="947" customFormat="false" ht="12.75" hidden="false" customHeight="false" outlineLevel="0" collapsed="false">
      <c r="A947" s="458"/>
    </row>
    <row r="948" customFormat="false" ht="12.75" hidden="false" customHeight="false" outlineLevel="0" collapsed="false">
      <c r="A948" s="458"/>
    </row>
    <row r="949" customFormat="false" ht="12.75" hidden="false" customHeight="false" outlineLevel="0" collapsed="false">
      <c r="A949" s="458"/>
    </row>
    <row r="950" customFormat="false" ht="12.75" hidden="false" customHeight="false" outlineLevel="0" collapsed="false">
      <c r="A950" s="458"/>
    </row>
    <row r="951" customFormat="false" ht="12.75" hidden="false" customHeight="false" outlineLevel="0" collapsed="false">
      <c r="A951" s="458"/>
    </row>
    <row r="952" customFormat="false" ht="12.75" hidden="false" customHeight="false" outlineLevel="0" collapsed="false">
      <c r="A952" s="458"/>
    </row>
    <row r="953" customFormat="false" ht="12.75" hidden="false" customHeight="false" outlineLevel="0" collapsed="false">
      <c r="A953" s="458"/>
    </row>
    <row r="954" customFormat="false" ht="12.75" hidden="false" customHeight="false" outlineLevel="0" collapsed="false">
      <c r="A954" s="458"/>
    </row>
    <row r="955" customFormat="false" ht="12.75" hidden="false" customHeight="false" outlineLevel="0" collapsed="false">
      <c r="A955" s="458"/>
    </row>
    <row r="956" customFormat="false" ht="12.75" hidden="false" customHeight="false" outlineLevel="0" collapsed="false">
      <c r="A956" s="458"/>
    </row>
    <row r="957" customFormat="false" ht="12.75" hidden="false" customHeight="false" outlineLevel="0" collapsed="false">
      <c r="A957" s="458"/>
    </row>
    <row r="958" customFormat="false" ht="12.75" hidden="false" customHeight="false" outlineLevel="0" collapsed="false">
      <c r="A958" s="458"/>
    </row>
    <row r="959" customFormat="false" ht="12.75" hidden="false" customHeight="false" outlineLevel="0" collapsed="false">
      <c r="A959" s="458"/>
    </row>
    <row r="960" customFormat="false" ht="12.75" hidden="false" customHeight="false" outlineLevel="0" collapsed="false">
      <c r="A960" s="458"/>
    </row>
    <row r="961" customFormat="false" ht="12.75" hidden="false" customHeight="false" outlineLevel="0" collapsed="false">
      <c r="A961" s="458"/>
    </row>
    <row r="962" customFormat="false" ht="12.75" hidden="false" customHeight="false" outlineLevel="0" collapsed="false">
      <c r="A962" s="458"/>
    </row>
    <row r="963" customFormat="false" ht="12.75" hidden="false" customHeight="false" outlineLevel="0" collapsed="false">
      <c r="A963" s="458"/>
    </row>
    <row r="964" customFormat="false" ht="12.75" hidden="false" customHeight="false" outlineLevel="0" collapsed="false">
      <c r="A964" s="458"/>
    </row>
    <row r="965" customFormat="false" ht="12.75" hidden="false" customHeight="false" outlineLevel="0" collapsed="false">
      <c r="A965" s="458"/>
    </row>
    <row r="966" customFormat="false" ht="12.75" hidden="false" customHeight="false" outlineLevel="0" collapsed="false">
      <c r="A966" s="458"/>
    </row>
    <row r="967" customFormat="false" ht="12.75" hidden="false" customHeight="false" outlineLevel="0" collapsed="false">
      <c r="A967" s="458"/>
    </row>
    <row r="968" customFormat="false" ht="12.75" hidden="false" customHeight="false" outlineLevel="0" collapsed="false">
      <c r="A968" s="458"/>
    </row>
    <row r="969" customFormat="false" ht="12.75" hidden="false" customHeight="false" outlineLevel="0" collapsed="false">
      <c r="A969" s="458"/>
    </row>
    <row r="970" customFormat="false" ht="12.75" hidden="false" customHeight="false" outlineLevel="0" collapsed="false">
      <c r="A970" s="458"/>
    </row>
    <row r="971" customFormat="false" ht="12.75" hidden="false" customHeight="false" outlineLevel="0" collapsed="false">
      <c r="A971" s="458"/>
    </row>
    <row r="972" customFormat="false" ht="12.75" hidden="false" customHeight="false" outlineLevel="0" collapsed="false">
      <c r="A972" s="458"/>
    </row>
    <row r="973" customFormat="false" ht="12.75" hidden="false" customHeight="false" outlineLevel="0" collapsed="false">
      <c r="A973" s="458"/>
    </row>
    <row r="974" customFormat="false" ht="12.75" hidden="false" customHeight="false" outlineLevel="0" collapsed="false">
      <c r="A974" s="458"/>
    </row>
    <row r="975" customFormat="false" ht="12.75" hidden="false" customHeight="false" outlineLevel="0" collapsed="false">
      <c r="A975" s="458"/>
    </row>
    <row r="976" customFormat="false" ht="12.75" hidden="false" customHeight="false" outlineLevel="0" collapsed="false">
      <c r="A976" s="458"/>
    </row>
    <row r="977" customFormat="false" ht="12.75" hidden="false" customHeight="false" outlineLevel="0" collapsed="false">
      <c r="A977" s="458"/>
    </row>
    <row r="978" customFormat="false" ht="12.75" hidden="false" customHeight="false" outlineLevel="0" collapsed="false">
      <c r="A978" s="458"/>
    </row>
    <row r="979" customFormat="false" ht="12.75" hidden="false" customHeight="false" outlineLevel="0" collapsed="false">
      <c r="A979" s="458"/>
    </row>
    <row r="980" customFormat="false" ht="12.75" hidden="false" customHeight="false" outlineLevel="0" collapsed="false">
      <c r="A980" s="458"/>
    </row>
    <row r="981" customFormat="false" ht="12.75" hidden="false" customHeight="false" outlineLevel="0" collapsed="false">
      <c r="A981" s="458"/>
    </row>
    <row r="982" customFormat="false" ht="12.75" hidden="false" customHeight="false" outlineLevel="0" collapsed="false">
      <c r="A982" s="458"/>
    </row>
    <row r="983" customFormat="false" ht="12.75" hidden="false" customHeight="false" outlineLevel="0" collapsed="false">
      <c r="A983" s="458"/>
    </row>
    <row r="984" customFormat="false" ht="12.75" hidden="false" customHeight="false" outlineLevel="0" collapsed="false">
      <c r="A984" s="458"/>
    </row>
    <row r="985" customFormat="false" ht="12.75" hidden="false" customHeight="false" outlineLevel="0" collapsed="false">
      <c r="A985" s="458"/>
    </row>
    <row r="986" customFormat="false" ht="12.75" hidden="false" customHeight="false" outlineLevel="0" collapsed="false">
      <c r="A986" s="458"/>
    </row>
    <row r="987" customFormat="false" ht="12.75" hidden="false" customHeight="false" outlineLevel="0" collapsed="false">
      <c r="A987" s="458"/>
    </row>
    <row r="988" customFormat="false" ht="12.75" hidden="false" customHeight="false" outlineLevel="0" collapsed="false">
      <c r="A988" s="458"/>
    </row>
    <row r="989" customFormat="false" ht="12.75" hidden="false" customHeight="false" outlineLevel="0" collapsed="false">
      <c r="A989" s="458"/>
    </row>
    <row r="990" customFormat="false" ht="12.75" hidden="false" customHeight="false" outlineLevel="0" collapsed="false">
      <c r="A990" s="458"/>
    </row>
    <row r="991" customFormat="false" ht="12.75" hidden="false" customHeight="false" outlineLevel="0" collapsed="false">
      <c r="A991" s="458"/>
    </row>
    <row r="992" customFormat="false" ht="12.75" hidden="false" customHeight="false" outlineLevel="0" collapsed="false">
      <c r="A992" s="458"/>
    </row>
    <row r="993" customFormat="false" ht="12.75" hidden="false" customHeight="false" outlineLevel="0" collapsed="false">
      <c r="A993" s="458"/>
    </row>
    <row r="994" customFormat="false" ht="12.75" hidden="false" customHeight="false" outlineLevel="0" collapsed="false">
      <c r="A994" s="458"/>
    </row>
    <row r="995" customFormat="false" ht="12.75" hidden="false" customHeight="false" outlineLevel="0" collapsed="false">
      <c r="A995" s="458"/>
    </row>
    <row r="996" customFormat="false" ht="12.75" hidden="false" customHeight="false" outlineLevel="0" collapsed="false">
      <c r="A996" s="458"/>
    </row>
    <row r="997" customFormat="false" ht="12.75" hidden="false" customHeight="false" outlineLevel="0" collapsed="false">
      <c r="A997" s="458"/>
    </row>
    <row r="998" customFormat="false" ht="12.75" hidden="false" customHeight="false" outlineLevel="0" collapsed="false">
      <c r="A998" s="458"/>
    </row>
    <row r="999" customFormat="false" ht="12.75" hidden="false" customHeight="false" outlineLevel="0" collapsed="false">
      <c r="A999" s="458"/>
    </row>
    <row r="1000" customFormat="false" ht="12.75" hidden="false" customHeight="false" outlineLevel="0" collapsed="false">
      <c r="A1000" s="458"/>
    </row>
    <row r="1001" customFormat="false" ht="12.75" hidden="false" customHeight="false" outlineLevel="0" collapsed="false">
      <c r="A1001" s="458"/>
    </row>
    <row r="1002" customFormat="false" ht="12.75" hidden="false" customHeight="false" outlineLevel="0" collapsed="false">
      <c r="A1002" s="458"/>
    </row>
    <row r="1003" customFormat="false" ht="12.75" hidden="false" customHeight="false" outlineLevel="0" collapsed="false">
      <c r="A1003" s="458"/>
    </row>
    <row r="1004" customFormat="false" ht="12.75" hidden="false" customHeight="false" outlineLevel="0" collapsed="false">
      <c r="A1004" s="458"/>
    </row>
    <row r="1005" customFormat="false" ht="12.75" hidden="false" customHeight="false" outlineLevel="0" collapsed="false">
      <c r="A1005" s="458"/>
    </row>
    <row r="1006" customFormat="false" ht="12.75" hidden="false" customHeight="false" outlineLevel="0" collapsed="false">
      <c r="A1006" s="458"/>
    </row>
    <row r="1007" customFormat="false" ht="12.75" hidden="false" customHeight="false" outlineLevel="0" collapsed="false">
      <c r="A1007" s="458"/>
    </row>
    <row r="1008" customFormat="false" ht="12.75" hidden="false" customHeight="false" outlineLevel="0" collapsed="false">
      <c r="A1008" s="458"/>
    </row>
    <row r="1009" customFormat="false" ht="12.75" hidden="false" customHeight="false" outlineLevel="0" collapsed="false">
      <c r="A1009" s="458"/>
    </row>
    <row r="1010" customFormat="false" ht="12.75" hidden="false" customHeight="false" outlineLevel="0" collapsed="false">
      <c r="A1010" s="458"/>
    </row>
    <row r="1011" customFormat="false" ht="12.75" hidden="false" customHeight="false" outlineLevel="0" collapsed="false">
      <c r="A1011" s="458"/>
    </row>
    <row r="1012" customFormat="false" ht="12.75" hidden="false" customHeight="false" outlineLevel="0" collapsed="false">
      <c r="A1012" s="458"/>
    </row>
    <row r="1013" customFormat="false" ht="12.75" hidden="false" customHeight="false" outlineLevel="0" collapsed="false">
      <c r="A1013" s="458"/>
    </row>
    <row r="1014" customFormat="false" ht="12.75" hidden="false" customHeight="false" outlineLevel="0" collapsed="false">
      <c r="A1014" s="458"/>
    </row>
    <row r="1015" customFormat="false" ht="12.75" hidden="false" customHeight="false" outlineLevel="0" collapsed="false">
      <c r="A1015" s="458"/>
    </row>
    <row r="1016" customFormat="false" ht="12.75" hidden="false" customHeight="false" outlineLevel="0" collapsed="false">
      <c r="A1016" s="458"/>
    </row>
    <row r="1017" customFormat="false" ht="12.75" hidden="false" customHeight="false" outlineLevel="0" collapsed="false">
      <c r="A1017" s="458"/>
    </row>
    <row r="1018" customFormat="false" ht="12.75" hidden="false" customHeight="false" outlineLevel="0" collapsed="false">
      <c r="A1018" s="458"/>
    </row>
    <row r="1019" customFormat="false" ht="12.75" hidden="false" customHeight="false" outlineLevel="0" collapsed="false">
      <c r="A1019" s="458"/>
    </row>
    <row r="1020" customFormat="false" ht="12.75" hidden="false" customHeight="false" outlineLevel="0" collapsed="false">
      <c r="A1020" s="458"/>
    </row>
    <row r="1021" customFormat="false" ht="12.75" hidden="false" customHeight="false" outlineLevel="0" collapsed="false">
      <c r="A1021" s="458"/>
    </row>
    <row r="1022" customFormat="false" ht="12.75" hidden="false" customHeight="false" outlineLevel="0" collapsed="false">
      <c r="A1022" s="458"/>
    </row>
    <row r="1023" customFormat="false" ht="12.75" hidden="false" customHeight="false" outlineLevel="0" collapsed="false">
      <c r="A1023" s="458"/>
    </row>
    <row r="1024" customFormat="false" ht="12.75" hidden="false" customHeight="false" outlineLevel="0" collapsed="false">
      <c r="A1024" s="458"/>
    </row>
    <row r="1025" customFormat="false" ht="12.75" hidden="false" customHeight="false" outlineLevel="0" collapsed="false">
      <c r="A1025" s="458"/>
    </row>
    <row r="1026" customFormat="false" ht="12.75" hidden="false" customHeight="false" outlineLevel="0" collapsed="false">
      <c r="A1026" s="458"/>
    </row>
    <row r="1027" customFormat="false" ht="12.75" hidden="false" customHeight="false" outlineLevel="0" collapsed="false">
      <c r="A1027" s="458"/>
    </row>
    <row r="1028" customFormat="false" ht="12.75" hidden="false" customHeight="false" outlineLevel="0" collapsed="false">
      <c r="A1028" s="458"/>
    </row>
    <row r="1029" customFormat="false" ht="12.75" hidden="false" customHeight="false" outlineLevel="0" collapsed="false">
      <c r="A1029" s="458"/>
    </row>
    <row r="1030" customFormat="false" ht="12.75" hidden="false" customHeight="false" outlineLevel="0" collapsed="false">
      <c r="A1030" s="458"/>
    </row>
    <row r="1031" customFormat="false" ht="12.75" hidden="false" customHeight="false" outlineLevel="0" collapsed="false">
      <c r="A1031" s="458"/>
    </row>
    <row r="1032" customFormat="false" ht="12.75" hidden="false" customHeight="false" outlineLevel="0" collapsed="false">
      <c r="A1032" s="458"/>
    </row>
    <row r="1033" customFormat="false" ht="12.75" hidden="false" customHeight="false" outlineLevel="0" collapsed="false">
      <c r="A1033" s="458"/>
    </row>
    <row r="1034" customFormat="false" ht="12.75" hidden="false" customHeight="false" outlineLevel="0" collapsed="false">
      <c r="A1034" s="458"/>
    </row>
    <row r="1035" customFormat="false" ht="12.75" hidden="false" customHeight="false" outlineLevel="0" collapsed="false">
      <c r="A1035" s="458"/>
    </row>
    <row r="1036" customFormat="false" ht="12.75" hidden="false" customHeight="false" outlineLevel="0" collapsed="false">
      <c r="A1036" s="458"/>
    </row>
    <row r="1037" customFormat="false" ht="12.75" hidden="false" customHeight="false" outlineLevel="0" collapsed="false">
      <c r="A1037" s="458"/>
    </row>
    <row r="1038" customFormat="false" ht="12.75" hidden="false" customHeight="false" outlineLevel="0" collapsed="false">
      <c r="A1038" s="458"/>
    </row>
    <row r="1039" customFormat="false" ht="12.75" hidden="false" customHeight="false" outlineLevel="0" collapsed="false">
      <c r="A1039" s="458"/>
    </row>
    <row r="1040" customFormat="false" ht="12.75" hidden="false" customHeight="false" outlineLevel="0" collapsed="false">
      <c r="A1040" s="458"/>
    </row>
    <row r="1041" customFormat="false" ht="12.75" hidden="false" customHeight="false" outlineLevel="0" collapsed="false">
      <c r="A1041" s="458"/>
    </row>
    <row r="1042" customFormat="false" ht="12.75" hidden="false" customHeight="false" outlineLevel="0" collapsed="false">
      <c r="A1042" s="458"/>
    </row>
    <row r="1043" customFormat="false" ht="12.75" hidden="false" customHeight="false" outlineLevel="0" collapsed="false">
      <c r="A1043" s="458"/>
    </row>
    <row r="1044" customFormat="false" ht="12.75" hidden="false" customHeight="false" outlineLevel="0" collapsed="false">
      <c r="A1044" s="458"/>
    </row>
    <row r="1045" customFormat="false" ht="12.75" hidden="false" customHeight="false" outlineLevel="0" collapsed="false">
      <c r="A1045" s="458"/>
    </row>
    <row r="1046" customFormat="false" ht="12.75" hidden="false" customHeight="false" outlineLevel="0" collapsed="false">
      <c r="A1046" s="458"/>
    </row>
    <row r="1047" customFormat="false" ht="12.75" hidden="false" customHeight="false" outlineLevel="0" collapsed="false">
      <c r="A1047" s="458"/>
    </row>
    <row r="1048" customFormat="false" ht="12.75" hidden="false" customHeight="false" outlineLevel="0" collapsed="false">
      <c r="A1048" s="458"/>
    </row>
    <row r="1049" customFormat="false" ht="12.75" hidden="false" customHeight="false" outlineLevel="0" collapsed="false">
      <c r="A1049" s="458"/>
    </row>
    <row r="1050" customFormat="false" ht="12.75" hidden="false" customHeight="false" outlineLevel="0" collapsed="false">
      <c r="A1050" s="458"/>
    </row>
    <row r="1051" customFormat="false" ht="12.75" hidden="false" customHeight="false" outlineLevel="0" collapsed="false">
      <c r="A1051" s="458"/>
    </row>
    <row r="1052" customFormat="false" ht="12.75" hidden="false" customHeight="false" outlineLevel="0" collapsed="false">
      <c r="A1052" s="458"/>
    </row>
    <row r="1053" customFormat="false" ht="12.75" hidden="false" customHeight="false" outlineLevel="0" collapsed="false">
      <c r="A1053" s="458"/>
    </row>
    <row r="1054" customFormat="false" ht="12.75" hidden="false" customHeight="false" outlineLevel="0" collapsed="false">
      <c r="A1054" s="458"/>
    </row>
    <row r="1055" customFormat="false" ht="12.75" hidden="false" customHeight="false" outlineLevel="0" collapsed="false">
      <c r="A1055" s="458"/>
    </row>
    <row r="1056" customFormat="false" ht="12.75" hidden="false" customHeight="false" outlineLevel="0" collapsed="false">
      <c r="A1056" s="458"/>
    </row>
    <row r="1057" customFormat="false" ht="12.75" hidden="false" customHeight="false" outlineLevel="0" collapsed="false">
      <c r="A1057" s="458"/>
    </row>
    <row r="1058" customFormat="false" ht="12.75" hidden="false" customHeight="false" outlineLevel="0" collapsed="false">
      <c r="A1058" s="458"/>
    </row>
    <row r="1059" customFormat="false" ht="12.75" hidden="false" customHeight="false" outlineLevel="0" collapsed="false">
      <c r="A1059" s="458"/>
    </row>
    <row r="1060" customFormat="false" ht="12.75" hidden="false" customHeight="false" outlineLevel="0" collapsed="false">
      <c r="A1060" s="458"/>
    </row>
    <row r="1061" customFormat="false" ht="12.75" hidden="false" customHeight="false" outlineLevel="0" collapsed="false">
      <c r="A1061" s="458"/>
    </row>
    <row r="1062" customFormat="false" ht="12.75" hidden="false" customHeight="false" outlineLevel="0" collapsed="false">
      <c r="A1062" s="458"/>
    </row>
    <row r="1063" customFormat="false" ht="12.75" hidden="false" customHeight="false" outlineLevel="0" collapsed="false">
      <c r="A1063" s="458"/>
    </row>
    <row r="1064" customFormat="false" ht="12.75" hidden="false" customHeight="false" outlineLevel="0" collapsed="false">
      <c r="A1064" s="458"/>
    </row>
    <row r="1065" customFormat="false" ht="12.75" hidden="false" customHeight="false" outlineLevel="0" collapsed="false">
      <c r="A1065" s="458"/>
    </row>
    <row r="1066" customFormat="false" ht="12.75" hidden="false" customHeight="false" outlineLevel="0" collapsed="false">
      <c r="A1066" s="458"/>
    </row>
    <row r="1067" customFormat="false" ht="12.75" hidden="false" customHeight="false" outlineLevel="0" collapsed="false">
      <c r="A1067" s="458"/>
    </row>
    <row r="1068" customFormat="false" ht="12.75" hidden="false" customHeight="false" outlineLevel="0" collapsed="false">
      <c r="A1068" s="458"/>
    </row>
    <row r="1069" customFormat="false" ht="12.75" hidden="false" customHeight="false" outlineLevel="0" collapsed="false">
      <c r="A1069" s="458"/>
    </row>
    <row r="1070" customFormat="false" ht="12.75" hidden="false" customHeight="false" outlineLevel="0" collapsed="false">
      <c r="A1070" s="458"/>
    </row>
    <row r="1071" customFormat="false" ht="12.75" hidden="false" customHeight="false" outlineLevel="0" collapsed="false">
      <c r="A1071" s="458"/>
    </row>
    <row r="1072" customFormat="false" ht="12.75" hidden="false" customHeight="false" outlineLevel="0" collapsed="false">
      <c r="A1072" s="458"/>
    </row>
    <row r="1073" customFormat="false" ht="12.75" hidden="false" customHeight="false" outlineLevel="0" collapsed="false">
      <c r="A1073" s="458"/>
    </row>
    <row r="1074" customFormat="false" ht="12.75" hidden="false" customHeight="false" outlineLevel="0" collapsed="false">
      <c r="A1074" s="458"/>
    </row>
    <row r="1075" customFormat="false" ht="12.75" hidden="false" customHeight="false" outlineLevel="0" collapsed="false">
      <c r="A1075" s="458"/>
    </row>
    <row r="1076" customFormat="false" ht="12.75" hidden="false" customHeight="false" outlineLevel="0" collapsed="false">
      <c r="A1076" s="458"/>
    </row>
    <row r="1077" customFormat="false" ht="12.75" hidden="false" customHeight="false" outlineLevel="0" collapsed="false">
      <c r="A1077" s="458"/>
    </row>
    <row r="1078" customFormat="false" ht="12.75" hidden="false" customHeight="false" outlineLevel="0" collapsed="false">
      <c r="A1078" s="458"/>
    </row>
    <row r="1079" customFormat="false" ht="12.75" hidden="false" customHeight="false" outlineLevel="0" collapsed="false">
      <c r="A1079" s="458"/>
    </row>
    <row r="1080" customFormat="false" ht="12.75" hidden="false" customHeight="false" outlineLevel="0" collapsed="false">
      <c r="A1080" s="458"/>
    </row>
    <row r="1081" customFormat="false" ht="12.75" hidden="false" customHeight="false" outlineLevel="0" collapsed="false">
      <c r="A1081" s="458"/>
    </row>
    <row r="1082" customFormat="false" ht="12.75" hidden="false" customHeight="false" outlineLevel="0" collapsed="false">
      <c r="A1082" s="458"/>
    </row>
    <row r="1083" customFormat="false" ht="12.75" hidden="false" customHeight="false" outlineLevel="0" collapsed="false">
      <c r="A1083" s="458"/>
    </row>
    <row r="1084" customFormat="false" ht="12.75" hidden="false" customHeight="false" outlineLevel="0" collapsed="false">
      <c r="A1084" s="458"/>
    </row>
    <row r="1085" customFormat="false" ht="12.75" hidden="false" customHeight="false" outlineLevel="0" collapsed="false">
      <c r="A1085" s="458"/>
    </row>
    <row r="1086" customFormat="false" ht="12.75" hidden="false" customHeight="false" outlineLevel="0" collapsed="false">
      <c r="A1086" s="458"/>
    </row>
    <row r="1087" customFormat="false" ht="12.75" hidden="false" customHeight="false" outlineLevel="0" collapsed="false">
      <c r="A1087" s="458"/>
    </row>
    <row r="1088" customFormat="false" ht="12.75" hidden="false" customHeight="false" outlineLevel="0" collapsed="false">
      <c r="A1088" s="458"/>
    </row>
    <row r="1089" customFormat="false" ht="12.75" hidden="false" customHeight="false" outlineLevel="0" collapsed="false">
      <c r="A1089" s="458"/>
    </row>
    <row r="1090" customFormat="false" ht="12.75" hidden="false" customHeight="false" outlineLevel="0" collapsed="false">
      <c r="A1090" s="458"/>
    </row>
    <row r="1091" customFormat="false" ht="12.75" hidden="false" customHeight="false" outlineLevel="0" collapsed="false">
      <c r="A1091" s="458"/>
    </row>
    <row r="1092" customFormat="false" ht="12.75" hidden="false" customHeight="false" outlineLevel="0" collapsed="false">
      <c r="A1092" s="458"/>
    </row>
    <row r="1093" customFormat="false" ht="12.75" hidden="false" customHeight="false" outlineLevel="0" collapsed="false">
      <c r="A1093" s="458"/>
    </row>
    <row r="1094" customFormat="false" ht="12.75" hidden="false" customHeight="false" outlineLevel="0" collapsed="false">
      <c r="A1094" s="458"/>
    </row>
    <row r="1095" customFormat="false" ht="12.75" hidden="false" customHeight="false" outlineLevel="0" collapsed="false">
      <c r="A1095" s="458"/>
    </row>
    <row r="1096" customFormat="false" ht="12.75" hidden="false" customHeight="false" outlineLevel="0" collapsed="false">
      <c r="A1096" s="458"/>
    </row>
    <row r="1097" customFormat="false" ht="12.75" hidden="false" customHeight="false" outlineLevel="0" collapsed="false">
      <c r="A1097" s="458"/>
    </row>
    <row r="1098" customFormat="false" ht="12.75" hidden="false" customHeight="false" outlineLevel="0" collapsed="false">
      <c r="A1098" s="458"/>
    </row>
    <row r="1099" customFormat="false" ht="12.75" hidden="false" customHeight="false" outlineLevel="0" collapsed="false">
      <c r="A1099" s="458"/>
    </row>
    <row r="1100" customFormat="false" ht="12.75" hidden="false" customHeight="false" outlineLevel="0" collapsed="false">
      <c r="A1100" s="458"/>
    </row>
    <row r="1101" customFormat="false" ht="12.75" hidden="false" customHeight="false" outlineLevel="0" collapsed="false">
      <c r="A1101" s="458"/>
    </row>
    <row r="1102" customFormat="false" ht="12.75" hidden="false" customHeight="false" outlineLevel="0" collapsed="false">
      <c r="A1102" s="458"/>
    </row>
    <row r="1103" customFormat="false" ht="12.75" hidden="false" customHeight="false" outlineLevel="0" collapsed="false">
      <c r="A1103" s="458"/>
    </row>
    <row r="1104" customFormat="false" ht="12.75" hidden="false" customHeight="false" outlineLevel="0" collapsed="false">
      <c r="A1104" s="458"/>
    </row>
    <row r="1105" customFormat="false" ht="12.75" hidden="false" customHeight="false" outlineLevel="0" collapsed="false">
      <c r="A1105" s="458"/>
    </row>
    <row r="1106" customFormat="false" ht="12.75" hidden="false" customHeight="false" outlineLevel="0" collapsed="false">
      <c r="A1106" s="458"/>
    </row>
    <row r="1107" customFormat="false" ht="12.75" hidden="false" customHeight="false" outlineLevel="0" collapsed="false">
      <c r="A1107" s="458"/>
    </row>
    <row r="1108" customFormat="false" ht="12.75" hidden="false" customHeight="false" outlineLevel="0" collapsed="false">
      <c r="A1108" s="458"/>
    </row>
    <row r="1109" customFormat="false" ht="12.75" hidden="false" customHeight="false" outlineLevel="0" collapsed="false">
      <c r="A1109" s="458"/>
    </row>
    <row r="1110" customFormat="false" ht="12.75" hidden="false" customHeight="false" outlineLevel="0" collapsed="false">
      <c r="A1110" s="458"/>
    </row>
    <row r="1111" customFormat="false" ht="12.75" hidden="false" customHeight="false" outlineLevel="0" collapsed="false">
      <c r="A1111" s="458"/>
    </row>
    <row r="1112" customFormat="false" ht="12.75" hidden="false" customHeight="false" outlineLevel="0" collapsed="false">
      <c r="A1112" s="458"/>
    </row>
    <row r="1113" customFormat="false" ht="12.75" hidden="false" customHeight="false" outlineLevel="0" collapsed="false">
      <c r="A1113" s="458"/>
    </row>
    <row r="1114" customFormat="false" ht="12.75" hidden="false" customHeight="false" outlineLevel="0" collapsed="false">
      <c r="A1114" s="458"/>
    </row>
    <row r="1115" customFormat="false" ht="12.75" hidden="false" customHeight="false" outlineLevel="0" collapsed="false">
      <c r="A1115" s="458"/>
    </row>
    <row r="1116" customFormat="false" ht="12.75" hidden="false" customHeight="false" outlineLevel="0" collapsed="false">
      <c r="A1116" s="458"/>
    </row>
    <row r="1117" customFormat="false" ht="12.75" hidden="false" customHeight="false" outlineLevel="0" collapsed="false">
      <c r="A1117" s="458"/>
    </row>
    <row r="1118" customFormat="false" ht="12.75" hidden="false" customHeight="false" outlineLevel="0" collapsed="false">
      <c r="A1118" s="458"/>
    </row>
    <row r="1119" customFormat="false" ht="12.75" hidden="false" customHeight="false" outlineLevel="0" collapsed="false">
      <c r="A1119" s="458"/>
    </row>
    <row r="1120" customFormat="false" ht="12.75" hidden="false" customHeight="false" outlineLevel="0" collapsed="false">
      <c r="A1120" s="458"/>
    </row>
    <row r="1121" customFormat="false" ht="12.75" hidden="false" customHeight="false" outlineLevel="0" collapsed="false">
      <c r="A1121" s="458"/>
    </row>
    <row r="1122" customFormat="false" ht="12.75" hidden="false" customHeight="false" outlineLevel="0" collapsed="false">
      <c r="A1122" s="458"/>
    </row>
    <row r="1123" customFormat="false" ht="12.75" hidden="false" customHeight="false" outlineLevel="0" collapsed="false">
      <c r="A1123" s="458"/>
    </row>
    <row r="1124" customFormat="false" ht="12.75" hidden="false" customHeight="false" outlineLevel="0" collapsed="false">
      <c r="A1124" s="458"/>
    </row>
    <row r="1125" customFormat="false" ht="12.75" hidden="false" customHeight="false" outlineLevel="0" collapsed="false">
      <c r="A1125" s="458"/>
    </row>
    <row r="1126" customFormat="false" ht="12.75" hidden="false" customHeight="false" outlineLevel="0" collapsed="false">
      <c r="A1126" s="458"/>
    </row>
    <row r="1127" customFormat="false" ht="12.75" hidden="false" customHeight="false" outlineLevel="0" collapsed="false">
      <c r="A1127" s="458"/>
    </row>
    <row r="1128" customFormat="false" ht="12.75" hidden="false" customHeight="false" outlineLevel="0" collapsed="false">
      <c r="A1128" s="458"/>
    </row>
    <row r="1129" customFormat="false" ht="12.75" hidden="false" customHeight="false" outlineLevel="0" collapsed="false">
      <c r="A1129" s="458"/>
    </row>
    <row r="1130" customFormat="false" ht="12.75" hidden="false" customHeight="false" outlineLevel="0" collapsed="false">
      <c r="A1130" s="458"/>
    </row>
    <row r="1131" customFormat="false" ht="12.75" hidden="false" customHeight="false" outlineLevel="0" collapsed="false">
      <c r="A1131" s="458"/>
    </row>
    <row r="1132" customFormat="false" ht="12.75" hidden="false" customHeight="false" outlineLevel="0" collapsed="false">
      <c r="A1132" s="458"/>
    </row>
    <row r="1133" customFormat="false" ht="12.75" hidden="false" customHeight="false" outlineLevel="0" collapsed="false">
      <c r="A1133" s="458"/>
    </row>
    <row r="1134" customFormat="false" ht="12.75" hidden="false" customHeight="false" outlineLevel="0" collapsed="false">
      <c r="A1134" s="458"/>
    </row>
    <row r="1135" customFormat="false" ht="12.75" hidden="false" customHeight="false" outlineLevel="0" collapsed="false">
      <c r="A1135" s="458"/>
    </row>
    <row r="1136" customFormat="false" ht="12.75" hidden="false" customHeight="false" outlineLevel="0" collapsed="false">
      <c r="A1136" s="458"/>
    </row>
    <row r="1137" customFormat="false" ht="12.75" hidden="false" customHeight="false" outlineLevel="0" collapsed="false">
      <c r="A1137" s="458"/>
    </row>
    <row r="1138" customFormat="false" ht="12.75" hidden="false" customHeight="false" outlineLevel="0" collapsed="false">
      <c r="A1138" s="458"/>
    </row>
    <row r="1139" customFormat="false" ht="12.75" hidden="false" customHeight="false" outlineLevel="0" collapsed="false">
      <c r="A1139" s="458"/>
    </row>
    <row r="1140" customFormat="false" ht="12.75" hidden="false" customHeight="false" outlineLevel="0" collapsed="false">
      <c r="A1140" s="458"/>
    </row>
    <row r="1141" customFormat="false" ht="12.75" hidden="false" customHeight="false" outlineLevel="0" collapsed="false">
      <c r="A1141" s="458"/>
    </row>
    <row r="1142" customFormat="false" ht="12.75" hidden="false" customHeight="false" outlineLevel="0" collapsed="false">
      <c r="A1142" s="458"/>
    </row>
    <row r="1143" customFormat="false" ht="12.75" hidden="false" customHeight="false" outlineLevel="0" collapsed="false">
      <c r="A1143" s="458"/>
    </row>
    <row r="1144" customFormat="false" ht="12.75" hidden="false" customHeight="false" outlineLevel="0" collapsed="false">
      <c r="A1144" s="458"/>
    </row>
    <row r="1145" customFormat="false" ht="12.75" hidden="false" customHeight="false" outlineLevel="0" collapsed="false">
      <c r="A1145" s="458"/>
    </row>
    <row r="1146" customFormat="false" ht="12.75" hidden="false" customHeight="false" outlineLevel="0" collapsed="false">
      <c r="A1146" s="458"/>
    </row>
    <row r="1147" customFormat="false" ht="12.75" hidden="false" customHeight="false" outlineLevel="0" collapsed="false">
      <c r="A1147" s="458"/>
    </row>
    <row r="1148" customFormat="false" ht="12.75" hidden="false" customHeight="false" outlineLevel="0" collapsed="false">
      <c r="A1148" s="458"/>
    </row>
    <row r="1149" customFormat="false" ht="12.75" hidden="false" customHeight="false" outlineLevel="0" collapsed="false">
      <c r="A1149" s="458"/>
    </row>
    <row r="1150" customFormat="false" ht="12.75" hidden="false" customHeight="false" outlineLevel="0" collapsed="false">
      <c r="A1150" s="458"/>
    </row>
    <row r="1151" customFormat="false" ht="12.75" hidden="false" customHeight="false" outlineLevel="0" collapsed="false">
      <c r="A1151" s="458"/>
    </row>
    <row r="1152" customFormat="false" ht="12.75" hidden="false" customHeight="false" outlineLevel="0" collapsed="false">
      <c r="A1152" s="458"/>
    </row>
    <row r="1153" customFormat="false" ht="12.75" hidden="false" customHeight="false" outlineLevel="0" collapsed="false">
      <c r="A1153" s="458"/>
    </row>
    <row r="1154" customFormat="false" ht="12.75" hidden="false" customHeight="false" outlineLevel="0" collapsed="false">
      <c r="A1154" s="458"/>
    </row>
    <row r="1155" customFormat="false" ht="12.75" hidden="false" customHeight="false" outlineLevel="0" collapsed="false">
      <c r="A1155" s="458"/>
    </row>
    <row r="1156" customFormat="false" ht="12.75" hidden="false" customHeight="false" outlineLevel="0" collapsed="false">
      <c r="A1156" s="458"/>
    </row>
    <row r="1157" customFormat="false" ht="12.75" hidden="false" customHeight="false" outlineLevel="0" collapsed="false">
      <c r="A1157" s="458"/>
    </row>
    <row r="1158" customFormat="false" ht="12.75" hidden="false" customHeight="false" outlineLevel="0" collapsed="false">
      <c r="A1158" s="458"/>
    </row>
    <row r="1159" customFormat="false" ht="12.75" hidden="false" customHeight="false" outlineLevel="0" collapsed="false">
      <c r="A1159" s="458"/>
    </row>
    <row r="1160" customFormat="false" ht="12.75" hidden="false" customHeight="false" outlineLevel="0" collapsed="false">
      <c r="A1160" s="458"/>
    </row>
    <row r="1161" customFormat="false" ht="12.75" hidden="false" customHeight="false" outlineLevel="0" collapsed="false">
      <c r="A1161" s="458"/>
    </row>
    <row r="1162" customFormat="false" ht="12.75" hidden="false" customHeight="false" outlineLevel="0" collapsed="false">
      <c r="A1162" s="458"/>
    </row>
    <row r="1163" customFormat="false" ht="12.75" hidden="false" customHeight="false" outlineLevel="0" collapsed="false">
      <c r="A1163" s="458"/>
    </row>
    <row r="1164" customFormat="false" ht="12.75" hidden="false" customHeight="false" outlineLevel="0" collapsed="false">
      <c r="A1164" s="458"/>
    </row>
    <row r="1165" customFormat="false" ht="12.75" hidden="false" customHeight="false" outlineLevel="0" collapsed="false">
      <c r="A1165" s="458"/>
    </row>
    <row r="1166" customFormat="false" ht="12.75" hidden="false" customHeight="false" outlineLevel="0" collapsed="false">
      <c r="A1166" s="458"/>
    </row>
    <row r="1167" customFormat="false" ht="12.75" hidden="false" customHeight="false" outlineLevel="0" collapsed="false">
      <c r="A1167" s="458"/>
    </row>
    <row r="1168" customFormat="false" ht="12.75" hidden="false" customHeight="false" outlineLevel="0" collapsed="false">
      <c r="A1168" s="458"/>
    </row>
    <row r="1169" customFormat="false" ht="12.75" hidden="false" customHeight="false" outlineLevel="0" collapsed="false">
      <c r="A1169" s="458"/>
    </row>
    <row r="1170" customFormat="false" ht="12.75" hidden="false" customHeight="false" outlineLevel="0" collapsed="false">
      <c r="A1170" s="458"/>
    </row>
    <row r="1171" customFormat="false" ht="12.75" hidden="false" customHeight="false" outlineLevel="0" collapsed="false">
      <c r="A1171" s="458"/>
    </row>
    <row r="1172" customFormat="false" ht="12.75" hidden="false" customHeight="false" outlineLevel="0" collapsed="false">
      <c r="A1172" s="458"/>
    </row>
    <row r="1173" customFormat="false" ht="12.75" hidden="false" customHeight="false" outlineLevel="0" collapsed="false">
      <c r="A1173" s="458"/>
    </row>
    <row r="1174" customFormat="false" ht="12.75" hidden="false" customHeight="false" outlineLevel="0" collapsed="false">
      <c r="A1174" s="458"/>
    </row>
    <row r="1175" customFormat="false" ht="12.75" hidden="false" customHeight="false" outlineLevel="0" collapsed="false">
      <c r="A1175" s="458"/>
    </row>
    <row r="1176" customFormat="false" ht="12.75" hidden="false" customHeight="false" outlineLevel="0" collapsed="false">
      <c r="A1176" s="458"/>
    </row>
    <row r="1177" customFormat="false" ht="12.75" hidden="false" customHeight="false" outlineLevel="0" collapsed="false">
      <c r="A1177" s="458"/>
    </row>
    <row r="1178" customFormat="false" ht="12.75" hidden="false" customHeight="false" outlineLevel="0" collapsed="false">
      <c r="A1178" s="458"/>
    </row>
    <row r="1179" customFormat="false" ht="12.75" hidden="false" customHeight="false" outlineLevel="0" collapsed="false">
      <c r="A1179" s="458"/>
    </row>
    <row r="1180" customFormat="false" ht="12.75" hidden="false" customHeight="false" outlineLevel="0" collapsed="false">
      <c r="A1180" s="458"/>
    </row>
    <row r="1181" customFormat="false" ht="12.75" hidden="false" customHeight="false" outlineLevel="0" collapsed="false">
      <c r="A1181" s="458"/>
    </row>
    <row r="1182" customFormat="false" ht="12.75" hidden="false" customHeight="false" outlineLevel="0" collapsed="false">
      <c r="A1182" s="458"/>
    </row>
    <row r="1183" customFormat="false" ht="12.75" hidden="false" customHeight="false" outlineLevel="0" collapsed="false">
      <c r="A1183" s="458"/>
    </row>
    <row r="1184" customFormat="false" ht="12.75" hidden="false" customHeight="false" outlineLevel="0" collapsed="false">
      <c r="A1184" s="458"/>
    </row>
    <row r="1185" customFormat="false" ht="12.75" hidden="false" customHeight="false" outlineLevel="0" collapsed="false">
      <c r="A1185" s="458"/>
    </row>
    <row r="1186" customFormat="false" ht="12.75" hidden="false" customHeight="false" outlineLevel="0" collapsed="false">
      <c r="A1186" s="458"/>
    </row>
    <row r="1187" customFormat="false" ht="12.75" hidden="false" customHeight="false" outlineLevel="0" collapsed="false">
      <c r="A1187" s="458"/>
    </row>
    <row r="1188" customFormat="false" ht="12.75" hidden="false" customHeight="false" outlineLevel="0" collapsed="false">
      <c r="A1188" s="458"/>
    </row>
    <row r="1189" customFormat="false" ht="12.75" hidden="false" customHeight="false" outlineLevel="0" collapsed="false">
      <c r="A1189" s="458"/>
    </row>
    <row r="1190" customFormat="false" ht="12.75" hidden="false" customHeight="false" outlineLevel="0" collapsed="false">
      <c r="A1190" s="458"/>
    </row>
    <row r="1191" customFormat="false" ht="12.75" hidden="false" customHeight="false" outlineLevel="0" collapsed="false">
      <c r="A1191" s="458"/>
    </row>
    <row r="1192" customFormat="false" ht="12.75" hidden="false" customHeight="false" outlineLevel="0" collapsed="false">
      <c r="A1192" s="458"/>
    </row>
    <row r="1193" customFormat="false" ht="12.75" hidden="false" customHeight="false" outlineLevel="0" collapsed="false">
      <c r="A1193" s="458"/>
    </row>
    <row r="1194" customFormat="false" ht="12.75" hidden="false" customHeight="false" outlineLevel="0" collapsed="false">
      <c r="A1194" s="458"/>
    </row>
    <row r="1195" customFormat="false" ht="12.75" hidden="false" customHeight="false" outlineLevel="0" collapsed="false">
      <c r="A1195" s="458"/>
    </row>
    <row r="1196" customFormat="false" ht="12.75" hidden="false" customHeight="false" outlineLevel="0" collapsed="false">
      <c r="A1196" s="458"/>
    </row>
    <row r="1197" customFormat="false" ht="12.75" hidden="false" customHeight="false" outlineLevel="0" collapsed="false">
      <c r="A1197" s="458"/>
    </row>
    <row r="1198" customFormat="false" ht="12.75" hidden="false" customHeight="false" outlineLevel="0" collapsed="false">
      <c r="A1198" s="458"/>
    </row>
    <row r="1199" customFormat="false" ht="12.75" hidden="false" customHeight="false" outlineLevel="0" collapsed="false">
      <c r="A1199" s="458"/>
    </row>
    <row r="1200" customFormat="false" ht="12.75" hidden="false" customHeight="false" outlineLevel="0" collapsed="false">
      <c r="A1200" s="458"/>
    </row>
    <row r="1201" customFormat="false" ht="12.75" hidden="false" customHeight="false" outlineLevel="0" collapsed="false">
      <c r="A1201" s="458"/>
    </row>
    <row r="1202" customFormat="false" ht="12.75" hidden="false" customHeight="false" outlineLevel="0" collapsed="false">
      <c r="A1202" s="458"/>
    </row>
    <row r="1203" customFormat="false" ht="12.75" hidden="false" customHeight="false" outlineLevel="0" collapsed="false">
      <c r="A1203" s="458"/>
    </row>
    <row r="1204" customFormat="false" ht="12.75" hidden="false" customHeight="false" outlineLevel="0" collapsed="false">
      <c r="A1204" s="458"/>
    </row>
    <row r="1205" customFormat="false" ht="12.75" hidden="false" customHeight="false" outlineLevel="0" collapsed="false">
      <c r="A1205" s="458"/>
    </row>
    <row r="1206" customFormat="false" ht="12.75" hidden="false" customHeight="false" outlineLevel="0" collapsed="false">
      <c r="A1206" s="458"/>
    </row>
    <row r="1207" customFormat="false" ht="12.75" hidden="false" customHeight="false" outlineLevel="0" collapsed="false">
      <c r="A1207" s="458"/>
    </row>
    <row r="1208" customFormat="false" ht="12.75" hidden="false" customHeight="false" outlineLevel="0" collapsed="false">
      <c r="A1208" s="458"/>
    </row>
    <row r="1209" customFormat="false" ht="12.75" hidden="false" customHeight="false" outlineLevel="0" collapsed="false">
      <c r="A1209" s="458"/>
    </row>
    <row r="1210" customFormat="false" ht="12.75" hidden="false" customHeight="false" outlineLevel="0" collapsed="false">
      <c r="A1210" s="458"/>
    </row>
    <row r="1211" customFormat="false" ht="12.75" hidden="false" customHeight="false" outlineLevel="0" collapsed="false">
      <c r="A1211" s="458"/>
    </row>
    <row r="1212" customFormat="false" ht="12.75" hidden="false" customHeight="false" outlineLevel="0" collapsed="false">
      <c r="A1212" s="458"/>
    </row>
    <row r="1213" customFormat="false" ht="12.75" hidden="false" customHeight="false" outlineLevel="0" collapsed="false">
      <c r="A1213" s="458"/>
    </row>
    <row r="1214" customFormat="false" ht="12.75" hidden="false" customHeight="false" outlineLevel="0" collapsed="false">
      <c r="A1214" s="458"/>
    </row>
    <row r="1215" customFormat="false" ht="12.75" hidden="false" customHeight="false" outlineLevel="0" collapsed="false">
      <c r="A1215" s="458"/>
    </row>
    <row r="1216" customFormat="false" ht="12.75" hidden="false" customHeight="false" outlineLevel="0" collapsed="false">
      <c r="A1216" s="458"/>
    </row>
    <row r="1217" customFormat="false" ht="12.75" hidden="false" customHeight="false" outlineLevel="0" collapsed="false">
      <c r="A1217" s="458"/>
    </row>
    <row r="1218" customFormat="false" ht="12.75" hidden="false" customHeight="false" outlineLevel="0" collapsed="false">
      <c r="A1218" s="458"/>
    </row>
    <row r="1219" customFormat="false" ht="12.75" hidden="false" customHeight="false" outlineLevel="0" collapsed="false">
      <c r="A1219" s="458"/>
    </row>
    <row r="1220" customFormat="false" ht="12.75" hidden="false" customHeight="false" outlineLevel="0" collapsed="false">
      <c r="A1220" s="458"/>
    </row>
    <row r="1221" customFormat="false" ht="12.75" hidden="false" customHeight="false" outlineLevel="0" collapsed="false">
      <c r="A1221" s="458"/>
    </row>
    <row r="1222" customFormat="false" ht="12.75" hidden="false" customHeight="false" outlineLevel="0" collapsed="false">
      <c r="A1222" s="458"/>
    </row>
    <row r="1223" customFormat="false" ht="12.75" hidden="false" customHeight="false" outlineLevel="0" collapsed="false">
      <c r="A1223" s="458"/>
    </row>
    <row r="1224" customFormat="false" ht="12.75" hidden="false" customHeight="false" outlineLevel="0" collapsed="false">
      <c r="A1224" s="458"/>
    </row>
    <row r="1225" customFormat="false" ht="12.75" hidden="false" customHeight="false" outlineLevel="0" collapsed="false">
      <c r="A1225" s="458"/>
    </row>
    <row r="1226" customFormat="false" ht="12.75" hidden="false" customHeight="false" outlineLevel="0" collapsed="false">
      <c r="A1226" s="458"/>
    </row>
    <row r="1227" customFormat="false" ht="12.75" hidden="false" customHeight="false" outlineLevel="0" collapsed="false">
      <c r="A1227" s="458"/>
    </row>
    <row r="1228" customFormat="false" ht="12.75" hidden="false" customHeight="false" outlineLevel="0" collapsed="false">
      <c r="A1228" s="458"/>
    </row>
    <row r="1229" customFormat="false" ht="12.75" hidden="false" customHeight="false" outlineLevel="0" collapsed="false">
      <c r="A1229" s="458"/>
    </row>
    <row r="1230" customFormat="false" ht="12.75" hidden="false" customHeight="false" outlineLevel="0" collapsed="false">
      <c r="A1230" s="458"/>
    </row>
    <row r="1231" customFormat="false" ht="12.75" hidden="false" customHeight="false" outlineLevel="0" collapsed="false">
      <c r="A1231" s="458"/>
    </row>
    <row r="1232" customFormat="false" ht="12.75" hidden="false" customHeight="false" outlineLevel="0" collapsed="false">
      <c r="A1232" s="458"/>
    </row>
    <row r="1233" customFormat="false" ht="12.75" hidden="false" customHeight="false" outlineLevel="0" collapsed="false">
      <c r="A1233" s="458"/>
    </row>
    <row r="1234" customFormat="false" ht="12.75" hidden="false" customHeight="false" outlineLevel="0" collapsed="false">
      <c r="A1234" s="458"/>
    </row>
    <row r="1235" customFormat="false" ht="12.75" hidden="false" customHeight="false" outlineLevel="0" collapsed="false">
      <c r="A1235" s="458"/>
    </row>
    <row r="1236" customFormat="false" ht="12.75" hidden="false" customHeight="false" outlineLevel="0" collapsed="false">
      <c r="A1236" s="458"/>
    </row>
    <row r="1237" customFormat="false" ht="12.75" hidden="false" customHeight="false" outlineLevel="0" collapsed="false">
      <c r="A1237" s="458"/>
    </row>
    <row r="1238" customFormat="false" ht="12.75" hidden="false" customHeight="false" outlineLevel="0" collapsed="false">
      <c r="A1238" s="458"/>
    </row>
    <row r="1239" customFormat="false" ht="12.75" hidden="false" customHeight="false" outlineLevel="0" collapsed="false">
      <c r="A1239" s="458"/>
    </row>
    <row r="1240" customFormat="false" ht="12.75" hidden="false" customHeight="false" outlineLevel="0" collapsed="false">
      <c r="A1240" s="458"/>
    </row>
    <row r="1241" customFormat="false" ht="12.75" hidden="false" customHeight="false" outlineLevel="0" collapsed="false">
      <c r="A1241" s="458"/>
    </row>
    <row r="1242" customFormat="false" ht="12.75" hidden="false" customHeight="false" outlineLevel="0" collapsed="false">
      <c r="A1242" s="458"/>
    </row>
    <row r="1243" customFormat="false" ht="12.75" hidden="false" customHeight="false" outlineLevel="0" collapsed="false">
      <c r="A1243" s="458"/>
    </row>
    <row r="1244" customFormat="false" ht="12.75" hidden="false" customHeight="false" outlineLevel="0" collapsed="false">
      <c r="A1244" s="458"/>
    </row>
    <row r="1245" customFormat="false" ht="12.75" hidden="false" customHeight="false" outlineLevel="0" collapsed="false">
      <c r="A1245" s="458"/>
    </row>
    <row r="1246" customFormat="false" ht="12.75" hidden="false" customHeight="false" outlineLevel="0" collapsed="false">
      <c r="A1246" s="458"/>
    </row>
    <row r="1247" customFormat="false" ht="12.75" hidden="false" customHeight="false" outlineLevel="0" collapsed="false">
      <c r="A1247" s="458"/>
    </row>
    <row r="1248" customFormat="false" ht="12.75" hidden="false" customHeight="false" outlineLevel="0" collapsed="false">
      <c r="A1248" s="458"/>
    </row>
    <row r="1249" customFormat="false" ht="12.75" hidden="false" customHeight="false" outlineLevel="0" collapsed="false">
      <c r="A1249" s="458"/>
    </row>
    <row r="1250" customFormat="false" ht="12.75" hidden="false" customHeight="false" outlineLevel="0" collapsed="false">
      <c r="A1250" s="458"/>
    </row>
    <row r="1251" customFormat="false" ht="12.75" hidden="false" customHeight="false" outlineLevel="0" collapsed="false">
      <c r="A1251" s="458"/>
    </row>
    <row r="1252" customFormat="false" ht="12.75" hidden="false" customHeight="false" outlineLevel="0" collapsed="false">
      <c r="A1252" s="458"/>
    </row>
    <row r="1253" customFormat="false" ht="12.75" hidden="false" customHeight="false" outlineLevel="0" collapsed="false">
      <c r="A1253" s="458"/>
    </row>
    <row r="1254" customFormat="false" ht="12.75" hidden="false" customHeight="false" outlineLevel="0" collapsed="false">
      <c r="A1254" s="458"/>
    </row>
    <row r="1255" customFormat="false" ht="12.75" hidden="false" customHeight="false" outlineLevel="0" collapsed="false">
      <c r="A1255" s="458"/>
    </row>
    <row r="1256" customFormat="false" ht="12.75" hidden="false" customHeight="false" outlineLevel="0" collapsed="false">
      <c r="A1256" s="458"/>
    </row>
    <row r="1257" customFormat="false" ht="12.75" hidden="false" customHeight="false" outlineLevel="0" collapsed="false">
      <c r="A1257" s="458"/>
    </row>
    <row r="1258" customFormat="false" ht="12.75" hidden="false" customHeight="false" outlineLevel="0" collapsed="false">
      <c r="A1258" s="458"/>
    </row>
    <row r="1259" customFormat="false" ht="12.75" hidden="false" customHeight="false" outlineLevel="0" collapsed="false">
      <c r="A1259" s="458"/>
    </row>
    <row r="1260" customFormat="false" ht="12.75" hidden="false" customHeight="false" outlineLevel="0" collapsed="false">
      <c r="A1260" s="458"/>
    </row>
    <row r="1261" customFormat="false" ht="12.75" hidden="false" customHeight="false" outlineLevel="0" collapsed="false">
      <c r="A1261" s="458"/>
    </row>
    <row r="1262" customFormat="false" ht="12.75" hidden="false" customHeight="false" outlineLevel="0" collapsed="false">
      <c r="A1262" s="458"/>
    </row>
    <row r="1263" customFormat="false" ht="12.75" hidden="false" customHeight="false" outlineLevel="0" collapsed="false">
      <c r="A1263" s="458"/>
    </row>
    <row r="1264" customFormat="false" ht="12.75" hidden="false" customHeight="false" outlineLevel="0" collapsed="false">
      <c r="A1264" s="458"/>
    </row>
    <row r="1265" customFormat="false" ht="12.75" hidden="false" customHeight="false" outlineLevel="0" collapsed="false">
      <c r="A1265" s="458"/>
    </row>
    <row r="1266" customFormat="false" ht="12.75" hidden="false" customHeight="false" outlineLevel="0" collapsed="false">
      <c r="A1266" s="458"/>
    </row>
    <row r="1267" customFormat="false" ht="12.75" hidden="false" customHeight="false" outlineLevel="0" collapsed="false">
      <c r="A1267" s="458"/>
    </row>
    <row r="1268" customFormat="false" ht="12.75" hidden="false" customHeight="false" outlineLevel="0" collapsed="false">
      <c r="A1268" s="458"/>
    </row>
    <row r="1269" customFormat="false" ht="12.75" hidden="false" customHeight="false" outlineLevel="0" collapsed="false">
      <c r="A1269" s="458"/>
    </row>
    <row r="1270" customFormat="false" ht="12.75" hidden="false" customHeight="false" outlineLevel="0" collapsed="false">
      <c r="A1270" s="458"/>
    </row>
    <row r="1271" customFormat="false" ht="12.75" hidden="false" customHeight="false" outlineLevel="0" collapsed="false">
      <c r="A1271" s="458"/>
    </row>
    <row r="1272" customFormat="false" ht="12.75" hidden="false" customHeight="false" outlineLevel="0" collapsed="false">
      <c r="A1272" s="458"/>
    </row>
    <row r="1273" customFormat="false" ht="12.75" hidden="false" customHeight="false" outlineLevel="0" collapsed="false">
      <c r="A1273" s="458"/>
    </row>
    <row r="1274" customFormat="false" ht="12.75" hidden="false" customHeight="false" outlineLevel="0" collapsed="false">
      <c r="A1274" s="458"/>
    </row>
    <row r="1275" customFormat="false" ht="12.75" hidden="false" customHeight="false" outlineLevel="0" collapsed="false">
      <c r="A1275" s="458"/>
    </row>
    <row r="1276" customFormat="false" ht="12.75" hidden="false" customHeight="false" outlineLevel="0" collapsed="false">
      <c r="A1276" s="458"/>
    </row>
    <row r="1277" customFormat="false" ht="12.75" hidden="false" customHeight="false" outlineLevel="0" collapsed="false">
      <c r="A1277" s="458"/>
    </row>
    <row r="1278" customFormat="false" ht="12.75" hidden="false" customHeight="false" outlineLevel="0" collapsed="false">
      <c r="A1278" s="458"/>
    </row>
    <row r="1279" customFormat="false" ht="12.75" hidden="false" customHeight="false" outlineLevel="0" collapsed="false">
      <c r="A1279" s="458"/>
    </row>
    <row r="1280" customFormat="false" ht="12.75" hidden="false" customHeight="false" outlineLevel="0" collapsed="false">
      <c r="A1280" s="458"/>
    </row>
    <row r="1281" customFormat="false" ht="12.75" hidden="false" customHeight="false" outlineLevel="0" collapsed="false">
      <c r="A1281" s="458"/>
    </row>
    <row r="1282" customFormat="false" ht="12.75" hidden="false" customHeight="false" outlineLevel="0" collapsed="false">
      <c r="A1282" s="458"/>
    </row>
    <row r="1283" customFormat="false" ht="12.75" hidden="false" customHeight="false" outlineLevel="0" collapsed="false">
      <c r="A1283" s="458"/>
    </row>
    <row r="1284" customFormat="false" ht="12.75" hidden="false" customHeight="false" outlineLevel="0" collapsed="false">
      <c r="A1284" s="458"/>
    </row>
    <row r="1285" customFormat="false" ht="12.75" hidden="false" customHeight="false" outlineLevel="0" collapsed="false">
      <c r="A1285" s="458"/>
    </row>
    <row r="1286" customFormat="false" ht="12.75" hidden="false" customHeight="false" outlineLevel="0" collapsed="false">
      <c r="A1286" s="458"/>
    </row>
    <row r="1287" customFormat="false" ht="12.75" hidden="false" customHeight="false" outlineLevel="0" collapsed="false">
      <c r="A1287" s="458"/>
    </row>
    <row r="1288" customFormat="false" ht="12.75" hidden="false" customHeight="false" outlineLevel="0" collapsed="false">
      <c r="A1288" s="458"/>
    </row>
    <row r="1289" customFormat="false" ht="12.75" hidden="false" customHeight="false" outlineLevel="0" collapsed="false">
      <c r="A1289" s="458"/>
    </row>
    <row r="1290" customFormat="false" ht="12.75" hidden="false" customHeight="false" outlineLevel="0" collapsed="false">
      <c r="A1290" s="458"/>
    </row>
    <row r="1291" customFormat="false" ht="12.75" hidden="false" customHeight="false" outlineLevel="0" collapsed="false">
      <c r="A1291" s="458"/>
    </row>
    <row r="1292" customFormat="false" ht="12.75" hidden="false" customHeight="false" outlineLevel="0" collapsed="false">
      <c r="A1292" s="458"/>
    </row>
    <row r="1293" customFormat="false" ht="12.75" hidden="false" customHeight="false" outlineLevel="0" collapsed="false">
      <c r="A1293" s="458"/>
    </row>
    <row r="1294" customFormat="false" ht="12.75" hidden="false" customHeight="false" outlineLevel="0" collapsed="false">
      <c r="A1294" s="458"/>
    </row>
    <row r="1295" customFormat="false" ht="12.75" hidden="false" customHeight="false" outlineLevel="0" collapsed="false">
      <c r="A1295" s="458"/>
    </row>
    <row r="1296" customFormat="false" ht="12.75" hidden="false" customHeight="false" outlineLevel="0" collapsed="false">
      <c r="A1296" s="458"/>
    </row>
    <row r="1297" customFormat="false" ht="12.75" hidden="false" customHeight="false" outlineLevel="0" collapsed="false">
      <c r="A1297" s="458"/>
    </row>
    <row r="1298" customFormat="false" ht="12.75" hidden="false" customHeight="false" outlineLevel="0" collapsed="false">
      <c r="A1298" s="458"/>
    </row>
    <row r="1299" customFormat="false" ht="12.75" hidden="false" customHeight="false" outlineLevel="0" collapsed="false">
      <c r="A1299" s="458"/>
    </row>
    <row r="1300" customFormat="false" ht="12.75" hidden="false" customHeight="false" outlineLevel="0" collapsed="false">
      <c r="A1300" s="458"/>
    </row>
    <row r="1301" customFormat="false" ht="12.75" hidden="false" customHeight="false" outlineLevel="0" collapsed="false">
      <c r="A1301" s="458"/>
    </row>
    <row r="1302" customFormat="false" ht="12.75" hidden="false" customHeight="false" outlineLevel="0" collapsed="false">
      <c r="A1302" s="458"/>
    </row>
    <row r="1303" customFormat="false" ht="12.75" hidden="false" customHeight="false" outlineLevel="0" collapsed="false">
      <c r="A1303" s="458"/>
    </row>
    <row r="1304" customFormat="false" ht="12.75" hidden="false" customHeight="false" outlineLevel="0" collapsed="false">
      <c r="A1304" s="458"/>
    </row>
    <row r="1305" customFormat="false" ht="12.75" hidden="false" customHeight="false" outlineLevel="0" collapsed="false">
      <c r="A1305" s="458"/>
    </row>
    <row r="1306" customFormat="false" ht="12.75" hidden="false" customHeight="false" outlineLevel="0" collapsed="false">
      <c r="A1306" s="458"/>
    </row>
    <row r="1307" customFormat="false" ht="12.75" hidden="false" customHeight="false" outlineLevel="0" collapsed="false">
      <c r="A1307" s="458"/>
    </row>
    <row r="1308" customFormat="false" ht="12.75" hidden="false" customHeight="false" outlineLevel="0" collapsed="false">
      <c r="A1308" s="458"/>
    </row>
    <row r="1309" customFormat="false" ht="12.75" hidden="false" customHeight="false" outlineLevel="0" collapsed="false">
      <c r="A1309" s="458"/>
    </row>
    <row r="1310" customFormat="false" ht="12.75" hidden="false" customHeight="false" outlineLevel="0" collapsed="false">
      <c r="A1310" s="458"/>
    </row>
    <row r="1311" customFormat="false" ht="12.75" hidden="false" customHeight="false" outlineLevel="0" collapsed="false">
      <c r="A1311" s="458"/>
    </row>
    <row r="1312" customFormat="false" ht="12.75" hidden="false" customHeight="false" outlineLevel="0" collapsed="false">
      <c r="A1312" s="458"/>
    </row>
    <row r="1313" customFormat="false" ht="12.75" hidden="false" customHeight="false" outlineLevel="0" collapsed="false">
      <c r="A1313" s="458"/>
    </row>
    <row r="1314" customFormat="false" ht="12.75" hidden="false" customHeight="false" outlineLevel="0" collapsed="false">
      <c r="A1314" s="458"/>
    </row>
    <row r="1315" customFormat="false" ht="12.75" hidden="false" customHeight="false" outlineLevel="0" collapsed="false">
      <c r="A1315" s="458"/>
    </row>
    <row r="1316" customFormat="false" ht="12.75" hidden="false" customHeight="false" outlineLevel="0" collapsed="false">
      <c r="A1316" s="458"/>
    </row>
    <row r="1317" customFormat="false" ht="12.75" hidden="false" customHeight="false" outlineLevel="0" collapsed="false">
      <c r="A1317" s="458"/>
    </row>
    <row r="1318" customFormat="false" ht="12.75" hidden="false" customHeight="false" outlineLevel="0" collapsed="false">
      <c r="A1318" s="458"/>
    </row>
    <row r="1319" customFormat="false" ht="12.75" hidden="false" customHeight="false" outlineLevel="0" collapsed="false">
      <c r="A1319" s="458"/>
    </row>
    <row r="1320" customFormat="false" ht="12.75" hidden="false" customHeight="false" outlineLevel="0" collapsed="false">
      <c r="A1320" s="458"/>
    </row>
    <row r="1321" customFormat="false" ht="12.75" hidden="false" customHeight="false" outlineLevel="0" collapsed="false">
      <c r="A1321" s="458"/>
    </row>
    <row r="1322" customFormat="false" ht="12.75" hidden="false" customHeight="false" outlineLevel="0" collapsed="false">
      <c r="A1322" s="458"/>
    </row>
    <row r="1323" customFormat="false" ht="12.75" hidden="false" customHeight="false" outlineLevel="0" collapsed="false">
      <c r="A1323" s="458"/>
    </row>
    <row r="1324" customFormat="false" ht="12.75" hidden="false" customHeight="false" outlineLevel="0" collapsed="false">
      <c r="A1324" s="458"/>
    </row>
    <row r="1325" customFormat="false" ht="12.75" hidden="false" customHeight="false" outlineLevel="0" collapsed="false">
      <c r="A1325" s="458"/>
    </row>
    <row r="1326" customFormat="false" ht="12.75" hidden="false" customHeight="false" outlineLevel="0" collapsed="false">
      <c r="A1326" s="458"/>
    </row>
    <row r="1327" customFormat="false" ht="12.75" hidden="false" customHeight="false" outlineLevel="0" collapsed="false">
      <c r="A1327" s="458"/>
    </row>
    <row r="1328" customFormat="false" ht="12.75" hidden="false" customHeight="false" outlineLevel="0" collapsed="false">
      <c r="A1328" s="458"/>
    </row>
    <row r="1329" customFormat="false" ht="12.75" hidden="false" customHeight="false" outlineLevel="0" collapsed="false">
      <c r="A1329" s="458"/>
    </row>
    <row r="1330" customFormat="false" ht="12.75" hidden="false" customHeight="false" outlineLevel="0" collapsed="false">
      <c r="A1330" s="458"/>
    </row>
    <row r="1331" customFormat="false" ht="12.75" hidden="false" customHeight="false" outlineLevel="0" collapsed="false">
      <c r="A1331" s="458"/>
    </row>
    <row r="1332" customFormat="false" ht="12.75" hidden="false" customHeight="false" outlineLevel="0" collapsed="false">
      <c r="A1332" s="458"/>
    </row>
    <row r="1333" customFormat="false" ht="12.75" hidden="false" customHeight="false" outlineLevel="0" collapsed="false">
      <c r="A1333" s="458"/>
    </row>
    <row r="1334" customFormat="false" ht="12.75" hidden="false" customHeight="false" outlineLevel="0" collapsed="false">
      <c r="A1334" s="458"/>
    </row>
    <row r="1335" customFormat="false" ht="12.75" hidden="false" customHeight="false" outlineLevel="0" collapsed="false">
      <c r="A1335" s="458"/>
    </row>
    <row r="1336" customFormat="false" ht="12.75" hidden="false" customHeight="false" outlineLevel="0" collapsed="false">
      <c r="A1336" s="458"/>
    </row>
    <row r="1337" customFormat="false" ht="12.75" hidden="false" customHeight="false" outlineLevel="0" collapsed="false">
      <c r="A1337" s="458"/>
    </row>
    <row r="1338" customFormat="false" ht="12.75" hidden="false" customHeight="false" outlineLevel="0" collapsed="false">
      <c r="A1338" s="458"/>
    </row>
    <row r="1339" customFormat="false" ht="12.75" hidden="false" customHeight="false" outlineLevel="0" collapsed="false">
      <c r="A1339" s="458"/>
    </row>
    <row r="1340" customFormat="false" ht="12.75" hidden="false" customHeight="false" outlineLevel="0" collapsed="false">
      <c r="A1340" s="458"/>
    </row>
    <row r="1341" customFormat="false" ht="12.75" hidden="false" customHeight="false" outlineLevel="0" collapsed="false">
      <c r="A1341" s="458"/>
    </row>
    <row r="1342" customFormat="false" ht="12.75" hidden="false" customHeight="false" outlineLevel="0" collapsed="false">
      <c r="A1342" s="458"/>
    </row>
    <row r="1343" customFormat="false" ht="12.75" hidden="false" customHeight="false" outlineLevel="0" collapsed="false">
      <c r="A1343" s="458"/>
    </row>
    <row r="1344" customFormat="false" ht="12.75" hidden="false" customHeight="false" outlineLevel="0" collapsed="false">
      <c r="A1344" s="458"/>
    </row>
    <row r="1345" customFormat="false" ht="12.75" hidden="false" customHeight="false" outlineLevel="0" collapsed="false">
      <c r="A1345" s="458"/>
    </row>
    <row r="1346" customFormat="false" ht="12.75" hidden="false" customHeight="false" outlineLevel="0" collapsed="false">
      <c r="A1346" s="458"/>
    </row>
    <row r="1347" customFormat="false" ht="12.75" hidden="false" customHeight="false" outlineLevel="0" collapsed="false">
      <c r="A1347" s="458"/>
    </row>
    <row r="1348" customFormat="false" ht="12.75" hidden="false" customHeight="false" outlineLevel="0" collapsed="false">
      <c r="A1348" s="458"/>
    </row>
    <row r="1349" customFormat="false" ht="12.75" hidden="false" customHeight="false" outlineLevel="0" collapsed="false">
      <c r="A1349" s="458"/>
    </row>
    <row r="1350" customFormat="false" ht="12.75" hidden="false" customHeight="false" outlineLevel="0" collapsed="false">
      <c r="A1350" s="458"/>
    </row>
    <row r="1351" customFormat="false" ht="12.75" hidden="false" customHeight="false" outlineLevel="0" collapsed="false">
      <c r="A1351" s="458"/>
    </row>
    <row r="1352" customFormat="false" ht="12.75" hidden="false" customHeight="false" outlineLevel="0" collapsed="false">
      <c r="A1352" s="458"/>
    </row>
    <row r="1353" customFormat="false" ht="12.75" hidden="false" customHeight="false" outlineLevel="0" collapsed="false">
      <c r="A1353" s="458"/>
    </row>
    <row r="1354" customFormat="false" ht="12.75" hidden="false" customHeight="false" outlineLevel="0" collapsed="false">
      <c r="A1354" s="458"/>
    </row>
    <row r="1355" customFormat="false" ht="12.75" hidden="false" customHeight="false" outlineLevel="0" collapsed="false">
      <c r="A1355" s="458"/>
    </row>
    <row r="1356" customFormat="false" ht="12.75" hidden="false" customHeight="false" outlineLevel="0" collapsed="false">
      <c r="A1356" s="458"/>
    </row>
    <row r="1357" customFormat="false" ht="12.75" hidden="false" customHeight="false" outlineLevel="0" collapsed="false">
      <c r="A1357" s="458"/>
    </row>
    <row r="1358" customFormat="false" ht="12.75" hidden="false" customHeight="false" outlineLevel="0" collapsed="false">
      <c r="A1358" s="458"/>
    </row>
    <row r="1359" customFormat="false" ht="12.75" hidden="false" customHeight="false" outlineLevel="0" collapsed="false">
      <c r="A1359" s="458"/>
    </row>
    <row r="1360" customFormat="false" ht="12.75" hidden="false" customHeight="false" outlineLevel="0" collapsed="false">
      <c r="A1360" s="458"/>
    </row>
    <row r="1361" customFormat="false" ht="12.75" hidden="false" customHeight="false" outlineLevel="0" collapsed="false">
      <c r="A1361" s="458"/>
    </row>
    <row r="1362" customFormat="false" ht="12.75" hidden="false" customHeight="false" outlineLevel="0" collapsed="false">
      <c r="A1362" s="458"/>
    </row>
    <row r="1363" customFormat="false" ht="12.75" hidden="false" customHeight="false" outlineLevel="0" collapsed="false">
      <c r="A1363" s="458"/>
    </row>
    <row r="1364" customFormat="false" ht="12.75" hidden="false" customHeight="false" outlineLevel="0" collapsed="false">
      <c r="A1364" s="458"/>
    </row>
    <row r="1365" customFormat="false" ht="12.75" hidden="false" customHeight="false" outlineLevel="0" collapsed="false">
      <c r="A1365" s="458"/>
    </row>
    <row r="1366" customFormat="false" ht="12.75" hidden="false" customHeight="false" outlineLevel="0" collapsed="false">
      <c r="A1366" s="458"/>
    </row>
    <row r="1367" customFormat="false" ht="12.75" hidden="false" customHeight="false" outlineLevel="0" collapsed="false">
      <c r="A1367" s="458"/>
    </row>
    <row r="1368" customFormat="false" ht="12.75" hidden="false" customHeight="false" outlineLevel="0" collapsed="false">
      <c r="A1368" s="458"/>
    </row>
    <row r="1369" customFormat="false" ht="12.75" hidden="false" customHeight="false" outlineLevel="0" collapsed="false">
      <c r="A1369" s="458"/>
    </row>
    <row r="1370" customFormat="false" ht="12.75" hidden="false" customHeight="false" outlineLevel="0" collapsed="false">
      <c r="A1370" s="458"/>
    </row>
    <row r="1371" customFormat="false" ht="12.75" hidden="false" customHeight="false" outlineLevel="0" collapsed="false">
      <c r="A1371" s="458"/>
    </row>
    <row r="1372" customFormat="false" ht="12.75" hidden="false" customHeight="false" outlineLevel="0" collapsed="false">
      <c r="A1372" s="458"/>
    </row>
    <row r="1373" customFormat="false" ht="12.75" hidden="false" customHeight="false" outlineLevel="0" collapsed="false">
      <c r="A1373" s="458"/>
    </row>
    <row r="1374" customFormat="false" ht="12.75" hidden="false" customHeight="false" outlineLevel="0" collapsed="false">
      <c r="A1374" s="458"/>
    </row>
    <row r="1375" customFormat="false" ht="12.75" hidden="false" customHeight="false" outlineLevel="0" collapsed="false">
      <c r="A1375" s="458"/>
    </row>
    <row r="1376" customFormat="false" ht="12.75" hidden="false" customHeight="false" outlineLevel="0" collapsed="false">
      <c r="A1376" s="458"/>
    </row>
    <row r="1377" customFormat="false" ht="12.75" hidden="false" customHeight="false" outlineLevel="0" collapsed="false">
      <c r="A1377" s="458"/>
    </row>
    <row r="1378" customFormat="false" ht="12.75" hidden="false" customHeight="false" outlineLevel="0" collapsed="false">
      <c r="A1378" s="458"/>
    </row>
    <row r="1379" customFormat="false" ht="12.75" hidden="false" customHeight="false" outlineLevel="0" collapsed="false">
      <c r="A1379" s="458"/>
    </row>
    <row r="1380" customFormat="false" ht="12.75" hidden="false" customHeight="false" outlineLevel="0" collapsed="false">
      <c r="A1380" s="458"/>
    </row>
    <row r="1381" customFormat="false" ht="12.75" hidden="false" customHeight="false" outlineLevel="0" collapsed="false">
      <c r="A1381" s="458"/>
    </row>
    <row r="1382" customFormat="false" ht="12.75" hidden="false" customHeight="false" outlineLevel="0" collapsed="false">
      <c r="A1382" s="458"/>
    </row>
    <row r="1383" customFormat="false" ht="12.75" hidden="false" customHeight="false" outlineLevel="0" collapsed="false">
      <c r="A1383" s="458"/>
    </row>
    <row r="1384" customFormat="false" ht="12.75" hidden="false" customHeight="false" outlineLevel="0" collapsed="false">
      <c r="A1384" s="458"/>
    </row>
    <row r="1385" customFormat="false" ht="12.75" hidden="false" customHeight="false" outlineLevel="0" collapsed="false">
      <c r="A1385" s="458"/>
    </row>
    <row r="1386" customFormat="false" ht="12.75" hidden="false" customHeight="false" outlineLevel="0" collapsed="false">
      <c r="A1386" s="458"/>
    </row>
    <row r="1387" customFormat="false" ht="12.75" hidden="false" customHeight="false" outlineLevel="0" collapsed="false">
      <c r="A1387" s="458"/>
    </row>
    <row r="1388" customFormat="false" ht="12.75" hidden="false" customHeight="false" outlineLevel="0" collapsed="false">
      <c r="A1388" s="458"/>
    </row>
    <row r="1389" customFormat="false" ht="12.75" hidden="false" customHeight="false" outlineLevel="0" collapsed="false">
      <c r="A1389" s="458"/>
    </row>
    <row r="1390" customFormat="false" ht="12.75" hidden="false" customHeight="false" outlineLevel="0" collapsed="false">
      <c r="A1390" s="458"/>
    </row>
    <row r="1391" customFormat="false" ht="12.75" hidden="false" customHeight="false" outlineLevel="0" collapsed="false">
      <c r="A1391" s="458"/>
    </row>
    <row r="1392" customFormat="false" ht="12.75" hidden="false" customHeight="false" outlineLevel="0" collapsed="false">
      <c r="A1392" s="458"/>
    </row>
    <row r="1393" customFormat="false" ht="12.75" hidden="false" customHeight="false" outlineLevel="0" collapsed="false">
      <c r="A1393" s="458"/>
    </row>
    <row r="1394" customFormat="false" ht="12.75" hidden="false" customHeight="false" outlineLevel="0" collapsed="false">
      <c r="A1394" s="458"/>
    </row>
    <row r="1395" customFormat="false" ht="12.75" hidden="false" customHeight="false" outlineLevel="0" collapsed="false">
      <c r="A1395" s="458"/>
    </row>
    <row r="1396" customFormat="false" ht="12.75" hidden="false" customHeight="false" outlineLevel="0" collapsed="false">
      <c r="A1396" s="458"/>
    </row>
    <row r="1397" customFormat="false" ht="12.75" hidden="false" customHeight="false" outlineLevel="0" collapsed="false">
      <c r="A1397" s="458"/>
    </row>
    <row r="1398" customFormat="false" ht="12.75" hidden="false" customHeight="false" outlineLevel="0" collapsed="false">
      <c r="A1398" s="458"/>
    </row>
    <row r="1399" customFormat="false" ht="12.75" hidden="false" customHeight="false" outlineLevel="0" collapsed="false">
      <c r="A1399" s="458"/>
    </row>
    <row r="1400" customFormat="false" ht="12.75" hidden="false" customHeight="false" outlineLevel="0" collapsed="false">
      <c r="A1400" s="458"/>
    </row>
    <row r="1401" customFormat="false" ht="12.75" hidden="false" customHeight="false" outlineLevel="0" collapsed="false">
      <c r="A1401" s="458"/>
    </row>
    <row r="1402" customFormat="false" ht="12.75" hidden="false" customHeight="false" outlineLevel="0" collapsed="false">
      <c r="A1402" s="458"/>
    </row>
    <row r="1403" customFormat="false" ht="12.75" hidden="false" customHeight="false" outlineLevel="0" collapsed="false">
      <c r="A1403" s="458"/>
    </row>
    <row r="1404" customFormat="false" ht="12.75" hidden="false" customHeight="false" outlineLevel="0" collapsed="false">
      <c r="A1404" s="458"/>
    </row>
    <row r="1405" customFormat="false" ht="12.75" hidden="false" customHeight="false" outlineLevel="0" collapsed="false">
      <c r="A1405" s="458"/>
    </row>
    <row r="1406" customFormat="false" ht="12.75" hidden="false" customHeight="false" outlineLevel="0" collapsed="false">
      <c r="A1406" s="458"/>
    </row>
    <row r="1407" customFormat="false" ht="12.75" hidden="false" customHeight="false" outlineLevel="0" collapsed="false">
      <c r="A1407" s="458"/>
    </row>
    <row r="1408" customFormat="false" ht="12.75" hidden="false" customHeight="false" outlineLevel="0" collapsed="false">
      <c r="A1408" s="458"/>
    </row>
    <row r="1409" customFormat="false" ht="12.75" hidden="false" customHeight="false" outlineLevel="0" collapsed="false">
      <c r="A1409" s="458"/>
    </row>
    <row r="1410" customFormat="false" ht="12.75" hidden="false" customHeight="false" outlineLevel="0" collapsed="false">
      <c r="A1410" s="458"/>
    </row>
    <row r="1411" customFormat="false" ht="12.75" hidden="false" customHeight="false" outlineLevel="0" collapsed="false">
      <c r="A1411" s="458"/>
    </row>
    <row r="1412" customFormat="false" ht="12.75" hidden="false" customHeight="false" outlineLevel="0" collapsed="false">
      <c r="A1412" s="458"/>
    </row>
    <row r="1413" customFormat="false" ht="12.75" hidden="false" customHeight="false" outlineLevel="0" collapsed="false">
      <c r="A1413" s="458"/>
    </row>
    <row r="1414" customFormat="false" ht="12.75" hidden="false" customHeight="false" outlineLevel="0" collapsed="false">
      <c r="A1414" s="458"/>
    </row>
    <row r="1415" customFormat="false" ht="12.75" hidden="false" customHeight="false" outlineLevel="0" collapsed="false">
      <c r="A1415" s="458"/>
    </row>
    <row r="1416" customFormat="false" ht="12.75" hidden="false" customHeight="false" outlineLevel="0" collapsed="false">
      <c r="A1416" s="458"/>
    </row>
    <row r="1417" customFormat="false" ht="12.75" hidden="false" customHeight="false" outlineLevel="0" collapsed="false">
      <c r="A1417" s="458"/>
    </row>
    <row r="1418" customFormat="false" ht="12.75" hidden="false" customHeight="false" outlineLevel="0" collapsed="false">
      <c r="A1418" s="458"/>
    </row>
    <row r="1419" customFormat="false" ht="12.75" hidden="false" customHeight="false" outlineLevel="0" collapsed="false">
      <c r="A1419" s="458"/>
    </row>
    <row r="1420" customFormat="false" ht="12.75" hidden="false" customHeight="false" outlineLevel="0" collapsed="false">
      <c r="A1420" s="458"/>
    </row>
    <row r="1421" customFormat="false" ht="12.75" hidden="false" customHeight="false" outlineLevel="0" collapsed="false">
      <c r="A1421" s="458"/>
    </row>
    <row r="1422" customFormat="false" ht="12.75" hidden="false" customHeight="false" outlineLevel="0" collapsed="false">
      <c r="A1422" s="458"/>
    </row>
    <row r="1423" customFormat="false" ht="12.75" hidden="false" customHeight="false" outlineLevel="0" collapsed="false">
      <c r="A1423" s="458"/>
    </row>
    <row r="1424" customFormat="false" ht="12.75" hidden="false" customHeight="false" outlineLevel="0" collapsed="false">
      <c r="A1424" s="458"/>
    </row>
    <row r="1425" customFormat="false" ht="12.75" hidden="false" customHeight="false" outlineLevel="0" collapsed="false">
      <c r="A1425" s="458"/>
    </row>
    <row r="1426" customFormat="false" ht="12.75" hidden="false" customHeight="false" outlineLevel="0" collapsed="false">
      <c r="A1426" s="458"/>
    </row>
    <row r="1427" customFormat="false" ht="12.75" hidden="false" customHeight="false" outlineLevel="0" collapsed="false">
      <c r="A1427" s="458"/>
    </row>
    <row r="1428" customFormat="false" ht="12.75" hidden="false" customHeight="false" outlineLevel="0" collapsed="false">
      <c r="A1428" s="458"/>
    </row>
    <row r="1429" customFormat="false" ht="12.75" hidden="false" customHeight="false" outlineLevel="0" collapsed="false">
      <c r="A1429" s="458"/>
    </row>
    <row r="1430" customFormat="false" ht="12.75" hidden="false" customHeight="false" outlineLevel="0" collapsed="false">
      <c r="A1430" s="458"/>
    </row>
    <row r="1431" customFormat="false" ht="12.75" hidden="false" customHeight="false" outlineLevel="0" collapsed="false">
      <c r="A1431" s="458"/>
    </row>
    <row r="1432" customFormat="false" ht="12.75" hidden="false" customHeight="false" outlineLevel="0" collapsed="false">
      <c r="A1432" s="458"/>
    </row>
    <row r="1433" customFormat="false" ht="12.75" hidden="false" customHeight="false" outlineLevel="0" collapsed="false">
      <c r="A1433" s="458"/>
    </row>
    <row r="1434" customFormat="false" ht="12.75" hidden="false" customHeight="false" outlineLevel="0" collapsed="false">
      <c r="A1434" s="458"/>
    </row>
    <row r="1435" customFormat="false" ht="12.75" hidden="false" customHeight="false" outlineLevel="0" collapsed="false">
      <c r="A1435" s="458"/>
    </row>
    <row r="1436" customFormat="false" ht="12.75" hidden="false" customHeight="false" outlineLevel="0" collapsed="false">
      <c r="A1436" s="458"/>
    </row>
    <row r="1437" customFormat="false" ht="12.75" hidden="false" customHeight="false" outlineLevel="0" collapsed="false">
      <c r="A1437" s="458"/>
    </row>
    <row r="1438" customFormat="false" ht="12.75" hidden="false" customHeight="false" outlineLevel="0" collapsed="false">
      <c r="A1438" s="458"/>
    </row>
    <row r="1439" customFormat="false" ht="12.75" hidden="false" customHeight="false" outlineLevel="0" collapsed="false">
      <c r="A1439" s="458"/>
    </row>
    <row r="1440" customFormat="false" ht="12.75" hidden="false" customHeight="false" outlineLevel="0" collapsed="false">
      <c r="A1440" s="458"/>
    </row>
    <row r="1441" customFormat="false" ht="12.75" hidden="false" customHeight="false" outlineLevel="0" collapsed="false">
      <c r="A1441" s="458"/>
    </row>
    <row r="1442" customFormat="false" ht="12.75" hidden="false" customHeight="false" outlineLevel="0" collapsed="false">
      <c r="A1442" s="458"/>
    </row>
    <row r="1443" customFormat="false" ht="12.75" hidden="false" customHeight="false" outlineLevel="0" collapsed="false">
      <c r="A1443" s="458"/>
    </row>
    <row r="1444" customFormat="false" ht="12.75" hidden="false" customHeight="false" outlineLevel="0" collapsed="false">
      <c r="A1444" s="458"/>
    </row>
    <row r="1445" customFormat="false" ht="12.75" hidden="false" customHeight="false" outlineLevel="0" collapsed="false">
      <c r="A1445" s="458"/>
    </row>
    <row r="1446" customFormat="false" ht="12.75" hidden="false" customHeight="false" outlineLevel="0" collapsed="false">
      <c r="A1446" s="458"/>
    </row>
  </sheetData>
  <mergeCells count="5">
    <mergeCell ref="B4:M4"/>
    <mergeCell ref="O4:Z4"/>
    <mergeCell ref="B6:M6"/>
    <mergeCell ref="B36:L36"/>
    <mergeCell ref="P36:Y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1999-11-15T17:38:29Z</dcterms:created>
  <dc:creator>jsimpso</dc:creator>
  <dc:description/>
  <dc:language>en-US</dc:language>
  <cp:lastModifiedBy>imack</cp:lastModifiedBy>
  <cp:lastPrinted>2000-11-07T16:40:37Z</cp:lastPrinted>
  <dcterms:modified xsi:type="dcterms:W3CDTF">2001-08-01T20:39:58Z</dcterms:modified>
  <cp:revision>0</cp:revision>
  <dc:subject/>
  <dc:title>Simpson Dispatch Model</dc:title>
</cp:coreProperties>
</file>